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muham\Downloads\"/>
    </mc:Choice>
  </mc:AlternateContent>
  <xr:revisionPtr revIDLastSave="0" documentId="13_ncr:1_{4973E712-B09A-4C1A-AEFF-CB5B1BA0EF68}" xr6:coauthVersionLast="47" xr6:coauthVersionMax="47" xr10:uidLastSave="{00000000-0000-0000-0000-000000000000}"/>
  <bookViews>
    <workbookView xWindow="-120" yWindow="-120" windowWidth="20730" windowHeight="11040" tabRatio="500" xr2:uid="{00000000-000D-0000-FFFF-FFFF00000000}"/>
  </bookViews>
  <sheets>
    <sheet name="Cover Page" sheetId="21" r:id="rId1"/>
    <sheet name="Summary" sheetId="1" r:id="rId2"/>
    <sheet name="Table of Content" sheetId="2" r:id="rId3"/>
    <sheet name="Dashboard" sheetId="20" r:id="rId4"/>
    <sheet name="Startup Costs" sheetId="8" r:id="rId5"/>
    <sheet name="Scenario Analysis" sheetId="6" r:id="rId6"/>
    <sheet name="Assumptions" sheetId="7" r:id="rId7"/>
    <sheet name="Seasonality Data Break down" sheetId="9" r:id="rId8"/>
    <sheet name="5-Year monthly" sheetId="10" r:id="rId9"/>
    <sheet name="Pivot Table" sheetId="22" r:id="rId10"/>
    <sheet name="monthly model engine" sheetId="11" r:id="rId11"/>
    <sheet name="Loan schedule" sheetId="12" r:id="rId12"/>
    <sheet name="Income Statement" sheetId="13" r:id="rId13"/>
    <sheet name="Cashflow statement" sheetId="14" r:id="rId14"/>
    <sheet name="Balance Sheet" sheetId="15" r:id="rId15"/>
    <sheet name="pivot Summary" sheetId="16" r:id="rId16"/>
    <sheet name="Break-Even" sheetId="17" r:id="rId17"/>
    <sheet name="Data" sheetId="5" r:id="rId18"/>
    <sheet name="Workings" sheetId="18" r:id="rId19"/>
    <sheet name="Valuation" sheetId="19" r:id="rId20"/>
  </sheets>
  <externalReferences>
    <externalReference r:id="rId21"/>
  </externalReferences>
  <definedNames>
    <definedName name="Slicer_Year">#N/A</definedName>
  </definedNames>
  <calcPr calcId="191029" iterateDelta="1E-4"/>
  <pivotCaches>
    <pivotCache cacheId="0"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19" l="1"/>
  <c r="G1" i="19"/>
  <c r="G1" i="18"/>
  <c r="G1" i="16"/>
  <c r="G1" i="15"/>
  <c r="G1" i="14"/>
  <c r="G1" i="13"/>
  <c r="G1" i="12"/>
  <c r="G1" i="11"/>
  <c r="G1" i="22"/>
  <c r="G1" i="10"/>
  <c r="G1" i="5"/>
  <c r="G1" i="9"/>
  <c r="G1" i="7"/>
  <c r="G1" i="6"/>
  <c r="G2" i="8"/>
  <c r="M1" i="2"/>
  <c r="D38" i="19"/>
  <c r="C38" i="19"/>
  <c r="B38" i="19"/>
  <c r="F25" i="19"/>
  <c r="E25" i="19"/>
  <c r="D25" i="19"/>
  <c r="C25" i="19"/>
  <c r="B25" i="19"/>
  <c r="B41" i="18"/>
  <c r="G19" i="15"/>
  <c r="F19" i="15"/>
  <c r="E19" i="15"/>
  <c r="D19" i="15"/>
  <c r="C19" i="15"/>
  <c r="B19" i="15"/>
  <c r="B7" i="14"/>
  <c r="B8" i="12"/>
  <c r="B7" i="12"/>
  <c r="AJ67" i="11"/>
  <c r="BK28" i="10" s="1"/>
  <c r="AI67" i="11"/>
  <c r="BK27" i="10" s="1"/>
  <c r="AD67" i="11"/>
  <c r="BK23" i="10" s="1"/>
  <c r="AC67" i="11"/>
  <c r="BK22" i="10" s="1"/>
  <c r="AB67" i="11"/>
  <c r="AA67" i="11"/>
  <c r="L67" i="11"/>
  <c r="J67" i="11"/>
  <c r="I67" i="11"/>
  <c r="H67" i="11"/>
  <c r="F67" i="11"/>
  <c r="E67" i="11"/>
  <c r="D67" i="11"/>
  <c r="BK5" i="10" s="1"/>
  <c r="AJ66" i="11"/>
  <c r="BJ28" i="10" s="1"/>
  <c r="AI66" i="11"/>
  <c r="BJ27" i="10" s="1"/>
  <c r="AD66" i="11"/>
  <c r="BJ23" i="10" s="1"/>
  <c r="AC66" i="11"/>
  <c r="BJ22" i="10" s="1"/>
  <c r="AB66" i="11"/>
  <c r="BJ21" i="10" s="1"/>
  <c r="AA66" i="11"/>
  <c r="L66" i="11"/>
  <c r="J66" i="11"/>
  <c r="I66" i="11"/>
  <c r="H66" i="11"/>
  <c r="F66" i="11"/>
  <c r="E66" i="11"/>
  <c r="D66" i="11"/>
  <c r="AJ65" i="11"/>
  <c r="BI28" i="10" s="1"/>
  <c r="AI65" i="11"/>
  <c r="BI27" i="10" s="1"/>
  <c r="AD65" i="11"/>
  <c r="BI23" i="10" s="1"/>
  <c r="AC65" i="11"/>
  <c r="BI22" i="10" s="1"/>
  <c r="AB65" i="11"/>
  <c r="BI21" i="10" s="1"/>
  <c r="AA65" i="11"/>
  <c r="L65" i="11"/>
  <c r="J65" i="11"/>
  <c r="I65" i="11"/>
  <c r="H65" i="11"/>
  <c r="F65" i="11"/>
  <c r="E65" i="11"/>
  <c r="D65" i="11"/>
  <c r="BI5" i="10" s="1"/>
  <c r="AJ64" i="11"/>
  <c r="BH28" i="10" s="1"/>
  <c r="AI64" i="11"/>
  <c r="BH27" i="10" s="1"/>
  <c r="AD64" i="11"/>
  <c r="BH23" i="10" s="1"/>
  <c r="AC64" i="11"/>
  <c r="BH22" i="10" s="1"/>
  <c r="AB64" i="11"/>
  <c r="BH21" i="10" s="1"/>
  <c r="AA64" i="11"/>
  <c r="L64" i="11"/>
  <c r="J64" i="11"/>
  <c r="I64" i="11"/>
  <c r="H64" i="11"/>
  <c r="F64" i="11"/>
  <c r="E64" i="11"/>
  <c r="D64" i="11"/>
  <c r="BH5" i="10" s="1"/>
  <c r="AJ63" i="11"/>
  <c r="BG28" i="10" s="1"/>
  <c r="AI63" i="11"/>
  <c r="BG27" i="10" s="1"/>
  <c r="AD63" i="11"/>
  <c r="BG23" i="10" s="1"/>
  <c r="AC63" i="11"/>
  <c r="BG22" i="10" s="1"/>
  <c r="AB63" i="11"/>
  <c r="BG21" i="10" s="1"/>
  <c r="AA63" i="11"/>
  <c r="L63" i="11"/>
  <c r="J63" i="11"/>
  <c r="I63" i="11"/>
  <c r="H63" i="11"/>
  <c r="F63" i="11"/>
  <c r="E63" i="11"/>
  <c r="D63" i="11"/>
  <c r="BG5" i="10" s="1"/>
  <c r="AJ62" i="11"/>
  <c r="BF28" i="10" s="1"/>
  <c r="AI62" i="11"/>
  <c r="BF27" i="10" s="1"/>
  <c r="AD62" i="11"/>
  <c r="BF23" i="10" s="1"/>
  <c r="AC62" i="11"/>
  <c r="BF22" i="10" s="1"/>
  <c r="AB62" i="11"/>
  <c r="BF21" i="10" s="1"/>
  <c r="AA62" i="11"/>
  <c r="L62" i="11"/>
  <c r="J62" i="11"/>
  <c r="I62" i="11"/>
  <c r="H62" i="11"/>
  <c r="F62" i="11"/>
  <c r="E62" i="11"/>
  <c r="D62" i="11"/>
  <c r="BF5" i="10" s="1"/>
  <c r="AJ61" i="11"/>
  <c r="BE28" i="10" s="1"/>
  <c r="AI61" i="11"/>
  <c r="BE27" i="10" s="1"/>
  <c r="AD61" i="11"/>
  <c r="BE23" i="10" s="1"/>
  <c r="AC61" i="11"/>
  <c r="BE22" i="10" s="1"/>
  <c r="AB61" i="11"/>
  <c r="BE21" i="10" s="1"/>
  <c r="AA61" i="11"/>
  <c r="L61" i="11"/>
  <c r="J61" i="11"/>
  <c r="I61" i="11"/>
  <c r="H61" i="11"/>
  <c r="F61" i="11"/>
  <c r="E61" i="11"/>
  <c r="D61" i="11"/>
  <c r="BE5" i="10" s="1"/>
  <c r="AJ60" i="11"/>
  <c r="BD28" i="10" s="1"/>
  <c r="AI60" i="11"/>
  <c r="BD27" i="10" s="1"/>
  <c r="AD60" i="11"/>
  <c r="BD23" i="10" s="1"/>
  <c r="AC60" i="11"/>
  <c r="BD22" i="10" s="1"/>
  <c r="AB60" i="11"/>
  <c r="BD21" i="10" s="1"/>
  <c r="AA60" i="11"/>
  <c r="L60" i="11"/>
  <c r="J60" i="11"/>
  <c r="I60" i="11"/>
  <c r="H60" i="11"/>
  <c r="F60" i="11"/>
  <c r="E60" i="11"/>
  <c r="D60" i="11"/>
  <c r="BD5" i="10" s="1"/>
  <c r="AJ59" i="11"/>
  <c r="BC28" i="10" s="1"/>
  <c r="AI59" i="11"/>
  <c r="BC27" i="10" s="1"/>
  <c r="AD59" i="11"/>
  <c r="BC23" i="10" s="1"/>
  <c r="AC59" i="11"/>
  <c r="BC22" i="10" s="1"/>
  <c r="AB59" i="11"/>
  <c r="BC21" i="10" s="1"/>
  <c r="AA59" i="11"/>
  <c r="L59" i="11"/>
  <c r="J59" i="11"/>
  <c r="I59" i="11"/>
  <c r="H59" i="11"/>
  <c r="F59" i="11"/>
  <c r="E59" i="11"/>
  <c r="D59" i="11"/>
  <c r="BC5" i="10" s="1"/>
  <c r="AJ58" i="11"/>
  <c r="BB28" i="10" s="1"/>
  <c r="AI58" i="11"/>
  <c r="BB27" i="10" s="1"/>
  <c r="AD58" i="11"/>
  <c r="BB23" i="10" s="1"/>
  <c r="AC58" i="11"/>
  <c r="BB22" i="10" s="1"/>
  <c r="AB58" i="11"/>
  <c r="BB21" i="10" s="1"/>
  <c r="AA58" i="11"/>
  <c r="L58" i="11"/>
  <c r="J58" i="11"/>
  <c r="I58" i="11"/>
  <c r="H58" i="11"/>
  <c r="F58" i="11"/>
  <c r="E58" i="11"/>
  <c r="D58" i="11"/>
  <c r="BB5" i="10" s="1"/>
  <c r="AJ57" i="11"/>
  <c r="BA28" i="10" s="1"/>
  <c r="AI57" i="11"/>
  <c r="BA27" i="10" s="1"/>
  <c r="AD57" i="11"/>
  <c r="BA23" i="10" s="1"/>
  <c r="AC57" i="11"/>
  <c r="BA22" i="10" s="1"/>
  <c r="AB57" i="11"/>
  <c r="BA21" i="10" s="1"/>
  <c r="AA57" i="11"/>
  <c r="L57" i="11"/>
  <c r="J57" i="11"/>
  <c r="I57" i="11"/>
  <c r="H57" i="11"/>
  <c r="F57" i="11"/>
  <c r="E57" i="11"/>
  <c r="D57" i="11"/>
  <c r="BA5" i="10" s="1"/>
  <c r="AJ56" i="11"/>
  <c r="AI56" i="11"/>
  <c r="AD56" i="11"/>
  <c r="AC56" i="11"/>
  <c r="AB56" i="11"/>
  <c r="AA56" i="11"/>
  <c r="L56" i="11"/>
  <c r="J56" i="11"/>
  <c r="I56" i="11"/>
  <c r="H56" i="11"/>
  <c r="F56" i="11"/>
  <c r="E56" i="11"/>
  <c r="D56" i="11"/>
  <c r="AZ5" i="10" s="1"/>
  <c r="AJ55" i="11"/>
  <c r="AY28" i="10" s="1"/>
  <c r="AI55" i="11"/>
  <c r="AY27" i="10" s="1"/>
  <c r="AD55" i="11"/>
  <c r="AY23" i="10" s="1"/>
  <c r="AC55" i="11"/>
  <c r="AY22" i="10" s="1"/>
  <c r="AB55" i="11"/>
  <c r="AY21" i="10" s="1"/>
  <c r="AA55" i="11"/>
  <c r="L55" i="11"/>
  <c r="J55" i="11"/>
  <c r="I55" i="11"/>
  <c r="H55" i="11"/>
  <c r="F55" i="11"/>
  <c r="E55" i="11"/>
  <c r="D55" i="11"/>
  <c r="AY5" i="10" s="1"/>
  <c r="AJ54" i="11"/>
  <c r="AX28" i="10" s="1"/>
  <c r="AI54" i="11"/>
  <c r="AX27" i="10" s="1"/>
  <c r="AD54" i="11"/>
  <c r="AX23" i="10" s="1"/>
  <c r="AC54" i="11"/>
  <c r="AX22" i="10" s="1"/>
  <c r="AB54" i="11"/>
  <c r="AX21" i="10" s="1"/>
  <c r="AA54" i="11"/>
  <c r="L54" i="11"/>
  <c r="J54" i="11"/>
  <c r="I54" i="11"/>
  <c r="H54" i="11"/>
  <c r="F54" i="11"/>
  <c r="E54" i="11"/>
  <c r="D54" i="11"/>
  <c r="AX5" i="10" s="1"/>
  <c r="AJ53" i="11"/>
  <c r="AW28" i="10" s="1"/>
  <c r="AI53" i="11"/>
  <c r="AW27" i="10" s="1"/>
  <c r="AD53" i="11"/>
  <c r="AW23" i="10" s="1"/>
  <c r="AC53" i="11"/>
  <c r="AW22" i="10" s="1"/>
  <c r="AB53" i="11"/>
  <c r="AW21" i="10" s="1"/>
  <c r="AA53" i="11"/>
  <c r="L53" i="11"/>
  <c r="J53" i="11"/>
  <c r="I53" i="11"/>
  <c r="H53" i="11"/>
  <c r="F53" i="11"/>
  <c r="E53" i="11"/>
  <c r="D53" i="11"/>
  <c r="AW5" i="10" s="1"/>
  <c r="AJ52" i="11"/>
  <c r="AV28" i="10" s="1"/>
  <c r="AI52" i="11"/>
  <c r="AV27" i="10" s="1"/>
  <c r="AD52" i="11"/>
  <c r="AV23" i="10" s="1"/>
  <c r="AC52" i="11"/>
  <c r="AV22" i="10" s="1"/>
  <c r="AB52" i="11"/>
  <c r="AV21" i="10" s="1"/>
  <c r="AA52" i="11"/>
  <c r="L52" i="11"/>
  <c r="J52" i="11"/>
  <c r="I52" i="11"/>
  <c r="H52" i="11"/>
  <c r="F52" i="11"/>
  <c r="E52" i="11"/>
  <c r="D52" i="11"/>
  <c r="AV5" i="10" s="1"/>
  <c r="AJ51" i="11"/>
  <c r="AU28" i="10" s="1"/>
  <c r="AI51" i="11"/>
  <c r="AU27" i="10" s="1"/>
  <c r="AD51" i="11"/>
  <c r="AU23" i="10" s="1"/>
  <c r="AC51" i="11"/>
  <c r="AU22" i="10" s="1"/>
  <c r="AB51" i="11"/>
  <c r="AU21" i="10" s="1"/>
  <c r="AA51" i="11"/>
  <c r="L51" i="11"/>
  <c r="J51" i="11"/>
  <c r="I51" i="11"/>
  <c r="H51" i="11"/>
  <c r="F51" i="11"/>
  <c r="E51" i="11"/>
  <c r="D51" i="11"/>
  <c r="AU5" i="10" s="1"/>
  <c r="AJ50" i="11"/>
  <c r="AT28" i="10" s="1"/>
  <c r="AI50" i="11"/>
  <c r="AT27" i="10" s="1"/>
  <c r="AD50" i="11"/>
  <c r="AT23" i="10" s="1"/>
  <c r="AC50" i="11"/>
  <c r="AT22" i="10" s="1"/>
  <c r="AB50" i="11"/>
  <c r="AT21" i="10" s="1"/>
  <c r="AA50" i="11"/>
  <c r="L50" i="11"/>
  <c r="J50" i="11"/>
  <c r="I50" i="11"/>
  <c r="H50" i="11"/>
  <c r="F50" i="11"/>
  <c r="E50" i="11"/>
  <c r="D50" i="11"/>
  <c r="AT5" i="10" s="1"/>
  <c r="AJ49" i="11"/>
  <c r="AS28" i="10" s="1"/>
  <c r="AI49" i="11"/>
  <c r="AS27" i="10" s="1"/>
  <c r="AD49" i="11"/>
  <c r="AS23" i="10" s="1"/>
  <c r="AC49" i="11"/>
  <c r="AS22" i="10" s="1"/>
  <c r="AB49" i="11"/>
  <c r="AS21" i="10" s="1"/>
  <c r="AA49" i="11"/>
  <c r="L49" i="11"/>
  <c r="J49" i="11"/>
  <c r="I49" i="11"/>
  <c r="H49" i="11"/>
  <c r="F49" i="11"/>
  <c r="E49" i="11"/>
  <c r="D49" i="11"/>
  <c r="AS5" i="10" s="1"/>
  <c r="AJ48" i="11"/>
  <c r="AR28" i="10" s="1"/>
  <c r="AI48" i="11"/>
  <c r="AR27" i="10" s="1"/>
  <c r="AD48" i="11"/>
  <c r="AR23" i="10" s="1"/>
  <c r="AC48" i="11"/>
  <c r="AR22" i="10" s="1"/>
  <c r="AB48" i="11"/>
  <c r="AR21" i="10" s="1"/>
  <c r="AA48" i="11"/>
  <c r="L48" i="11"/>
  <c r="J48" i="11"/>
  <c r="I48" i="11"/>
  <c r="H48" i="11"/>
  <c r="F48" i="11"/>
  <c r="E48" i="11"/>
  <c r="D48" i="11"/>
  <c r="AR5" i="10" s="1"/>
  <c r="AJ47" i="11"/>
  <c r="AQ28" i="10" s="1"/>
  <c r="AI47" i="11"/>
  <c r="AQ27" i="10" s="1"/>
  <c r="AD47" i="11"/>
  <c r="AQ23" i="10" s="1"/>
  <c r="AC47" i="11"/>
  <c r="AQ22" i="10" s="1"/>
  <c r="AB47" i="11"/>
  <c r="AQ21" i="10" s="1"/>
  <c r="AA47" i="11"/>
  <c r="L47" i="11"/>
  <c r="J47" i="11"/>
  <c r="I47" i="11"/>
  <c r="H47" i="11"/>
  <c r="F47" i="11"/>
  <c r="E47" i="11"/>
  <c r="D47" i="11"/>
  <c r="AQ5" i="10" s="1"/>
  <c r="AJ46" i="11"/>
  <c r="AP28" i="10" s="1"/>
  <c r="AI46" i="11"/>
  <c r="AP27" i="10" s="1"/>
  <c r="AD46" i="11"/>
  <c r="AP23" i="10" s="1"/>
  <c r="AC46" i="11"/>
  <c r="AP22" i="10" s="1"/>
  <c r="AB46" i="11"/>
  <c r="AP21" i="10" s="1"/>
  <c r="AA46" i="11"/>
  <c r="L46" i="11"/>
  <c r="J46" i="11"/>
  <c r="I46" i="11"/>
  <c r="H46" i="11"/>
  <c r="F46" i="11"/>
  <c r="E46" i="11"/>
  <c r="D46" i="11"/>
  <c r="AP5" i="10" s="1"/>
  <c r="AJ45" i="11"/>
  <c r="AO28" i="10" s="1"/>
  <c r="AI45" i="11"/>
  <c r="AO27" i="10" s="1"/>
  <c r="AD45" i="11"/>
  <c r="AO23" i="10" s="1"/>
  <c r="AC45" i="11"/>
  <c r="AO22" i="10" s="1"/>
  <c r="AB45" i="11"/>
  <c r="AO21" i="10" s="1"/>
  <c r="AA45" i="11"/>
  <c r="L45" i="11"/>
  <c r="J45" i="11"/>
  <c r="I45" i="11"/>
  <c r="H45" i="11"/>
  <c r="F45" i="11"/>
  <c r="E45" i="11"/>
  <c r="D45" i="11"/>
  <c r="AO5" i="10" s="1"/>
  <c r="AJ44" i="11"/>
  <c r="AI44" i="11"/>
  <c r="AD44" i="11"/>
  <c r="AC44" i="11"/>
  <c r="AB44" i="11"/>
  <c r="AA44" i="11"/>
  <c r="L44" i="11"/>
  <c r="J44" i="11"/>
  <c r="I44" i="11"/>
  <c r="H44" i="11"/>
  <c r="F44" i="11"/>
  <c r="E44" i="11"/>
  <c r="D44" i="11"/>
  <c r="AN5" i="10" s="1"/>
  <c r="AJ43" i="11"/>
  <c r="AM28" i="10" s="1"/>
  <c r="AI43" i="11"/>
  <c r="AM27" i="10" s="1"/>
  <c r="AD43" i="11"/>
  <c r="AM23" i="10" s="1"/>
  <c r="AC43" i="11"/>
  <c r="AM22" i="10" s="1"/>
  <c r="AB43" i="11"/>
  <c r="AM21" i="10" s="1"/>
  <c r="AA43" i="11"/>
  <c r="L43" i="11"/>
  <c r="J43" i="11"/>
  <c r="I43" i="11"/>
  <c r="H43" i="11"/>
  <c r="F43" i="11"/>
  <c r="E43" i="11"/>
  <c r="D43" i="11"/>
  <c r="AM5" i="10" s="1"/>
  <c r="AJ42" i="11"/>
  <c r="AL28" i="10" s="1"/>
  <c r="AI42" i="11"/>
  <c r="AL27" i="10" s="1"/>
  <c r="AD42" i="11"/>
  <c r="AL23" i="10" s="1"/>
  <c r="AC42" i="11"/>
  <c r="AL22" i="10" s="1"/>
  <c r="AB42" i="11"/>
  <c r="AL21" i="10" s="1"/>
  <c r="AA42" i="11"/>
  <c r="L42" i="11"/>
  <c r="J42" i="11"/>
  <c r="I42" i="11"/>
  <c r="H42" i="11"/>
  <c r="F42" i="11"/>
  <c r="E42" i="11"/>
  <c r="D42" i="11"/>
  <c r="AL5" i="10" s="1"/>
  <c r="AJ41" i="11"/>
  <c r="AK28" i="10" s="1"/>
  <c r="AI41" i="11"/>
  <c r="AK27" i="10" s="1"/>
  <c r="AD41" i="11"/>
  <c r="AK23" i="10" s="1"/>
  <c r="AC41" i="11"/>
  <c r="AK22" i="10" s="1"/>
  <c r="AB41" i="11"/>
  <c r="AK21" i="10" s="1"/>
  <c r="AA41" i="11"/>
  <c r="L41" i="11"/>
  <c r="J41" i="11"/>
  <c r="I41" i="11"/>
  <c r="H41" i="11"/>
  <c r="F41" i="11"/>
  <c r="E41" i="11"/>
  <c r="D41" i="11"/>
  <c r="AK5" i="10" s="1"/>
  <c r="AJ40" i="11"/>
  <c r="AJ28" i="10" s="1"/>
  <c r="AI40" i="11"/>
  <c r="AJ27" i="10" s="1"/>
  <c r="AD40" i="11"/>
  <c r="AJ23" i="10" s="1"/>
  <c r="AC40" i="11"/>
  <c r="AJ22" i="10" s="1"/>
  <c r="AB40" i="11"/>
  <c r="AJ21" i="10" s="1"/>
  <c r="AA40" i="11"/>
  <c r="L40" i="11"/>
  <c r="J40" i="11"/>
  <c r="I40" i="11"/>
  <c r="H40" i="11"/>
  <c r="F40" i="11"/>
  <c r="E40" i="11"/>
  <c r="D40" i="11"/>
  <c r="AJ5" i="10" s="1"/>
  <c r="AJ39" i="11"/>
  <c r="AI28" i="10" s="1"/>
  <c r="AI39" i="11"/>
  <c r="AI27" i="10" s="1"/>
  <c r="AD39" i="11"/>
  <c r="AI23" i="10" s="1"/>
  <c r="AC39" i="11"/>
  <c r="AI22" i="10" s="1"/>
  <c r="AB39" i="11"/>
  <c r="AI21" i="10" s="1"/>
  <c r="AA39" i="11"/>
  <c r="L39" i="11"/>
  <c r="J39" i="11"/>
  <c r="I39" i="11"/>
  <c r="H39" i="11"/>
  <c r="F39" i="11"/>
  <c r="E39" i="11"/>
  <c r="D39" i="11"/>
  <c r="AI5" i="10" s="1"/>
  <c r="AJ38" i="11"/>
  <c r="AH28" i="10" s="1"/>
  <c r="AI38" i="11"/>
  <c r="AH27" i="10" s="1"/>
  <c r="AD38" i="11"/>
  <c r="AH23" i="10" s="1"/>
  <c r="AC38" i="11"/>
  <c r="AH22" i="10" s="1"/>
  <c r="AB38" i="11"/>
  <c r="AH21" i="10" s="1"/>
  <c r="AA38" i="11"/>
  <c r="L38" i="11"/>
  <c r="J38" i="11"/>
  <c r="I38" i="11"/>
  <c r="H38" i="11"/>
  <c r="F38" i="11"/>
  <c r="E38" i="11"/>
  <c r="D38" i="11"/>
  <c r="AH5" i="10" s="1"/>
  <c r="AJ37" i="11"/>
  <c r="AG28" i="10" s="1"/>
  <c r="AI37" i="11"/>
  <c r="AG27" i="10" s="1"/>
  <c r="AD37" i="11"/>
  <c r="AG23" i="10" s="1"/>
  <c r="AC37" i="11"/>
  <c r="AG22" i="10" s="1"/>
  <c r="AB37" i="11"/>
  <c r="AG21" i="10" s="1"/>
  <c r="AA37" i="11"/>
  <c r="L37" i="11"/>
  <c r="J37" i="11"/>
  <c r="I37" i="11"/>
  <c r="H37" i="11"/>
  <c r="F37" i="11"/>
  <c r="E37" i="11"/>
  <c r="D37" i="11"/>
  <c r="AG5" i="10" s="1"/>
  <c r="AJ36" i="11"/>
  <c r="AF28" i="10" s="1"/>
  <c r="AI36" i="11"/>
  <c r="AF27" i="10" s="1"/>
  <c r="AD36" i="11"/>
  <c r="AF23" i="10" s="1"/>
  <c r="AC36" i="11"/>
  <c r="AF22" i="10" s="1"/>
  <c r="AB36" i="11"/>
  <c r="AF21" i="10" s="1"/>
  <c r="AA36" i="11"/>
  <c r="AF20" i="10" s="1"/>
  <c r="L36" i="11"/>
  <c r="J36" i="11"/>
  <c r="I36" i="11"/>
  <c r="H36" i="11"/>
  <c r="F36" i="11"/>
  <c r="E36" i="11"/>
  <c r="D36" i="11"/>
  <c r="AF5" i="10" s="1"/>
  <c r="AJ35" i="11"/>
  <c r="AE28" i="10" s="1"/>
  <c r="AI35" i="11"/>
  <c r="AE27" i="10" s="1"/>
  <c r="AD35" i="11"/>
  <c r="AE23" i="10" s="1"/>
  <c r="AC35" i="11"/>
  <c r="AE22" i="10" s="1"/>
  <c r="AB35" i="11"/>
  <c r="AE21" i="10" s="1"/>
  <c r="AA35" i="11"/>
  <c r="L35" i="11"/>
  <c r="J35" i="11"/>
  <c r="I35" i="11"/>
  <c r="H35" i="11"/>
  <c r="F35" i="11"/>
  <c r="E35" i="11"/>
  <c r="D35" i="11"/>
  <c r="AE5" i="10" s="1"/>
  <c r="AJ34" i="11"/>
  <c r="AD28" i="10" s="1"/>
  <c r="AI34" i="11"/>
  <c r="AD27" i="10" s="1"/>
  <c r="AD34" i="11"/>
  <c r="AD23" i="10" s="1"/>
  <c r="AC34" i="11"/>
  <c r="AD22" i="10" s="1"/>
  <c r="AB34" i="11"/>
  <c r="AD21" i="10" s="1"/>
  <c r="AA34" i="11"/>
  <c r="L34" i="11"/>
  <c r="J34" i="11"/>
  <c r="I34" i="11"/>
  <c r="H34" i="11"/>
  <c r="F34" i="11"/>
  <c r="E34" i="11"/>
  <c r="D34" i="11"/>
  <c r="AD5" i="10" s="1"/>
  <c r="AJ33" i="11"/>
  <c r="AC28" i="10" s="1"/>
  <c r="AI33" i="11"/>
  <c r="AC27" i="10" s="1"/>
  <c r="AD33" i="11"/>
  <c r="AC23" i="10" s="1"/>
  <c r="AC33" i="11"/>
  <c r="AC22" i="10" s="1"/>
  <c r="AB33" i="11"/>
  <c r="AC21" i="10" s="1"/>
  <c r="AA33" i="11"/>
  <c r="L33" i="11"/>
  <c r="J33" i="11"/>
  <c r="I33" i="11"/>
  <c r="H33" i="11"/>
  <c r="F33" i="11"/>
  <c r="E33" i="11"/>
  <c r="D33" i="11"/>
  <c r="AC5" i="10" s="1"/>
  <c r="AJ32" i="11"/>
  <c r="AI32" i="11"/>
  <c r="AD32" i="11"/>
  <c r="AC32" i="11"/>
  <c r="AB32" i="11"/>
  <c r="AA32" i="11"/>
  <c r="L32" i="11"/>
  <c r="J32" i="11"/>
  <c r="I32" i="11"/>
  <c r="H32" i="11"/>
  <c r="F32" i="11"/>
  <c r="E32" i="11"/>
  <c r="D32" i="11"/>
  <c r="AB5" i="10" s="1"/>
  <c r="AJ31" i="11"/>
  <c r="AA28" i="10" s="1"/>
  <c r="AI31" i="11"/>
  <c r="AA27" i="10" s="1"/>
  <c r="AD31" i="11"/>
  <c r="AA23" i="10" s="1"/>
  <c r="AC31" i="11"/>
  <c r="AA22" i="10" s="1"/>
  <c r="AB31" i="11"/>
  <c r="AA21" i="10" s="1"/>
  <c r="AA31" i="11"/>
  <c r="L31" i="11"/>
  <c r="J31" i="11"/>
  <c r="I31" i="11"/>
  <c r="H31" i="11"/>
  <c r="F31" i="11"/>
  <c r="E31" i="11"/>
  <c r="D31" i="11"/>
  <c r="AA5" i="10" s="1"/>
  <c r="AJ30" i="11"/>
  <c r="Z28" i="10" s="1"/>
  <c r="AI30" i="11"/>
  <c r="Z27" i="10" s="1"/>
  <c r="AD30" i="11"/>
  <c r="Z23" i="10" s="1"/>
  <c r="AC30" i="11"/>
  <c r="Z22" i="10" s="1"/>
  <c r="AB30" i="11"/>
  <c r="Z21" i="10" s="1"/>
  <c r="AA30" i="11"/>
  <c r="L30" i="11"/>
  <c r="J30" i="11"/>
  <c r="I30" i="11"/>
  <c r="H30" i="11"/>
  <c r="F30" i="11"/>
  <c r="E30" i="11"/>
  <c r="D30" i="11"/>
  <c r="Z5" i="10" s="1"/>
  <c r="AJ29" i="11"/>
  <c r="Y28" i="10" s="1"/>
  <c r="AI29" i="11"/>
  <c r="Y27" i="10" s="1"/>
  <c r="AD29" i="11"/>
  <c r="Y23" i="10" s="1"/>
  <c r="AC29" i="11"/>
  <c r="Y22" i="10" s="1"/>
  <c r="AB29" i="11"/>
  <c r="Y21" i="10" s="1"/>
  <c r="AA29" i="11"/>
  <c r="L29" i="11"/>
  <c r="J29" i="11"/>
  <c r="I29" i="11"/>
  <c r="H29" i="11"/>
  <c r="F29" i="11"/>
  <c r="E29" i="11"/>
  <c r="D29" i="11"/>
  <c r="Y5" i="10" s="1"/>
  <c r="AJ28" i="11"/>
  <c r="AI28" i="11"/>
  <c r="AD28" i="11"/>
  <c r="AC28" i="11"/>
  <c r="AB28" i="11"/>
  <c r="AA28" i="11"/>
  <c r="L28" i="11"/>
  <c r="J28" i="11"/>
  <c r="I28" i="11"/>
  <c r="H28" i="11"/>
  <c r="F28" i="11"/>
  <c r="E28" i="11"/>
  <c r="D28" i="11"/>
  <c r="X5" i="10" s="1"/>
  <c r="AJ27" i="11"/>
  <c r="AI27" i="11"/>
  <c r="AD27" i="11"/>
  <c r="AC27" i="11"/>
  <c r="AB27" i="11"/>
  <c r="AA27" i="11"/>
  <c r="L27" i="11"/>
  <c r="J27" i="11"/>
  <c r="I27" i="11"/>
  <c r="H27" i="11"/>
  <c r="F27" i="11"/>
  <c r="E27" i="11"/>
  <c r="D27" i="11"/>
  <c r="W5" i="10" s="1"/>
  <c r="AJ26" i="11"/>
  <c r="AI26" i="11"/>
  <c r="AD26" i="11"/>
  <c r="AC26" i="11"/>
  <c r="AB26" i="11"/>
  <c r="AA26" i="11"/>
  <c r="L26" i="11"/>
  <c r="J26" i="11"/>
  <c r="I26" i="11"/>
  <c r="H26" i="11"/>
  <c r="F26" i="11"/>
  <c r="E26" i="11"/>
  <c r="D26" i="11"/>
  <c r="V5" i="10" s="1"/>
  <c r="AJ25" i="11"/>
  <c r="AI25" i="11"/>
  <c r="AD25" i="11"/>
  <c r="AC25" i="11"/>
  <c r="AB25" i="11"/>
  <c r="AA25" i="11"/>
  <c r="L25" i="11"/>
  <c r="J25" i="11"/>
  <c r="I25" i="11"/>
  <c r="H25" i="11"/>
  <c r="F25" i="11"/>
  <c r="E25" i="11"/>
  <c r="D25" i="11"/>
  <c r="U5" i="10" s="1"/>
  <c r="AJ24" i="11"/>
  <c r="AI24" i="11"/>
  <c r="AD24" i="11"/>
  <c r="AC24" i="11"/>
  <c r="AB24" i="11"/>
  <c r="AA24" i="11"/>
  <c r="L24" i="11"/>
  <c r="J24" i="11"/>
  <c r="I24" i="11"/>
  <c r="H24" i="11"/>
  <c r="F24" i="11"/>
  <c r="E24" i="11"/>
  <c r="D24" i="11"/>
  <c r="T5" i="10" s="1"/>
  <c r="AJ23" i="11"/>
  <c r="AI23" i="11"/>
  <c r="AD23" i="11"/>
  <c r="AC23" i="11"/>
  <c r="AB23" i="11"/>
  <c r="AA23" i="11"/>
  <c r="L23" i="11"/>
  <c r="J23" i="11"/>
  <c r="I23" i="11"/>
  <c r="H23" i="11"/>
  <c r="F23" i="11"/>
  <c r="E23" i="11"/>
  <c r="D23" i="11"/>
  <c r="S5" i="10" s="1"/>
  <c r="AJ22" i="11"/>
  <c r="AI22" i="11"/>
  <c r="AD22" i="11"/>
  <c r="AC22" i="11"/>
  <c r="AB22" i="11"/>
  <c r="AA22" i="11"/>
  <c r="L22" i="11"/>
  <c r="J22" i="11"/>
  <c r="I22" i="11"/>
  <c r="H22" i="11"/>
  <c r="F22" i="11"/>
  <c r="E22" i="11"/>
  <c r="D22" i="11"/>
  <c r="R5" i="10" s="1"/>
  <c r="AJ21" i="11"/>
  <c r="AI21" i="11"/>
  <c r="AD21" i="11"/>
  <c r="AC21" i="11"/>
  <c r="AB21" i="11"/>
  <c r="AA21" i="11"/>
  <c r="L21" i="11"/>
  <c r="J21" i="11"/>
  <c r="I21" i="11"/>
  <c r="H21" i="11"/>
  <c r="F21" i="11"/>
  <c r="E21" i="11"/>
  <c r="D21" i="11"/>
  <c r="Q5" i="10" s="1"/>
  <c r="AJ20" i="11"/>
  <c r="AI20" i="11"/>
  <c r="AD20" i="11"/>
  <c r="AC20" i="11"/>
  <c r="AB20" i="11"/>
  <c r="AA20" i="11"/>
  <c r="L20" i="11"/>
  <c r="J20" i="11"/>
  <c r="I20" i="11"/>
  <c r="H20" i="11"/>
  <c r="F20" i="11"/>
  <c r="E20" i="11"/>
  <c r="D20" i="11"/>
  <c r="P5" i="10" s="1"/>
  <c r="AJ19" i="11"/>
  <c r="AI19" i="11"/>
  <c r="AD19" i="11"/>
  <c r="AC19" i="11"/>
  <c r="AB19" i="11"/>
  <c r="AA19" i="11"/>
  <c r="L19" i="11"/>
  <c r="J19" i="11"/>
  <c r="I19" i="11"/>
  <c r="H19" i="11"/>
  <c r="G19" i="11"/>
  <c r="F19" i="11"/>
  <c r="E19" i="11"/>
  <c r="D19" i="11"/>
  <c r="O5" i="10" s="1"/>
  <c r="AJ18" i="11"/>
  <c r="AI18" i="11"/>
  <c r="AD18" i="11"/>
  <c r="AC18" i="11"/>
  <c r="AB18" i="11"/>
  <c r="AA18" i="11"/>
  <c r="L18" i="11"/>
  <c r="J18" i="11"/>
  <c r="I18" i="11"/>
  <c r="H18" i="11"/>
  <c r="G18" i="11"/>
  <c r="F18" i="11"/>
  <c r="E18" i="11"/>
  <c r="D18" i="11"/>
  <c r="N5" i="10" s="1"/>
  <c r="AJ17" i="11"/>
  <c r="AI17" i="11"/>
  <c r="AD17" i="11"/>
  <c r="AC17" i="11"/>
  <c r="AB17" i="11"/>
  <c r="AA17" i="11"/>
  <c r="L17" i="11"/>
  <c r="J17" i="11"/>
  <c r="I17" i="11"/>
  <c r="H17" i="11"/>
  <c r="G17" i="11"/>
  <c r="F17" i="11"/>
  <c r="E17" i="11"/>
  <c r="D17" i="11"/>
  <c r="M5" i="10" s="1"/>
  <c r="AJ16" i="11"/>
  <c r="AI16" i="11"/>
  <c r="AD16" i="11"/>
  <c r="AC16" i="11"/>
  <c r="AB16" i="11"/>
  <c r="AA16" i="11"/>
  <c r="L16" i="11"/>
  <c r="J16" i="11"/>
  <c r="I16" i="11"/>
  <c r="H16" i="11"/>
  <c r="G16" i="11"/>
  <c r="F16" i="11"/>
  <c r="E16" i="11"/>
  <c r="D16" i="11"/>
  <c r="L5" i="10" s="1"/>
  <c r="AJ15" i="11"/>
  <c r="AI15" i="11"/>
  <c r="AD15" i="11"/>
  <c r="AC15" i="11"/>
  <c r="AB15" i="11"/>
  <c r="AA15" i="11"/>
  <c r="L15" i="11"/>
  <c r="J15" i="11"/>
  <c r="I15" i="11"/>
  <c r="H15" i="11"/>
  <c r="G15" i="11"/>
  <c r="F15" i="11"/>
  <c r="E15" i="11"/>
  <c r="D15" i="11"/>
  <c r="K5" i="10" s="1"/>
  <c r="AJ14" i="11"/>
  <c r="AI14" i="11"/>
  <c r="AD14" i="11"/>
  <c r="AC14" i="11"/>
  <c r="AB14" i="11"/>
  <c r="AA14" i="11"/>
  <c r="L14" i="11"/>
  <c r="J14" i="11"/>
  <c r="I14" i="11"/>
  <c r="H14" i="11"/>
  <c r="G14" i="11"/>
  <c r="F14" i="11"/>
  <c r="E14" i="11"/>
  <c r="D14" i="11"/>
  <c r="J5" i="10" s="1"/>
  <c r="AJ13" i="11"/>
  <c r="AI13" i="11"/>
  <c r="AD13" i="11"/>
  <c r="AC13" i="11"/>
  <c r="AB13" i="11"/>
  <c r="AA13" i="11"/>
  <c r="L13" i="11"/>
  <c r="J13" i="11"/>
  <c r="I13" i="11"/>
  <c r="H13" i="11"/>
  <c r="G13" i="11"/>
  <c r="F13" i="11"/>
  <c r="E13" i="11"/>
  <c r="D13" i="11"/>
  <c r="I5" i="10" s="1"/>
  <c r="AJ12" i="11"/>
  <c r="AI12" i="11"/>
  <c r="AD12" i="11"/>
  <c r="AC12" i="11"/>
  <c r="AB12" i="11"/>
  <c r="AA12" i="11"/>
  <c r="L12" i="11"/>
  <c r="J12" i="11"/>
  <c r="I12" i="11"/>
  <c r="H12" i="11"/>
  <c r="G12" i="11"/>
  <c r="F12" i="11"/>
  <c r="E12" i="11"/>
  <c r="D12" i="11"/>
  <c r="H5" i="10" s="1"/>
  <c r="AJ11" i="11"/>
  <c r="AI11" i="11"/>
  <c r="AD11" i="11"/>
  <c r="AC11" i="11"/>
  <c r="AB11" i="11"/>
  <c r="AA11" i="11"/>
  <c r="L11" i="11"/>
  <c r="J11" i="11"/>
  <c r="I11" i="11"/>
  <c r="H11" i="11"/>
  <c r="G11" i="11"/>
  <c r="F11" i="11"/>
  <c r="E11" i="11"/>
  <c r="D11" i="11"/>
  <c r="G5" i="10" s="1"/>
  <c r="AJ10" i="11"/>
  <c r="AI10" i="11"/>
  <c r="AD10" i="11"/>
  <c r="AC10" i="11"/>
  <c r="AB10" i="11"/>
  <c r="AA10" i="11"/>
  <c r="L10" i="11"/>
  <c r="J10" i="11"/>
  <c r="I10" i="11"/>
  <c r="H10" i="11"/>
  <c r="G10" i="11"/>
  <c r="F10" i="11"/>
  <c r="E10" i="11"/>
  <c r="D10" i="11"/>
  <c r="F5" i="10" s="1"/>
  <c r="AJ9" i="11"/>
  <c r="AI9" i="11"/>
  <c r="AD9" i="11"/>
  <c r="AC9" i="11"/>
  <c r="AB9" i="11"/>
  <c r="AA9" i="11"/>
  <c r="L9" i="11"/>
  <c r="J9" i="11"/>
  <c r="I9" i="11"/>
  <c r="H9" i="11"/>
  <c r="G9" i="11"/>
  <c r="F9" i="11"/>
  <c r="E9" i="11"/>
  <c r="D9" i="11"/>
  <c r="E5" i="10" s="1"/>
  <c r="AJ8" i="11"/>
  <c r="B19" i="13" s="1"/>
  <c r="B24" i="5" s="1"/>
  <c r="AI8" i="11"/>
  <c r="B18" i="13" s="1"/>
  <c r="B23" i="5" s="1"/>
  <c r="AD8" i="11"/>
  <c r="B16" i="13" s="1"/>
  <c r="AC8" i="11"/>
  <c r="B15" i="13" s="1"/>
  <c r="B20" i="5" s="1"/>
  <c r="AB8" i="11"/>
  <c r="B14" i="13" s="1"/>
  <c r="B19" i="5" s="1"/>
  <c r="AA8" i="11"/>
  <c r="B13" i="13" s="1"/>
  <c r="L8" i="11"/>
  <c r="J8" i="11"/>
  <c r="I8" i="11"/>
  <c r="H8" i="11"/>
  <c r="G8" i="11"/>
  <c r="F8" i="11"/>
  <c r="E8" i="11"/>
  <c r="D8" i="11"/>
  <c r="D5" i="10" s="1"/>
  <c r="W28" i="10"/>
  <c r="V28" i="10"/>
  <c r="U28" i="10"/>
  <c r="T28" i="10"/>
  <c r="S28" i="10"/>
  <c r="R28" i="10"/>
  <c r="Q28" i="10"/>
  <c r="P28" i="10"/>
  <c r="O28" i="10"/>
  <c r="N28" i="10"/>
  <c r="M28" i="10"/>
  <c r="L28" i="10"/>
  <c r="K28" i="10"/>
  <c r="J28" i="10"/>
  <c r="I28" i="10"/>
  <c r="H28" i="10"/>
  <c r="G28" i="10"/>
  <c r="F28" i="10"/>
  <c r="E28" i="10"/>
  <c r="D28" i="10"/>
  <c r="W27" i="10"/>
  <c r="V27" i="10"/>
  <c r="U27" i="10"/>
  <c r="T27" i="10"/>
  <c r="S27" i="10"/>
  <c r="R27" i="10"/>
  <c r="Q27" i="10"/>
  <c r="P27" i="10"/>
  <c r="O27" i="10"/>
  <c r="N27" i="10"/>
  <c r="M27" i="10"/>
  <c r="L27" i="10"/>
  <c r="K27" i="10"/>
  <c r="J27" i="10"/>
  <c r="I27" i="10"/>
  <c r="H27" i="10"/>
  <c r="G27" i="10"/>
  <c r="F27" i="10"/>
  <c r="E27" i="10"/>
  <c r="D27" i="10"/>
  <c r="W23" i="10"/>
  <c r="V23" i="10"/>
  <c r="U23" i="10"/>
  <c r="T23" i="10"/>
  <c r="S23" i="10"/>
  <c r="R23" i="10"/>
  <c r="Q23" i="10"/>
  <c r="P23" i="10"/>
  <c r="O23" i="10"/>
  <c r="N23" i="10"/>
  <c r="M23" i="10"/>
  <c r="L23" i="10"/>
  <c r="K23" i="10"/>
  <c r="J23" i="10"/>
  <c r="I23" i="10"/>
  <c r="H23" i="10"/>
  <c r="G23" i="10"/>
  <c r="F23" i="10"/>
  <c r="E23" i="10"/>
  <c r="D23" i="10"/>
  <c r="W22" i="10"/>
  <c r="V22" i="10"/>
  <c r="U22" i="10"/>
  <c r="T22" i="10"/>
  <c r="S22" i="10"/>
  <c r="R22" i="10"/>
  <c r="Q22" i="10"/>
  <c r="P22" i="10"/>
  <c r="O22" i="10"/>
  <c r="N22" i="10"/>
  <c r="M22" i="10"/>
  <c r="L22" i="10"/>
  <c r="K22" i="10"/>
  <c r="J22" i="10"/>
  <c r="I22" i="10"/>
  <c r="H22" i="10"/>
  <c r="G22" i="10"/>
  <c r="F22" i="10"/>
  <c r="E22" i="10"/>
  <c r="D22" i="10"/>
  <c r="BK21" i="10"/>
  <c r="W21" i="10"/>
  <c r="V21" i="10"/>
  <c r="U21" i="10"/>
  <c r="T21" i="10"/>
  <c r="S21" i="10"/>
  <c r="R21" i="10"/>
  <c r="Q21" i="10"/>
  <c r="P21" i="10"/>
  <c r="O21" i="10"/>
  <c r="N21" i="10"/>
  <c r="M21" i="10"/>
  <c r="L21" i="10"/>
  <c r="K21" i="10"/>
  <c r="J21" i="10"/>
  <c r="I21" i="10"/>
  <c r="H21" i="10"/>
  <c r="G21" i="10"/>
  <c r="F21" i="10"/>
  <c r="E21" i="10"/>
  <c r="D21" i="10"/>
  <c r="BK20" i="10"/>
  <c r="BJ20" i="10"/>
  <c r="W20" i="10"/>
  <c r="V20" i="10"/>
  <c r="U20" i="10"/>
  <c r="T20" i="10"/>
  <c r="S20" i="10"/>
  <c r="R20" i="10"/>
  <c r="Q20" i="10"/>
  <c r="P20" i="10"/>
  <c r="O20" i="10"/>
  <c r="N20" i="10"/>
  <c r="M20" i="10"/>
  <c r="L20" i="10"/>
  <c r="K20" i="10"/>
  <c r="J20" i="10"/>
  <c r="I20" i="10"/>
  <c r="H20" i="10"/>
  <c r="G20" i="10"/>
  <c r="F20" i="10"/>
  <c r="E20" i="10"/>
  <c r="D20" i="10"/>
  <c r="BJ5" i="10"/>
  <c r="D20" i="9"/>
  <c r="C20" i="9"/>
  <c r="I18" i="9"/>
  <c r="I17" i="9"/>
  <c r="I16" i="9"/>
  <c r="I15" i="9"/>
  <c r="I14" i="9"/>
  <c r="I13" i="9"/>
  <c r="I12" i="9"/>
  <c r="I11" i="9"/>
  <c r="I10" i="9"/>
  <c r="I9" i="9"/>
  <c r="I8" i="9"/>
  <c r="I7" i="9"/>
  <c r="D24" i="8"/>
  <c r="D7" i="8"/>
  <c r="D17" i="8" s="1"/>
  <c r="E14" i="6"/>
  <c r="C56" i="7" s="1"/>
  <c r="B23" i="18" s="1"/>
  <c r="E13" i="6"/>
  <c r="C55" i="7" s="1"/>
  <c r="B22" i="18" s="1"/>
  <c r="E12" i="6"/>
  <c r="C46" i="7" s="1"/>
  <c r="B21" i="18" s="1"/>
  <c r="E11" i="6"/>
  <c r="C45" i="7" s="1"/>
  <c r="B20" i="18" s="1"/>
  <c r="C20" i="18" s="1"/>
  <c r="E10" i="6"/>
  <c r="C27" i="7" s="1"/>
  <c r="E9" i="6"/>
  <c r="C24" i="7" s="1"/>
  <c r="E8" i="6"/>
  <c r="C19" i="7" s="1"/>
  <c r="F10" i="1"/>
  <c r="AQ50" i="11" l="1"/>
  <c r="AT41" i="10" s="1"/>
  <c r="AQ49" i="11"/>
  <c r="AS41" i="10" s="1"/>
  <c r="AQ46" i="11"/>
  <c r="AP41" i="10" s="1"/>
  <c r="AQ44" i="11"/>
  <c r="AQ42" i="11"/>
  <c r="AL41" i="10" s="1"/>
  <c r="AQ40" i="11"/>
  <c r="AJ41" i="10" s="1"/>
  <c r="AQ38" i="11"/>
  <c r="AH41" i="10" s="1"/>
  <c r="AQ36" i="11"/>
  <c r="AF41" i="10" s="1"/>
  <c r="AQ51" i="11"/>
  <c r="AU41" i="10" s="1"/>
  <c r="AQ48" i="11"/>
  <c r="AR41" i="10" s="1"/>
  <c r="AQ47" i="11"/>
  <c r="AQ41" i="10" s="1"/>
  <c r="AQ45" i="11"/>
  <c r="AO41" i="10" s="1"/>
  <c r="AQ43" i="11"/>
  <c r="AM41" i="10" s="1"/>
  <c r="AQ41" i="11"/>
  <c r="AK41" i="10" s="1"/>
  <c r="AQ39" i="11"/>
  <c r="AI41" i="10" s="1"/>
  <c r="AQ37" i="11"/>
  <c r="AG41" i="10" s="1"/>
  <c r="AQ35" i="11"/>
  <c r="AE41" i="10" s="1"/>
  <c r="AQ52" i="11"/>
  <c r="AV41" i="10" s="1"/>
  <c r="AQ53" i="11"/>
  <c r="AW41" i="10" s="1"/>
  <c r="B44" i="18"/>
  <c r="AQ34" i="11"/>
  <c r="AD41" i="10" s="1"/>
  <c r="AQ33" i="11"/>
  <c r="AC41" i="10" s="1"/>
  <c r="AQ32" i="11"/>
  <c r="AQ31" i="11"/>
  <c r="AA41" i="10" s="1"/>
  <c r="AQ30" i="11"/>
  <c r="Z41" i="10" s="1"/>
  <c r="AQ29" i="11"/>
  <c r="Y41" i="10" s="1"/>
  <c r="AQ28" i="11"/>
  <c r="AQ27" i="11"/>
  <c r="W41" i="10" s="1"/>
  <c r="AQ26" i="11"/>
  <c r="V41" i="10" s="1"/>
  <c r="AQ25" i="11"/>
  <c r="U41" i="10" s="1"/>
  <c r="AQ24" i="11"/>
  <c r="T41" i="10" s="1"/>
  <c r="AQ23" i="11"/>
  <c r="S41" i="10" s="1"/>
  <c r="AQ22" i="11"/>
  <c r="R41" i="10" s="1"/>
  <c r="AQ21" i="11"/>
  <c r="Q41" i="10" s="1"/>
  <c r="AQ20" i="11"/>
  <c r="P41" i="10" s="1"/>
  <c r="AQ19" i="11"/>
  <c r="O41" i="10" s="1"/>
  <c r="AQ18" i="11"/>
  <c r="N41" i="10" s="1"/>
  <c r="AQ17" i="11"/>
  <c r="M41" i="10" s="1"/>
  <c r="AQ16" i="11"/>
  <c r="L41" i="10" s="1"/>
  <c r="AQ15" i="11"/>
  <c r="K41" i="10" s="1"/>
  <c r="AQ14" i="11"/>
  <c r="J41" i="10" s="1"/>
  <c r="AQ13" i="11"/>
  <c r="I41" i="10" s="1"/>
  <c r="AQ12" i="11"/>
  <c r="H41" i="10" s="1"/>
  <c r="AQ11" i="11"/>
  <c r="G41" i="10" s="1"/>
  <c r="AQ10" i="11"/>
  <c r="F41" i="10" s="1"/>
  <c r="AQ9" i="11"/>
  <c r="E41" i="10" s="1"/>
  <c r="AQ8" i="11"/>
  <c r="G9" i="15"/>
  <c r="E9" i="15"/>
  <c r="D9" i="15"/>
  <c r="C9" i="15"/>
  <c r="B9" i="15"/>
  <c r="B11" i="15" s="1"/>
  <c r="F9" i="15"/>
  <c r="AQ67" i="11"/>
  <c r="BK41" i="10" s="1"/>
  <c r="AQ66" i="11"/>
  <c r="BJ41" i="10" s="1"/>
  <c r="AQ65" i="11"/>
  <c r="BI41" i="10" s="1"/>
  <c r="AQ64" i="11"/>
  <c r="BH41" i="10" s="1"/>
  <c r="AQ63" i="11"/>
  <c r="BG41" i="10" s="1"/>
  <c r="AQ62" i="11"/>
  <c r="BF41" i="10" s="1"/>
  <c r="AQ61" i="11"/>
  <c r="BE41" i="10" s="1"/>
  <c r="AQ60" i="11"/>
  <c r="BD41" i="10" s="1"/>
  <c r="AQ59" i="11"/>
  <c r="BC41" i="10" s="1"/>
  <c r="AQ58" i="11"/>
  <c r="BB41" i="10" s="1"/>
  <c r="AQ57" i="11"/>
  <c r="BA41" i="10" s="1"/>
  <c r="AQ56" i="11"/>
  <c r="AQ55" i="11"/>
  <c r="AY41" i="10" s="1"/>
  <c r="AQ54" i="11"/>
  <c r="AX41" i="10" s="1"/>
  <c r="B21" i="5"/>
  <c r="B18" i="5"/>
  <c r="BI20" i="10"/>
  <c r="BH20" i="10"/>
  <c r="BG20" i="10"/>
  <c r="BF20" i="10"/>
  <c r="BE20" i="10"/>
  <c r="BD20" i="10"/>
  <c r="BC20" i="10"/>
  <c r="BB20" i="10"/>
  <c r="BA20" i="10"/>
  <c r="AZ28" i="10"/>
  <c r="F19" i="13"/>
  <c r="F24" i="5" s="1"/>
  <c r="AZ27" i="10"/>
  <c r="F18" i="13"/>
  <c r="F23" i="5" s="1"/>
  <c r="AZ23" i="10"/>
  <c r="F16" i="13"/>
  <c r="AZ22" i="10"/>
  <c r="F15" i="13"/>
  <c r="F20" i="5" s="1"/>
  <c r="F14" i="13"/>
  <c r="F19" i="5" s="1"/>
  <c r="AZ21" i="10"/>
  <c r="AZ20" i="10"/>
  <c r="F13" i="13"/>
  <c r="AY20" i="10"/>
  <c r="AX20" i="10"/>
  <c r="AW20" i="10"/>
  <c r="AV20" i="10"/>
  <c r="AU20" i="10"/>
  <c r="AT20" i="10"/>
  <c r="AS20" i="10"/>
  <c r="AR20" i="10"/>
  <c r="AQ20" i="10"/>
  <c r="AP20" i="10"/>
  <c r="AO20" i="10"/>
  <c r="E13" i="14"/>
  <c r="E25" i="13"/>
  <c r="AN41" i="10"/>
  <c r="AN28" i="10"/>
  <c r="E19" i="13"/>
  <c r="E24" i="5" s="1"/>
  <c r="AN27" i="10"/>
  <c r="E18" i="13"/>
  <c r="E23" i="5" s="1"/>
  <c r="AN23" i="10"/>
  <c r="E16" i="13"/>
  <c r="AN22" i="10"/>
  <c r="E15" i="13"/>
  <c r="E20" i="5" s="1"/>
  <c r="AN21" i="10"/>
  <c r="E14" i="13"/>
  <c r="E19" i="5" s="1"/>
  <c r="E13" i="13"/>
  <c r="AN20" i="10"/>
  <c r="AM20" i="10"/>
  <c r="AL20" i="10"/>
  <c r="AK20" i="10"/>
  <c r="AJ20" i="10"/>
  <c r="AI20" i="10"/>
  <c r="AH20" i="10"/>
  <c r="AG20" i="10"/>
  <c r="AE20" i="10"/>
  <c r="AD20" i="10"/>
  <c r="AC20" i="10"/>
  <c r="D13" i="14"/>
  <c r="D25" i="13"/>
  <c r="AB41" i="10"/>
  <c r="D19" i="13"/>
  <c r="D24" i="5" s="1"/>
  <c r="AB28" i="10"/>
  <c r="AB27" i="10"/>
  <c r="D18" i="13"/>
  <c r="D23" i="5" s="1"/>
  <c r="AB23" i="10"/>
  <c r="D16" i="13"/>
  <c r="AB22" i="10"/>
  <c r="D15" i="13"/>
  <c r="D20" i="5" s="1"/>
  <c r="AB21" i="10"/>
  <c r="D14" i="13"/>
  <c r="D19" i="5" s="1"/>
  <c r="AB20" i="10"/>
  <c r="D13" i="13"/>
  <c r="AA20" i="10"/>
  <c r="Z20" i="10"/>
  <c r="Y20" i="10"/>
  <c r="C13" i="14"/>
  <c r="C25" i="13"/>
  <c r="X41" i="10"/>
  <c r="C19" i="13"/>
  <c r="C24" i="5" s="1"/>
  <c r="X28" i="10"/>
  <c r="C18" i="13"/>
  <c r="C23" i="5" s="1"/>
  <c r="X27" i="10"/>
  <c r="C16" i="13"/>
  <c r="X23" i="10"/>
  <c r="C15" i="13"/>
  <c r="C20" i="5" s="1"/>
  <c r="X22" i="10"/>
  <c r="X21" i="10"/>
  <c r="C14" i="13"/>
  <c r="C19" i="5" s="1"/>
  <c r="X20" i="10"/>
  <c r="C13" i="13"/>
  <c r="AF19" i="11"/>
  <c r="O25" i="10" s="1"/>
  <c r="AG19" i="11"/>
  <c r="O26" i="10" s="1"/>
  <c r="AE19" i="11"/>
  <c r="AE18" i="11"/>
  <c r="AF18" i="11"/>
  <c r="N25" i="10" s="1"/>
  <c r="AG18" i="11"/>
  <c r="N26" i="10" s="1"/>
  <c r="AG17" i="11"/>
  <c r="M26" i="10" s="1"/>
  <c r="AF17" i="11"/>
  <c r="M25" i="10" s="1"/>
  <c r="AE17" i="11"/>
  <c r="AG16" i="11"/>
  <c r="L26" i="10" s="1"/>
  <c r="AF16" i="11"/>
  <c r="L25" i="10" s="1"/>
  <c r="AE16" i="11"/>
  <c r="AE15" i="11"/>
  <c r="AF15" i="11"/>
  <c r="K25" i="10" s="1"/>
  <c r="AG15" i="11"/>
  <c r="K26" i="10" s="1"/>
  <c r="AG14" i="11"/>
  <c r="J26" i="10" s="1"/>
  <c r="AF14" i="11"/>
  <c r="J25" i="10" s="1"/>
  <c r="AE14" i="11"/>
  <c r="AG13" i="11"/>
  <c r="I26" i="10" s="1"/>
  <c r="AF13" i="11"/>
  <c r="I25" i="10" s="1"/>
  <c r="AE13" i="11"/>
  <c r="AE12" i="11"/>
  <c r="AF12" i="11"/>
  <c r="H25" i="10" s="1"/>
  <c r="AG12" i="11"/>
  <c r="H26" i="10" s="1"/>
  <c r="AE11" i="11"/>
  <c r="AG11" i="11"/>
  <c r="G26" i="10" s="1"/>
  <c r="AF11" i="11"/>
  <c r="G25" i="10" s="1"/>
  <c r="AE10" i="11"/>
  <c r="AG10" i="11"/>
  <c r="F26" i="10" s="1"/>
  <c r="AF10" i="11"/>
  <c r="F25" i="10" s="1"/>
  <c r="AG9" i="11"/>
  <c r="E26" i="10" s="1"/>
  <c r="AE9" i="11"/>
  <c r="AF9" i="11"/>
  <c r="E25" i="10" s="1"/>
  <c r="AG8" i="11"/>
  <c r="D26" i="10" s="1"/>
  <c r="AF8" i="11"/>
  <c r="D25" i="10" s="1"/>
  <c r="AE8" i="11"/>
  <c r="D19" i="8"/>
  <c r="B45" i="18"/>
  <c r="B20" i="15" s="1"/>
  <c r="C21" i="18"/>
  <c r="G29" i="11"/>
  <c r="G30" i="11"/>
  <c r="G20" i="11"/>
  <c r="G21" i="11"/>
  <c r="G22" i="11"/>
  <c r="G23" i="11"/>
  <c r="G24" i="11"/>
  <c r="G25" i="11"/>
  <c r="G26" i="11"/>
  <c r="G27" i="11"/>
  <c r="G28" i="11"/>
  <c r="G31" i="11"/>
  <c r="O8" i="11"/>
  <c r="O9" i="11"/>
  <c r="O10" i="11"/>
  <c r="O11" i="11"/>
  <c r="O12" i="11"/>
  <c r="O13" i="11"/>
  <c r="O14" i="11"/>
  <c r="O15" i="11"/>
  <c r="O16" i="11"/>
  <c r="O17" i="11"/>
  <c r="O18" i="11"/>
  <c r="O19" i="11"/>
  <c r="Q8" i="11"/>
  <c r="Q9" i="11"/>
  <c r="Q10" i="11"/>
  <c r="Q11" i="11"/>
  <c r="Q12" i="11"/>
  <c r="Q13" i="11"/>
  <c r="Q14" i="11"/>
  <c r="Q15" i="11"/>
  <c r="Q16" i="11"/>
  <c r="Q17" i="11"/>
  <c r="Q18" i="11"/>
  <c r="Q19" i="11"/>
  <c r="K8" i="11"/>
  <c r="M8" i="11" s="1"/>
  <c r="K9" i="11"/>
  <c r="M9" i="11" s="1"/>
  <c r="K10" i="11"/>
  <c r="M10" i="11" s="1"/>
  <c r="K11" i="11"/>
  <c r="M11" i="11" s="1"/>
  <c r="K12" i="11"/>
  <c r="M12" i="11" s="1"/>
  <c r="K13" i="11"/>
  <c r="M13" i="11" s="1"/>
  <c r="K14" i="11"/>
  <c r="M14" i="11" s="1"/>
  <c r="K15" i="11"/>
  <c r="M15" i="11" s="1"/>
  <c r="K16" i="11"/>
  <c r="M16" i="11" s="1"/>
  <c r="K17" i="11"/>
  <c r="M17" i="11" s="1"/>
  <c r="K18" i="11"/>
  <c r="M18" i="11" s="1"/>
  <c r="K19" i="11"/>
  <c r="M19" i="11" s="1"/>
  <c r="B15" i="17"/>
  <c r="F13" i="14" l="1"/>
  <c r="AZ41" i="10"/>
  <c r="F25" i="13"/>
  <c r="F18" i="19" s="1"/>
  <c r="F22" i="19" s="1"/>
  <c r="O29" i="11"/>
  <c r="P29" i="11" s="1"/>
  <c r="Q29" i="11"/>
  <c r="K29" i="11"/>
  <c r="M29" i="11" s="1"/>
  <c r="O30" i="11"/>
  <c r="P30" i="11" s="1"/>
  <c r="Q30" i="11"/>
  <c r="K30" i="11"/>
  <c r="M30" i="11" s="1"/>
  <c r="K20" i="11"/>
  <c r="M20" i="11" s="1"/>
  <c r="O20" i="11"/>
  <c r="P20" i="11" s="1"/>
  <c r="Q20" i="11"/>
  <c r="K21" i="11"/>
  <c r="M21" i="11" s="1"/>
  <c r="O21" i="11"/>
  <c r="P21" i="11" s="1"/>
  <c r="Q21" i="11"/>
  <c r="K22" i="11"/>
  <c r="M22" i="11" s="1"/>
  <c r="O22" i="11"/>
  <c r="P22" i="11" s="1"/>
  <c r="Q22" i="11"/>
  <c r="K23" i="11"/>
  <c r="M23" i="11" s="1"/>
  <c r="O23" i="11"/>
  <c r="P23" i="11" s="1"/>
  <c r="Q23" i="11"/>
  <c r="K24" i="11"/>
  <c r="M24" i="11" s="1"/>
  <c r="O24" i="11"/>
  <c r="P24" i="11" s="1"/>
  <c r="Q24" i="11"/>
  <c r="K25" i="11"/>
  <c r="M25" i="11" s="1"/>
  <c r="O25" i="11"/>
  <c r="P25" i="11" s="1"/>
  <c r="Q25" i="11"/>
  <c r="K26" i="11"/>
  <c r="M26" i="11" s="1"/>
  <c r="O26" i="11"/>
  <c r="P26" i="11" s="1"/>
  <c r="Q26" i="11"/>
  <c r="K27" i="11"/>
  <c r="M27" i="11" s="1"/>
  <c r="O27" i="11"/>
  <c r="P27" i="11" s="1"/>
  <c r="Q27" i="11"/>
  <c r="K28" i="11"/>
  <c r="M28" i="11" s="1"/>
  <c r="O28" i="11"/>
  <c r="P28" i="11" s="1"/>
  <c r="Q28" i="11"/>
  <c r="K31" i="11"/>
  <c r="M31" i="11" s="1"/>
  <c r="O31" i="11"/>
  <c r="P31" i="11" s="1"/>
  <c r="Q31" i="11"/>
  <c r="B25" i="13"/>
  <c r="B13" i="14"/>
  <c r="D41" i="10"/>
  <c r="F21" i="5"/>
  <c r="F18" i="5"/>
  <c r="E18" i="19"/>
  <c r="E22" i="19" s="1"/>
  <c r="E21" i="5"/>
  <c r="E18" i="5"/>
  <c r="D18" i="19"/>
  <c r="D22" i="19" s="1"/>
  <c r="D21" i="5"/>
  <c r="D18" i="5"/>
  <c r="C18" i="19"/>
  <c r="C22" i="19" s="1"/>
  <c r="C21" i="5"/>
  <c r="C18" i="5"/>
  <c r="AH19" i="11"/>
  <c r="AK19" i="11" s="1"/>
  <c r="O24" i="10"/>
  <c r="AH18" i="11"/>
  <c r="AK18" i="11" s="1"/>
  <c r="N24" i="10"/>
  <c r="AH17" i="11"/>
  <c r="AK17" i="11" s="1"/>
  <c r="M24" i="10"/>
  <c r="AH16" i="11"/>
  <c r="AK16" i="11" s="1"/>
  <c r="L24" i="10"/>
  <c r="AH15" i="11"/>
  <c r="AK15" i="11" s="1"/>
  <c r="K24" i="10"/>
  <c r="AH14" i="11"/>
  <c r="AK14" i="11" s="1"/>
  <c r="J24" i="10"/>
  <c r="AH13" i="11"/>
  <c r="AK13" i="11" s="1"/>
  <c r="I24" i="10"/>
  <c r="AH12" i="11"/>
  <c r="AK12" i="11" s="1"/>
  <c r="H24" i="10"/>
  <c r="AH11" i="11"/>
  <c r="AK11" i="11" s="1"/>
  <c r="G24" i="10"/>
  <c r="AH10" i="11"/>
  <c r="AK10" i="11" s="1"/>
  <c r="F24" i="10"/>
  <c r="AH9" i="11"/>
  <c r="AK9" i="11" s="1"/>
  <c r="E24" i="10"/>
  <c r="AH8" i="11"/>
  <c r="D24" i="10"/>
  <c r="B21" i="15"/>
  <c r="C22" i="18"/>
  <c r="G32" i="11"/>
  <c r="G38" i="11"/>
  <c r="G39" i="11"/>
  <c r="G41" i="11"/>
  <c r="G33" i="11"/>
  <c r="G34" i="11"/>
  <c r="G35" i="11"/>
  <c r="G36" i="11"/>
  <c r="G37" i="11"/>
  <c r="G40" i="11"/>
  <c r="G42" i="11"/>
  <c r="G43" i="11"/>
  <c r="AF29" i="11"/>
  <c r="Y25" i="10" s="1"/>
  <c r="AE29" i="11"/>
  <c r="AG29" i="11"/>
  <c r="Y26" i="10" s="1"/>
  <c r="AE30" i="11"/>
  <c r="AG30" i="11"/>
  <c r="Z26" i="10" s="1"/>
  <c r="AF30" i="11"/>
  <c r="Z25" i="10" s="1"/>
  <c r="AE20" i="11"/>
  <c r="AF20" i="11"/>
  <c r="P25" i="10" s="1"/>
  <c r="AG20" i="11"/>
  <c r="P26" i="10" s="1"/>
  <c r="AE21" i="11"/>
  <c r="AF21" i="11"/>
  <c r="Q25" i="10" s="1"/>
  <c r="AG21" i="11"/>
  <c r="Q26" i="10" s="1"/>
  <c r="AE22" i="11"/>
  <c r="AF22" i="11"/>
  <c r="R25" i="10" s="1"/>
  <c r="AG22" i="11"/>
  <c r="R26" i="10" s="1"/>
  <c r="AE23" i="11"/>
  <c r="AF23" i="11"/>
  <c r="S25" i="10" s="1"/>
  <c r="AG23" i="11"/>
  <c r="S26" i="10" s="1"/>
  <c r="AE24" i="11"/>
  <c r="AF24" i="11"/>
  <c r="T25" i="10" s="1"/>
  <c r="AG24" i="11"/>
  <c r="T26" i="10" s="1"/>
  <c r="AE25" i="11"/>
  <c r="AF25" i="11"/>
  <c r="U25" i="10" s="1"/>
  <c r="AG25" i="11"/>
  <c r="U26" i="10" s="1"/>
  <c r="AE26" i="11"/>
  <c r="AF26" i="11"/>
  <c r="V25" i="10" s="1"/>
  <c r="AG26" i="11"/>
  <c r="V26" i="10" s="1"/>
  <c r="AE27" i="11"/>
  <c r="AF27" i="11"/>
  <c r="W25" i="10" s="1"/>
  <c r="AG27" i="11"/>
  <c r="W26" i="10" s="1"/>
  <c r="AF28" i="11"/>
  <c r="X25" i="10" s="1"/>
  <c r="AE28" i="11"/>
  <c r="AG28" i="11"/>
  <c r="X26" i="10" s="1"/>
  <c r="AF31" i="11"/>
  <c r="AA25" i="10" s="1"/>
  <c r="AE31" i="11"/>
  <c r="AG31" i="11"/>
  <c r="AA26" i="10" s="1"/>
  <c r="P8" i="11"/>
  <c r="P9" i="11"/>
  <c r="P10" i="11"/>
  <c r="P11" i="11"/>
  <c r="P12" i="11"/>
  <c r="P13" i="11"/>
  <c r="P14" i="11"/>
  <c r="P15" i="11"/>
  <c r="P16" i="11"/>
  <c r="P17" i="11"/>
  <c r="P18" i="11"/>
  <c r="P19" i="11"/>
  <c r="R8" i="11"/>
  <c r="S8" i="11" s="1"/>
  <c r="T8" i="11" s="1"/>
  <c r="U8" i="11" s="1"/>
  <c r="V8" i="11"/>
  <c r="D14" i="10" s="1"/>
  <c r="R9" i="11"/>
  <c r="S9" i="11" s="1"/>
  <c r="T9" i="11" s="1"/>
  <c r="U9" i="11" s="1"/>
  <c r="V9" i="11"/>
  <c r="E14" i="10" s="1"/>
  <c r="R10" i="11"/>
  <c r="S10" i="11" s="1"/>
  <c r="V10" i="11"/>
  <c r="F14" i="10" s="1"/>
  <c r="R11" i="11"/>
  <c r="S11" i="11" s="1"/>
  <c r="V11" i="11"/>
  <c r="G14" i="10" s="1"/>
  <c r="R12" i="11"/>
  <c r="S12" i="11" s="1"/>
  <c r="V12" i="11"/>
  <c r="H14" i="10" s="1"/>
  <c r="R13" i="11"/>
  <c r="S13" i="11" s="1"/>
  <c r="T13" i="11" s="1"/>
  <c r="U13" i="11" s="1"/>
  <c r="V13" i="11"/>
  <c r="I14" i="10" s="1"/>
  <c r="R14" i="11"/>
  <c r="S14" i="11" s="1"/>
  <c r="T14" i="11" s="1"/>
  <c r="U14" i="11" s="1"/>
  <c r="V14" i="11"/>
  <c r="J14" i="10" s="1"/>
  <c r="R15" i="11"/>
  <c r="S15" i="11" s="1"/>
  <c r="V15" i="11"/>
  <c r="K14" i="10" s="1"/>
  <c r="R16" i="11"/>
  <c r="S16" i="11" s="1"/>
  <c r="V16" i="11"/>
  <c r="L14" i="10" s="1"/>
  <c r="R17" i="11"/>
  <c r="S17" i="11" s="1"/>
  <c r="V17" i="11"/>
  <c r="M14" i="10" s="1"/>
  <c r="R18" i="11"/>
  <c r="S18" i="11" s="1"/>
  <c r="T18" i="11" s="1"/>
  <c r="U18" i="11" s="1"/>
  <c r="V18" i="11"/>
  <c r="N14" i="10" s="1"/>
  <c r="R19" i="11"/>
  <c r="S19" i="11" s="1"/>
  <c r="V19" i="11"/>
  <c r="O14" i="10" s="1"/>
  <c r="N8" i="11"/>
  <c r="B6" i="13"/>
  <c r="D8" i="10"/>
  <c r="N9" i="11"/>
  <c r="E8" i="10"/>
  <c r="N10" i="11"/>
  <c r="F8" i="10"/>
  <c r="N11" i="11"/>
  <c r="G8" i="10"/>
  <c r="N12" i="11"/>
  <c r="H8" i="10"/>
  <c r="N13" i="11"/>
  <c r="I8" i="10"/>
  <c r="N14" i="11"/>
  <c r="J8" i="10"/>
  <c r="N15" i="11"/>
  <c r="K8" i="10"/>
  <c r="N16" i="11"/>
  <c r="L8" i="10"/>
  <c r="N17" i="11"/>
  <c r="M8" i="10"/>
  <c r="N18" i="11"/>
  <c r="N8" i="10"/>
  <c r="N19" i="11"/>
  <c r="O8" i="10"/>
  <c r="V29" i="11" l="1"/>
  <c r="Y14" i="10" s="1"/>
  <c r="R29" i="11"/>
  <c r="S29" i="11" s="1"/>
  <c r="T29" i="11" s="1"/>
  <c r="U29" i="11" s="1"/>
  <c r="W29" i="11" s="1"/>
  <c r="R30" i="11"/>
  <c r="V30" i="11"/>
  <c r="Z14" i="10" s="1"/>
  <c r="P8" i="10"/>
  <c r="N20" i="11"/>
  <c r="C6" i="13"/>
  <c r="V20" i="11"/>
  <c r="P14" i="10" s="1"/>
  <c r="R20" i="11"/>
  <c r="S20" i="11" s="1"/>
  <c r="T20" i="11" s="1"/>
  <c r="U20" i="11" s="1"/>
  <c r="W20" i="11" s="1"/>
  <c r="N21" i="11"/>
  <c r="Q13" i="10" s="1"/>
  <c r="Q8" i="10"/>
  <c r="R8" i="10"/>
  <c r="N22" i="11"/>
  <c r="R13" i="10" s="1"/>
  <c r="N23" i="11"/>
  <c r="S13" i="10" s="1"/>
  <c r="S8" i="10"/>
  <c r="N24" i="11"/>
  <c r="T13" i="10" s="1"/>
  <c r="T8" i="10"/>
  <c r="N25" i="11"/>
  <c r="U13" i="10" s="1"/>
  <c r="U8" i="10"/>
  <c r="N26" i="11"/>
  <c r="V13" i="10" s="1"/>
  <c r="V8" i="10"/>
  <c r="N27" i="11"/>
  <c r="W13" i="10" s="1"/>
  <c r="W8" i="10"/>
  <c r="N28" i="11"/>
  <c r="X8" i="10"/>
  <c r="R28" i="11"/>
  <c r="S28" i="11" s="1"/>
  <c r="T28" i="11" s="1"/>
  <c r="U28" i="11" s="1"/>
  <c r="W28" i="11" s="1"/>
  <c r="V28" i="11"/>
  <c r="X14" i="10" s="1"/>
  <c r="N31" i="11"/>
  <c r="AA8" i="10"/>
  <c r="R31" i="11"/>
  <c r="S31" i="11" s="1"/>
  <c r="T31" i="11" s="1"/>
  <c r="U31" i="11" s="1"/>
  <c r="W31" i="11" s="1"/>
  <c r="V31" i="11"/>
  <c r="AA14" i="10" s="1"/>
  <c r="Y8" i="10"/>
  <c r="N29" i="11"/>
  <c r="N30" i="11"/>
  <c r="Z8" i="10"/>
  <c r="R21" i="11"/>
  <c r="V21" i="11"/>
  <c r="R22" i="11"/>
  <c r="S22" i="11" s="1"/>
  <c r="T22" i="11" s="1"/>
  <c r="U22" i="11" s="1"/>
  <c r="W22" i="11" s="1"/>
  <c r="V22" i="11"/>
  <c r="R23" i="11"/>
  <c r="S23" i="11" s="1"/>
  <c r="T23" i="11" s="1"/>
  <c r="U23" i="11" s="1"/>
  <c r="W23" i="11" s="1"/>
  <c r="V23" i="11"/>
  <c r="R24" i="11"/>
  <c r="S24" i="11" s="1"/>
  <c r="T24" i="11" s="1"/>
  <c r="U24" i="11" s="1"/>
  <c r="W24" i="11" s="1"/>
  <c r="V24" i="11"/>
  <c r="R25" i="11"/>
  <c r="V25" i="11"/>
  <c r="R26" i="11"/>
  <c r="V26" i="11"/>
  <c r="R27" i="11"/>
  <c r="V27" i="11"/>
  <c r="B18" i="19"/>
  <c r="B22" i="19" s="1"/>
  <c r="C10" i="15"/>
  <c r="C11" i="15" s="1"/>
  <c r="F10" i="15"/>
  <c r="F11" i="15" s="1"/>
  <c r="E10" i="15"/>
  <c r="E11" i="15" s="1"/>
  <c r="G10" i="15"/>
  <c r="G11" i="15" s="1"/>
  <c r="D10" i="15"/>
  <c r="D11" i="15" s="1"/>
  <c r="O29" i="10"/>
  <c r="D20" i="8"/>
  <c r="D22" i="8" s="1"/>
  <c r="B8" i="17"/>
  <c r="N29" i="10"/>
  <c r="M29" i="10"/>
  <c r="L29" i="10"/>
  <c r="K29" i="10"/>
  <c r="J29" i="10"/>
  <c r="I29" i="10"/>
  <c r="H29" i="10"/>
  <c r="G29" i="10"/>
  <c r="F29" i="10"/>
  <c r="E29" i="10"/>
  <c r="AK8" i="11"/>
  <c r="B17" i="13"/>
  <c r="C23" i="18"/>
  <c r="G44" i="11"/>
  <c r="G45" i="11"/>
  <c r="G46" i="11"/>
  <c r="G47" i="11"/>
  <c r="G48" i="11"/>
  <c r="G49" i="11"/>
  <c r="G50" i="11"/>
  <c r="G52" i="11"/>
  <c r="G54" i="11"/>
  <c r="G51" i="11"/>
  <c r="G53" i="11"/>
  <c r="G55" i="11"/>
  <c r="O32" i="11"/>
  <c r="Q32" i="11"/>
  <c r="K32" i="11"/>
  <c r="M32" i="11" s="1"/>
  <c r="AE32" i="11"/>
  <c r="AF32" i="11"/>
  <c r="AB25" i="10" s="1"/>
  <c r="AG32" i="11"/>
  <c r="AB26" i="10" s="1"/>
  <c r="Q38" i="11"/>
  <c r="O38" i="11"/>
  <c r="K38" i="11"/>
  <c r="M38" i="11" s="1"/>
  <c r="AF38" i="11"/>
  <c r="AH25" i="10" s="1"/>
  <c r="AE38" i="11"/>
  <c r="AG38" i="11"/>
  <c r="AH26" i="10" s="1"/>
  <c r="Q39" i="11"/>
  <c r="O39" i="11"/>
  <c r="K39" i="11"/>
  <c r="M39" i="11" s="1"/>
  <c r="AE39" i="11"/>
  <c r="AG39" i="11"/>
  <c r="AI26" i="10" s="1"/>
  <c r="AF39" i="11"/>
  <c r="AI25" i="10" s="1"/>
  <c r="O41" i="11"/>
  <c r="Q41" i="11"/>
  <c r="K41" i="11"/>
  <c r="M41" i="11" s="1"/>
  <c r="AF41" i="11"/>
  <c r="AK25" i="10" s="1"/>
  <c r="AE41" i="11"/>
  <c r="AG41" i="11"/>
  <c r="AK26" i="10" s="1"/>
  <c r="O33" i="11"/>
  <c r="Q33" i="11"/>
  <c r="K33" i="11"/>
  <c r="M33" i="11" s="1"/>
  <c r="AE33" i="11"/>
  <c r="AF33" i="11"/>
  <c r="AC25" i="10" s="1"/>
  <c r="AG33" i="11"/>
  <c r="AC26" i="10" s="1"/>
  <c r="Q34" i="11"/>
  <c r="O34" i="11"/>
  <c r="K34" i="11"/>
  <c r="M34" i="11" s="1"/>
  <c r="AE34" i="11"/>
  <c r="AF34" i="11"/>
  <c r="AD25" i="10" s="1"/>
  <c r="AG34" i="11"/>
  <c r="AD26" i="10" s="1"/>
  <c r="O35" i="11"/>
  <c r="Q35" i="11"/>
  <c r="K35" i="11"/>
  <c r="M35" i="11" s="1"/>
  <c r="AE35" i="11"/>
  <c r="AF35" i="11"/>
  <c r="AE25" i="10" s="1"/>
  <c r="AG35" i="11"/>
  <c r="AE26" i="10" s="1"/>
  <c r="Q36" i="11"/>
  <c r="O36" i="11"/>
  <c r="K36" i="11"/>
  <c r="M36" i="11" s="1"/>
  <c r="AE36" i="11"/>
  <c r="AF36" i="11"/>
  <c r="AF25" i="10" s="1"/>
  <c r="AG36" i="11"/>
  <c r="AF26" i="10" s="1"/>
  <c r="Q37" i="11"/>
  <c r="O37" i="11"/>
  <c r="K37" i="11"/>
  <c r="M37" i="11" s="1"/>
  <c r="AE37" i="11"/>
  <c r="AG37" i="11"/>
  <c r="AG26" i="10" s="1"/>
  <c r="AF37" i="11"/>
  <c r="AG25" i="10" s="1"/>
  <c r="Q40" i="11"/>
  <c r="O40" i="11"/>
  <c r="K40" i="11"/>
  <c r="M40" i="11" s="1"/>
  <c r="AF40" i="11"/>
  <c r="AJ25" i="10" s="1"/>
  <c r="AE40" i="11"/>
  <c r="AG40" i="11"/>
  <c r="AJ26" i="10" s="1"/>
  <c r="Q42" i="11"/>
  <c r="O42" i="11"/>
  <c r="K42" i="11"/>
  <c r="M42" i="11" s="1"/>
  <c r="AE42" i="11"/>
  <c r="AF42" i="11"/>
  <c r="AL25" i="10" s="1"/>
  <c r="AG42" i="11"/>
  <c r="AL26" i="10" s="1"/>
  <c r="O43" i="11"/>
  <c r="Q43" i="11"/>
  <c r="K43" i="11"/>
  <c r="M43" i="11" s="1"/>
  <c r="AE43" i="11"/>
  <c r="AG43" i="11"/>
  <c r="AM26" i="10" s="1"/>
  <c r="AF43" i="11"/>
  <c r="AM25" i="10" s="1"/>
  <c r="AH29" i="11"/>
  <c r="AK29" i="11" s="1"/>
  <c r="Y24" i="10"/>
  <c r="Z24" i="10"/>
  <c r="AH30" i="11"/>
  <c r="AK30" i="11" s="1"/>
  <c r="AH20" i="11"/>
  <c r="P24" i="10"/>
  <c r="AH21" i="11"/>
  <c r="AK21" i="11" s="1"/>
  <c r="Q24" i="10"/>
  <c r="AH22" i="11"/>
  <c r="AK22" i="11" s="1"/>
  <c r="R24" i="10"/>
  <c r="AH23" i="11"/>
  <c r="AK23" i="11" s="1"/>
  <c r="S24" i="10"/>
  <c r="AH24" i="11"/>
  <c r="AK24" i="11" s="1"/>
  <c r="T24" i="10"/>
  <c r="AH25" i="11"/>
  <c r="AK25" i="11" s="1"/>
  <c r="U24" i="10"/>
  <c r="AH26" i="11"/>
  <c r="AK26" i="11" s="1"/>
  <c r="V24" i="10"/>
  <c r="AH27" i="11"/>
  <c r="AK27" i="11" s="1"/>
  <c r="W24" i="10"/>
  <c r="X24" i="10"/>
  <c r="AH28" i="11"/>
  <c r="AK28" i="11" s="1"/>
  <c r="AA24" i="10"/>
  <c r="AH31" i="11"/>
  <c r="AK31" i="11" s="1"/>
  <c r="Y8" i="11"/>
  <c r="D13" i="10"/>
  <c r="Y9" i="11"/>
  <c r="E15" i="10" s="1"/>
  <c r="E13" i="10"/>
  <c r="Y10" i="11"/>
  <c r="F15" i="10" s="1"/>
  <c r="F13" i="10"/>
  <c r="Y11" i="11"/>
  <c r="G15" i="10" s="1"/>
  <c r="G13" i="10"/>
  <c r="Y12" i="11"/>
  <c r="H15" i="10" s="1"/>
  <c r="H13" i="10"/>
  <c r="Y13" i="11"/>
  <c r="I15" i="10" s="1"/>
  <c r="I13" i="10"/>
  <c r="Y14" i="11"/>
  <c r="J15" i="10" s="1"/>
  <c r="J13" i="10"/>
  <c r="Y15" i="11"/>
  <c r="K15" i="10" s="1"/>
  <c r="K13" i="10"/>
  <c r="Y16" i="11"/>
  <c r="L15" i="10" s="1"/>
  <c r="L13" i="10"/>
  <c r="Y17" i="11"/>
  <c r="M15" i="10" s="1"/>
  <c r="M13" i="10"/>
  <c r="Y18" i="11"/>
  <c r="N15" i="10" s="1"/>
  <c r="N13" i="10"/>
  <c r="Y19" i="11"/>
  <c r="O13" i="10"/>
  <c r="T10" i="11"/>
  <c r="U10" i="11" s="1"/>
  <c r="W10" i="11" s="1"/>
  <c r="T11" i="11"/>
  <c r="U11" i="11" s="1"/>
  <c r="W11" i="11" s="1"/>
  <c r="T12" i="11"/>
  <c r="U12" i="11" s="1"/>
  <c r="W12" i="11" s="1"/>
  <c r="T15" i="11"/>
  <c r="U15" i="11" s="1"/>
  <c r="W15" i="11" s="1"/>
  <c r="T16" i="11"/>
  <c r="U16" i="11" s="1"/>
  <c r="W16" i="11" s="1"/>
  <c r="T17" i="11"/>
  <c r="U17" i="11" s="1"/>
  <c r="W17" i="11" s="1"/>
  <c r="T19" i="11"/>
  <c r="U19" i="11" s="1"/>
  <c r="W19" i="11" s="1"/>
  <c r="W8" i="11"/>
  <c r="W9" i="11"/>
  <c r="W13" i="11"/>
  <c r="W14" i="11"/>
  <c r="W18" i="11"/>
  <c r="S30" i="11" l="1"/>
  <c r="T30" i="11" s="1"/>
  <c r="U30" i="11" s="1"/>
  <c r="W30" i="11" s="1"/>
  <c r="Y20" i="11"/>
  <c r="P15" i="10" s="1"/>
  <c r="P13" i="10"/>
  <c r="Y28" i="11"/>
  <c r="X15" i="10" s="1"/>
  <c r="X13" i="10"/>
  <c r="AA13" i="10"/>
  <c r="Y31" i="11"/>
  <c r="AA15" i="10" s="1"/>
  <c r="S21" i="11"/>
  <c r="T21" i="11" s="1"/>
  <c r="U21" i="11" s="1"/>
  <c r="W21" i="11" s="1"/>
  <c r="S25" i="11"/>
  <c r="T25" i="11" s="1"/>
  <c r="U25" i="11" s="1"/>
  <c r="W25" i="11" s="1"/>
  <c r="S26" i="11"/>
  <c r="T26" i="11" s="1"/>
  <c r="U26" i="11" s="1"/>
  <c r="W26" i="11" s="1"/>
  <c r="S27" i="11"/>
  <c r="T27" i="11" s="1"/>
  <c r="U27" i="11" s="1"/>
  <c r="W27" i="11" s="1"/>
  <c r="Y29" i="11"/>
  <c r="Y15" i="10" s="1"/>
  <c r="Y13" i="10"/>
  <c r="Z13" i="10"/>
  <c r="Y30" i="11"/>
  <c r="Z15" i="10" s="1"/>
  <c r="Q14" i="10"/>
  <c r="Y21" i="11"/>
  <c r="R14" i="10"/>
  <c r="Y22" i="11"/>
  <c r="R15" i="10" s="1"/>
  <c r="S14" i="10"/>
  <c r="Y23" i="11"/>
  <c r="S15" i="10" s="1"/>
  <c r="T14" i="10"/>
  <c r="Y24" i="11"/>
  <c r="T15" i="10" s="1"/>
  <c r="U14" i="10"/>
  <c r="Y25" i="11"/>
  <c r="U15" i="10" s="1"/>
  <c r="V14" i="10"/>
  <c r="Y26" i="11"/>
  <c r="V15" i="10" s="1"/>
  <c r="W14" i="10"/>
  <c r="Y27" i="11"/>
  <c r="W15" i="10" s="1"/>
  <c r="B6" i="12"/>
  <c r="D29" i="10"/>
  <c r="B20" i="13"/>
  <c r="B22" i="5"/>
  <c r="G56" i="11"/>
  <c r="G57" i="11"/>
  <c r="G58" i="11"/>
  <c r="G59" i="11"/>
  <c r="G60" i="11"/>
  <c r="G61" i="11"/>
  <c r="G62" i="11"/>
  <c r="G63" i="11"/>
  <c r="G64" i="11"/>
  <c r="G65" i="11"/>
  <c r="G66" i="11"/>
  <c r="G67" i="11"/>
  <c r="K44" i="11"/>
  <c r="M44" i="11" s="1"/>
  <c r="Q44" i="11"/>
  <c r="O44" i="11"/>
  <c r="AF44" i="11"/>
  <c r="AN25" i="10" s="1"/>
  <c r="AE44" i="11"/>
  <c r="AG44" i="11"/>
  <c r="AN26" i="10" s="1"/>
  <c r="O45" i="11"/>
  <c r="Q45" i="11"/>
  <c r="K45" i="11"/>
  <c r="M45" i="11" s="1"/>
  <c r="AF45" i="11"/>
  <c r="AO25" i="10" s="1"/>
  <c r="AE45" i="11"/>
  <c r="AG45" i="11"/>
  <c r="AO26" i="10" s="1"/>
  <c r="Q46" i="11"/>
  <c r="K46" i="11"/>
  <c r="M46" i="11" s="1"/>
  <c r="O46" i="11"/>
  <c r="AE46" i="11"/>
  <c r="AF46" i="11"/>
  <c r="AP25" i="10" s="1"/>
  <c r="AG46" i="11"/>
  <c r="AP26" i="10" s="1"/>
  <c r="K47" i="11"/>
  <c r="M47" i="11" s="1"/>
  <c r="Q47" i="11"/>
  <c r="O47" i="11"/>
  <c r="AE47" i="11"/>
  <c r="AF47" i="11"/>
  <c r="AQ25" i="10" s="1"/>
  <c r="AG47" i="11"/>
  <c r="AQ26" i="10" s="1"/>
  <c r="O48" i="11"/>
  <c r="K48" i="11"/>
  <c r="M48" i="11" s="1"/>
  <c r="Q48" i="11"/>
  <c r="AF48" i="11"/>
  <c r="AR25" i="10" s="1"/>
  <c r="AE48" i="11"/>
  <c r="AG48" i="11"/>
  <c r="AR26" i="10" s="1"/>
  <c r="K49" i="11"/>
  <c r="M49" i="11" s="1"/>
  <c r="Q49" i="11"/>
  <c r="O49" i="11"/>
  <c r="AE49" i="11"/>
  <c r="AG49" i="11"/>
  <c r="AS26" i="10" s="1"/>
  <c r="AF49" i="11"/>
  <c r="AS25" i="10" s="1"/>
  <c r="Q50" i="11"/>
  <c r="O50" i="11"/>
  <c r="K50" i="11"/>
  <c r="M50" i="11" s="1"/>
  <c r="AG50" i="11"/>
  <c r="AT26" i="10" s="1"/>
  <c r="AE50" i="11"/>
  <c r="AF50" i="11"/>
  <c r="AT25" i="10" s="1"/>
  <c r="K52" i="11"/>
  <c r="M52" i="11" s="1"/>
  <c r="O52" i="11"/>
  <c r="Q52" i="11"/>
  <c r="AF52" i="11"/>
  <c r="AV25" i="10" s="1"/>
  <c r="AE52" i="11"/>
  <c r="AG52" i="11"/>
  <c r="AV26" i="10" s="1"/>
  <c r="O54" i="11"/>
  <c r="K54" i="11"/>
  <c r="M54" i="11" s="1"/>
  <c r="Q54" i="11"/>
  <c r="AF54" i="11"/>
  <c r="AX25" i="10" s="1"/>
  <c r="AE54" i="11"/>
  <c r="AG54" i="11"/>
  <c r="AX26" i="10" s="1"/>
  <c r="O51" i="11"/>
  <c r="Q51" i="11"/>
  <c r="K51" i="11"/>
  <c r="M51" i="11" s="1"/>
  <c r="AE51" i="11"/>
  <c r="AG51" i="11"/>
  <c r="AU26" i="10" s="1"/>
  <c r="AF51" i="11"/>
  <c r="AU25" i="10" s="1"/>
  <c r="Q53" i="11"/>
  <c r="O53" i="11"/>
  <c r="K53" i="11"/>
  <c r="M53" i="11" s="1"/>
  <c r="AE53" i="11"/>
  <c r="AF53" i="11"/>
  <c r="AW25" i="10" s="1"/>
  <c r="AG53" i="11"/>
  <c r="AW26" i="10" s="1"/>
  <c r="Q55" i="11"/>
  <c r="O55" i="11"/>
  <c r="K55" i="11"/>
  <c r="M55" i="11" s="1"/>
  <c r="AE55" i="11"/>
  <c r="AF55" i="11"/>
  <c r="AY25" i="10" s="1"/>
  <c r="AG55" i="11"/>
  <c r="AY26" i="10" s="1"/>
  <c r="P32" i="11"/>
  <c r="V32" i="11"/>
  <c r="AB14" i="10" s="1"/>
  <c r="R32" i="11"/>
  <c r="S32" i="11" s="1"/>
  <c r="AB8" i="10"/>
  <c r="D6" i="13"/>
  <c r="N32" i="11"/>
  <c r="AH32" i="11"/>
  <c r="AB24" i="10"/>
  <c r="V38" i="11"/>
  <c r="AH14" i="10" s="1"/>
  <c r="R38" i="11"/>
  <c r="S38" i="11"/>
  <c r="P38" i="11"/>
  <c r="AH8" i="10"/>
  <c r="N38" i="11"/>
  <c r="AH38" i="11"/>
  <c r="AK38" i="11" s="1"/>
  <c r="AH24" i="10"/>
  <c r="V39" i="11"/>
  <c r="AI14" i="10" s="1"/>
  <c r="R39" i="11"/>
  <c r="S39" i="11"/>
  <c r="P39" i="11"/>
  <c r="N39" i="11"/>
  <c r="AI8" i="10"/>
  <c r="AI24" i="10"/>
  <c r="AH39" i="11"/>
  <c r="AK39" i="11" s="1"/>
  <c r="P41" i="11"/>
  <c r="V41" i="11"/>
  <c r="AK14" i="10" s="1"/>
  <c r="R41" i="11"/>
  <c r="S41" i="11" s="1"/>
  <c r="AK8" i="10"/>
  <c r="N41" i="11"/>
  <c r="AH41" i="11"/>
  <c r="AK41" i="11" s="1"/>
  <c r="AK24" i="10"/>
  <c r="P33" i="11"/>
  <c r="V33" i="11"/>
  <c r="AC14" i="10" s="1"/>
  <c r="R33" i="11"/>
  <c r="S33" i="11" s="1"/>
  <c r="T33" i="11" s="1"/>
  <c r="U33" i="11" s="1"/>
  <c r="AC8" i="10"/>
  <c r="N33" i="11"/>
  <c r="AH33" i="11"/>
  <c r="AK33" i="11" s="1"/>
  <c r="AC24" i="10"/>
  <c r="V34" i="11"/>
  <c r="AD14" i="10" s="1"/>
  <c r="R34" i="11"/>
  <c r="S34" i="11"/>
  <c r="P34" i="11"/>
  <c r="AD8" i="10"/>
  <c r="N34" i="11"/>
  <c r="AH34" i="11"/>
  <c r="AK34" i="11" s="1"/>
  <c r="AD24" i="10"/>
  <c r="P35" i="11"/>
  <c r="V35" i="11"/>
  <c r="AE14" i="10" s="1"/>
  <c r="R35" i="11"/>
  <c r="S35" i="11" s="1"/>
  <c r="AE8" i="10"/>
  <c r="N35" i="11"/>
  <c r="AH35" i="11"/>
  <c r="AK35" i="11" s="1"/>
  <c r="AE24" i="10"/>
  <c r="V36" i="11"/>
  <c r="AF14" i="10" s="1"/>
  <c r="R36" i="11"/>
  <c r="S36" i="11"/>
  <c r="P36" i="11"/>
  <c r="AF8" i="10"/>
  <c r="N36" i="11"/>
  <c r="AH36" i="11"/>
  <c r="AK36" i="11" s="1"/>
  <c r="AF24" i="10"/>
  <c r="R37" i="11"/>
  <c r="V37" i="11"/>
  <c r="AG14" i="10" s="1"/>
  <c r="P37" i="11"/>
  <c r="S37" i="11"/>
  <c r="AG8" i="10"/>
  <c r="N37" i="11"/>
  <c r="AH37" i="11"/>
  <c r="AK37" i="11" s="1"/>
  <c r="AG24" i="10"/>
  <c r="R40" i="11"/>
  <c r="V40" i="11"/>
  <c r="AJ14" i="10" s="1"/>
  <c r="S40" i="11"/>
  <c r="P40" i="11"/>
  <c r="AJ8" i="10"/>
  <c r="N40" i="11"/>
  <c r="AH40" i="11"/>
  <c r="AK40" i="11" s="1"/>
  <c r="AJ24" i="10"/>
  <c r="V42" i="11"/>
  <c r="AL14" i="10" s="1"/>
  <c r="R42" i="11"/>
  <c r="S42" i="11"/>
  <c r="P42" i="11"/>
  <c r="AL8" i="10"/>
  <c r="N42" i="11"/>
  <c r="AH42" i="11"/>
  <c r="AK42" i="11" s="1"/>
  <c r="AL24" i="10"/>
  <c r="P43" i="11"/>
  <c r="R43" i="11"/>
  <c r="S43" i="11" s="1"/>
  <c r="V43" i="11"/>
  <c r="AM14" i="10" s="1"/>
  <c r="AM8" i="10"/>
  <c r="N43" i="11"/>
  <c r="AH43" i="11"/>
  <c r="AK43" i="11" s="1"/>
  <c r="AM24" i="10"/>
  <c r="Y29" i="10"/>
  <c r="Z29" i="10"/>
  <c r="AK20" i="11"/>
  <c r="C17" i="13"/>
  <c r="Q29" i="10"/>
  <c r="R29" i="10"/>
  <c r="S29" i="10"/>
  <c r="T29" i="10"/>
  <c r="U29" i="10"/>
  <c r="V29" i="10"/>
  <c r="W29" i="10"/>
  <c r="X29" i="10"/>
  <c r="AA29" i="10"/>
  <c r="B10" i="13"/>
  <c r="F18" i="1" s="1"/>
  <c r="D15" i="10"/>
  <c r="O15" i="10"/>
  <c r="X10" i="11"/>
  <c r="F9" i="10"/>
  <c r="X11" i="11"/>
  <c r="G9" i="10"/>
  <c r="X12" i="11"/>
  <c r="H9" i="10"/>
  <c r="X15" i="11"/>
  <c r="K9" i="10"/>
  <c r="X16" i="11"/>
  <c r="L9" i="10"/>
  <c r="X17" i="11"/>
  <c r="M9" i="10"/>
  <c r="X19" i="11"/>
  <c r="O9" i="10"/>
  <c r="X28" i="11"/>
  <c r="X9" i="10"/>
  <c r="X29" i="11"/>
  <c r="Y9" i="10"/>
  <c r="D9" i="10"/>
  <c r="B7" i="13"/>
  <c r="X8" i="11"/>
  <c r="X9" i="11"/>
  <c r="E9" i="10"/>
  <c r="X13" i="11"/>
  <c r="I9" i="10"/>
  <c r="X14" i="11"/>
  <c r="J9" i="10"/>
  <c r="X18" i="11"/>
  <c r="N9" i="10"/>
  <c r="P9" i="10"/>
  <c r="X20" i="11"/>
  <c r="X22" i="11"/>
  <c r="R9" i="10"/>
  <c r="X23" i="11"/>
  <c r="S9" i="10"/>
  <c r="X24" i="11"/>
  <c r="T9" i="10"/>
  <c r="X31" i="11"/>
  <c r="AA9" i="10"/>
  <c r="X30" i="11" l="1"/>
  <c r="Z9" i="10"/>
  <c r="X21" i="11"/>
  <c r="Q9" i="10"/>
  <c r="C7" i="13"/>
  <c r="X25" i="11"/>
  <c r="U9" i="10"/>
  <c r="X26" i="11"/>
  <c r="V9" i="10"/>
  <c r="X27" i="11"/>
  <c r="W9" i="10"/>
  <c r="Q15" i="10"/>
  <c r="C10" i="13"/>
  <c r="G18" i="1" s="1"/>
  <c r="B9" i="12"/>
  <c r="B12" i="12"/>
  <c r="B15" i="15"/>
  <c r="B16" i="15" s="1"/>
  <c r="B23" i="15" s="1"/>
  <c r="B42" i="18"/>
  <c r="O56" i="11"/>
  <c r="Q56" i="11"/>
  <c r="K56" i="11"/>
  <c r="M56" i="11" s="1"/>
  <c r="AE56" i="11"/>
  <c r="AF56" i="11"/>
  <c r="AZ25" i="10" s="1"/>
  <c r="AG56" i="11"/>
  <c r="AZ26" i="10" s="1"/>
  <c r="Q57" i="11"/>
  <c r="O57" i="11"/>
  <c r="K57" i="11"/>
  <c r="M57" i="11" s="1"/>
  <c r="AE57" i="11"/>
  <c r="AF57" i="11"/>
  <c r="BA25" i="10" s="1"/>
  <c r="AG57" i="11"/>
  <c r="BA26" i="10" s="1"/>
  <c r="Q58" i="11"/>
  <c r="O58" i="11"/>
  <c r="K58" i="11"/>
  <c r="M58" i="11" s="1"/>
  <c r="AE58" i="11"/>
  <c r="AF58" i="11"/>
  <c r="BB25" i="10" s="1"/>
  <c r="AG58" i="11"/>
  <c r="BB26" i="10" s="1"/>
  <c r="Q59" i="11"/>
  <c r="O59" i="11"/>
  <c r="K59" i="11"/>
  <c r="M59" i="11" s="1"/>
  <c r="AE59" i="11"/>
  <c r="AF59" i="11"/>
  <c r="BC25" i="10" s="1"/>
  <c r="AG59" i="11"/>
  <c r="BC26" i="10" s="1"/>
  <c r="Q60" i="11"/>
  <c r="O60" i="11"/>
  <c r="K60" i="11"/>
  <c r="M60" i="11" s="1"/>
  <c r="AE60" i="11"/>
  <c r="AF60" i="11"/>
  <c r="BD25" i="10" s="1"/>
  <c r="AG60" i="11"/>
  <c r="BD26" i="10" s="1"/>
  <c r="Q61" i="11"/>
  <c r="O61" i="11"/>
  <c r="K61" i="11"/>
  <c r="M61" i="11" s="1"/>
  <c r="AE61" i="11"/>
  <c r="AF61" i="11"/>
  <c r="BE25" i="10" s="1"/>
  <c r="AG61" i="11"/>
  <c r="BE26" i="10" s="1"/>
  <c r="Q62" i="11"/>
  <c r="O62" i="11"/>
  <c r="K62" i="11"/>
  <c r="M62" i="11" s="1"/>
  <c r="AE62" i="11"/>
  <c r="AF62" i="11"/>
  <c r="BF25" i="10" s="1"/>
  <c r="AG62" i="11"/>
  <c r="BF26" i="10" s="1"/>
  <c r="Q63" i="11"/>
  <c r="O63" i="11"/>
  <c r="K63" i="11"/>
  <c r="M63" i="11" s="1"/>
  <c r="AE63" i="11"/>
  <c r="AF63" i="11"/>
  <c r="BG25" i="10" s="1"/>
  <c r="AG63" i="11"/>
  <c r="BG26" i="10" s="1"/>
  <c r="O64" i="11"/>
  <c r="Q64" i="11"/>
  <c r="K64" i="11"/>
  <c r="M64" i="11" s="1"/>
  <c r="AE64" i="11"/>
  <c r="AF64" i="11"/>
  <c r="BH25" i="10" s="1"/>
  <c r="AG64" i="11"/>
  <c r="BH26" i="10" s="1"/>
  <c r="Q65" i="11"/>
  <c r="O65" i="11"/>
  <c r="K65" i="11"/>
  <c r="M65" i="11" s="1"/>
  <c r="AE65" i="11"/>
  <c r="AF65" i="11"/>
  <c r="BI25" i="10" s="1"/>
  <c r="AG65" i="11"/>
  <c r="BI26" i="10" s="1"/>
  <c r="O66" i="11"/>
  <c r="Q66" i="11"/>
  <c r="K66" i="11"/>
  <c r="M66" i="11" s="1"/>
  <c r="AE66" i="11"/>
  <c r="AF66" i="11"/>
  <c r="BJ25" i="10" s="1"/>
  <c r="AG66" i="11"/>
  <c r="BJ26" i="10" s="1"/>
  <c r="Q67" i="11"/>
  <c r="O67" i="11"/>
  <c r="K67" i="11"/>
  <c r="M67" i="11" s="1"/>
  <c r="AE67" i="11"/>
  <c r="AF67" i="11"/>
  <c r="BK25" i="10" s="1"/>
  <c r="AG67" i="11"/>
  <c r="BK26" i="10" s="1"/>
  <c r="E6" i="13"/>
  <c r="AN8" i="10"/>
  <c r="N44" i="11"/>
  <c r="V44" i="11"/>
  <c r="AN14" i="10" s="1"/>
  <c r="R44" i="11"/>
  <c r="S44" i="11"/>
  <c r="P44" i="11"/>
  <c r="AH44" i="11"/>
  <c r="AN24" i="10"/>
  <c r="P45" i="11"/>
  <c r="R45" i="11"/>
  <c r="S45" i="11" s="1"/>
  <c r="T45" i="11" s="1"/>
  <c r="U45" i="11" s="1"/>
  <c r="W45" i="11" s="1"/>
  <c r="V45" i="11"/>
  <c r="AO14" i="10" s="1"/>
  <c r="AO8" i="10"/>
  <c r="N45" i="11"/>
  <c r="AH45" i="11"/>
  <c r="AK45" i="11" s="1"/>
  <c r="AO24" i="10"/>
  <c r="V46" i="11"/>
  <c r="AP14" i="10" s="1"/>
  <c r="R46" i="11"/>
  <c r="AP8" i="10"/>
  <c r="N46" i="11"/>
  <c r="S46" i="11"/>
  <c r="P46" i="11"/>
  <c r="AH46" i="11"/>
  <c r="AK46" i="11" s="1"/>
  <c r="AP24" i="10"/>
  <c r="AQ8" i="10"/>
  <c r="N47" i="11"/>
  <c r="V47" i="11"/>
  <c r="AQ14" i="10" s="1"/>
  <c r="R47" i="11"/>
  <c r="S47" i="11"/>
  <c r="P47" i="11"/>
  <c r="AH47" i="11"/>
  <c r="AK47" i="11" s="1"/>
  <c r="AQ24" i="10"/>
  <c r="P48" i="11"/>
  <c r="AR8" i="10"/>
  <c r="N48" i="11"/>
  <c r="R48" i="11"/>
  <c r="S48" i="11" s="1"/>
  <c r="T48" i="11" s="1"/>
  <c r="U48" i="11" s="1"/>
  <c r="V48" i="11"/>
  <c r="AR14" i="10" s="1"/>
  <c r="AH48" i="11"/>
  <c r="AK48" i="11" s="1"/>
  <c r="AR24" i="10"/>
  <c r="AS8" i="10"/>
  <c r="N49" i="11"/>
  <c r="V49" i="11"/>
  <c r="AS14" i="10" s="1"/>
  <c r="R49" i="11"/>
  <c r="P49" i="11"/>
  <c r="S49" i="11"/>
  <c r="AS24" i="10"/>
  <c r="AH49" i="11"/>
  <c r="AK49" i="11" s="1"/>
  <c r="R50" i="11"/>
  <c r="V50" i="11"/>
  <c r="AT14" i="10" s="1"/>
  <c r="P50" i="11"/>
  <c r="S50" i="11"/>
  <c r="AT8" i="10"/>
  <c r="N50" i="11"/>
  <c r="AH50" i="11"/>
  <c r="AK50" i="11" s="1"/>
  <c r="AT24" i="10"/>
  <c r="AV8" i="10"/>
  <c r="N52" i="11"/>
  <c r="P52" i="11"/>
  <c r="V52" i="11"/>
  <c r="AV14" i="10" s="1"/>
  <c r="R52" i="11"/>
  <c r="S52" i="11" s="1"/>
  <c r="T52" i="11" s="1"/>
  <c r="U52" i="11" s="1"/>
  <c r="AH52" i="11"/>
  <c r="AK52" i="11" s="1"/>
  <c r="AV24" i="10"/>
  <c r="P54" i="11"/>
  <c r="AX8" i="10"/>
  <c r="N54" i="11"/>
  <c r="R54" i="11"/>
  <c r="S54" i="11" s="1"/>
  <c r="T54" i="11" s="1"/>
  <c r="U54" i="11" s="1"/>
  <c r="V54" i="11"/>
  <c r="AX14" i="10" s="1"/>
  <c r="AH54" i="11"/>
  <c r="AK54" i="11" s="1"/>
  <c r="AX24" i="10"/>
  <c r="P51" i="11"/>
  <c r="V51" i="11"/>
  <c r="AU14" i="10" s="1"/>
  <c r="R51" i="11"/>
  <c r="S51" i="11" s="1"/>
  <c r="T51" i="11" s="1"/>
  <c r="U51" i="11" s="1"/>
  <c r="AU8" i="10"/>
  <c r="N51" i="11"/>
  <c r="AH51" i="11"/>
  <c r="AK51" i="11" s="1"/>
  <c r="AU24" i="10"/>
  <c r="R53" i="11"/>
  <c r="V53" i="11"/>
  <c r="AW14" i="10" s="1"/>
  <c r="P53" i="11"/>
  <c r="S53" i="11"/>
  <c r="N53" i="11"/>
  <c r="AW8" i="10"/>
  <c r="AH53" i="11"/>
  <c r="AK53" i="11" s="1"/>
  <c r="AW24" i="10"/>
  <c r="V55" i="11"/>
  <c r="AY14" i="10" s="1"/>
  <c r="R55" i="11"/>
  <c r="S55" i="11"/>
  <c r="P55" i="11"/>
  <c r="AY8" i="10"/>
  <c r="N55" i="11"/>
  <c r="AH55" i="11"/>
  <c r="AK55" i="11" s="1"/>
  <c r="AY24" i="10"/>
  <c r="Y32" i="11"/>
  <c r="AB13" i="10"/>
  <c r="AK32" i="11"/>
  <c r="D17" i="13"/>
  <c r="Y38" i="11"/>
  <c r="AH15" i="10" s="1"/>
  <c r="AH13" i="10"/>
  <c r="AH29" i="10"/>
  <c r="Y39" i="11"/>
  <c r="AI15" i="10" s="1"/>
  <c r="AI13" i="10"/>
  <c r="AI29" i="10"/>
  <c r="Y41" i="11"/>
  <c r="AK15" i="10" s="1"/>
  <c r="AK13" i="10"/>
  <c r="AK29" i="10"/>
  <c r="Y33" i="11"/>
  <c r="AC15" i="10" s="1"/>
  <c r="AC13" i="10"/>
  <c r="AC29" i="10"/>
  <c r="Y34" i="11"/>
  <c r="AD15" i="10" s="1"/>
  <c r="AD13" i="10"/>
  <c r="AD29" i="10"/>
  <c r="Y35" i="11"/>
  <c r="AE15" i="10" s="1"/>
  <c r="AE13" i="10"/>
  <c r="AE29" i="10"/>
  <c r="Y36" i="11"/>
  <c r="AF15" i="10" s="1"/>
  <c r="AF13" i="10"/>
  <c r="AF29" i="10"/>
  <c r="Y37" i="11"/>
  <c r="AG15" i="10" s="1"/>
  <c r="AG13" i="10"/>
  <c r="AG29" i="10"/>
  <c r="Y40" i="11"/>
  <c r="AJ15" i="10" s="1"/>
  <c r="AJ13" i="10"/>
  <c r="AJ29" i="10"/>
  <c r="Y42" i="11"/>
  <c r="AL15" i="10" s="1"/>
  <c r="AL13" i="10"/>
  <c r="AL29" i="10"/>
  <c r="Y43" i="11"/>
  <c r="AM15" i="10" s="1"/>
  <c r="AM13" i="10"/>
  <c r="AM29" i="10"/>
  <c r="P29" i="10"/>
  <c r="C20" i="13"/>
  <c r="C22" i="5"/>
  <c r="F10" i="10"/>
  <c r="B24" i="16"/>
  <c r="AM10" i="11"/>
  <c r="F33" i="10" s="1"/>
  <c r="AL10" i="11"/>
  <c r="Z10" i="11"/>
  <c r="G10" i="10"/>
  <c r="B25" i="16"/>
  <c r="AM11" i="11"/>
  <c r="G33" i="10" s="1"/>
  <c r="AL11" i="11"/>
  <c r="Z11" i="11"/>
  <c r="H10" i="10"/>
  <c r="B26" i="16"/>
  <c r="AM12" i="11"/>
  <c r="H33" i="10" s="1"/>
  <c r="AL12" i="11"/>
  <c r="Z12" i="11"/>
  <c r="K10" i="10"/>
  <c r="B29" i="16"/>
  <c r="AM15" i="11"/>
  <c r="K33" i="10" s="1"/>
  <c r="AL15" i="11"/>
  <c r="Z15" i="11"/>
  <c r="L10" i="10"/>
  <c r="B30" i="16"/>
  <c r="AM16" i="11"/>
  <c r="L33" i="10" s="1"/>
  <c r="AL16" i="11"/>
  <c r="Z16" i="11"/>
  <c r="M10" i="10"/>
  <c r="B31" i="16"/>
  <c r="AM17" i="11"/>
  <c r="M33" i="10" s="1"/>
  <c r="AL17" i="11"/>
  <c r="Z17" i="11"/>
  <c r="O10" i="10"/>
  <c r="B33" i="16"/>
  <c r="B5" i="17"/>
  <c r="B11" i="17" s="1"/>
  <c r="AM19" i="11"/>
  <c r="O33" i="10" s="1"/>
  <c r="AL19" i="11"/>
  <c r="Z19" i="11"/>
  <c r="C30" i="16"/>
  <c r="AL28" i="11"/>
  <c r="X10" i="10"/>
  <c r="AM28" i="11"/>
  <c r="X33" i="10" s="1"/>
  <c r="Z28" i="11"/>
  <c r="Y10" i="10"/>
  <c r="AM29" i="11"/>
  <c r="Y33" i="10" s="1"/>
  <c r="C31" i="16"/>
  <c r="AL29" i="11"/>
  <c r="Z29" i="11"/>
  <c r="D10" i="10"/>
  <c r="B22" i="16"/>
  <c r="B15" i="16"/>
  <c r="B8" i="16"/>
  <c r="B8" i="13"/>
  <c r="AM8" i="11"/>
  <c r="D33" i="10" s="1"/>
  <c r="AL8" i="11"/>
  <c r="Z8" i="11"/>
  <c r="E10" i="10"/>
  <c r="B23" i="16"/>
  <c r="AM9" i="11"/>
  <c r="E33" i="10" s="1"/>
  <c r="AL9" i="11"/>
  <c r="Z9" i="11"/>
  <c r="I10" i="10"/>
  <c r="B27" i="16"/>
  <c r="AM13" i="11"/>
  <c r="I33" i="10" s="1"/>
  <c r="AL13" i="11"/>
  <c r="Z13" i="11"/>
  <c r="J10" i="10"/>
  <c r="B28" i="16"/>
  <c r="AM14" i="11"/>
  <c r="J33" i="10" s="1"/>
  <c r="AL14" i="11"/>
  <c r="Z14" i="11"/>
  <c r="N10" i="10"/>
  <c r="B32" i="16"/>
  <c r="AM18" i="11"/>
  <c r="N33" i="10" s="1"/>
  <c r="AL18" i="11"/>
  <c r="Z18" i="11"/>
  <c r="P10" i="10"/>
  <c r="C22" i="16"/>
  <c r="AM20" i="11"/>
  <c r="P33" i="10" s="1"/>
  <c r="AL20" i="11"/>
  <c r="Z20" i="11"/>
  <c r="R10" i="10"/>
  <c r="C24" i="16"/>
  <c r="AM22" i="11"/>
  <c r="R33" i="10" s="1"/>
  <c r="AL22" i="11"/>
  <c r="Z22" i="11"/>
  <c r="S10" i="10"/>
  <c r="C25" i="16"/>
  <c r="AM23" i="11"/>
  <c r="S33" i="10" s="1"/>
  <c r="AL23" i="11"/>
  <c r="Z23" i="11"/>
  <c r="T10" i="10"/>
  <c r="C26" i="16"/>
  <c r="AM24" i="11"/>
  <c r="T33" i="10" s="1"/>
  <c r="AL24" i="11"/>
  <c r="Z24" i="11"/>
  <c r="AA10" i="10"/>
  <c r="AL31" i="11"/>
  <c r="C33" i="16"/>
  <c r="AM31" i="11"/>
  <c r="AA33" i="10" s="1"/>
  <c r="Z31" i="11"/>
  <c r="T36" i="11"/>
  <c r="U36" i="11" s="1"/>
  <c r="W36" i="11" s="1"/>
  <c r="T40" i="11"/>
  <c r="U40" i="11" s="1"/>
  <c r="W40" i="11" s="1"/>
  <c r="T43" i="11"/>
  <c r="U43" i="11" s="1"/>
  <c r="W43" i="11" s="1"/>
  <c r="T32" i="11"/>
  <c r="U32" i="11" s="1"/>
  <c r="W32" i="11" s="1"/>
  <c r="T41" i="11"/>
  <c r="U41" i="11" s="1"/>
  <c r="W41" i="11" s="1"/>
  <c r="W33" i="11"/>
  <c r="T35" i="11"/>
  <c r="U35" i="11" s="1"/>
  <c r="W35" i="11" s="1"/>
  <c r="T38" i="11"/>
  <c r="U38" i="11" s="1"/>
  <c r="W38" i="11" s="1"/>
  <c r="T39" i="11"/>
  <c r="U39" i="11" s="1"/>
  <c r="W39" i="11" s="1"/>
  <c r="T34" i="11"/>
  <c r="U34" i="11" s="1"/>
  <c r="W34" i="11" s="1"/>
  <c r="T37" i="11"/>
  <c r="U37" i="11" s="1"/>
  <c r="W37" i="11" s="1"/>
  <c r="T42" i="11"/>
  <c r="U42" i="11" s="1"/>
  <c r="W42" i="11" s="1"/>
  <c r="C32" i="16" l="1"/>
  <c r="Z30" i="11"/>
  <c r="Z10" i="10"/>
  <c r="AM30" i="11"/>
  <c r="Z33" i="10" s="1"/>
  <c r="AL30" i="11"/>
  <c r="C23" i="16"/>
  <c r="AL21" i="11"/>
  <c r="C8" i="13"/>
  <c r="Q10" i="10"/>
  <c r="AM21" i="11"/>
  <c r="Q33" i="10" s="1"/>
  <c r="Z21" i="11"/>
  <c r="C15" i="16"/>
  <c r="C8" i="16"/>
  <c r="C10" i="5" s="1"/>
  <c r="C27" i="16"/>
  <c r="U10" i="10"/>
  <c r="AM25" i="11"/>
  <c r="U33" i="10" s="1"/>
  <c r="AL25" i="11"/>
  <c r="Z25" i="11"/>
  <c r="C28" i="16"/>
  <c r="V10" i="10"/>
  <c r="AM26" i="11"/>
  <c r="V33" i="10" s="1"/>
  <c r="AL26" i="11"/>
  <c r="Z26" i="11"/>
  <c r="AM27" i="11"/>
  <c r="W33" i="10" s="1"/>
  <c r="AL27" i="11"/>
  <c r="Z27" i="11"/>
  <c r="W10" i="10"/>
  <c r="C29" i="16"/>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D12" i="12"/>
  <c r="B43" i="18"/>
  <c r="B46" i="18" s="1"/>
  <c r="B8" i="14"/>
  <c r="P56" i="11"/>
  <c r="V56" i="11"/>
  <c r="AZ14" i="10" s="1"/>
  <c r="R56" i="11"/>
  <c r="S56" i="11" s="1"/>
  <c r="AZ8" i="10"/>
  <c r="F6" i="13"/>
  <c r="N56" i="11"/>
  <c r="AH56" i="11"/>
  <c r="AZ24" i="10"/>
  <c r="V57" i="11"/>
  <c r="BA14" i="10" s="1"/>
  <c r="R57" i="11"/>
  <c r="S57" i="11"/>
  <c r="P57" i="11"/>
  <c r="BA8" i="10"/>
  <c r="N57" i="11"/>
  <c r="AH57" i="11"/>
  <c r="AK57" i="11" s="1"/>
  <c r="BA24" i="10"/>
  <c r="V58" i="11"/>
  <c r="BB14" i="10" s="1"/>
  <c r="R58" i="11"/>
  <c r="S58" i="11"/>
  <c r="P58" i="11"/>
  <c r="BB8" i="10"/>
  <c r="N58" i="11"/>
  <c r="AH58" i="11"/>
  <c r="AK58" i="11" s="1"/>
  <c r="BB24" i="10"/>
  <c r="V59" i="11"/>
  <c r="BC14" i="10" s="1"/>
  <c r="R59" i="11"/>
  <c r="S59" i="11"/>
  <c r="P59" i="11"/>
  <c r="BC8" i="10"/>
  <c r="N59" i="11"/>
  <c r="AH59" i="11"/>
  <c r="AK59" i="11" s="1"/>
  <c r="BC24" i="10"/>
  <c r="V60" i="11"/>
  <c r="BD14" i="10" s="1"/>
  <c r="R60" i="11"/>
  <c r="S60" i="11"/>
  <c r="P60" i="11"/>
  <c r="BD8" i="10"/>
  <c r="N60" i="11"/>
  <c r="AH60" i="11"/>
  <c r="AK60" i="11" s="1"/>
  <c r="BD24" i="10"/>
  <c r="V61" i="11"/>
  <c r="BE14" i="10" s="1"/>
  <c r="R61" i="11"/>
  <c r="S61" i="11"/>
  <c r="P61" i="11"/>
  <c r="BE8" i="10"/>
  <c r="N61" i="11"/>
  <c r="AH61" i="11"/>
  <c r="AK61" i="11" s="1"/>
  <c r="BE24" i="10"/>
  <c r="V62" i="11"/>
  <c r="BF14" i="10" s="1"/>
  <c r="R62" i="11"/>
  <c r="S62" i="11"/>
  <c r="P62" i="11"/>
  <c r="BF8" i="10"/>
  <c r="N62" i="11"/>
  <c r="AH62" i="11"/>
  <c r="AK62" i="11" s="1"/>
  <c r="BF24" i="10"/>
  <c r="V63" i="11"/>
  <c r="BG14" i="10" s="1"/>
  <c r="R63" i="11"/>
  <c r="S63" i="11"/>
  <c r="P63" i="11"/>
  <c r="BG8" i="10"/>
  <c r="N63" i="11"/>
  <c r="AH63" i="11"/>
  <c r="AK63" i="11" s="1"/>
  <c r="BG24" i="10"/>
  <c r="P64" i="11"/>
  <c r="V64" i="11"/>
  <c r="BH14" i="10" s="1"/>
  <c r="R64" i="11"/>
  <c r="S64" i="11" s="1"/>
  <c r="T64" i="11" s="1"/>
  <c r="U64" i="11" s="1"/>
  <c r="BH8" i="10"/>
  <c r="N64" i="11"/>
  <c r="AH64" i="11"/>
  <c r="AK64" i="11" s="1"/>
  <c r="BH24" i="10"/>
  <c r="V65" i="11"/>
  <c r="BI14" i="10" s="1"/>
  <c r="R65" i="11"/>
  <c r="S65" i="11"/>
  <c r="P65" i="11"/>
  <c r="BI8" i="10"/>
  <c r="N65" i="11"/>
  <c r="AH65" i="11"/>
  <c r="AK65" i="11" s="1"/>
  <c r="BI24" i="10"/>
  <c r="P66" i="11"/>
  <c r="V66" i="11"/>
  <c r="BJ14" i="10" s="1"/>
  <c r="R66" i="11"/>
  <c r="S66" i="11" s="1"/>
  <c r="T66" i="11" s="1"/>
  <c r="U66" i="11" s="1"/>
  <c r="BJ8" i="10"/>
  <c r="N66" i="11"/>
  <c r="AH66" i="11"/>
  <c r="AK66" i="11" s="1"/>
  <c r="BJ24" i="10"/>
  <c r="V67" i="11"/>
  <c r="BK14" i="10" s="1"/>
  <c r="R67" i="11"/>
  <c r="S67" i="11"/>
  <c r="P67" i="11"/>
  <c r="BK8" i="10"/>
  <c r="N67" i="11"/>
  <c r="AH67" i="11"/>
  <c r="AK67" i="11" s="1"/>
  <c r="BK24" i="10"/>
  <c r="Y44" i="11"/>
  <c r="AN13" i="10"/>
  <c r="AK44" i="11"/>
  <c r="E17" i="13"/>
  <c r="Y45" i="11"/>
  <c r="AO15" i="10" s="1"/>
  <c r="AO13" i="10"/>
  <c r="AO29" i="10"/>
  <c r="Y46" i="11"/>
  <c r="AP15" i="10" s="1"/>
  <c r="AP13" i="10"/>
  <c r="AP29" i="10"/>
  <c r="Y47" i="11"/>
  <c r="AQ15" i="10" s="1"/>
  <c r="AQ13" i="10"/>
  <c r="AQ29" i="10"/>
  <c r="Y48" i="11"/>
  <c r="AR15" i="10" s="1"/>
  <c r="AR13" i="10"/>
  <c r="AR29" i="10"/>
  <c r="Y49" i="11"/>
  <c r="AS15" i="10" s="1"/>
  <c r="AS13" i="10"/>
  <c r="AS29" i="10"/>
  <c r="AT13" i="10"/>
  <c r="Y50" i="11"/>
  <c r="AT15" i="10" s="1"/>
  <c r="AT29" i="10"/>
  <c r="Y52" i="11"/>
  <c r="AV15" i="10" s="1"/>
  <c r="AV13" i="10"/>
  <c r="AV29" i="10"/>
  <c r="Y54" i="11"/>
  <c r="AX15" i="10" s="1"/>
  <c r="AX13" i="10"/>
  <c r="AX29" i="10"/>
  <c r="Y51" i="11"/>
  <c r="AU15" i="10" s="1"/>
  <c r="AU13" i="10"/>
  <c r="AU29" i="10"/>
  <c r="Y53" i="11"/>
  <c r="AW15" i="10" s="1"/>
  <c r="AW13" i="10"/>
  <c r="AW29" i="10"/>
  <c r="Y55" i="11"/>
  <c r="AY15" i="10" s="1"/>
  <c r="AY13" i="10"/>
  <c r="AY29" i="10"/>
  <c r="AB15" i="10"/>
  <c r="D10" i="13"/>
  <c r="H18" i="1" s="1"/>
  <c r="D20" i="13"/>
  <c r="AB29" i="10"/>
  <c r="D22" i="5"/>
  <c r="AN10" i="11"/>
  <c r="F32" i="10"/>
  <c r="AZ10" i="11"/>
  <c r="F48" i="10" s="1"/>
  <c r="F17" i="10"/>
  <c r="AN11" i="11"/>
  <c r="G32" i="10"/>
  <c r="AZ11" i="11"/>
  <c r="G48" i="10" s="1"/>
  <c r="G17" i="10"/>
  <c r="AN12" i="11"/>
  <c r="H32" i="10"/>
  <c r="AZ12" i="11"/>
  <c r="H48" i="10" s="1"/>
  <c r="H17" i="10"/>
  <c r="AN15" i="11"/>
  <c r="K32" i="10"/>
  <c r="AZ15" i="11"/>
  <c r="K48" i="10" s="1"/>
  <c r="K17" i="10"/>
  <c r="AN16" i="11"/>
  <c r="L32" i="10"/>
  <c r="AZ16" i="11"/>
  <c r="L48" i="10" s="1"/>
  <c r="L17" i="10"/>
  <c r="AN17" i="11"/>
  <c r="M32" i="10"/>
  <c r="AZ17" i="11"/>
  <c r="M48" i="10" s="1"/>
  <c r="M17" i="10"/>
  <c r="AN19" i="11"/>
  <c r="O32" i="10"/>
  <c r="AZ19" i="11"/>
  <c r="O48" i="10" s="1"/>
  <c r="O17" i="10"/>
  <c r="AN28" i="11"/>
  <c r="X32" i="10"/>
  <c r="AZ28" i="11"/>
  <c r="X48" i="10" s="1"/>
  <c r="X17" i="10"/>
  <c r="AN29" i="11"/>
  <c r="Y32" i="10"/>
  <c r="AZ29" i="11"/>
  <c r="Y48" i="10" s="1"/>
  <c r="Y17" i="10"/>
  <c r="B10" i="5"/>
  <c r="B13" i="18"/>
  <c r="B23" i="19"/>
  <c r="F17" i="1"/>
  <c r="AN8" i="11"/>
  <c r="D32" i="10"/>
  <c r="AZ8" i="11"/>
  <c r="D48" i="10" s="1"/>
  <c r="B11" i="13"/>
  <c r="B9" i="16"/>
  <c r="B16" i="16"/>
  <c r="D17" i="10"/>
  <c r="AN9" i="11"/>
  <c r="E32" i="10"/>
  <c r="AZ9" i="11"/>
  <c r="E48" i="10" s="1"/>
  <c r="E17" i="10"/>
  <c r="AN13" i="11"/>
  <c r="I32" i="10"/>
  <c r="AZ13" i="11"/>
  <c r="I48" i="10" s="1"/>
  <c r="I17" i="10"/>
  <c r="AN14" i="11"/>
  <c r="J32" i="10"/>
  <c r="AZ14" i="11"/>
  <c r="J48" i="10" s="1"/>
  <c r="J17" i="10"/>
  <c r="AN18" i="11"/>
  <c r="N32" i="10"/>
  <c r="AZ18" i="11"/>
  <c r="N48" i="10" s="1"/>
  <c r="N17" i="10"/>
  <c r="AN20" i="11"/>
  <c r="P32" i="10"/>
  <c r="AZ20" i="11"/>
  <c r="P48" i="10" s="1"/>
  <c r="P17" i="10"/>
  <c r="AN22" i="11"/>
  <c r="R32" i="10"/>
  <c r="AZ22" i="11"/>
  <c r="R48" i="10" s="1"/>
  <c r="R17" i="10"/>
  <c r="AN23" i="11"/>
  <c r="S32" i="10"/>
  <c r="AZ23" i="11"/>
  <c r="S48" i="10" s="1"/>
  <c r="S17" i="10"/>
  <c r="AN24" i="11"/>
  <c r="T32" i="10"/>
  <c r="AZ24" i="11"/>
  <c r="T48" i="10" s="1"/>
  <c r="T17" i="10"/>
  <c r="AA32" i="10"/>
  <c r="AN31" i="11"/>
  <c r="AZ31" i="11"/>
  <c r="AA48" i="10" s="1"/>
  <c r="AA17" i="10"/>
  <c r="X36" i="11"/>
  <c r="AF9" i="10"/>
  <c r="X40" i="11"/>
  <c r="AJ9" i="10"/>
  <c r="X43" i="11"/>
  <c r="AM9" i="10"/>
  <c r="D7" i="13"/>
  <c r="AB9" i="10"/>
  <c r="X32" i="11"/>
  <c r="X41" i="11"/>
  <c r="AK9" i="10"/>
  <c r="X33" i="11"/>
  <c r="AC9" i="10"/>
  <c r="X35" i="11"/>
  <c r="AE9" i="10"/>
  <c r="X38" i="11"/>
  <c r="AH9" i="10"/>
  <c r="X39" i="11"/>
  <c r="AI9" i="10"/>
  <c r="X34" i="11"/>
  <c r="AD9" i="10"/>
  <c r="X37" i="11"/>
  <c r="AG9" i="10"/>
  <c r="X42" i="11"/>
  <c r="AL9" i="10"/>
  <c r="T44" i="11"/>
  <c r="U44" i="11" s="1"/>
  <c r="W44" i="11" s="1"/>
  <c r="T46" i="11"/>
  <c r="U46" i="11" s="1"/>
  <c r="W46" i="11" s="1"/>
  <c r="W51" i="11"/>
  <c r="T53" i="11"/>
  <c r="U53" i="11" s="1"/>
  <c r="W53" i="11" s="1"/>
  <c r="T47" i="11"/>
  <c r="U47" i="11" s="1"/>
  <c r="W47" i="11" s="1"/>
  <c r="W48" i="11"/>
  <c r="T49" i="11"/>
  <c r="U49" i="11" s="1"/>
  <c r="W49" i="11" s="1"/>
  <c r="T50" i="11"/>
  <c r="U50" i="11" s="1"/>
  <c r="W50" i="11" s="1"/>
  <c r="W52" i="11"/>
  <c r="W54" i="11"/>
  <c r="T55" i="11"/>
  <c r="U55" i="11" s="1"/>
  <c r="W55" i="11" s="1"/>
  <c r="X45" i="11"/>
  <c r="AO9" i="10"/>
  <c r="C16" i="16" l="1"/>
  <c r="AZ30" i="11"/>
  <c r="Z48" i="10" s="1"/>
  <c r="Z17" i="10"/>
  <c r="AN30" i="11"/>
  <c r="Z32" i="10"/>
  <c r="Q32" i="10"/>
  <c r="AN21" i="11"/>
  <c r="G17" i="1"/>
  <c r="C23" i="19"/>
  <c r="AZ21" i="11"/>
  <c r="Q48" i="10" s="1"/>
  <c r="Q17" i="10"/>
  <c r="C9" i="16"/>
  <c r="C11" i="5" s="1"/>
  <c r="C11" i="13"/>
  <c r="G19" i="1" s="1"/>
  <c r="AN25" i="11"/>
  <c r="U32" i="10"/>
  <c r="AZ25" i="11"/>
  <c r="U48" i="10" s="1"/>
  <c r="U17" i="10"/>
  <c r="AN26" i="11"/>
  <c r="V32" i="10"/>
  <c r="AZ26" i="11"/>
  <c r="V48" i="10" s="1"/>
  <c r="V17" i="10"/>
  <c r="AN27" i="11"/>
  <c r="W32" i="10"/>
  <c r="AZ27" i="11"/>
  <c r="W48" i="10" s="1"/>
  <c r="W17" i="10"/>
  <c r="AR8" i="11"/>
  <c r="B32" i="19"/>
  <c r="B9" i="14"/>
  <c r="AX8" i="11"/>
  <c r="Y56" i="11"/>
  <c r="AZ13" i="10"/>
  <c r="AK56" i="11"/>
  <c r="F17" i="13"/>
  <c r="Y57" i="11"/>
  <c r="BA15" i="10" s="1"/>
  <c r="BA13" i="10"/>
  <c r="BA29" i="10"/>
  <c r="Y58" i="11"/>
  <c r="BB15" i="10" s="1"/>
  <c r="BB13" i="10"/>
  <c r="BB29" i="10"/>
  <c r="Y59" i="11"/>
  <c r="BC15" i="10" s="1"/>
  <c r="BC13" i="10"/>
  <c r="BC29" i="10"/>
  <c r="Y60" i="11"/>
  <c r="BD15" i="10" s="1"/>
  <c r="BD13" i="10"/>
  <c r="BD29" i="10"/>
  <c r="Y61" i="11"/>
  <c r="BE15" i="10" s="1"/>
  <c r="BE13" i="10"/>
  <c r="BE29" i="10"/>
  <c r="Y62" i="11"/>
  <c r="BF15" i="10" s="1"/>
  <c r="BF13" i="10"/>
  <c r="BF29" i="10"/>
  <c r="Y63" i="11"/>
  <c r="BG15" i="10" s="1"/>
  <c r="BG13" i="10"/>
  <c r="BG29" i="10"/>
  <c r="Y64" i="11"/>
  <c r="BH15" i="10" s="1"/>
  <c r="BH13" i="10"/>
  <c r="BH29" i="10"/>
  <c r="Y65" i="11"/>
  <c r="BI15" i="10" s="1"/>
  <c r="BI13" i="10"/>
  <c r="BI29" i="10"/>
  <c r="Y66" i="11"/>
  <c r="BJ15" i="10" s="1"/>
  <c r="BJ13" i="10"/>
  <c r="BJ29" i="10"/>
  <c r="Y67" i="11"/>
  <c r="BK15" i="10" s="1"/>
  <c r="BK13" i="10"/>
  <c r="BK29" i="10"/>
  <c r="AN15" i="10"/>
  <c r="E10" i="13"/>
  <c r="I18" i="1" s="1"/>
  <c r="AN29" i="10"/>
  <c r="E20" i="13"/>
  <c r="E22" i="5"/>
  <c r="AO10" i="11"/>
  <c r="F34" i="10"/>
  <c r="AO11" i="11"/>
  <c r="G34" i="10"/>
  <c r="AO12" i="11"/>
  <c r="H34" i="10"/>
  <c r="AO15" i="11"/>
  <c r="K34" i="10"/>
  <c r="AO16" i="11"/>
  <c r="L34" i="10"/>
  <c r="AO17" i="11"/>
  <c r="M34" i="10"/>
  <c r="B6" i="17"/>
  <c r="B7" i="17" s="1"/>
  <c r="B9" i="17" s="1"/>
  <c r="B12" i="17" s="1"/>
  <c r="B16" i="17" s="1"/>
  <c r="AO19" i="11"/>
  <c r="O34" i="10"/>
  <c r="AO28" i="11"/>
  <c r="X34" i="10"/>
  <c r="AO29" i="11"/>
  <c r="Y34" i="10"/>
  <c r="AO8" i="11"/>
  <c r="B21" i="13"/>
  <c r="D34" i="10"/>
  <c r="B10" i="18"/>
  <c r="F19" i="1"/>
  <c r="B11" i="5"/>
  <c r="AO9" i="11"/>
  <c r="E34" i="10"/>
  <c r="AO13" i="11"/>
  <c r="I34" i="10"/>
  <c r="AO14" i="11"/>
  <c r="J34" i="10"/>
  <c r="AO18" i="11"/>
  <c r="N34" i="10"/>
  <c r="AO20" i="11"/>
  <c r="P34" i="10"/>
  <c r="AO22" i="11"/>
  <c r="R34" i="10"/>
  <c r="AO23" i="11"/>
  <c r="S34" i="10"/>
  <c r="AO24" i="11"/>
  <c r="T34" i="10"/>
  <c r="AO31" i="11"/>
  <c r="AA34" i="10"/>
  <c r="AF10" i="10"/>
  <c r="AM36" i="11"/>
  <c r="AF33" i="10" s="1"/>
  <c r="D26" i="16"/>
  <c r="AL36" i="11"/>
  <c r="Z36" i="11"/>
  <c r="AJ10" i="10"/>
  <c r="AM40" i="11"/>
  <c r="AJ33" i="10" s="1"/>
  <c r="D30" i="16"/>
  <c r="AL40" i="11"/>
  <c r="Z40" i="11"/>
  <c r="D33" i="16"/>
  <c r="AL43" i="11"/>
  <c r="AM10" i="10"/>
  <c r="AM43" i="11"/>
  <c r="AM33" i="10" s="1"/>
  <c r="Z43" i="11"/>
  <c r="D22" i="16"/>
  <c r="D15" i="16"/>
  <c r="D8" i="16"/>
  <c r="D8" i="13"/>
  <c r="Z32" i="11"/>
  <c r="AB10" i="10"/>
  <c r="AM32" i="11"/>
  <c r="AB33" i="10" s="1"/>
  <c r="AL32" i="11"/>
  <c r="AK10" i="10"/>
  <c r="Z41" i="11"/>
  <c r="D31" i="16"/>
  <c r="AM41" i="11"/>
  <c r="AK33" i="10" s="1"/>
  <c r="AL41" i="11"/>
  <c r="AC10" i="10"/>
  <c r="D23" i="16"/>
  <c r="AM33" i="11"/>
  <c r="AC33" i="10" s="1"/>
  <c r="AL33" i="11"/>
  <c r="Z33" i="11"/>
  <c r="AE10" i="10"/>
  <c r="D25" i="16"/>
  <c r="AM35" i="11"/>
  <c r="AE33" i="10" s="1"/>
  <c r="AL35" i="11"/>
  <c r="Z35" i="11"/>
  <c r="D28" i="16"/>
  <c r="AM38" i="11"/>
  <c r="AH33" i="10" s="1"/>
  <c r="AH10" i="10"/>
  <c r="AL38" i="11"/>
  <c r="Z38" i="11"/>
  <c r="D29" i="16"/>
  <c r="AM39" i="11"/>
  <c r="AI33" i="10" s="1"/>
  <c r="AL39" i="11"/>
  <c r="Z39" i="11"/>
  <c r="AI10" i="10"/>
  <c r="AD10" i="10"/>
  <c r="D24" i="16"/>
  <c r="AM34" i="11"/>
  <c r="AD33" i="10" s="1"/>
  <c r="AL34" i="11"/>
  <c r="Z34" i="11"/>
  <c r="D27" i="16"/>
  <c r="AM37" i="11"/>
  <c r="AG33" i="10" s="1"/>
  <c r="AG10" i="10"/>
  <c r="AL37" i="11"/>
  <c r="Z37" i="11"/>
  <c r="AL10" i="10"/>
  <c r="D32" i="16"/>
  <c r="AM42" i="11"/>
  <c r="AL33" i="10" s="1"/>
  <c r="AL42" i="11"/>
  <c r="Z42" i="11"/>
  <c r="AN9" i="10"/>
  <c r="E7" i="13"/>
  <c r="X44" i="11"/>
  <c r="X46" i="11"/>
  <c r="AP9" i="10"/>
  <c r="X51" i="11"/>
  <c r="AU9" i="10"/>
  <c r="X53" i="11"/>
  <c r="AW9" i="10"/>
  <c r="X47" i="11"/>
  <c r="AQ9" i="10"/>
  <c r="X48" i="11"/>
  <c r="AR9" i="10"/>
  <c r="X49" i="11"/>
  <c r="AS9" i="10"/>
  <c r="X50" i="11"/>
  <c r="AT9" i="10"/>
  <c r="X52" i="11"/>
  <c r="AV9" i="10"/>
  <c r="X54" i="11"/>
  <c r="AX9" i="10"/>
  <c r="X55" i="11"/>
  <c r="AY9" i="10"/>
  <c r="AO10" i="10"/>
  <c r="AL45" i="11"/>
  <c r="E23" i="16"/>
  <c r="AM45" i="11"/>
  <c r="AO33" i="10" s="1"/>
  <c r="Z45" i="11"/>
  <c r="E12" i="12"/>
  <c r="T56" i="11"/>
  <c r="U56" i="11" s="1"/>
  <c r="W56" i="11" s="1"/>
  <c r="T61" i="11"/>
  <c r="U61" i="11" s="1"/>
  <c r="W61" i="11" s="1"/>
  <c r="W66" i="11"/>
  <c r="T57" i="11"/>
  <c r="U57" i="11" s="1"/>
  <c r="W57" i="11" s="1"/>
  <c r="T58" i="11"/>
  <c r="U58" i="11" s="1"/>
  <c r="W58" i="11" s="1"/>
  <c r="T59" i="11"/>
  <c r="U59" i="11" s="1"/>
  <c r="W59" i="11" s="1"/>
  <c r="T60" i="11"/>
  <c r="U60" i="11" s="1"/>
  <c r="W60" i="11" s="1"/>
  <c r="T62" i="11"/>
  <c r="U62" i="11" s="1"/>
  <c r="W62" i="11" s="1"/>
  <c r="T63" i="11"/>
  <c r="U63" i="11" s="1"/>
  <c r="W63" i="11" s="1"/>
  <c r="W64" i="11"/>
  <c r="T65" i="11"/>
  <c r="U65" i="11" s="1"/>
  <c r="W65" i="11" s="1"/>
  <c r="T67" i="11"/>
  <c r="U67" i="11" s="1"/>
  <c r="W67" i="11" s="1"/>
  <c r="Z34" i="10" l="1"/>
  <c r="AO30" i="11"/>
  <c r="AO21" i="11"/>
  <c r="Q34" i="10"/>
  <c r="C21" i="13"/>
  <c r="AO25" i="11"/>
  <c r="U34" i="10"/>
  <c r="AO26" i="11"/>
  <c r="V34" i="10"/>
  <c r="AO27" i="11"/>
  <c r="W34" i="10"/>
  <c r="D42" i="10"/>
  <c r="B21" i="14"/>
  <c r="B8" i="15"/>
  <c r="B12" i="15" s="1"/>
  <c r="B25" i="15" s="1"/>
  <c r="F10" i="13"/>
  <c r="J18" i="1" s="1"/>
  <c r="AZ15" i="10"/>
  <c r="AZ29" i="10"/>
  <c r="F20" i="13"/>
  <c r="F22" i="5"/>
  <c r="AP10" i="11"/>
  <c r="F36" i="10"/>
  <c r="AP11" i="11"/>
  <c r="G36" i="10"/>
  <c r="AP12" i="11"/>
  <c r="H36" i="10"/>
  <c r="AP15" i="11"/>
  <c r="K36" i="10"/>
  <c r="AP16" i="11"/>
  <c r="L36" i="10"/>
  <c r="AP17" i="11"/>
  <c r="M36" i="10"/>
  <c r="AP19" i="11"/>
  <c r="O36" i="10"/>
  <c r="AP28" i="11"/>
  <c r="X36" i="10"/>
  <c r="AP29" i="11"/>
  <c r="Y36" i="10"/>
  <c r="AP8" i="11"/>
  <c r="D36" i="10"/>
  <c r="B22" i="13"/>
  <c r="F20" i="1" s="1"/>
  <c r="AP9" i="11"/>
  <c r="E36" i="10"/>
  <c r="AP13" i="11"/>
  <c r="I36" i="10"/>
  <c r="AP14" i="11"/>
  <c r="J36" i="10"/>
  <c r="AP18" i="11"/>
  <c r="N36" i="10"/>
  <c r="AP20" i="11"/>
  <c r="P36" i="10"/>
  <c r="AP22" i="11"/>
  <c r="R36" i="10"/>
  <c r="AP23" i="11"/>
  <c r="S36" i="10"/>
  <c r="AP24" i="11"/>
  <c r="T36" i="10"/>
  <c r="AP31" i="11"/>
  <c r="AA36" i="10"/>
  <c r="AN36" i="11"/>
  <c r="AF32" i="10"/>
  <c r="AZ36" i="11"/>
  <c r="AF48" i="10" s="1"/>
  <c r="AF17" i="10"/>
  <c r="AN40" i="11"/>
  <c r="AJ32" i="10"/>
  <c r="AZ40" i="11"/>
  <c r="AJ48" i="10" s="1"/>
  <c r="AJ17" i="10"/>
  <c r="AN43" i="11"/>
  <c r="AM32" i="10"/>
  <c r="AZ43" i="11"/>
  <c r="AM48" i="10" s="1"/>
  <c r="AM17" i="10"/>
  <c r="D10" i="5"/>
  <c r="D23" i="19"/>
  <c r="H17" i="1"/>
  <c r="AZ32" i="11"/>
  <c r="AB48" i="10" s="1"/>
  <c r="D11" i="13"/>
  <c r="D9" i="16"/>
  <c r="D16" i="16"/>
  <c r="AB17" i="10"/>
  <c r="AN32" i="11"/>
  <c r="AB32" i="10"/>
  <c r="AK17" i="10"/>
  <c r="AZ41" i="11"/>
  <c r="AK48" i="10" s="1"/>
  <c r="AN41" i="11"/>
  <c r="AK32" i="10"/>
  <c r="AN33" i="11"/>
  <c r="AC32" i="10"/>
  <c r="AZ33" i="11"/>
  <c r="AC48" i="10" s="1"/>
  <c r="AC17" i="10"/>
  <c r="AN35" i="11"/>
  <c r="AE32" i="10"/>
  <c r="AZ35" i="11"/>
  <c r="AE48" i="10" s="1"/>
  <c r="AE17" i="10"/>
  <c r="AH32" i="10"/>
  <c r="AN38" i="11"/>
  <c r="AH17" i="10"/>
  <c r="AZ38" i="11"/>
  <c r="AH48" i="10" s="1"/>
  <c r="AN39" i="11"/>
  <c r="AI32" i="10"/>
  <c r="AZ39" i="11"/>
  <c r="AI48" i="10" s="1"/>
  <c r="AI17" i="10"/>
  <c r="AN34" i="11"/>
  <c r="AD32" i="10"/>
  <c r="AZ34" i="11"/>
  <c r="AD48" i="10" s="1"/>
  <c r="AD17" i="10"/>
  <c r="AG32" i="10"/>
  <c r="AN37" i="11"/>
  <c r="AG17" i="10"/>
  <c r="AZ37" i="11"/>
  <c r="AG48" i="10" s="1"/>
  <c r="AN42" i="11"/>
  <c r="AL32" i="10"/>
  <c r="AZ42" i="11"/>
  <c r="AL48" i="10" s="1"/>
  <c r="AL17" i="10"/>
  <c r="E22" i="16"/>
  <c r="E15" i="16"/>
  <c r="E8" i="16"/>
  <c r="E8" i="13"/>
  <c r="AM44" i="11"/>
  <c r="AN33" i="10" s="1"/>
  <c r="AN10" i="10"/>
  <c r="AL44" i="11"/>
  <c r="Z44" i="11"/>
  <c r="E24" i="16"/>
  <c r="AP10" i="10"/>
  <c r="AM46" i="11"/>
  <c r="AP33" i="10" s="1"/>
  <c r="AL46" i="11"/>
  <c r="Z46" i="11"/>
  <c r="E29" i="16"/>
  <c r="AM51" i="11"/>
  <c r="AU33" i="10" s="1"/>
  <c r="AU10" i="10"/>
  <c r="AL51" i="11"/>
  <c r="Z51" i="11"/>
  <c r="AW10" i="10"/>
  <c r="AM53" i="11"/>
  <c r="AW33" i="10" s="1"/>
  <c r="E31" i="16"/>
  <c r="AL53" i="11"/>
  <c r="Z53" i="11"/>
  <c r="E25" i="16"/>
  <c r="AQ10" i="10"/>
  <c r="AM47" i="11"/>
  <c r="AQ33" i="10" s="1"/>
  <c r="AL47" i="11"/>
  <c r="Z47" i="11"/>
  <c r="E26" i="16"/>
  <c r="AM48" i="11"/>
  <c r="AR33" i="10" s="1"/>
  <c r="AR10" i="10"/>
  <c r="AL48" i="11"/>
  <c r="Z48" i="11"/>
  <c r="AS10" i="10"/>
  <c r="AM49" i="11"/>
  <c r="AS33" i="10" s="1"/>
  <c r="E27" i="16"/>
  <c r="AL49" i="11"/>
  <c r="Z49" i="11"/>
  <c r="E28" i="16"/>
  <c r="AL50" i="11"/>
  <c r="AT10" i="10"/>
  <c r="AM50" i="11"/>
  <c r="AT33" i="10" s="1"/>
  <c r="Z50" i="11"/>
  <c r="E30" i="16"/>
  <c r="AL52" i="11"/>
  <c r="AV10" i="10"/>
  <c r="AM52" i="11"/>
  <c r="AV33" i="10" s="1"/>
  <c r="Z52" i="11"/>
  <c r="AX10" i="10"/>
  <c r="AL54" i="11"/>
  <c r="E32" i="16"/>
  <c r="AM54" i="11"/>
  <c r="AX33" i="10" s="1"/>
  <c r="Z54" i="11"/>
  <c r="AY10" i="10"/>
  <c r="E33" i="16"/>
  <c r="AM55" i="11"/>
  <c r="AY33" i="10" s="1"/>
  <c r="AL55" i="11"/>
  <c r="Z55" i="11"/>
  <c r="AO32" i="10"/>
  <c r="AN45" i="11"/>
  <c r="AZ45" i="11"/>
  <c r="AO48" i="10" s="1"/>
  <c r="AO17" i="10"/>
  <c r="AV8" i="11"/>
  <c r="F12" i="12"/>
  <c r="B13" i="12" s="1"/>
  <c r="AZ9" i="10"/>
  <c r="F7" i="13"/>
  <c r="X56" i="11"/>
  <c r="X61" i="11"/>
  <c r="BE9" i="10"/>
  <c r="X66" i="11"/>
  <c r="BJ9" i="10"/>
  <c r="X57" i="11"/>
  <c r="BA9" i="10"/>
  <c r="X58" i="11"/>
  <c r="BB9" i="10"/>
  <c r="X59" i="11"/>
  <c r="BC9" i="10"/>
  <c r="X60" i="11"/>
  <c r="BD9" i="10"/>
  <c r="X62" i="11"/>
  <c r="BF9" i="10"/>
  <c r="X63" i="11"/>
  <c r="BG9" i="10"/>
  <c r="X64" i="11"/>
  <c r="BH9" i="10"/>
  <c r="X65" i="11"/>
  <c r="BI9" i="10"/>
  <c r="X67" i="11"/>
  <c r="BK9" i="10"/>
  <c r="G15" i="16"/>
  <c r="G22" i="16"/>
  <c r="G8" i="16"/>
  <c r="W36" i="10" l="1"/>
  <c r="AP27" i="11"/>
  <c r="AP30" i="11"/>
  <c r="Z36" i="10"/>
  <c r="AP21" i="11"/>
  <c r="Q36" i="10"/>
  <c r="C22" i="13"/>
  <c r="G20" i="1" s="1"/>
  <c r="AP25" i="11"/>
  <c r="U36" i="10"/>
  <c r="AP26" i="11"/>
  <c r="V36" i="10"/>
  <c r="F38" i="10"/>
  <c r="BA10" i="11"/>
  <c r="F49" i="10" s="1"/>
  <c r="G38" i="10"/>
  <c r="BA11" i="11"/>
  <c r="G49" i="10" s="1"/>
  <c r="H38" i="10"/>
  <c r="BA12" i="11"/>
  <c r="H49" i="10" s="1"/>
  <c r="K38" i="10"/>
  <c r="BA15" i="11"/>
  <c r="K49" i="10" s="1"/>
  <c r="L38" i="10"/>
  <c r="BA16" i="11"/>
  <c r="L49" i="10" s="1"/>
  <c r="M38" i="10"/>
  <c r="BA17" i="11"/>
  <c r="M49" i="10" s="1"/>
  <c r="O38" i="10"/>
  <c r="BA19" i="11"/>
  <c r="O49" i="10" s="1"/>
  <c r="X38" i="10"/>
  <c r="BA28" i="11"/>
  <c r="X49" i="10" s="1"/>
  <c r="Y38" i="10"/>
  <c r="BA29" i="11"/>
  <c r="Y49" i="10" s="1"/>
  <c r="D38" i="10"/>
  <c r="B17" i="16"/>
  <c r="B11" i="16"/>
  <c r="B12" i="14"/>
  <c r="B24" i="13"/>
  <c r="BA8" i="11"/>
  <c r="D49" i="10" s="1"/>
  <c r="AS8" i="11"/>
  <c r="E38" i="10"/>
  <c r="BA9" i="11"/>
  <c r="E49" i="10" s="1"/>
  <c r="I38" i="10"/>
  <c r="BA13" i="11"/>
  <c r="I49" i="10" s="1"/>
  <c r="J38" i="10"/>
  <c r="BA14" i="11"/>
  <c r="J49" i="10" s="1"/>
  <c r="N38" i="10"/>
  <c r="BA18" i="11"/>
  <c r="N49" i="10" s="1"/>
  <c r="P38" i="10"/>
  <c r="BA20" i="11"/>
  <c r="P49" i="10" s="1"/>
  <c r="R38" i="10"/>
  <c r="BA22" i="11"/>
  <c r="R49" i="10" s="1"/>
  <c r="S38" i="10"/>
  <c r="BA23" i="11"/>
  <c r="S49" i="10" s="1"/>
  <c r="T38" i="10"/>
  <c r="BA24" i="11"/>
  <c r="T49" i="10" s="1"/>
  <c r="AA38" i="10"/>
  <c r="BA31" i="11"/>
  <c r="AA49" i="10" s="1"/>
  <c r="AO36" i="11"/>
  <c r="AF34" i="10"/>
  <c r="AO40" i="11"/>
  <c r="AJ34" i="10"/>
  <c r="AO43" i="11"/>
  <c r="AM34" i="10"/>
  <c r="H19" i="1"/>
  <c r="D11" i="5"/>
  <c r="AO32" i="11"/>
  <c r="AB34" i="10"/>
  <c r="D21" i="13"/>
  <c r="AO41" i="11"/>
  <c r="AK34" i="10"/>
  <c r="AO33" i="11"/>
  <c r="AC34" i="10"/>
  <c r="AO35" i="11"/>
  <c r="AE34" i="10"/>
  <c r="AO38" i="11"/>
  <c r="AH34" i="10"/>
  <c r="AO39" i="11"/>
  <c r="AI34" i="10"/>
  <c r="AO34" i="11"/>
  <c r="AD34" i="10"/>
  <c r="AO37" i="11"/>
  <c r="AG34" i="10"/>
  <c r="AO42" i="11"/>
  <c r="AL34" i="10"/>
  <c r="E10" i="5"/>
  <c r="E23" i="19"/>
  <c r="I17" i="1"/>
  <c r="AN44" i="11"/>
  <c r="AN32" i="10"/>
  <c r="AN17" i="10"/>
  <c r="AZ44" i="11"/>
  <c r="AN48" i="10" s="1"/>
  <c r="E11" i="13"/>
  <c r="E9" i="16"/>
  <c r="E16" i="16"/>
  <c r="AN46" i="11"/>
  <c r="AP32" i="10"/>
  <c r="AZ46" i="11"/>
  <c r="AP48" i="10" s="1"/>
  <c r="AP17" i="10"/>
  <c r="AN51" i="11"/>
  <c r="AU32" i="10"/>
  <c r="AU17" i="10"/>
  <c r="AZ51" i="11"/>
  <c r="AU48" i="10" s="1"/>
  <c r="AN53" i="11"/>
  <c r="AW32" i="10"/>
  <c r="AZ53" i="11"/>
  <c r="AW48" i="10" s="1"/>
  <c r="AW17" i="10"/>
  <c r="AN47" i="11"/>
  <c r="AQ32" i="10"/>
  <c r="AZ47" i="11"/>
  <c r="AQ48" i="10" s="1"/>
  <c r="AQ17" i="10"/>
  <c r="AR32" i="10"/>
  <c r="AN48" i="11"/>
  <c r="AR17" i="10"/>
  <c r="AZ48" i="11"/>
  <c r="AR48" i="10" s="1"/>
  <c r="AN49" i="11"/>
  <c r="AS32" i="10"/>
  <c r="AZ49" i="11"/>
  <c r="AS48" i="10" s="1"/>
  <c r="AS17" i="10"/>
  <c r="AN50" i="11"/>
  <c r="AT32" i="10"/>
  <c r="AT17" i="10"/>
  <c r="AZ50" i="11"/>
  <c r="AT48" i="10" s="1"/>
  <c r="AN52" i="11"/>
  <c r="AV32" i="10"/>
  <c r="AZ52" i="11"/>
  <c r="AV48" i="10" s="1"/>
  <c r="AV17" i="10"/>
  <c r="AX32" i="10"/>
  <c r="AN54" i="11"/>
  <c r="AZ54" i="11"/>
  <c r="AX48" i="10" s="1"/>
  <c r="AX17" i="10"/>
  <c r="AN55" i="11"/>
  <c r="AY32" i="10"/>
  <c r="AZ55" i="11"/>
  <c r="AY48" i="10" s="1"/>
  <c r="AY17" i="10"/>
  <c r="AO45" i="11"/>
  <c r="AO34" i="10"/>
  <c r="D13" i="12"/>
  <c r="AZ10" i="10"/>
  <c r="F22" i="16"/>
  <c r="F15" i="16"/>
  <c r="F8" i="16"/>
  <c r="F8" i="13"/>
  <c r="AM56" i="11"/>
  <c r="AZ33" i="10" s="1"/>
  <c r="AL56" i="11"/>
  <c r="Z56" i="11"/>
  <c r="G27" i="16"/>
  <c r="BE10" i="10"/>
  <c r="F27" i="16"/>
  <c r="AM61" i="11"/>
  <c r="BE33" i="10" s="1"/>
  <c r="AL61" i="11"/>
  <c r="Z61" i="11"/>
  <c r="G32" i="16"/>
  <c r="BJ10" i="10"/>
  <c r="F32" i="16"/>
  <c r="AM66" i="11"/>
  <c r="BJ33" i="10" s="1"/>
  <c r="AL66" i="11"/>
  <c r="Z66" i="11"/>
  <c r="G23" i="16"/>
  <c r="BA10" i="10"/>
  <c r="F23" i="16"/>
  <c r="AM57" i="11"/>
  <c r="BA33" i="10" s="1"/>
  <c r="AL57" i="11"/>
  <c r="Z57" i="11"/>
  <c r="G24" i="16"/>
  <c r="BB10" i="10"/>
  <c r="F24" i="16"/>
  <c r="AM58" i="11"/>
  <c r="BB33" i="10" s="1"/>
  <c r="AL58" i="11"/>
  <c r="Z58" i="11"/>
  <c r="G25" i="16"/>
  <c r="BC10" i="10"/>
  <c r="F25" i="16"/>
  <c r="AM59" i="11"/>
  <c r="BC33" i="10" s="1"/>
  <c r="AL59" i="11"/>
  <c r="Z59" i="11"/>
  <c r="G26" i="16"/>
  <c r="BD10" i="10"/>
  <c r="F26" i="16"/>
  <c r="AM60" i="11"/>
  <c r="BD33" i="10" s="1"/>
  <c r="AL60" i="11"/>
  <c r="Z60" i="11"/>
  <c r="G28" i="16"/>
  <c r="BF10" i="10"/>
  <c r="F28" i="16"/>
  <c r="AM62" i="11"/>
  <c r="BF33" i="10" s="1"/>
  <c r="AL62" i="11"/>
  <c r="Z62" i="11"/>
  <c r="G29" i="16"/>
  <c r="BG10" i="10"/>
  <c r="F29" i="16"/>
  <c r="AM63" i="11"/>
  <c r="BG33" i="10" s="1"/>
  <c r="AL63" i="11"/>
  <c r="Z63" i="11"/>
  <c r="G30" i="16"/>
  <c r="BH10" i="10"/>
  <c r="F30" i="16"/>
  <c r="AM64" i="11"/>
  <c r="BH33" i="10" s="1"/>
  <c r="AL64" i="11"/>
  <c r="Z64" i="11"/>
  <c r="G31" i="16"/>
  <c r="BI10" i="10"/>
  <c r="F31" i="16"/>
  <c r="AM65" i="11"/>
  <c r="BI33" i="10" s="1"/>
  <c r="AL65" i="11"/>
  <c r="Z65" i="11"/>
  <c r="G33" i="16"/>
  <c r="BK10" i="10"/>
  <c r="F33" i="16"/>
  <c r="AM67" i="11"/>
  <c r="BK33" i="10" s="1"/>
  <c r="AL67" i="11"/>
  <c r="Z67" i="11"/>
  <c r="T23" i="20" s="1"/>
  <c r="G16" i="16"/>
  <c r="G9" i="16"/>
  <c r="W38" i="10" l="1"/>
  <c r="BA27" i="11"/>
  <c r="W49" i="10" s="1"/>
  <c r="Z38" i="10"/>
  <c r="BA30" i="11"/>
  <c r="Z49" i="10" s="1"/>
  <c r="Q38" i="10"/>
  <c r="BA21" i="11"/>
  <c r="Q49" i="10" s="1"/>
  <c r="C17" i="16"/>
  <c r="C11" i="16"/>
  <c r="C12" i="5" s="1"/>
  <c r="C12" i="14"/>
  <c r="C24" i="13"/>
  <c r="U38" i="10"/>
  <c r="BA25" i="11"/>
  <c r="U49" i="10" s="1"/>
  <c r="V38" i="10"/>
  <c r="BA26" i="11"/>
  <c r="V49" i="10" s="1"/>
  <c r="B12" i="5"/>
  <c r="B31" i="13"/>
  <c r="B11" i="18" s="1"/>
  <c r="B17" i="19"/>
  <c r="B19" i="19" s="1"/>
  <c r="F21" i="1"/>
  <c r="AT8" i="11"/>
  <c r="AU8" i="11" s="1"/>
  <c r="D43" i="10"/>
  <c r="AP36" i="11"/>
  <c r="AF36" i="10"/>
  <c r="AP40" i="11"/>
  <c r="AJ36" i="10"/>
  <c r="AP43" i="11"/>
  <c r="AM36" i="10"/>
  <c r="AP32" i="11"/>
  <c r="D22" i="13"/>
  <c r="H20" i="1" s="1"/>
  <c r="AB36" i="10"/>
  <c r="AP41" i="11"/>
  <c r="AK36" i="10"/>
  <c r="AP33" i="11"/>
  <c r="AC36" i="10"/>
  <c r="AP35" i="11"/>
  <c r="AE36" i="10"/>
  <c r="AP38" i="11"/>
  <c r="AH36" i="10"/>
  <c r="AP39" i="11"/>
  <c r="AI36" i="10"/>
  <c r="AP34" i="11"/>
  <c r="AD36" i="10"/>
  <c r="AP37" i="11"/>
  <c r="AG36" i="10"/>
  <c r="AP42" i="11"/>
  <c r="AL36" i="10"/>
  <c r="AO44" i="11"/>
  <c r="AN34" i="10"/>
  <c r="E21" i="13"/>
  <c r="I19" i="1"/>
  <c r="E11" i="5"/>
  <c r="AO46" i="11"/>
  <c r="AP34" i="10"/>
  <c r="AO51" i="11"/>
  <c r="AU34" i="10"/>
  <c r="AO53" i="11"/>
  <c r="AW34" i="10"/>
  <c r="AO47" i="11"/>
  <c r="AQ34" i="10"/>
  <c r="AO48" i="11"/>
  <c r="AR34" i="10"/>
  <c r="AO49" i="11"/>
  <c r="AS34" i="10"/>
  <c r="AO50" i="11"/>
  <c r="AT34" i="10"/>
  <c r="AO52" i="11"/>
  <c r="AV34" i="10"/>
  <c r="AO54" i="11"/>
  <c r="AX34" i="10"/>
  <c r="AO55" i="11"/>
  <c r="AY34" i="10"/>
  <c r="AP45" i="11"/>
  <c r="AO36" i="10"/>
  <c r="E13" i="12"/>
  <c r="AR9" i="11"/>
  <c r="F10" i="5"/>
  <c r="C13" i="18"/>
  <c r="F23" i="19"/>
  <c r="J17" i="1"/>
  <c r="AN56" i="11"/>
  <c r="AZ32" i="10"/>
  <c r="AZ56" i="11"/>
  <c r="AZ48" i="10" s="1"/>
  <c r="F11" i="13"/>
  <c r="F9" i="16"/>
  <c r="F16" i="16"/>
  <c r="AZ17" i="10"/>
  <c r="AN61" i="11"/>
  <c r="BE32" i="10"/>
  <c r="AZ61" i="11"/>
  <c r="BE48" i="10" s="1"/>
  <c r="BE17" i="10"/>
  <c r="AN66" i="11"/>
  <c r="BJ32" i="10"/>
  <c r="AZ66" i="11"/>
  <c r="BJ48" i="10" s="1"/>
  <c r="BJ17" i="10"/>
  <c r="AN57" i="11"/>
  <c r="BA32" i="10"/>
  <c r="AZ57" i="11"/>
  <c r="BA48" i="10" s="1"/>
  <c r="BA17" i="10"/>
  <c r="AN58" i="11"/>
  <c r="BB32" i="10"/>
  <c r="AZ58" i="11"/>
  <c r="BB48" i="10" s="1"/>
  <c r="BB17" i="10"/>
  <c r="AN59" i="11"/>
  <c r="BC32" i="10"/>
  <c r="AZ59" i="11"/>
  <c r="BC48" i="10" s="1"/>
  <c r="BC17" i="10"/>
  <c r="AN60" i="11"/>
  <c r="BD32" i="10"/>
  <c r="AZ60" i="11"/>
  <c r="BD48" i="10" s="1"/>
  <c r="BD17" i="10"/>
  <c r="AN62" i="11"/>
  <c r="BF32" i="10"/>
  <c r="AZ62" i="11"/>
  <c r="BF48" i="10" s="1"/>
  <c r="BF17" i="10"/>
  <c r="AN63" i="11"/>
  <c r="BG32" i="10"/>
  <c r="AZ63" i="11"/>
  <c r="BG48" i="10" s="1"/>
  <c r="BG17" i="10"/>
  <c r="AN64" i="11"/>
  <c r="BH32" i="10"/>
  <c r="AZ64" i="11"/>
  <c r="BH48" i="10" s="1"/>
  <c r="BH17" i="10"/>
  <c r="AN65" i="11"/>
  <c r="BI32" i="10"/>
  <c r="AZ65" i="11"/>
  <c r="BI48" i="10" s="1"/>
  <c r="BI17" i="10"/>
  <c r="AN67" i="11"/>
  <c r="BK32" i="10"/>
  <c r="AZ67" i="11"/>
  <c r="BK48" i="10" s="1"/>
  <c r="BK17" i="10"/>
  <c r="C31" i="13" l="1"/>
  <c r="C17" i="19"/>
  <c r="C19" i="19" s="1"/>
  <c r="C20" i="19" s="1"/>
  <c r="C21" i="19" s="1"/>
  <c r="C24" i="19" s="1"/>
  <c r="C26" i="19" s="1"/>
  <c r="G21" i="1"/>
  <c r="B20" i="19"/>
  <c r="B21" i="19" s="1"/>
  <c r="B24" i="19" s="1"/>
  <c r="B26" i="19" s="1"/>
  <c r="D44" i="10"/>
  <c r="AW8" i="11"/>
  <c r="BB8" i="11"/>
  <c r="D50" i="10" s="1"/>
  <c r="D45" i="10"/>
  <c r="AF38" i="10"/>
  <c r="BA36" i="11"/>
  <c r="AF49" i="10" s="1"/>
  <c r="AJ38" i="10"/>
  <c r="BA40" i="11"/>
  <c r="AJ49" i="10" s="1"/>
  <c r="AM38" i="10"/>
  <c r="BA43" i="11"/>
  <c r="AM49" i="10" s="1"/>
  <c r="D17" i="16"/>
  <c r="D11" i="16"/>
  <c r="D12" i="14"/>
  <c r="D24" i="13"/>
  <c r="BA32" i="11"/>
  <c r="AB49" i="10" s="1"/>
  <c r="AB38" i="10"/>
  <c r="AK38" i="10"/>
  <c r="BA41" i="11"/>
  <c r="AK49" i="10" s="1"/>
  <c r="AC38" i="10"/>
  <c r="BA33" i="11"/>
  <c r="AC49" i="10" s="1"/>
  <c r="AE38" i="10"/>
  <c r="BA35" i="11"/>
  <c r="AE49" i="10" s="1"/>
  <c r="AH38" i="10"/>
  <c r="BA38" i="11"/>
  <c r="AH49" i="10" s="1"/>
  <c r="AI38" i="10"/>
  <c r="BA39" i="11"/>
  <c r="AI49" i="10" s="1"/>
  <c r="AD38" i="10"/>
  <c r="BA34" i="11"/>
  <c r="AD49" i="10" s="1"/>
  <c r="AG38" i="10"/>
  <c r="BA37" i="11"/>
  <c r="AG49" i="10" s="1"/>
  <c r="AL38" i="10"/>
  <c r="BA42" i="11"/>
  <c r="AL49" i="10" s="1"/>
  <c r="AP44" i="11"/>
  <c r="AN36" i="10"/>
  <c r="E22" i="13"/>
  <c r="I20" i="1" s="1"/>
  <c r="AP46" i="11"/>
  <c r="AP36" i="10"/>
  <c r="AP51" i="11"/>
  <c r="AU36" i="10"/>
  <c r="AP53" i="11"/>
  <c r="AW36" i="10"/>
  <c r="AP47" i="11"/>
  <c r="AQ36" i="10"/>
  <c r="AP48" i="11"/>
  <c r="AR36" i="10"/>
  <c r="AP49" i="11"/>
  <c r="AS36" i="10"/>
  <c r="AP50" i="11"/>
  <c r="AT36" i="10"/>
  <c r="AP52" i="11"/>
  <c r="AV36" i="10"/>
  <c r="AP54" i="11"/>
  <c r="AX36" i="10"/>
  <c r="AP55" i="11"/>
  <c r="AY36" i="10"/>
  <c r="AO38" i="10"/>
  <c r="BA45" i="11"/>
  <c r="AO49" i="10" s="1"/>
  <c r="F13" i="12"/>
  <c r="B14" i="12" s="1"/>
  <c r="AV9" i="11"/>
  <c r="AS9" i="11"/>
  <c r="E42" i="10"/>
  <c r="AO56" i="11"/>
  <c r="F21" i="13"/>
  <c r="AZ34" i="10"/>
  <c r="C10" i="18"/>
  <c r="J19" i="1"/>
  <c r="F11" i="5"/>
  <c r="AO61" i="11"/>
  <c r="BE34" i="10"/>
  <c r="AO66" i="11"/>
  <c r="BJ34" i="10"/>
  <c r="AO57" i="11"/>
  <c r="BA34" i="10"/>
  <c r="AO58" i="11"/>
  <c r="BB34" i="10"/>
  <c r="AO59" i="11"/>
  <c r="BC34" i="10"/>
  <c r="AO60" i="11"/>
  <c r="BD34" i="10"/>
  <c r="AO62" i="11"/>
  <c r="BF34" i="10"/>
  <c r="AO63" i="11"/>
  <c r="BG34" i="10"/>
  <c r="AO64" i="11"/>
  <c r="BH34" i="10"/>
  <c r="AO65" i="11"/>
  <c r="BI34" i="10"/>
  <c r="AO67" i="11"/>
  <c r="BK34" i="10"/>
  <c r="AY8" i="11" l="1"/>
  <c r="AX9" i="11" s="1"/>
  <c r="D12" i="5"/>
  <c r="D31" i="13"/>
  <c r="D17" i="19"/>
  <c r="D19" i="19" s="1"/>
  <c r="H21" i="1"/>
  <c r="AN38" i="10"/>
  <c r="E17" i="16"/>
  <c r="E11" i="16"/>
  <c r="E12" i="14"/>
  <c r="E24" i="13"/>
  <c r="BA44" i="11"/>
  <c r="AN49" i="10" s="1"/>
  <c r="AP38" i="10"/>
  <c r="BA46" i="11"/>
  <c r="AP49" i="10" s="1"/>
  <c r="AU38" i="10"/>
  <c r="BA51" i="11"/>
  <c r="AU49" i="10" s="1"/>
  <c r="AW38" i="10"/>
  <c r="BA53" i="11"/>
  <c r="AW49" i="10" s="1"/>
  <c r="AQ38" i="10"/>
  <c r="BA47" i="11"/>
  <c r="AQ49" i="10" s="1"/>
  <c r="AR38" i="10"/>
  <c r="BA48" i="11"/>
  <c r="AR49" i="10" s="1"/>
  <c r="AS38" i="10"/>
  <c r="BA49" i="11"/>
  <c r="AS49" i="10" s="1"/>
  <c r="BA50" i="11"/>
  <c r="AT49" i="10" s="1"/>
  <c r="AT38" i="10"/>
  <c r="AV38" i="10"/>
  <c r="BA52" i="11"/>
  <c r="AV49" i="10" s="1"/>
  <c r="AX38" i="10"/>
  <c r="BA54" i="11"/>
  <c r="AX49" i="10" s="1"/>
  <c r="AY38" i="10"/>
  <c r="BA55" i="11"/>
  <c r="AY49" i="10" s="1"/>
  <c r="D14" i="12"/>
  <c r="E43" i="10"/>
  <c r="AT9" i="11"/>
  <c r="AU9" i="11" s="1"/>
  <c r="AP56" i="11"/>
  <c r="AZ36" i="10"/>
  <c r="F22" i="13"/>
  <c r="J20" i="1" s="1"/>
  <c r="AP61" i="11"/>
  <c r="BE36" i="10"/>
  <c r="AP66" i="11"/>
  <c r="BJ36" i="10"/>
  <c r="AP57" i="11"/>
  <c r="BA36" i="10"/>
  <c r="AP58" i="11"/>
  <c r="BB36" i="10"/>
  <c r="AP59" i="11"/>
  <c r="BC36" i="10"/>
  <c r="AP60" i="11"/>
  <c r="BD36" i="10"/>
  <c r="AP62" i="11"/>
  <c r="BF36" i="10"/>
  <c r="AP63" i="11"/>
  <c r="BG36" i="10"/>
  <c r="AP64" i="11"/>
  <c r="BH36" i="10"/>
  <c r="AP65" i="11"/>
  <c r="BI36" i="10"/>
  <c r="AP67" i="11"/>
  <c r="BK36" i="10"/>
  <c r="G11" i="16" l="1"/>
  <c r="G17" i="16"/>
  <c r="D20" i="19"/>
  <c r="D21" i="19" s="1"/>
  <c r="D24" i="19" s="1"/>
  <c r="D26" i="19" s="1"/>
  <c r="E12" i="5"/>
  <c r="E31" i="13"/>
  <c r="E17" i="19"/>
  <c r="E19" i="19" s="1"/>
  <c r="I21" i="1"/>
  <c r="E14" i="12"/>
  <c r="AR10" i="11"/>
  <c r="AW9" i="11"/>
  <c r="BB9" i="11"/>
  <c r="E50" i="10" s="1"/>
  <c r="E45" i="10"/>
  <c r="E44" i="10"/>
  <c r="AZ38" i="10"/>
  <c r="F17" i="16"/>
  <c r="F11" i="16"/>
  <c r="F12" i="14"/>
  <c r="F24" i="13"/>
  <c r="BA56" i="11"/>
  <c r="AZ49" i="10" s="1"/>
  <c r="BE38" i="10"/>
  <c r="BA61" i="11"/>
  <c r="BE49" i="10" s="1"/>
  <c r="BJ38" i="10"/>
  <c r="BA66" i="11"/>
  <c r="BJ49" i="10" s="1"/>
  <c r="BA38" i="10"/>
  <c r="BA57" i="11"/>
  <c r="BA49" i="10" s="1"/>
  <c r="BB38" i="10"/>
  <c r="BA58" i="11"/>
  <c r="BB49" i="10" s="1"/>
  <c r="BC38" i="10"/>
  <c r="BA59" i="11"/>
  <c r="BC49" i="10" s="1"/>
  <c r="BD38" i="10"/>
  <c r="BA60" i="11"/>
  <c r="BD49" i="10" s="1"/>
  <c r="BF38" i="10"/>
  <c r="BA62" i="11"/>
  <c r="BF49" i="10" s="1"/>
  <c r="BG38" i="10"/>
  <c r="BA63" i="11"/>
  <c r="BG49" i="10" s="1"/>
  <c r="BH38" i="10"/>
  <c r="BA64" i="11"/>
  <c r="BH49" i="10" s="1"/>
  <c r="BI38" i="10"/>
  <c r="BA65" i="11"/>
  <c r="BI49" i="10" s="1"/>
  <c r="BK38" i="10"/>
  <c r="BA67" i="11"/>
  <c r="BK49" i="10" s="1"/>
  <c r="E20" i="19" l="1"/>
  <c r="E21" i="19" s="1"/>
  <c r="E24" i="19" s="1"/>
  <c r="E26" i="19" s="1"/>
  <c r="F14" i="12"/>
  <c r="B15" i="12" s="1"/>
  <c r="AV10" i="11"/>
  <c r="AS10" i="11"/>
  <c r="F42" i="10"/>
  <c r="AY9" i="11"/>
  <c r="AX10" i="11" s="1"/>
  <c r="F12" i="5"/>
  <c r="F31" i="13"/>
  <c r="C11" i="18" s="1"/>
  <c r="F17" i="19"/>
  <c r="F19" i="19" s="1"/>
  <c r="B37" i="19"/>
  <c r="B39" i="19" s="1"/>
  <c r="C37" i="19"/>
  <c r="C39" i="19" s="1"/>
  <c r="D37" i="19"/>
  <c r="D39" i="19" s="1"/>
  <c r="J21" i="1"/>
  <c r="D15" i="12" l="1"/>
  <c r="F43" i="10"/>
  <c r="AT10" i="11"/>
  <c r="AU10" i="11" s="1"/>
  <c r="F20" i="19"/>
  <c r="F21" i="19" s="1"/>
  <c r="F24" i="19" s="1"/>
  <c r="E15" i="12" l="1"/>
  <c r="AR11" i="11"/>
  <c r="AW10" i="11"/>
  <c r="BB10" i="11"/>
  <c r="F50" i="10" s="1"/>
  <c r="F45" i="10"/>
  <c r="F44" i="10"/>
  <c r="F26" i="19"/>
  <c r="B28" i="19" s="1"/>
  <c r="B29" i="19"/>
  <c r="B30" i="19" s="1"/>
  <c r="F15" i="12" l="1"/>
  <c r="B16" i="12" s="1"/>
  <c r="AV11" i="11"/>
  <c r="AS11" i="11"/>
  <c r="G42" i="10"/>
  <c r="AY10" i="11"/>
  <c r="AX11" i="11" s="1"/>
  <c r="B31" i="19"/>
  <c r="D16" i="12" l="1"/>
  <c r="G43" i="10"/>
  <c r="AT11" i="11"/>
  <c r="AU11" i="11" s="1"/>
  <c r="F11" i="1"/>
  <c r="B33" i="19"/>
  <c r="E16" i="12" l="1"/>
  <c r="AR12" i="11"/>
  <c r="AW11" i="11"/>
  <c r="BB11" i="11"/>
  <c r="G50" i="10" s="1"/>
  <c r="G45" i="10"/>
  <c r="G44" i="10"/>
  <c r="F12" i="1"/>
  <c r="B44" i="19"/>
  <c r="F16" i="12" l="1"/>
  <c r="B17" i="12" s="1"/>
  <c r="AV12" i="11"/>
  <c r="AS12" i="11"/>
  <c r="H42" i="10"/>
  <c r="AY11" i="11"/>
  <c r="AX12" i="11" s="1"/>
  <c r="D17" i="12" l="1"/>
  <c r="H43" i="10"/>
  <c r="AT12" i="11"/>
  <c r="E17" i="12" l="1"/>
  <c r="AR13" i="11"/>
  <c r="H44" i="10"/>
  <c r="AU12" i="11"/>
  <c r="F17" i="12" l="1"/>
  <c r="B18" i="12" s="1"/>
  <c r="AV13" i="11"/>
  <c r="AS13" i="11"/>
  <c r="I42" i="10"/>
  <c r="H45" i="10"/>
  <c r="BB12" i="11"/>
  <c r="H50" i="10" s="1"/>
  <c r="AW12" i="11"/>
  <c r="AY12" i="11" s="1"/>
  <c r="AX13" i="11" s="1"/>
  <c r="D18" i="12" l="1"/>
  <c r="I43" i="10"/>
  <c r="AT13" i="11"/>
  <c r="E18" i="12" l="1"/>
  <c r="AR14" i="11"/>
  <c r="I44" i="10"/>
  <c r="AU13" i="11"/>
  <c r="F18" i="12" l="1"/>
  <c r="B19" i="12" s="1"/>
  <c r="AV14" i="11"/>
  <c r="AS14" i="11"/>
  <c r="J42" i="10"/>
  <c r="I45" i="10"/>
  <c r="BB13" i="11"/>
  <c r="I50" i="10" s="1"/>
  <c r="AW13" i="11"/>
  <c r="AY13" i="11" s="1"/>
  <c r="AX14" i="11" s="1"/>
  <c r="D19" i="12" l="1"/>
  <c r="J43" i="10"/>
  <c r="AT14" i="11"/>
  <c r="E19" i="12" l="1"/>
  <c r="AR15" i="11"/>
  <c r="J44" i="10"/>
  <c r="AU14" i="11"/>
  <c r="F19" i="12" l="1"/>
  <c r="B20" i="12" s="1"/>
  <c r="AV15" i="11"/>
  <c r="AS15" i="11"/>
  <c r="K42" i="10"/>
  <c r="J45" i="10"/>
  <c r="BB14" i="11"/>
  <c r="J50" i="10" s="1"/>
  <c r="AW14" i="11"/>
  <c r="AY14" i="11" s="1"/>
  <c r="AX15" i="11" s="1"/>
  <c r="D20" i="12" l="1"/>
  <c r="K43" i="10"/>
  <c r="AT15" i="11"/>
  <c r="E20" i="12" l="1"/>
  <c r="AR16" i="11"/>
  <c r="K44" i="10"/>
  <c r="AU15" i="11"/>
  <c r="F20" i="12" l="1"/>
  <c r="B21" i="12" s="1"/>
  <c r="AV16" i="11"/>
  <c r="AS16" i="11"/>
  <c r="L42" i="10"/>
  <c r="K45" i="10"/>
  <c r="BB15" i="11"/>
  <c r="K50" i="10" s="1"/>
  <c r="AW15" i="11"/>
  <c r="AY15" i="11" s="1"/>
  <c r="AX16" i="11" s="1"/>
  <c r="D21" i="12" l="1"/>
  <c r="L43" i="10"/>
  <c r="AT16" i="11"/>
  <c r="E21" i="12" l="1"/>
  <c r="AR17" i="11"/>
  <c r="L44" i="10"/>
  <c r="AU16" i="11"/>
  <c r="F21" i="12" l="1"/>
  <c r="B22" i="12" s="1"/>
  <c r="AV17" i="11"/>
  <c r="AS17" i="11"/>
  <c r="M42" i="10"/>
  <c r="L45" i="10"/>
  <c r="BB16" i="11"/>
  <c r="L50" i="10" s="1"/>
  <c r="AW16" i="11"/>
  <c r="AY16" i="11" s="1"/>
  <c r="AX17" i="11" s="1"/>
  <c r="D22" i="12" l="1"/>
  <c r="M43" i="10"/>
  <c r="AT17" i="11"/>
  <c r="E22" i="12" l="1"/>
  <c r="AR18" i="11"/>
  <c r="M44" i="10"/>
  <c r="AU17" i="11"/>
  <c r="F22" i="12" l="1"/>
  <c r="B23" i="12" s="1"/>
  <c r="AV18" i="11"/>
  <c r="AS18" i="11"/>
  <c r="N42" i="10"/>
  <c r="M45" i="10"/>
  <c r="BB17" i="11"/>
  <c r="M50" i="10" s="1"/>
  <c r="AW17" i="11"/>
  <c r="AY17" i="11" s="1"/>
  <c r="AX18" i="11" s="1"/>
  <c r="D23" i="12" l="1"/>
  <c r="N43" i="10"/>
  <c r="AT18" i="11"/>
  <c r="D73" i="12" l="1"/>
  <c r="E23" i="12"/>
  <c r="AR19" i="11"/>
  <c r="N44" i="10"/>
  <c r="AU18" i="11"/>
  <c r="F23" i="12" l="1"/>
  <c r="E73" i="12"/>
  <c r="AV19" i="11"/>
  <c r="AS19" i="11"/>
  <c r="O42" i="10"/>
  <c r="N45" i="10"/>
  <c r="BB18" i="11"/>
  <c r="N50" i="10" s="1"/>
  <c r="AW18" i="11"/>
  <c r="AY18" i="11" s="1"/>
  <c r="AX19" i="11" s="1"/>
  <c r="C15" i="15" l="1"/>
  <c r="C16" i="15" s="1"/>
  <c r="B24" i="12"/>
  <c r="O43" i="10"/>
  <c r="AT19" i="11"/>
  <c r="D24" i="12" l="1"/>
  <c r="O44" i="10"/>
  <c r="AU19" i="11"/>
  <c r="E24" i="12" l="1"/>
  <c r="AR20" i="11"/>
  <c r="O45" i="10"/>
  <c r="BB19" i="11"/>
  <c r="O50" i="10" s="1"/>
  <c r="AW19" i="11"/>
  <c r="AY19" i="11" s="1"/>
  <c r="AX20" i="11" s="1"/>
  <c r="F24" i="12" l="1"/>
  <c r="B25" i="12" s="1"/>
  <c r="AV20" i="11"/>
  <c r="AS20" i="11"/>
  <c r="P42" i="10"/>
  <c r="D25" i="12" l="1"/>
  <c r="P43" i="10"/>
  <c r="AT20" i="11"/>
  <c r="AU20" i="11" s="1"/>
  <c r="E25" i="12" l="1"/>
  <c r="AR21" i="11"/>
  <c r="AW20" i="11"/>
  <c r="BB20" i="11"/>
  <c r="P50" i="10" s="1"/>
  <c r="P45" i="10"/>
  <c r="P44" i="10"/>
  <c r="F25" i="12" l="1"/>
  <c r="B26" i="12" s="1"/>
  <c r="AV21" i="11"/>
  <c r="AS21" i="11"/>
  <c r="Q42" i="10"/>
  <c r="AY20" i="11"/>
  <c r="AX21" i="11" s="1"/>
  <c r="D26" i="12" l="1"/>
  <c r="Q43" i="10"/>
  <c r="AT21" i="11"/>
  <c r="AU21" i="11" s="1"/>
  <c r="E26" i="12" l="1"/>
  <c r="AR22" i="11"/>
  <c r="AW21" i="11"/>
  <c r="BB21" i="11"/>
  <c r="Q50" i="10" s="1"/>
  <c r="Q45" i="10"/>
  <c r="Q44" i="10"/>
  <c r="F26" i="12" l="1"/>
  <c r="B27" i="12" s="1"/>
  <c r="AV22" i="11"/>
  <c r="AS22" i="11"/>
  <c r="R42" i="10"/>
  <c r="AY21" i="11"/>
  <c r="AX22" i="11" s="1"/>
  <c r="D27" i="12" l="1"/>
  <c r="R43" i="10"/>
  <c r="AT22" i="11"/>
  <c r="AU22" i="11" s="1"/>
  <c r="E27" i="12" l="1"/>
  <c r="AR23" i="11"/>
  <c r="AW22" i="11"/>
  <c r="BB22" i="11"/>
  <c r="R50" i="10" s="1"/>
  <c r="R45" i="10"/>
  <c r="R44" i="10"/>
  <c r="F27" i="12" l="1"/>
  <c r="B28" i="12" s="1"/>
  <c r="AV23" i="11"/>
  <c r="AS23" i="11"/>
  <c r="S42" i="10"/>
  <c r="AY22" i="11"/>
  <c r="AX23" i="11" s="1"/>
  <c r="D28" i="12" l="1"/>
  <c r="S43" i="10"/>
  <c r="AT23" i="11"/>
  <c r="AU23" i="11" s="1"/>
  <c r="E28" i="12" l="1"/>
  <c r="AR24" i="11"/>
  <c r="AW23" i="11"/>
  <c r="BB23" i="11"/>
  <c r="S50" i="10" s="1"/>
  <c r="S45" i="10"/>
  <c r="S44" i="10"/>
  <c r="F28" i="12" l="1"/>
  <c r="B29" i="12" s="1"/>
  <c r="AV24" i="11"/>
  <c r="AS24" i="11"/>
  <c r="T42" i="10"/>
  <c r="AY23" i="11"/>
  <c r="AX24" i="11" s="1"/>
  <c r="D29" i="12" l="1"/>
  <c r="T43" i="10"/>
  <c r="AT24" i="11"/>
  <c r="E29" i="12" l="1"/>
  <c r="AR25" i="11"/>
  <c r="T44" i="10"/>
  <c r="AU24" i="11"/>
  <c r="F29" i="12" l="1"/>
  <c r="B30" i="12" s="1"/>
  <c r="AV25" i="11"/>
  <c r="AS25" i="11"/>
  <c r="U42" i="10"/>
  <c r="T45" i="10"/>
  <c r="BB24" i="11"/>
  <c r="T50" i="10" s="1"/>
  <c r="AW24" i="11"/>
  <c r="AY24" i="11" s="1"/>
  <c r="AX25" i="11" s="1"/>
  <c r="D30" i="12" l="1"/>
  <c r="U43" i="10"/>
  <c r="AT25" i="11"/>
  <c r="E30" i="12" l="1"/>
  <c r="AR26" i="11"/>
  <c r="U44" i="10"/>
  <c r="AU25" i="11"/>
  <c r="F30" i="12" l="1"/>
  <c r="B31" i="12" s="1"/>
  <c r="AV26" i="11"/>
  <c r="AS26" i="11"/>
  <c r="V42" i="10"/>
  <c r="U45" i="10"/>
  <c r="BB25" i="11"/>
  <c r="U50" i="10" s="1"/>
  <c r="AW25" i="11"/>
  <c r="AY25" i="11" s="1"/>
  <c r="AX26" i="11" s="1"/>
  <c r="D31" i="12" l="1"/>
  <c r="V43" i="10"/>
  <c r="AT26" i="11"/>
  <c r="E31" i="12" l="1"/>
  <c r="AR27" i="11"/>
  <c r="V44" i="10"/>
  <c r="AU26" i="11"/>
  <c r="F31" i="12" l="1"/>
  <c r="B32" i="12" s="1"/>
  <c r="AV27" i="11"/>
  <c r="AS27" i="11"/>
  <c r="W42" i="10"/>
  <c r="V45" i="10"/>
  <c r="BB26" i="11"/>
  <c r="V50" i="10" s="1"/>
  <c r="AW26" i="11"/>
  <c r="AY26" i="11" s="1"/>
  <c r="AX27" i="11" s="1"/>
  <c r="D32" i="12" l="1"/>
  <c r="W43" i="10"/>
  <c r="AT27" i="11"/>
  <c r="E32" i="12" l="1"/>
  <c r="AR28" i="11"/>
  <c r="W44" i="10"/>
  <c r="AU27" i="11"/>
  <c r="F32" i="12" l="1"/>
  <c r="B33" i="12" s="1"/>
  <c r="AV28" i="11"/>
  <c r="AS28" i="11"/>
  <c r="X42" i="10"/>
  <c r="W45" i="10"/>
  <c r="BB27" i="11"/>
  <c r="W50" i="10" s="1"/>
  <c r="AW27" i="11"/>
  <c r="AY27" i="11" s="1"/>
  <c r="AX28" i="11" s="1"/>
  <c r="D33" i="12" l="1"/>
  <c r="X43" i="10"/>
  <c r="AT28" i="11"/>
  <c r="E33" i="12" l="1"/>
  <c r="AR29" i="11"/>
  <c r="X44" i="10"/>
  <c r="AU28" i="11"/>
  <c r="F33" i="12" l="1"/>
  <c r="B34" i="12" s="1"/>
  <c r="AV29" i="11"/>
  <c r="AS29" i="11"/>
  <c r="Y42" i="10"/>
  <c r="AW28" i="11"/>
  <c r="AY28" i="11" s="1"/>
  <c r="AX29" i="11" s="1"/>
  <c r="X45" i="10"/>
  <c r="BB28" i="11"/>
  <c r="X50" i="10" s="1"/>
  <c r="D34" i="12" l="1"/>
  <c r="Y43" i="10"/>
  <c r="AT29" i="11"/>
  <c r="E34" i="12" l="1"/>
  <c r="AR30" i="11"/>
  <c r="Y44" i="10"/>
  <c r="AU29" i="11"/>
  <c r="F34" i="12" l="1"/>
  <c r="B35" i="12" s="1"/>
  <c r="AV30" i="11"/>
  <c r="AS30" i="11"/>
  <c r="Z42" i="10"/>
  <c r="AW29" i="11"/>
  <c r="AY29" i="11" s="1"/>
  <c r="AX30" i="11" s="1"/>
  <c r="Y45" i="10"/>
  <c r="BB29" i="11"/>
  <c r="Y50" i="10" s="1"/>
  <c r="D35" i="12" l="1"/>
  <c r="Z43" i="10"/>
  <c r="AT30" i="11"/>
  <c r="D74" i="12" l="1"/>
  <c r="E35" i="12"/>
  <c r="AR31" i="11"/>
  <c r="Z44" i="10"/>
  <c r="AU30" i="11"/>
  <c r="F35" i="12" l="1"/>
  <c r="E74" i="12"/>
  <c r="AV31" i="11"/>
  <c r="AS31" i="11"/>
  <c r="AA42" i="10"/>
  <c r="Z45" i="10"/>
  <c r="BB30" i="11"/>
  <c r="Z50" i="10" s="1"/>
  <c r="AW30" i="11"/>
  <c r="AY30" i="11" s="1"/>
  <c r="AX31" i="11" s="1"/>
  <c r="D15" i="15" l="1"/>
  <c r="D16" i="15" s="1"/>
  <c r="B36" i="12"/>
  <c r="AA43" i="10"/>
  <c r="AT31" i="11"/>
  <c r="D36" i="12" l="1"/>
  <c r="AA44" i="10"/>
  <c r="AU31" i="11"/>
  <c r="E36" i="12" l="1"/>
  <c r="AR32" i="11"/>
  <c r="BB31" i="11"/>
  <c r="AA50" i="10" s="1"/>
  <c r="AW31" i="11"/>
  <c r="AY31" i="11" s="1"/>
  <c r="AX32" i="11" s="1"/>
  <c r="AA45" i="10"/>
  <c r="F36" i="12" l="1"/>
  <c r="B37" i="12" s="1"/>
  <c r="AV32" i="11"/>
  <c r="AS32" i="11"/>
  <c r="AB42" i="10"/>
  <c r="D37" i="12" l="1"/>
  <c r="AB43" i="10"/>
  <c r="AT32" i="11"/>
  <c r="AU32" i="11" s="1"/>
  <c r="E37" i="12" l="1"/>
  <c r="AR33" i="11"/>
  <c r="AW32" i="11"/>
  <c r="BB32" i="11"/>
  <c r="AB50" i="10" s="1"/>
  <c r="AB45" i="10"/>
  <c r="AB44" i="10"/>
  <c r="F37" i="12" l="1"/>
  <c r="B38" i="12" s="1"/>
  <c r="AV33" i="11"/>
  <c r="AS33" i="11"/>
  <c r="AC42" i="10"/>
  <c r="AY32" i="11"/>
  <c r="AX33" i="11" s="1"/>
  <c r="D38" i="12" l="1"/>
  <c r="AC43" i="10"/>
  <c r="AT33" i="11"/>
  <c r="AU33" i="11" s="1"/>
  <c r="E38" i="12" l="1"/>
  <c r="AR34" i="11"/>
  <c r="AW33" i="11"/>
  <c r="BB33" i="11"/>
  <c r="AC50" i="10" s="1"/>
  <c r="AC45" i="10"/>
  <c r="AC44" i="10"/>
  <c r="F38" i="12" l="1"/>
  <c r="B39" i="12" s="1"/>
  <c r="AV34" i="11"/>
  <c r="AS34" i="11"/>
  <c r="AD42" i="10"/>
  <c r="AY33" i="11"/>
  <c r="AX34" i="11" s="1"/>
  <c r="D39" i="12" l="1"/>
  <c r="AD43" i="10"/>
  <c r="AT34" i="11"/>
  <c r="AU34" i="11" s="1"/>
  <c r="E39" i="12" l="1"/>
  <c r="AR35" i="11"/>
  <c r="AW34" i="11"/>
  <c r="BB34" i="11"/>
  <c r="AD50" i="10" s="1"/>
  <c r="AD45" i="10"/>
  <c r="AD44" i="10"/>
  <c r="F39" i="12" l="1"/>
  <c r="B40" i="12" s="1"/>
  <c r="AV35" i="11"/>
  <c r="AS35" i="11"/>
  <c r="AE42" i="10"/>
  <c r="AY34" i="11"/>
  <c r="AX35" i="11" s="1"/>
  <c r="D40" i="12" l="1"/>
  <c r="AE43" i="10"/>
  <c r="AT35" i="11"/>
  <c r="AU35" i="11" s="1"/>
  <c r="E40" i="12" l="1"/>
  <c r="AR36" i="11"/>
  <c r="AW35" i="11"/>
  <c r="BB35" i="11"/>
  <c r="AE50" i="10" s="1"/>
  <c r="AE45" i="10"/>
  <c r="AE44" i="10"/>
  <c r="F40" i="12" l="1"/>
  <c r="B41" i="12" s="1"/>
  <c r="AV36" i="11"/>
  <c r="AS36" i="11"/>
  <c r="AF42" i="10"/>
  <c r="AY35" i="11"/>
  <c r="AX36" i="11" s="1"/>
  <c r="D41" i="12" l="1"/>
  <c r="AF43" i="10"/>
  <c r="AT36" i="11"/>
  <c r="E41" i="12" l="1"/>
  <c r="AR37" i="11"/>
  <c r="AF44" i="10"/>
  <c r="AU36" i="11"/>
  <c r="F41" i="12" l="1"/>
  <c r="B42" i="12" s="1"/>
  <c r="AV37" i="11"/>
  <c r="AS37" i="11"/>
  <c r="AG42" i="10"/>
  <c r="AW36" i="11"/>
  <c r="AY36" i="11" s="1"/>
  <c r="AX37" i="11" s="1"/>
  <c r="AF45" i="10"/>
  <c r="BB36" i="11"/>
  <c r="AF50" i="10" s="1"/>
  <c r="D42" i="12" l="1"/>
  <c r="AT37" i="11"/>
  <c r="AG43" i="10"/>
  <c r="AG44" i="10" l="1"/>
  <c r="AU37" i="11"/>
  <c r="E42" i="12"/>
  <c r="AR38" i="11"/>
  <c r="BB37" i="11" l="1"/>
  <c r="AG50" i="10" s="1"/>
  <c r="AW37" i="11"/>
  <c r="AY37" i="11" s="1"/>
  <c r="AX38" i="11" s="1"/>
  <c r="AG45" i="10"/>
  <c r="F42" i="12"/>
  <c r="B43" i="12" s="1"/>
  <c r="AV38" i="11"/>
  <c r="AS38" i="11"/>
  <c r="AH42" i="10"/>
  <c r="D43" i="12" l="1"/>
  <c r="AT38" i="11"/>
  <c r="AH43" i="10"/>
  <c r="E43" i="12" l="1"/>
  <c r="AR39" i="11"/>
  <c r="AH44" i="10"/>
  <c r="AU38" i="11"/>
  <c r="F43" i="12" l="1"/>
  <c r="B44" i="12" s="1"/>
  <c r="AV39" i="11"/>
  <c r="AS39" i="11"/>
  <c r="AI42" i="10"/>
  <c r="BB38" i="11"/>
  <c r="AH50" i="10" s="1"/>
  <c r="AW38" i="11"/>
  <c r="AY38" i="11" s="1"/>
  <c r="AX39" i="11" s="1"/>
  <c r="AH45" i="10"/>
  <c r="D44" i="12" l="1"/>
  <c r="AT39" i="11"/>
  <c r="AI43" i="10"/>
  <c r="E44" i="12" l="1"/>
  <c r="AR40" i="11"/>
  <c r="AI44" i="10"/>
  <c r="AU39" i="11"/>
  <c r="F44" i="12" l="1"/>
  <c r="B45" i="12" s="1"/>
  <c r="AV40" i="11"/>
  <c r="AS40" i="11"/>
  <c r="AJ42" i="10"/>
  <c r="BB39" i="11"/>
  <c r="AI50" i="10" s="1"/>
  <c r="AW39" i="11"/>
  <c r="AY39" i="11" s="1"/>
  <c r="AX40" i="11" s="1"/>
  <c r="AI45" i="10"/>
  <c r="D45" i="12" l="1"/>
  <c r="AT40" i="11"/>
  <c r="AJ43" i="10"/>
  <c r="AJ44" i="10" l="1"/>
  <c r="AU40" i="11"/>
  <c r="E45" i="12"/>
  <c r="AR41" i="11"/>
  <c r="AJ45" i="10" l="1"/>
  <c r="BB40" i="11"/>
  <c r="AJ50" i="10" s="1"/>
  <c r="AW40" i="11"/>
  <c r="AY40" i="11" s="1"/>
  <c r="AX41" i="11" s="1"/>
  <c r="F45" i="12"/>
  <c r="B46" i="12" s="1"/>
  <c r="AV41" i="11"/>
  <c r="AS41" i="11"/>
  <c r="AK42" i="10"/>
  <c r="D46" i="12" l="1"/>
  <c r="AT41" i="11"/>
  <c r="AK43" i="10"/>
  <c r="AK44" i="10" l="1"/>
  <c r="AU41" i="11"/>
  <c r="E46" i="12"/>
  <c r="AR42" i="11"/>
  <c r="BB41" i="11" l="1"/>
  <c r="AK50" i="10" s="1"/>
  <c r="AW41" i="11"/>
  <c r="AY41" i="11" s="1"/>
  <c r="AX42" i="11" s="1"/>
  <c r="AK45" i="10"/>
  <c r="F46" i="12"/>
  <c r="B47" i="12" s="1"/>
  <c r="AV42" i="11"/>
  <c r="AS42" i="11"/>
  <c r="AL42" i="10"/>
  <c r="D47" i="12" l="1"/>
  <c r="AL43" i="10"/>
  <c r="AT42" i="11"/>
  <c r="D75" i="12" l="1"/>
  <c r="E47" i="12"/>
  <c r="AR43" i="11"/>
  <c r="AL44" i="10"/>
  <c r="AU42" i="11"/>
  <c r="F47" i="12" l="1"/>
  <c r="E75" i="12"/>
  <c r="AV43" i="11"/>
  <c r="AS43" i="11"/>
  <c r="AM42" i="10"/>
  <c r="AL45" i="10"/>
  <c r="BB42" i="11"/>
  <c r="AL50" i="10" s="1"/>
  <c r="AW42" i="11"/>
  <c r="AY42" i="11" s="1"/>
  <c r="AX43" i="11" s="1"/>
  <c r="E15" i="15" l="1"/>
  <c r="E16" i="15" s="1"/>
  <c r="B48" i="12"/>
  <c r="AT43" i="11"/>
  <c r="AM43" i="10"/>
  <c r="D48" i="12" l="1"/>
  <c r="AM44" i="10"/>
  <c r="AU43" i="11"/>
  <c r="E48" i="12" l="1"/>
  <c r="AR44" i="11"/>
  <c r="AM45" i="10"/>
  <c r="BB43" i="11"/>
  <c r="AM50" i="10" s="1"/>
  <c r="AW43" i="11"/>
  <c r="AY43" i="11" s="1"/>
  <c r="AX44" i="11" s="1"/>
  <c r="F48" i="12" l="1"/>
  <c r="B49" i="12" s="1"/>
  <c r="AV44" i="11"/>
  <c r="AS44" i="11"/>
  <c r="AN42" i="10"/>
  <c r="D49" i="12" l="1"/>
  <c r="AT44" i="11"/>
  <c r="AU44" i="11" s="1"/>
  <c r="AN43" i="10"/>
  <c r="E49" i="12" l="1"/>
  <c r="AR45" i="11"/>
  <c r="AN44" i="10"/>
  <c r="AW44" i="11"/>
  <c r="AN45" i="10"/>
  <c r="BB44" i="11"/>
  <c r="AN50" i="10" s="1"/>
  <c r="F49" i="12" l="1"/>
  <c r="B50" i="12" s="1"/>
  <c r="AV45" i="11"/>
  <c r="AS45" i="11"/>
  <c r="AO42" i="10"/>
  <c r="AY44" i="11"/>
  <c r="AX45" i="11" s="1"/>
  <c r="D50" i="12" l="1"/>
  <c r="AO43" i="10"/>
  <c r="AT45" i="11"/>
  <c r="AU45" i="11" s="1"/>
  <c r="E50" i="12" l="1"/>
  <c r="AR46" i="11"/>
  <c r="AW45" i="11"/>
  <c r="BB45" i="11"/>
  <c r="AO50" i="10" s="1"/>
  <c r="AO45" i="10"/>
  <c r="AO44" i="10"/>
  <c r="F50" i="12" l="1"/>
  <c r="B51" i="12" s="1"/>
  <c r="AV46" i="11"/>
  <c r="AS46" i="11"/>
  <c r="AP42" i="10"/>
  <c r="AY45" i="11"/>
  <c r="AX46" i="11" s="1"/>
  <c r="D51" i="12" l="1"/>
  <c r="AP43" i="10"/>
  <c r="AT46" i="11"/>
  <c r="AU46" i="11" s="1"/>
  <c r="E51" i="12" l="1"/>
  <c r="AR47" i="11"/>
  <c r="AW46" i="11"/>
  <c r="BB46" i="11"/>
  <c r="AP50" i="10" s="1"/>
  <c r="AP45" i="10"/>
  <c r="AP44" i="10"/>
  <c r="F51" i="12" l="1"/>
  <c r="B52" i="12" s="1"/>
  <c r="AV47" i="11"/>
  <c r="AS47" i="11"/>
  <c r="AQ42" i="10"/>
  <c r="AY46" i="11"/>
  <c r="AX47" i="11" s="1"/>
  <c r="D52" i="12" l="1"/>
  <c r="AT47" i="11"/>
  <c r="AU47" i="11" s="1"/>
  <c r="AQ43" i="10"/>
  <c r="E52" i="12" l="1"/>
  <c r="AR48" i="11"/>
  <c r="AW47" i="11"/>
  <c r="BB47" i="11"/>
  <c r="AQ50" i="10" s="1"/>
  <c r="AQ45" i="10"/>
  <c r="AQ44" i="10"/>
  <c r="F52" i="12" l="1"/>
  <c r="B53" i="12" s="1"/>
  <c r="AV48" i="11"/>
  <c r="AS48" i="11"/>
  <c r="AR42" i="10"/>
  <c r="AY47" i="11"/>
  <c r="AX48" i="11" s="1"/>
  <c r="D53" i="12" l="1"/>
  <c r="AT48" i="11"/>
  <c r="AR43" i="10"/>
  <c r="AR44" i="10" l="1"/>
  <c r="AU48" i="11"/>
  <c r="AW48" i="11" s="1"/>
  <c r="AY48" i="11" s="1"/>
  <c r="AX49" i="11" s="1"/>
  <c r="E53" i="12"/>
  <c r="AR49" i="11"/>
  <c r="BB48" i="11" l="1"/>
  <c r="AR50" i="10" s="1"/>
  <c r="AR45" i="10"/>
  <c r="F53" i="12"/>
  <c r="B54" i="12" s="1"/>
  <c r="AV49" i="11"/>
  <c r="AS49" i="11"/>
  <c r="AS42" i="10"/>
  <c r="D54" i="12" l="1"/>
  <c r="AS43" i="10"/>
  <c r="AT49" i="11"/>
  <c r="E54" i="12" l="1"/>
  <c r="AR50" i="11"/>
  <c r="AS44" i="10"/>
  <c r="AU49" i="11"/>
  <c r="F54" i="12" l="1"/>
  <c r="B55" i="12" s="1"/>
  <c r="AV50" i="11"/>
  <c r="AS50" i="11"/>
  <c r="AT42" i="10"/>
  <c r="BB49" i="11"/>
  <c r="AS50" i="10" s="1"/>
  <c r="AW49" i="11"/>
  <c r="AY49" i="11" s="1"/>
  <c r="AX50" i="11" s="1"/>
  <c r="AS45" i="10"/>
  <c r="D55" i="12" l="1"/>
  <c r="AT43" i="10"/>
  <c r="AT50" i="11"/>
  <c r="E55" i="12" l="1"/>
  <c r="AR51" i="11"/>
  <c r="AT44" i="10"/>
  <c r="AU50" i="11"/>
  <c r="F55" i="12" l="1"/>
  <c r="B56" i="12" s="1"/>
  <c r="AV51" i="11"/>
  <c r="AS51" i="11"/>
  <c r="AU42" i="10"/>
  <c r="BB50" i="11"/>
  <c r="AT50" i="10" s="1"/>
  <c r="AT45" i="10"/>
  <c r="AW50" i="11"/>
  <c r="AY50" i="11" s="1"/>
  <c r="AX51" i="11" s="1"/>
  <c r="D56" i="12" l="1"/>
  <c r="AT51" i="11"/>
  <c r="AU43" i="10"/>
  <c r="E56" i="12" l="1"/>
  <c r="AR52" i="11"/>
  <c r="AU44" i="10"/>
  <c r="AU51" i="11"/>
  <c r="F56" i="12" l="1"/>
  <c r="B57" i="12" s="1"/>
  <c r="AV52" i="11"/>
  <c r="AS52" i="11"/>
  <c r="AV42" i="10"/>
  <c r="AU45" i="10"/>
  <c r="BB51" i="11"/>
  <c r="AU50" i="10" s="1"/>
  <c r="AW51" i="11"/>
  <c r="AY51" i="11" s="1"/>
  <c r="AX52" i="11" s="1"/>
  <c r="D57" i="12" l="1"/>
  <c r="AT52" i="11"/>
  <c r="AV43" i="10"/>
  <c r="E57" i="12" l="1"/>
  <c r="AR53" i="11"/>
  <c r="AV44" i="10"/>
  <c r="AU52" i="11"/>
  <c r="F57" i="12" l="1"/>
  <c r="B58" i="12" s="1"/>
  <c r="AV53" i="11"/>
  <c r="AS53" i="11"/>
  <c r="AW42" i="10"/>
  <c r="AV45" i="10"/>
  <c r="BB52" i="11"/>
  <c r="AV50" i="10" s="1"/>
  <c r="AW52" i="11"/>
  <c r="AY52" i="11" s="1"/>
  <c r="AX53" i="11" s="1"/>
  <c r="D58" i="12" l="1"/>
  <c r="AW43" i="10"/>
  <c r="AT53" i="11"/>
  <c r="AW44" i="10" l="1"/>
  <c r="AU53" i="11"/>
  <c r="AW53" i="11" s="1"/>
  <c r="AY53" i="11" s="1"/>
  <c r="AX54" i="11" s="1"/>
  <c r="E58" i="12"/>
  <c r="AR54" i="11"/>
  <c r="BB53" i="11" l="1"/>
  <c r="AW50" i="10" s="1"/>
  <c r="AW45" i="10"/>
  <c r="F58" i="12"/>
  <c r="B59" i="12" s="1"/>
  <c r="AV54" i="11"/>
  <c r="AS54" i="11"/>
  <c r="AX42" i="10"/>
  <c r="D59" i="12" l="1"/>
  <c r="AX43" i="10"/>
  <c r="AT54" i="11"/>
  <c r="D76" i="12" l="1"/>
  <c r="E59" i="12"/>
  <c r="AR55" i="11"/>
  <c r="AX44" i="10"/>
  <c r="AU54" i="11"/>
  <c r="F59" i="12" l="1"/>
  <c r="E76" i="12"/>
  <c r="AV55" i="11"/>
  <c r="AS55" i="11"/>
  <c r="AY42" i="10"/>
  <c r="AX45" i="10"/>
  <c r="BB54" i="11"/>
  <c r="AX50" i="10" s="1"/>
  <c r="AW54" i="11"/>
  <c r="AY54" i="11" s="1"/>
  <c r="AX55" i="11" s="1"/>
  <c r="F15" i="15" l="1"/>
  <c r="F16" i="15" s="1"/>
  <c r="B60" i="12"/>
  <c r="AY43" i="10"/>
  <c r="AT55" i="11"/>
  <c r="D60" i="12" l="1"/>
  <c r="AY44" i="10"/>
  <c r="AU55" i="11"/>
  <c r="E60" i="12" l="1"/>
  <c r="AR56" i="11"/>
  <c r="AY45" i="10"/>
  <c r="BB55" i="11"/>
  <c r="AY50" i="10" s="1"/>
  <c r="AW55" i="11"/>
  <c r="AY55" i="11" s="1"/>
  <c r="AX56" i="11" s="1"/>
  <c r="F60" i="12" l="1"/>
  <c r="B61" i="12" s="1"/>
  <c r="AV56" i="11"/>
  <c r="AS56" i="11"/>
  <c r="AZ42" i="10"/>
  <c r="D61" i="12" l="1"/>
  <c r="AZ43" i="10"/>
  <c r="AT56" i="11"/>
  <c r="AU56" i="11" s="1"/>
  <c r="E61" i="12" l="1"/>
  <c r="AR57" i="11"/>
  <c r="AW56" i="11"/>
  <c r="BB56" i="11"/>
  <c r="AZ50" i="10" s="1"/>
  <c r="AZ45" i="10"/>
  <c r="AZ44" i="10"/>
  <c r="F61" i="12" l="1"/>
  <c r="B62" i="12" s="1"/>
  <c r="AV57" i="11"/>
  <c r="AS57" i="11"/>
  <c r="BA42" i="10"/>
  <c r="AY56" i="11"/>
  <c r="AX57" i="11" s="1"/>
  <c r="D62" i="12" l="1"/>
  <c r="BA43" i="10"/>
  <c r="AT57" i="11"/>
  <c r="AU57" i="11" s="1"/>
  <c r="E62" i="12" l="1"/>
  <c r="AR58" i="11"/>
  <c r="AW57" i="11"/>
  <c r="BB57" i="11"/>
  <c r="BA50" i="10" s="1"/>
  <c r="BA45" i="10"/>
  <c r="BA44" i="10"/>
  <c r="F62" i="12" l="1"/>
  <c r="B63" i="12" s="1"/>
  <c r="AV58" i="11"/>
  <c r="AS58" i="11"/>
  <c r="BB42" i="10"/>
  <c r="AY57" i="11"/>
  <c r="AX58" i="11" s="1"/>
  <c r="D63" i="12" l="1"/>
  <c r="BB43" i="10"/>
  <c r="AT58" i="11"/>
  <c r="AU58" i="11" s="1"/>
  <c r="E63" i="12" l="1"/>
  <c r="AR59" i="11"/>
  <c r="AW58" i="11"/>
  <c r="BB58" i="11"/>
  <c r="BB50" i="10" s="1"/>
  <c r="BB45" i="10"/>
  <c r="BB44" i="10"/>
  <c r="F63" i="12" l="1"/>
  <c r="B64" i="12" s="1"/>
  <c r="AV59" i="11"/>
  <c r="AS59" i="11"/>
  <c r="BC42" i="10"/>
  <c r="AY58" i="11"/>
  <c r="AX59" i="11" s="1"/>
  <c r="D64" i="12" l="1"/>
  <c r="BC43" i="10"/>
  <c r="AT59" i="11"/>
  <c r="AU59" i="11" s="1"/>
  <c r="E64" i="12" l="1"/>
  <c r="AR60" i="11"/>
  <c r="AW59" i="11"/>
  <c r="BB59" i="11"/>
  <c r="BC50" i="10" s="1"/>
  <c r="BC45" i="10"/>
  <c r="BC44" i="10"/>
  <c r="F64" i="12" l="1"/>
  <c r="B65" i="12" s="1"/>
  <c r="AV60" i="11"/>
  <c r="AS60" i="11"/>
  <c r="BD42" i="10"/>
  <c r="AY59" i="11"/>
  <c r="AX60" i="11" s="1"/>
  <c r="D65" i="12" l="1"/>
  <c r="BD43" i="10"/>
  <c r="AT60" i="11"/>
  <c r="E65" i="12" l="1"/>
  <c r="AR61" i="11"/>
  <c r="BD44" i="10"/>
  <c r="AU60" i="11"/>
  <c r="F65" i="12" l="1"/>
  <c r="B66" i="12" s="1"/>
  <c r="AV61" i="11"/>
  <c r="AS61" i="11"/>
  <c r="BE42" i="10"/>
  <c r="BD45" i="10"/>
  <c r="BB60" i="11"/>
  <c r="BD50" i="10" s="1"/>
  <c r="AW60" i="11"/>
  <c r="AY60" i="11" s="1"/>
  <c r="AX61" i="11" s="1"/>
  <c r="D66" i="12" l="1"/>
  <c r="BE43" i="10"/>
  <c r="AT61" i="11"/>
  <c r="E66" i="12" l="1"/>
  <c r="AR62" i="11"/>
  <c r="BE44" i="10"/>
  <c r="AU61" i="11"/>
  <c r="F66" i="12" l="1"/>
  <c r="B67" i="12" s="1"/>
  <c r="AV62" i="11"/>
  <c r="AS62" i="11"/>
  <c r="BF42" i="10"/>
  <c r="BE45" i="10"/>
  <c r="BB61" i="11"/>
  <c r="BE50" i="10" s="1"/>
  <c r="AW61" i="11"/>
  <c r="AY61" i="11" s="1"/>
  <c r="AX62" i="11" s="1"/>
  <c r="D67" i="12" l="1"/>
  <c r="BF43" i="10"/>
  <c r="AT62" i="11"/>
  <c r="E67" i="12" l="1"/>
  <c r="AR63" i="11"/>
  <c r="BF44" i="10"/>
  <c r="AU62" i="11"/>
  <c r="F67" i="12" l="1"/>
  <c r="B68" i="12" s="1"/>
  <c r="AV63" i="11"/>
  <c r="AS63" i="11"/>
  <c r="BG42" i="10"/>
  <c r="BF45" i="10"/>
  <c r="BB62" i="11"/>
  <c r="BF50" i="10" s="1"/>
  <c r="AW62" i="11"/>
  <c r="AY62" i="11" s="1"/>
  <c r="AX63" i="11" s="1"/>
  <c r="D68" i="12" l="1"/>
  <c r="BG43" i="10"/>
  <c r="AT63" i="11"/>
  <c r="E68" i="12" l="1"/>
  <c r="AR64" i="11"/>
  <c r="BG44" i="10"/>
  <c r="AU63" i="11"/>
  <c r="F68" i="12" l="1"/>
  <c r="B69" i="12" s="1"/>
  <c r="AV64" i="11"/>
  <c r="AS64" i="11"/>
  <c r="BH42" i="10"/>
  <c r="BG45" i="10"/>
  <c r="BB63" i="11"/>
  <c r="BG50" i="10" s="1"/>
  <c r="AW63" i="11"/>
  <c r="AY63" i="11" s="1"/>
  <c r="AX64" i="11" s="1"/>
  <c r="D69" i="12" l="1"/>
  <c r="BH43" i="10"/>
  <c r="AT64" i="11"/>
  <c r="E69" i="12" l="1"/>
  <c r="AR65" i="11"/>
  <c r="BH44" i="10"/>
  <c r="AU64" i="11"/>
  <c r="F69" i="12" l="1"/>
  <c r="B70" i="12" s="1"/>
  <c r="AV65" i="11"/>
  <c r="AS65" i="11"/>
  <c r="BI42" i="10"/>
  <c r="BH45" i="10"/>
  <c r="BB64" i="11"/>
  <c r="BH50" i="10" s="1"/>
  <c r="AW64" i="11"/>
  <c r="AY64" i="11" s="1"/>
  <c r="AX65" i="11" s="1"/>
  <c r="D70" i="12" l="1"/>
  <c r="BI43" i="10"/>
  <c r="AT65" i="11"/>
  <c r="E70" i="12" l="1"/>
  <c r="AR66" i="11"/>
  <c r="BI44" i="10"/>
  <c r="AU65" i="11"/>
  <c r="F70" i="12" l="1"/>
  <c r="B71" i="12" s="1"/>
  <c r="AV66" i="11"/>
  <c r="AS66" i="11"/>
  <c r="BJ42" i="10"/>
  <c r="BI45" i="10"/>
  <c r="BB65" i="11"/>
  <c r="BI50" i="10" s="1"/>
  <c r="AW65" i="11"/>
  <c r="AY65" i="11" s="1"/>
  <c r="AX66" i="11" s="1"/>
  <c r="D71" i="12" l="1"/>
  <c r="BJ43" i="10"/>
  <c r="AT66" i="11"/>
  <c r="D77" i="12" l="1"/>
  <c r="E71" i="12"/>
  <c r="AR67" i="11"/>
  <c r="BJ44" i="10"/>
  <c r="AU66" i="11"/>
  <c r="F71" i="12" l="1"/>
  <c r="E77" i="12"/>
  <c r="AV67" i="11"/>
  <c r="F26" i="13"/>
  <c r="F14" i="14"/>
  <c r="E26" i="13"/>
  <c r="E14" i="14"/>
  <c r="D26" i="13"/>
  <c r="D14" i="14"/>
  <c r="C14" i="14"/>
  <c r="C26" i="13"/>
  <c r="B26" i="13"/>
  <c r="B14" i="14"/>
  <c r="AS67" i="11"/>
  <c r="BK42" i="10"/>
  <c r="BJ45" i="10"/>
  <c r="BB66" i="11"/>
  <c r="BJ50" i="10" s="1"/>
  <c r="AW66" i="11"/>
  <c r="AY66" i="11" s="1"/>
  <c r="AX67" i="11" s="1"/>
  <c r="G15" i="15" l="1"/>
  <c r="G16" i="15" s="1"/>
  <c r="F18" i="14"/>
  <c r="E18" i="14"/>
  <c r="D18" i="14"/>
  <c r="C18" i="14"/>
  <c r="B18" i="14"/>
  <c r="F15" i="14"/>
  <c r="F27" i="13"/>
  <c r="E27" i="13"/>
  <c r="E15" i="14"/>
  <c r="D27" i="13"/>
  <c r="D15" i="14"/>
  <c r="C15" i="14"/>
  <c r="C27" i="13"/>
  <c r="B27" i="13"/>
  <c r="B15" i="14"/>
  <c r="BK43" i="10"/>
  <c r="AT67" i="11"/>
  <c r="AU67" i="11" s="1"/>
  <c r="S26" i="20" s="1"/>
  <c r="F18" i="16" l="1"/>
  <c r="F29" i="13"/>
  <c r="F17" i="14"/>
  <c r="F10" i="16"/>
  <c r="E29" i="13"/>
  <c r="E10" i="16"/>
  <c r="E18" i="16"/>
  <c r="E17" i="14"/>
  <c r="D29" i="13"/>
  <c r="D10" i="16"/>
  <c r="D17" i="14"/>
  <c r="D18" i="16"/>
  <c r="C18" i="16"/>
  <c r="C17" i="14"/>
  <c r="C29" i="13"/>
  <c r="C10" i="16"/>
  <c r="B17" i="14"/>
  <c r="C20" i="15" s="1"/>
  <c r="B18" i="16"/>
  <c r="B10" i="16"/>
  <c r="G10" i="16"/>
  <c r="B29" i="13"/>
  <c r="G18" i="16"/>
  <c r="AW67" i="11"/>
  <c r="BB67" i="11"/>
  <c r="BK50" i="10" s="1"/>
  <c r="BK45" i="10"/>
  <c r="F28" i="13"/>
  <c r="F16" i="14"/>
  <c r="E16" i="14"/>
  <c r="E28" i="13"/>
  <c r="D16" i="14"/>
  <c r="D28" i="13"/>
  <c r="C28" i="13"/>
  <c r="C16" i="14"/>
  <c r="B28" i="13"/>
  <c r="B16" i="14"/>
  <c r="BK44" i="10"/>
  <c r="F32" i="13" l="1"/>
  <c r="C12" i="18" s="1"/>
  <c r="J22" i="1"/>
  <c r="F13" i="5"/>
  <c r="E32" i="13"/>
  <c r="I22" i="1"/>
  <c r="E13" i="5"/>
  <c r="D32" i="13"/>
  <c r="H22" i="1"/>
  <c r="D13" i="5"/>
  <c r="C32" i="13"/>
  <c r="G22" i="1"/>
  <c r="C13" i="5"/>
  <c r="D20" i="15"/>
  <c r="C21" i="15"/>
  <c r="C23" i="15" s="1"/>
  <c r="B13" i="5"/>
  <c r="B32" i="13"/>
  <c r="B12" i="18" s="1"/>
  <c r="F22" i="1"/>
  <c r="AY67" i="11"/>
  <c r="F19" i="14"/>
  <c r="E19" i="14"/>
  <c r="D19" i="14"/>
  <c r="C19" i="14"/>
  <c r="B19" i="14"/>
  <c r="B22" i="14" s="1"/>
  <c r="D21" i="15" l="1"/>
  <c r="D23" i="15" s="1"/>
  <c r="E20" i="15"/>
  <c r="C21" i="14"/>
  <c r="C22" i="14" s="1"/>
  <c r="C8" i="15"/>
  <c r="C12" i="15" s="1"/>
  <c r="E21" i="15" l="1"/>
  <c r="E23" i="15" s="1"/>
  <c r="F20" i="15"/>
  <c r="D8" i="15"/>
  <c r="D12" i="15" s="1"/>
  <c r="D21" i="14"/>
  <c r="D22" i="14" s="1"/>
  <c r="C25" i="15"/>
  <c r="F21" i="15" l="1"/>
  <c r="F23" i="15" s="1"/>
  <c r="G20" i="15"/>
  <c r="G21" i="15" s="1"/>
  <c r="G23" i="15" s="1"/>
  <c r="D25" i="15"/>
  <c r="E8" i="15"/>
  <c r="E12" i="15" s="1"/>
  <c r="E21" i="14"/>
  <c r="E22" i="14" s="1"/>
  <c r="E25" i="15" l="1"/>
  <c r="F8" i="15"/>
  <c r="F12" i="15" s="1"/>
  <c r="F21" i="14"/>
  <c r="F22" i="14" s="1"/>
  <c r="G8" i="15" s="1"/>
  <c r="F25" i="15" l="1"/>
  <c r="B40" i="19"/>
  <c r="B41" i="19" s="1"/>
  <c r="B45" i="19" s="1"/>
  <c r="D40" i="19"/>
  <c r="D41" i="19" s="1"/>
  <c r="C45" i="19" s="1"/>
  <c r="C40" i="19"/>
  <c r="C41" i="19" s="1"/>
  <c r="F13" i="1" s="1"/>
  <c r="G12" i="15"/>
  <c r="G25" i="15" l="1"/>
</calcChain>
</file>

<file path=xl/sharedStrings.xml><?xml version="1.0" encoding="utf-8"?>
<sst xmlns="http://schemas.openxmlformats.org/spreadsheetml/2006/main" count="800" uniqueCount="550">
  <si>
    <t>Scenario:</t>
  </si>
  <si>
    <t>Last Updated:</t>
  </si>
  <si>
    <t>Company Name:</t>
  </si>
  <si>
    <t>Afrobeats Brunch &amp; Fitness Studio</t>
  </si>
  <si>
    <t>Sector:</t>
  </si>
  <si>
    <t>Food &amp; Beverage / Boutique Fitness</t>
  </si>
  <si>
    <t>Owner Equity Contribution</t>
  </si>
  <si>
    <t>Enterprise Value (DCF)</t>
  </si>
  <si>
    <t>Equity Value (DCF)</t>
  </si>
  <si>
    <t>Equity Value (EBITDA multiple, Mid case)</t>
  </si>
  <si>
    <t>Year 1</t>
  </si>
  <si>
    <t>Year 2</t>
  </si>
  <si>
    <t>Year 3</t>
  </si>
  <si>
    <t>Year 4</t>
  </si>
  <si>
    <t>Year 5</t>
  </si>
  <si>
    <t>Income Statement</t>
  </si>
  <si>
    <t>Revenue</t>
  </si>
  <si>
    <t>Cost of Sales</t>
  </si>
  <si>
    <t>Gross Profit</t>
  </si>
  <si>
    <t>Operating Expenses</t>
  </si>
  <si>
    <t>EBITDA</t>
  </si>
  <si>
    <t>Net Profit After Tax</t>
  </si>
  <si>
    <t>Full detail: Income Statement, Balance Sheet, Cashflow statement, pivot Summary, and Valuation tabs. See Table of Content for a full map of this workbook.</t>
  </si>
  <si>
    <t>S/N</t>
  </si>
  <si>
    <t>Scenario Analysis</t>
  </si>
  <si>
    <t>Assumptions</t>
  </si>
  <si>
    <t>Balance Sheet</t>
  </si>
  <si>
    <t>Workings</t>
  </si>
  <si>
    <t>Valuation</t>
  </si>
  <si>
    <t>Year</t>
  </si>
  <si>
    <t>Metric</t>
  </si>
  <si>
    <t>Category</t>
  </si>
  <si>
    <t>Averages by Year</t>
  </si>
  <si>
    <t>Data — Charts from the Pivot-Analysed Figures</t>
  </si>
  <si>
    <t>Average Monthly Revenue</t>
  </si>
  <si>
    <t>Average Monthly Gross Profit</t>
  </si>
  <si>
    <t>Average Monthly EBITDA</t>
  </si>
  <si>
    <t>Average Monthly Net Profit (after tax)</t>
  </si>
  <si>
    <t>Operating Expense Breakdown by Year</t>
  </si>
  <si>
    <t>Rent</t>
  </si>
  <si>
    <t>Business Rates</t>
  </si>
  <si>
    <t>Insurance</t>
  </si>
  <si>
    <t>Wages</t>
  </si>
  <si>
    <t>Marketing</t>
  </si>
  <si>
    <t>Software</t>
  </si>
  <si>
    <t>Admin</t>
  </si>
  <si>
    <t>Scenario Switch — Base / Best / Worst Case</t>
  </si>
  <si>
    <t>ACTIVE SCENARIO:</t>
  </si>
  <si>
    <t>Base</t>
  </si>
  <si>
    <t>Worst</t>
  </si>
  <si>
    <t>Driver</t>
  </si>
  <si>
    <t>Worst Case</t>
  </si>
  <si>
    <t>Base Case</t>
  </si>
  <si>
    <t>Best Case</t>
  </si>
  <si>
    <t>Selected (active)</t>
  </si>
  <si>
    <t>Rationale</t>
  </si>
  <si>
    <t>Best</t>
  </si>
  <si>
    <t>Steady-state café covers/day</t>
  </si>
  <si>
    <t>Classes run per week, steady state</t>
  </si>
  <si>
    <t>Reflects a thinner (Worst) or fuller (Best) class timetable than the base daytime schedule, constrained by instructor availability and demand</t>
  </si>
  <si>
    <t>Paying monthly members, steady state</t>
  </si>
  <si>
    <t>No benchmark exists for this concept. Worst assumes membership take-up stays low; Best assumes strong conversion from class attendees to members</t>
  </si>
  <si>
    <t>Year 2 revenue growth vs Year 1</t>
  </si>
  <si>
    <t>ASSUMPTION range, not a forecast — Worst assumes growth stalls after opening buzz fades; Best assumes strong repeat custom and word-of-mouth</t>
  </si>
  <si>
    <t>Year 3 revenue growth vs Year 2</t>
  </si>
  <si>
    <t>ASSUMPTION range — growth typically moderates as a single site approaches its capacity ceiling</t>
  </si>
  <si>
    <t>Year 4 revenue growth vs Year 3</t>
  </si>
  <si>
    <t>ASSUMPTION range - Worst assumes growth has fully stalled by Year 4; Best assumes the site still has room to grow before hitting a capacity ceiling</t>
  </si>
  <si>
    <t>Year 5 revenue growth vs Year 4</t>
  </si>
  <si>
    <t>ASSUMPTION range - Worst assumes slight decline as the concept ages without reinvestment; Best assumes modest continued growth</t>
  </si>
  <si>
    <t>Year 1 Revenue</t>
  </si>
  <si>
    <t>Year 1 EBITDA</t>
  </si>
  <si>
    <t>Year 5 Revenue</t>
  </si>
  <si>
    <t>Year 5 EBITDA</t>
  </si>
  <si>
    <t>Cash balance, end of Year 1</t>
  </si>
  <si>
    <t>Cash balance, end of Year 5</t>
  </si>
  <si>
    <t>All UK-sourced or explicitly flagged as an estimate. Location basis: Greater London, non-prime suburban high street, ~800 sq ft.</t>
  </si>
  <si>
    <t>Assumption</t>
  </si>
  <si>
    <t>Value</t>
  </si>
  <si>
    <t>Unit</t>
  </si>
  <si>
    <t>Source / Note</t>
  </si>
  <si>
    <t>PREMISES &amp; LOCATION</t>
  </si>
  <si>
    <t>Premises</t>
  </si>
  <si>
    <t>Floor area</t>
  </si>
  <si>
    <t>sq ft</t>
  </si>
  <si>
    <t>Annual rent, Greater London suburban high street (non-prime)</t>
  </si>
  <si>
    <t>£/sq ft/yr</t>
  </si>
  <si>
    <t>Huxley &amp; Co (2026): London zones 2-6 typically £2,500-£5,000/month for a small unit; DOUBLE PUC Café (2025): suburban London £25-£50/sq ft vs. £60-£150 prime high street. Midpoint of suburban range used.</t>
  </si>
  <si>
    <t>Rent deposit required</t>
  </si>
  <si>
    <t>months</t>
  </si>
  <si>
    <t>Huxley &amp; Co (2026): most landlords require 3-6 months' rent deposit</t>
  </si>
  <si>
    <t>Business rates, net of relief (estimate)</t>
  </si>
  <si>
    <t>£/yr</t>
  </si>
  <si>
    <t>ESTIMATE. Small units are typically well under the £51,000 rateable-value threshold and commonly qualify for Small Business Rate Relief plus 75% Retail, Hospitality &amp; Leisure relief, capped at £110,000/business (gov.uk; DineOpen, 2026). Actual rateable value must be confirmed with the VOA/local council before funding.</t>
  </si>
  <si>
    <t>Utilities (gas/electric/water)</t>
  </si>
  <si>
    <t>% of revenue</t>
  </si>
  <si>
    <t>Brikly (2026): UK cafés typically pay 2.5-3.5% of revenue on gas and electric</t>
  </si>
  <si>
    <t>Insurance (public liability, contents, instructor indemnity)</t>
  </si>
  <si>
    <t>ESTIMATE — combined hospitality + fitness liability cover; obtain broker quotes (e.g. specialist gym/café insurers) before funding.</t>
  </si>
  <si>
    <t>Card processing fees</t>
  </si>
  <si>
    <t>% of card revenue</t>
  </si>
  <si>
    <t>Brikly (2026): card mix is 90%+ in most UK cafés at an all-in cost of ~1.5-2%</t>
  </si>
  <si>
    <t>CAFÉ / BRUNCH REVENUE</t>
  </si>
  <si>
    <t>Café</t>
  </si>
  <si>
    <t>Trading days per year</t>
  </si>
  <si>
    <t>days</t>
  </si>
  <si>
    <t>6 days/week x 52 weeks; bsness.co.uk (2026): UK cafés typically trade 300-360 days/yr</t>
  </si>
  <si>
    <t>Steady-state covers per day</t>
  </si>
  <si>
    <t>covers</t>
  </si>
  <si>
    <t>Average spend per head</t>
  </si>
  <si>
    <t>£</t>
  </si>
  <si>
    <t>bsness.co.uk (2026): UK café average spend per head is £5-£12; a brunch/food-forward menu is assumed to sit toward the upper-middle of this range.</t>
  </si>
  <si>
    <t>Food &amp; drink cost of sales</t>
  </si>
  <si>
    <t>% of café revenue</t>
  </si>
  <si>
    <t>The Caterer / AHBS Ltd benchmark (2025): UK food cost 28-32% of food sales, beverage 18-24% of beverage sales; 30% blended used</t>
  </si>
  <si>
    <t>FITNESS / AFROBEATS CLASSES</t>
  </si>
  <si>
    <t>Fitness</t>
  </si>
  <si>
    <t>classes</t>
  </si>
  <si>
    <t>Average attendees per class</t>
  </si>
  <si>
    <t>people</t>
  </si>
  <si>
    <t>Drop-in class price</t>
  </si>
  <si>
    <t>StudioGrowth (2026) and PayScale UK cite UK group fitness classes typically £10-£20-plus; priced at the accessible end to fit a community-first, non-premium positioning</t>
  </si>
  <si>
    <t>members</t>
  </si>
  <si>
    <t>Monthly membership price (unlimited/bundled classes)</t>
  </si>
  <si>
    <t>£/month</t>
  </si>
  <si>
    <t>Leisure DB 2025 State of the Fitness Industry: average UK gym membership £48.45/month (£76 in London). Priced below the national average to reflect community/accessible positioning.</t>
  </si>
  <si>
    <t>Freelance instructor rate per class</t>
  </si>
  <si>
    <t>£/class</t>
  </si>
  <si>
    <t>Healthworks (2025): £25/hour for freelance class cover; activecareers.org.uk: freelance instructors typically earn up to £35/class outside London and £45/hour in London. Midpoint used for Greater London suburban location.</t>
  </si>
  <si>
    <t>STAFFING &amp; WAGES</t>
  </si>
  <si>
    <t>Staffing</t>
  </si>
  <si>
    <t>Front-of-house / barista hours per week, steady state</t>
  </si>
  <si>
    <t>hrs/wk</t>
  </si>
  <si>
    <t>ESTIMATE — covers opening hours with 2 staff overlapping at peak (e.g. 7am-3pm, 6 days)</t>
  </si>
  <si>
    <t>Front-of-house hourly wage</t>
  </si>
  <si>
    <t>£/hr</t>
  </si>
  <si>
    <t>GOV.UK: National Living Wage (21+) is £12.71/hour from 1 April 2026. Set slightly above the statutory floor to aid retention in a customer-facing role.</t>
  </si>
  <si>
    <t>Owner/manager annual salary or draw</t>
  </si>
  <si>
    <t>Employer NI + auto-enrolment pension on wages</t>
  </si>
  <si>
    <t>% of gross wages</t>
  </si>
  <si>
    <t>OTHER OPERATING COSTS &amp; TAX</t>
  </si>
  <si>
    <t>Opex</t>
  </si>
  <si>
    <t>Ongoing marketing</t>
  </si>
  <si>
    <t>ESTIMATE — local social media, launch offers, community partnerships</t>
  </si>
  <si>
    <t>POS + class-booking software</t>
  </si>
  <si>
    <t>GoTeamUp (2026): studio/gym management software typically $100-$500/month</t>
  </si>
  <si>
    <t>Cleaning, repairs, accountancy, admin</t>
  </si>
  <si>
    <t>ESTIMATE — combined light-touch back-office costs for a single small site</t>
  </si>
  <si>
    <t>Tax</t>
  </si>
  <si>
    <t>Corporation tax rate (small profits)</t>
  </si>
  <si>
    <t>%</t>
  </si>
  <si>
    <t>bsness.co.uk (2026): current UK Corporation Tax main/small-profits rate is 25% for most small companies — confirm current rate and marginal relief with HMRC/accountant</t>
  </si>
  <si>
    <t>VAT registration threshold</t>
  </si>
  <si>
    <t>£ turnover</t>
  </si>
  <si>
    <t>GROWTH ASSUMPTIONS (YEARS 2-3)</t>
  </si>
  <si>
    <t>Growth</t>
  </si>
  <si>
    <t>Average classes attended per member, per month</t>
  </si>
  <si>
    <t>classes/member/month</t>
  </si>
  <si>
    <t>FINANCING &amp; DEPRECIATION</t>
  </si>
  <si>
    <t>Financing</t>
  </si>
  <si>
    <t>Owner equity contribution</t>
  </si>
  <si>
    <t>Loan interest rate (blended)</t>
  </si>
  <si>
    <t>% per year</t>
  </si>
  <si>
    <t>Blends the British Business Bank Start Up Loans scheme (6% fixed, capped at £25,000 per founder) with typical unsecured small-business loan rates for any balance above that cap; confirm actual terms with a lender.</t>
  </si>
  <si>
    <t>Loan term</t>
  </si>
  <si>
    <t>years</t>
  </si>
  <si>
    <t>Standard term for small-business/Start Up Loans finance</t>
  </si>
  <si>
    <t>Depreciation useful life (fit-out &amp; equipment)</t>
  </si>
  <si>
    <t>Standard straight-line assumption for leasehold improvements and catering/fitness equipment; confirm with your accountant</t>
  </si>
  <si>
    <t>LINKED TO SCENARIOS TAB. ASSUMPTION - growth continuing to moderate as the site matures further.</t>
  </si>
  <si>
    <t>LINKED TO SCENARIOS TAB. ASSUMPTION - a single site typically approaches a capacity ceiling by Year 5.</t>
  </si>
  <si>
    <t>Startup (One-Off) Costs</t>
  </si>
  <si>
    <t>Item</t>
  </si>
  <si>
    <t>Low (£)</t>
  </si>
  <si>
    <t>High (£)</t>
  </si>
  <si>
    <t>Model Assumption (£)</t>
  </si>
  <si>
    <t>Source</t>
  </si>
  <si>
    <t>Rent deposit (3 months) + legal fees</t>
  </si>
  <si>
    <t>Huxley &amp; Co (2026): typical deposit 3-6 months' rent + solicitor fees; linked to Assumptions rent figures plus a £1,500 legal-fee estimate</t>
  </si>
  <si>
    <t>Café fit-out (light food service, no full kitchen)</t>
  </si>
  <si>
    <t>Huxley &amp; Co (2026): kitchen fit-out for drinks + light snacks/sandwiches typically £11,000-£30,000</t>
  </si>
  <si>
    <t>Café equipment (espresso machine, grinder, fridge, dishwasher, POS)</t>
  </si>
  <si>
    <t>AT Coffee (2025) / Afida (2026): UK café equipment package typically £10,000-£15,000</t>
  </si>
  <si>
    <t>Fitness studio fit-out (flooring, mirrors, sound, lighting)</t>
  </si>
  <si>
    <t>CYC Fitness / RDX Wholesale (2026): boutique studio fit-out and specialist kit typically £6,000-£25,000</t>
  </si>
  <si>
    <t>Fitness equipment (mats, light weights, resistance bands)</t>
  </si>
  <si>
    <t>RDX Wholesale (2026): boutique studio (yoga/Pilates/dance-style) equipment £2,000-£8,000</t>
  </si>
  <si>
    <t>Café furniture (tables, chairs, shelving)</t>
  </si>
  <si>
    <t>AT Coffee (2025): furniture typically £3,000-£5,000</t>
  </si>
  <si>
    <t>Signage &amp; shopfront</t>
  </si>
  <si>
    <t>Huxley &amp; Co (2026): bifold doors £2,500-£5,000, canopy £1,000-£5,000; mid-range shopfront assumed</t>
  </si>
  <si>
    <t>Initial F&amp;B stock</t>
  </si>
  <si>
    <t>AT Coffee (2025): initial stock (coffee, milk, pastries, packaging) typically £1,500-£3,000</t>
  </si>
  <si>
    <t>Licences, insurance setup, food hygiene registration, PPL PRS music licence</t>
  </si>
  <si>
    <t>Grove HR (2026): PPL PRS licence £500-£1,500/yr, ICO registration £40/yr, food hygiene registration is free via local council; insurance setup estimated</t>
  </si>
  <si>
    <t>Marketing &amp; launch campaign</t>
  </si>
  <si>
    <t>AT Coffee (2025): signage, logo design, launch campaign typically £1,000-£3,000</t>
  </si>
  <si>
    <t>Subtotal — fit-out, equipment &amp; launch costs</t>
  </si>
  <si>
    <t>Contingency (15% of subtotal above)</t>
  </si>
  <si>
    <t>Resawod (2026): fit-out quotes routinely run over; build in a 15-20% contingency</t>
  </si>
  <si>
    <t>Working capital reserve (3 months of fixed operating costs)</t>
  </si>
  <si>
    <t>AT Coffee / Bellwether Coffee (2026): plan for 3-6 months of fixed costs as a cash buffer before trade builds; linked from Monthly P&amp;L</t>
  </si>
  <si>
    <t>TOTAL STARTUP CAPITAL REQUIRED</t>
  </si>
  <si>
    <t xml:space="preserve">  of which: capitalised as fixed assets (fit-out, equipment, furniture, signage)</t>
  </si>
  <si>
    <t>Feeds the opening Balance Sheet as Fixed Assets at cost. Excludes rent deposit, initial stock, licences and launch marketing, which are treated as expensed pre-trading costs.</t>
  </si>
  <si>
    <t>Seasonality &amp; Marketing Plan (repeats every year, Months 1-12 = Jan-Dec)</t>
  </si>
  <si>
    <t>Month #</t>
  </si>
  <si>
    <t>Month</t>
  </si>
  <si>
    <t>Cafe Seasonality
Index</t>
  </si>
  <si>
    <t>Fitness Seasonality
Index</t>
  </si>
  <si>
    <t>Summer Iced-Drink
Spend Uplift (£)</t>
  </si>
  <si>
    <t>Social Media
Ads (£)</t>
  </si>
  <si>
    <t>Local/Community
Marketing (£)</t>
  </si>
  <si>
    <t>Referral/Loyalty
Programme (£)</t>
  </si>
  <si>
    <t>Total Marketing
Base (£)</t>
  </si>
  <si>
    <t>January</t>
  </si>
  <si>
    <t>Jan: post-holiday spending pullback for cafe; strong New Year fitness-resolution surge; heaviest paid-social push to capture resolution search demand</t>
  </si>
  <si>
    <t>February</t>
  </si>
  <si>
    <t>Feb: cafe still building back; fitness resolution demand starting to taper (well-documented gym drop-off pattern)</t>
  </si>
  <si>
    <t>March</t>
  </si>
  <si>
    <t>Mar: both approaching baseline as routines normalise</t>
  </si>
  <si>
    <t>April</t>
  </si>
  <si>
    <t>Apr: baseline month for both</t>
  </si>
  <si>
    <t>May</t>
  </si>
  <si>
    <t>May: cafe lifts into Mother's Day/spring; fitness starts easing as weather improves; referral spend ticks up</t>
  </si>
  <si>
    <t>June</t>
  </si>
  <si>
    <t>Jun: iced-drink/summer menu uplift begins; fitness dips as summer holidays start; summer social campaign begins</t>
  </si>
  <si>
    <t>July</t>
  </si>
  <si>
    <t>Jul: peak cafe summer trade; fitness at its lowest as holiday season peaks</t>
  </si>
  <si>
    <t>August</t>
  </si>
  <si>
    <t>Aug: cafe eases slightly as some regulars travel; fitness still subdued</t>
  </si>
  <si>
    <t>September</t>
  </si>
  <si>
    <t>Sep: 'back to routine' bump for fitness; cafe returns to baseline; local partnership push for the new term</t>
  </si>
  <si>
    <t>October</t>
  </si>
  <si>
    <t>Oct: both at baseline</t>
  </si>
  <si>
    <t>November</t>
  </si>
  <si>
    <t>Nov: cafe begins holiday-season lift (gatherings, gifting); fitness dips as routines disrupt; marketing ramps for the festive period</t>
  </si>
  <si>
    <t>December</t>
  </si>
  <si>
    <t>Dec: cafe peak (holiday brunches, gifting); fitness at its lowest (well-documented holiday attendance drop); heaviest festive marketing push</t>
  </si>
  <si>
    <t>Average (should be close to 1.00 for a seasonality index)</t>
  </si>
  <si>
    <t>SOURCING NOTE</t>
  </si>
  <si>
    <t>REVENUE</t>
  </si>
  <si>
    <t>Cafe revenue</t>
  </si>
  <si>
    <t>Fitness revenue</t>
  </si>
  <si>
    <t>TOTAL REVENUE</t>
  </si>
  <si>
    <t>COST OF SALES</t>
  </si>
  <si>
    <t>Freelance instructor costs</t>
  </si>
  <si>
    <t>TOTAL COST OF SALES</t>
  </si>
  <si>
    <t>GROSS PROFIT</t>
  </si>
  <si>
    <t>FIXED OPERATING EXPENSES</t>
  </si>
  <si>
    <t>Business rates</t>
  </si>
  <si>
    <t>Wages (incl. NI/pension)</t>
  </si>
  <si>
    <t>Marketing - social ads</t>
  </si>
  <si>
    <t>Marketing - local/community</t>
  </si>
  <si>
    <t>Marketing - referral/loyalty</t>
  </si>
  <si>
    <t>TOTAL FIXED OPEX</t>
  </si>
  <si>
    <t>VARIABLE OPERATING EXPENSES</t>
  </si>
  <si>
    <t>Utilities</t>
  </si>
  <si>
    <t>TOTAL VARIABLE OPEX</t>
  </si>
  <si>
    <t>TOTAL OPERATING EXPENSES</t>
  </si>
  <si>
    <t>BELOW EBITDA</t>
  </si>
  <si>
    <t>Depreciation</t>
  </si>
  <si>
    <t>Loan interest</t>
  </si>
  <si>
    <t>Net profit before tax</t>
  </si>
  <si>
    <t>Corporation tax</t>
  </si>
  <si>
    <t>NET PROFIT AFTER TAX</t>
  </si>
  <si>
    <t>MARGINS</t>
  </si>
  <si>
    <t>Gross margin %</t>
  </si>
  <si>
    <t>EBITDA margin %</t>
  </si>
  <si>
    <t>Net margin %</t>
  </si>
  <si>
    <t>5-Year Monthly Model (60 months, seasonality-adjusted)</t>
  </si>
  <si>
    <t>FIELD REFERENCE — what each column means and how it's calculated</t>
  </si>
  <si>
    <t>Period</t>
  </si>
  <si>
    <t>MonthInYr</t>
  </si>
  <si>
    <t>MonthLabel</t>
  </si>
  <si>
    <t>CafeRamp</t>
  </si>
  <si>
    <t>FitRamp</t>
  </si>
  <si>
    <t>GrowthFactor</t>
  </si>
  <si>
    <t>CafeSeason</t>
  </si>
  <si>
    <t>FitSeason</t>
  </si>
  <si>
    <t>TradingDays</t>
  </si>
  <si>
    <t>EffCoversPerDay</t>
  </si>
  <si>
    <t>AvgSpendAdj</t>
  </si>
  <si>
    <t>CafeRevenue</t>
  </si>
  <si>
    <t>FoodCOGS</t>
  </si>
  <si>
    <t>Members</t>
  </si>
  <si>
    <t>MembershipRev</t>
  </si>
  <si>
    <t>ClassesRun</t>
  </si>
  <si>
    <t>TotalAttend</t>
  </si>
  <si>
    <t>MemberCovAttend</t>
  </si>
  <si>
    <t>DropinAttend</t>
  </si>
  <si>
    <t>DropinRev</t>
  </si>
  <si>
    <t>InstructorCost</t>
  </si>
  <si>
    <t>FitnessRevenue</t>
  </si>
  <si>
    <t>TotalRevenue</t>
  </si>
  <si>
    <t>TotalCOGS</t>
  </si>
  <si>
    <t>GrossProfit</t>
  </si>
  <si>
    <t>Rates</t>
  </si>
  <si>
    <t>WagesTotal</t>
  </si>
  <si>
    <t>MktSocial</t>
  </si>
  <si>
    <t>MktLocal</t>
  </si>
  <si>
    <t>MktReferral</t>
  </si>
  <si>
    <t>MktTotal</t>
  </si>
  <si>
    <t>TotalFixedOpex</t>
  </si>
  <si>
    <t>CardFees</t>
  </si>
  <si>
    <t>TotalVarOpex</t>
  </si>
  <si>
    <t>TotalOpex</t>
  </si>
  <si>
    <t>LoanInterest</t>
  </si>
  <si>
    <t>NPBT</t>
  </si>
  <si>
    <t>NPAT</t>
  </si>
  <si>
    <t>LoanPrincipal</t>
  </si>
  <si>
    <t>NetCashFlow</t>
  </si>
  <si>
    <t>OpeningCash</t>
  </si>
  <si>
    <t>ClosingCash</t>
  </si>
  <si>
    <t>GrossMarginPct</t>
  </si>
  <si>
    <t>EBITDAMarginPct</t>
  </si>
  <si>
    <t>NetMarginPct</t>
  </si>
  <si>
    <t>Column</t>
  </si>
  <si>
    <t>What it is / how it's calculated</t>
  </si>
  <si>
    <t>Period / Year / Month-in-Yr</t>
  </si>
  <si>
    <t>Which of the 60 months this row is: Period 1-60, Year 1-5, and month-in-year 1-12 (1=Jan).</t>
  </si>
  <si>
    <t>Cafe Ramp / Fit Ramp</t>
  </si>
  <si>
    <t>How close to full capacity the business is, Year 1 only (50%-&gt;100% for cafe, 40%-&gt;100% for fitness). Locked at 100% from Year 2 on.</t>
  </si>
  <si>
    <t>Cafe Season / Fit Season</t>
  </si>
  <si>
    <t>This month's seasonality multiplier vs an average month (e.g. July cafe = 1.15, i.e. +15%). From the Seasonality &amp; Marketing tab.</t>
  </si>
  <si>
    <t>Growth Factor</t>
  </si>
  <si>
    <t>Cumulative year-on-year growth applied from Year 2 onward (compounds each year using the Scenarios-linked growth rates).</t>
  </si>
  <si>
    <t>Effective Covers/Day</t>
  </si>
  <si>
    <t>Base covers/day (Assumptions) x Cafe Ramp x Cafe Season x Growth Factor.</t>
  </si>
  <si>
    <t>Cafe Revenue</t>
  </si>
  <si>
    <t>Effective Covers/Day x Trading Days in month x Average Spend (spend includes the summer iced-drink uplift in Jun-Aug).</t>
  </si>
  <si>
    <t>Base members (Assumptions) x Fit Ramp x Fit Season x Growth Factor.</t>
  </si>
  <si>
    <t>Membership Revenue</t>
  </si>
  <si>
    <t>Members x monthly membership price.</t>
  </si>
  <si>
    <t>Classes Run</t>
  </si>
  <si>
    <t>Base classes/week x 4.333 x Fit Ramp x Fit Season x Growth Factor.</t>
  </si>
  <si>
    <t>Drop-in Revenue</t>
  </si>
  <si>
    <t>(Total class attendances - attendances covered by memberships) x drop-in price.</t>
  </si>
  <si>
    <t>Fitness Revenue</t>
  </si>
  <si>
    <t>Membership Revenue + Drop-in Revenue.</t>
  </si>
  <si>
    <t>Cafe Revenue + Fitness Revenue. This is what the Income Statement sums by year.</t>
  </si>
  <si>
    <t>Total COGS</t>
  </si>
  <si>
    <t>Food &amp; drink cost of sales + freelance instructor costs.</t>
  </si>
  <si>
    <t>Total Revenue - Total COGS.</t>
  </si>
  <si>
    <t>Rent / Rates / Insurance</t>
  </si>
  <si>
    <t>Fixed monthly costs, pulled straight from the Assumptions tab (annual figures / 12).</t>
  </si>
  <si>
    <t>Wages Total</t>
  </si>
  <si>
    <t>Front-of-house wages + manager salary, grossed up for employer NI and pension (Assumptions).</t>
  </si>
  <si>
    <t>Mkt Social / Local / Referral</t>
  </si>
  <si>
    <t>This month's spend per channel (Seasonality &amp; Marketing tab), scaled up by the Growth Factor as the business grows.</t>
  </si>
  <si>
    <t>Total Fixed Opex</t>
  </si>
  <si>
    <t>Rent + Rates + Insurance + Wages + all 3 marketing channels + Software + Admin.</t>
  </si>
  <si>
    <t>Utilities / Card Fees</t>
  </si>
  <si>
    <t>Both calculated as a % of Total Revenue (Assumptions).</t>
  </si>
  <si>
    <t>TOTAL OPEX</t>
  </si>
  <si>
    <t>Total Fixed Opex + Total Variable Opex (Utilities + Card Fees).</t>
  </si>
  <si>
    <t>Gross Profit - Total Opex. Earnings before interest, tax, depreciation, amortisation.</t>
  </si>
  <si>
    <t>Capitalised startup fixed assets (Startup Costs tab) spread evenly over their useful life (Assumptions).</t>
  </si>
  <si>
    <t>Loan Interest / Principal</t>
  </si>
  <si>
    <t>This month's split of the loan repayment, pulled from the Loan Schedule tab.</t>
  </si>
  <si>
    <t>NPBT / Tax / NPAT</t>
  </si>
  <si>
    <t>EBITDA - Depreciation + Interest = profit before tax; tax = profit x corporation tax rate (if positive); NPAT = profit after tax.</t>
  </si>
  <si>
    <t>Net Cash Flow</t>
  </si>
  <si>
    <t>NPAT + Depreciation (added back, it's non-cash) + Loan Principal (cash out, not in NPAT).</t>
  </si>
  <si>
    <t>Opening / Closing Cash</t>
  </si>
  <si>
    <t>Running cash balance: this month's opening = last month's closing; closing = opening + Net Cash Flow.</t>
  </si>
  <si>
    <t>Margin % columns</t>
  </si>
  <si>
    <t>Gross Profit, EBITDA, or NPAT divided by Total Revenue, as a percentage.</t>
  </si>
  <si>
    <t>Loan Amortisation Schedule</t>
  </si>
  <si>
    <t>Loan amount</t>
  </si>
  <si>
    <t>Annual interest rate</t>
  </si>
  <si>
    <t>Term (months)</t>
  </si>
  <si>
    <t>Fixed monthly payment</t>
  </si>
  <si>
    <t>Opening Balance</t>
  </si>
  <si>
    <t>Payment</t>
  </si>
  <si>
    <t>Interest</t>
  </si>
  <si>
    <t>Principal</t>
  </si>
  <si>
    <t>Closing Balance</t>
  </si>
  <si>
    <t>Year 1 total (periods 1-12)</t>
  </si>
  <si>
    <t>Year 2 total (periods 13-24)</t>
  </si>
  <si>
    <t>Year 3 total (periods 25-36)</t>
  </si>
  <si>
    <t>Year 4 total (periods 37-48)</t>
  </si>
  <si>
    <t>Year 5 total (periods 49-60)</t>
  </si>
  <si>
    <t>Income Statement — Annual, Years 1-5</t>
  </si>
  <si>
    <t>Line item</t>
  </si>
  <si>
    <t>Note</t>
  </si>
  <si>
    <t>Fitness revenue (membership + drop-in)</t>
  </si>
  <si>
    <t>Total cost of sales</t>
  </si>
  <si>
    <t>TOTAL GROSS PROFIT</t>
  </si>
  <si>
    <t xml:space="preserve">  of which: Rent</t>
  </si>
  <si>
    <t xml:space="preserve">  of which: Business rates</t>
  </si>
  <si>
    <t xml:space="preserve">  of which: Insurance</t>
  </si>
  <si>
    <t xml:space="preserve">  of which: Wages (incl. NI/pension)</t>
  </si>
  <si>
    <t xml:space="preserve">  of which: Marketing (all channels)</t>
  </si>
  <si>
    <t xml:space="preserve">  of which: Software</t>
  </si>
  <si>
    <t xml:space="preserve">  of which: Admin</t>
  </si>
  <si>
    <t>Total fixed operating costs</t>
  </si>
  <si>
    <t>Total variable operating costs (utilities, card fees)</t>
  </si>
  <si>
    <t>Earnings before interest, tax, depreciation and amortisation</t>
  </si>
  <si>
    <t>Cash Flow Statement — Annual, Years 1-5</t>
  </si>
  <si>
    <t>PRE-LAUNCH: FUNDING &amp; CAPITAL EXPENDITURE</t>
  </si>
  <si>
    <t>Loan drawn down</t>
  </si>
  <si>
    <t>OPENING CASH BALANCE (start of Month 1)</t>
  </si>
  <si>
    <t>Net profit after tax</t>
  </si>
  <si>
    <t>Loan principal repayment</t>
  </si>
  <si>
    <t>NET CASH FLOW</t>
  </si>
  <si>
    <t>Opening cash balance</t>
  </si>
  <si>
    <t>Closing cash balance</t>
  </si>
  <si>
    <t>Year 0 (Launch)</t>
  </si>
  <si>
    <t>ASSETS</t>
  </si>
  <si>
    <t>Cash</t>
  </si>
  <si>
    <t>Fixed assets at cost</t>
  </si>
  <si>
    <t>Less: accumulated depreciation</t>
  </si>
  <si>
    <t>Net fixed assets</t>
  </si>
  <si>
    <t>TOTAL ASSETS</t>
  </si>
  <si>
    <t>LIABILITIES</t>
  </si>
  <si>
    <t>Loan balance outstanding</t>
  </si>
  <si>
    <t>TOTAL LIABILITIES</t>
  </si>
  <si>
    <t>EQUITY</t>
  </si>
  <si>
    <t>Retained earnings (cumulative net profit after tax)</t>
  </si>
  <si>
    <t>TOTAL EQUITY</t>
  </si>
  <si>
    <t>TOTAL LIABILITIES + EQUITY</t>
  </si>
  <si>
    <t>Balance check (Assets minus Liabilities+Equity; should be 0)</t>
  </si>
  <si>
    <t>Pivot Summary — Income Statement by Year</t>
  </si>
  <si>
    <t>5-Yr Average</t>
  </si>
  <si>
    <t>5-Yr Total</t>
  </si>
  <si>
    <t>Total Revenue</t>
  </si>
  <si>
    <t>Total Gross Profit</t>
  </si>
  <si>
    <t>Total EBITDA</t>
  </si>
  <si>
    <t>Total Net Profit (after tax)</t>
  </si>
  <si>
    <t>MONTH x YEAR GRID — TOTAL REVENUE (£)</t>
  </si>
  <si>
    <t>Avg</t>
  </si>
  <si>
    <t>Break-Even Analysis (Month 12 - end of Year 1 ramp, seasonality-adjusted)</t>
  </si>
  <si>
    <t>Method: Bellwether Coffee (2026) - Monthly break-even revenue = Fixed costs / Contribution margin. Month 12 = December, so this reflects Year 1's holiday-season seasonality, not an average month - see the 5-Year Monthly Model tab for the full monthly picture.</t>
  </si>
  <si>
    <t>Source / Formula</t>
  </si>
  <si>
    <t>Steady-state monthly revenue (Month 12)</t>
  </si>
  <si>
    <t>Linked from Monthly P&amp;L, Month 12</t>
  </si>
  <si>
    <t>Steady-state monthly variable costs (COGS + variable opex)</t>
  </si>
  <si>
    <t>Cost of sales + utilities + card fees, Month 12</t>
  </si>
  <si>
    <t>Contribution margin %</t>
  </si>
  <si>
    <t>(Revenue − Variable costs) ÷ Revenue</t>
  </si>
  <si>
    <t>Steady-state fixed operating costs (monthly)</t>
  </si>
  <si>
    <t>Rent, rates, insurance, wages, marketing, software, admin — Month 12</t>
  </si>
  <si>
    <t>MONTHLY BREAK-EVEN REVENUE</t>
  </si>
  <si>
    <t>Fixed costs ÷ Contribution margin</t>
  </si>
  <si>
    <t>Café share of total revenue (Month 12)</t>
  </si>
  <si>
    <t>Implied break-even covers/day (if café held its revenue mix)</t>
  </si>
  <si>
    <t>Break-even café revenue share ÷ (trading days in month × average spend per head)</t>
  </si>
  <si>
    <t>Compare to steady-state assumption</t>
  </si>
  <si>
    <t>Assumed steady-state covers/day (Assumptions tab)</t>
  </si>
  <si>
    <t>Headroom / (shortfall) vs break-even</t>
  </si>
  <si>
    <t>KEY RATIOS - QUICK REFERENCE (Year 1 / Year 5)</t>
  </si>
  <si>
    <t>Ratio</t>
  </si>
  <si>
    <t>Formula</t>
  </si>
  <si>
    <t>Gross Profit / Revenue</t>
  </si>
  <si>
    <t>EBITDA / Revenue</t>
  </si>
  <si>
    <t>Net Profit After Tax / Revenue</t>
  </si>
  <si>
    <t>Fixed opex as % of revenue</t>
  </si>
  <si>
    <t>Total Fixed Opex / Revenue - falling over time shows operating leverage</t>
  </si>
  <si>
    <t>Year Growth Factors (cumulative, compounding)</t>
  </si>
  <si>
    <t>Growth vs prior year</t>
  </si>
  <si>
    <t>Cumulative factor</t>
  </si>
  <si>
    <t>Year-1 Ramp Lookup (month-in-year -&gt; ramp %)</t>
  </si>
  <si>
    <t>Cafe Ramp</t>
  </si>
  <si>
    <t>Fit Ramp</t>
  </si>
  <si>
    <t>Pre-Launch Funding &amp; Opening Cash</t>
  </si>
  <si>
    <t>Total capital raised</t>
  </si>
  <si>
    <t>Less: capitalised fixed asset spend</t>
  </si>
  <si>
    <t>Less: expensed pre-trading costs + contingency</t>
  </si>
  <si>
    <t>OPENING CASH (start of Month 1)</t>
  </si>
  <si>
    <t>VALUATION ASSUMPTIONS</t>
  </si>
  <si>
    <t>Discount rate (unlevered, applied to FCFF)</t>
  </si>
  <si>
    <t>TXN Capital (2026): equity discount rate 12-20% typical for a private company; DCF Calculator (2026): private/growth-stage companies 15-20%. Set at the top of the private-company range given this is a single-site, pre-trading concept.</t>
  </si>
  <si>
    <t>Terminal growth rate (perpetuity, beyond Year 5)</t>
  </si>
  <si>
    <t>DCF Calculator (2026): terminal growth commonly set at 2-3% for long-run, mature-market growth</t>
  </si>
  <si>
    <t>Maintenance capex (% of revenue, ongoing equipment/fit-out reinvestment)</t>
  </si>
  <si>
    <t>ESTIMATE - a modest reserve for replacing catering and fitness equipment over time; no independent benchmark, validate against actual replacement cycles</t>
  </si>
  <si>
    <t>EBITDA multiple - Low</t>
  </si>
  <si>
    <t>Glofox/Tupelo (2025-26): small independent gyms/cafes with EBITDA under ~£250k-500k commonly trade at 1.0-2.5x EBITDA; Adastra Equity (2026): single-unit owner-operated restaurants cap at 2-3x SDE</t>
  </si>
  <si>
    <t>EBITDA multiple - Mid</t>
  </si>
  <si>
    <t>CLFI (2025): UK small-firm (~£200k EBITDA) average EV/EBITDA is 3.1x; Peak Business Valuation (2026): gyms/fitness centres average 3.33-4.34x EBITDA. Blended midpoint used for this hybrid concept.</t>
  </si>
  <si>
    <t>EBITDA multiple - High</t>
  </si>
  <si>
    <t>Adastra Equity (2026): profitable independent restaurants reach 3-5x SDE; CT Acquisitions (2026): boutique fitness studios with proven unit economics reach 3-4x SDE</t>
  </si>
  <si>
    <t>METHOD 1 — DISCOUNTED CASH FLOW (DCF)</t>
  </si>
  <si>
    <t>EBIT (unlevered)</t>
  </si>
  <si>
    <t>Unlevered tax on EBIT</t>
  </si>
  <si>
    <t>NOPAT (Net Operating Profit After Tax)</t>
  </si>
  <si>
    <t>Add back: Depreciation (non-cash)</t>
  </si>
  <si>
    <t>Less: Maintenance capex</t>
  </si>
  <si>
    <t>UNLEVERED FREE CASH FLOW (FCFF)</t>
  </si>
  <si>
    <t>Discount factor</t>
  </si>
  <si>
    <t>PV of FCFF</t>
  </si>
  <si>
    <t>Sum of PV of Years 1-5 FCFF</t>
  </si>
  <si>
    <t>Terminal value (Gordon growth, at end of Year 5)</t>
  </si>
  <si>
    <t>PV of terminal value</t>
  </si>
  <si>
    <t>ENTERPRISE VALUE (DCF)</t>
  </si>
  <si>
    <t>Less: Net debt (loan drawn less pre-launch opening cash)</t>
  </si>
  <si>
    <t>EQUITY VALUE (DCF)</t>
  </si>
  <si>
    <t>METHOD 2 — EBITDA MULTIPLE (MARKET COMPARABLE)</t>
  </si>
  <si>
    <t>Low</t>
  </si>
  <si>
    <t>Mid</t>
  </si>
  <si>
    <t>High</t>
  </si>
  <si>
    <t>Year 5 EBITDA (steady-state basis)</t>
  </si>
  <si>
    <t>EBITDA multiple applied</t>
  </si>
  <si>
    <t>IMPLIED ENTERPRISE VALUE</t>
  </si>
  <si>
    <t>Less: Net debt at Year 5 (loan balance less Year-5 cash)</t>
  </si>
  <si>
    <t>IMPLIED EQUITY VALUE</t>
  </si>
  <si>
    <t>SUMMARY &amp; CROSS-CHECK</t>
  </si>
  <si>
    <t>DCF Equity Value</t>
  </si>
  <si>
    <t>EBITDA Multiple Equity Value (Low - High)</t>
  </si>
  <si>
    <t>ESTIMATE -the remainder is modelled as a loan.</t>
  </si>
  <si>
    <t xml:space="preserve">ESTIMATE — assumes an unlimited member attends roughly 1.5x/week on average. No public benchmark exists </t>
  </si>
  <si>
    <t xml:space="preserve"> ASSUMPTION — growth typically slows as a single site approaches its capacity ceiling.</t>
  </si>
  <si>
    <t xml:space="preserve"> ASSUMPTION, not a forecast — a maturing single site commonly grows as awareness builds and word-of-mouth spreads</t>
  </si>
  <si>
    <t>Current UK VAT registration threshold to be reconfirm on gov.uk before trading, as thresholds are reviewed periodically</t>
  </si>
  <si>
    <t>ESTIMATE combining current employer NI rate and minimum 3% auto-enrolment pension contribution</t>
  </si>
  <si>
    <t>ESTIMATE — below TRAINFITNESS UK fitness-manager guide range (£27,000-£50,000) to reflect a pre-revenue-proven, single-site startup</t>
  </si>
  <si>
    <t>ESTIMATE — no public benchmark for this concept; treat as the number to validate via a pre-launch waiting list or founding-member offer.</t>
  </si>
  <si>
    <t>ESTIMATE based on 800 sq ft floor capacity for a moderate-intensity dance/fitness class</t>
  </si>
  <si>
    <t xml:space="preserve"> ESTIMATE — a realistic daytime schedule for a small studio (school-run friendly slots)</t>
  </si>
  <si>
    <t xml:space="preserve"> ESTIMATE — no public benchmark exists for this hybrid concept.</t>
  </si>
  <si>
    <t>(small studio, under 1,000 sq ft)</t>
  </si>
  <si>
    <t>NOTE: cost-side assumptions (rent, wages, food cost %, prices) are held constant across scenarios. Only footfall, class demand, membership take-up and multi-year growth vary - the assumptions with no external benchmark, flagged yellow on the Assumption Tab.</t>
  </si>
  <si>
    <t>No public benchmark exists for this hybrid concept. Worst reflects slow footfall build; Best reflects strong local word-of-mouth.</t>
  </si>
  <si>
    <t>Capital required before opening day. Ranges reflect UK 2025-26 sources</t>
  </si>
  <si>
    <t xml:space="preserve">These monthly indices are ESTIMATES, not measured local data - built from well-documented general seasonal patterns (January gym-membership surges and summer holiday attendance dips are widely reported industry-wide; UK hospitality holiday-season and summer trade upticks are similarly well documented in general terms) rather than data specific to this concept. There is no public dataset for a combined brunch-cafe/Afrobeats-fitness business. </t>
  </si>
  <si>
    <t xml:space="preserve">Monthly Profit &amp; Loss </t>
  </si>
  <si>
    <t>AVERAGES BY YEAR</t>
  </si>
  <si>
    <t>OPERATING PERFORMANCE TOTALS BY YEAR</t>
  </si>
  <si>
    <t>Row Labels</t>
  </si>
  <si>
    <t>Grand Total</t>
  </si>
  <si>
    <t>Sum of GrossProfit</t>
  </si>
  <si>
    <t>Sum of TotalRevenue</t>
  </si>
  <si>
    <t>Sum of EBITDA</t>
  </si>
  <si>
    <t>Afro Brunch Café and Fitness studio</t>
  </si>
  <si>
    <t>Details</t>
  </si>
  <si>
    <t>Dasboard</t>
  </si>
  <si>
    <t>Income statement</t>
  </si>
  <si>
    <t>CashFlow Statement</t>
  </si>
  <si>
    <t xml:space="preserve">Data </t>
  </si>
  <si>
    <t>Afro Brunch and Fitness Studio Co</t>
  </si>
  <si>
    <t>Pivot Table — Sum of performance  by Year</t>
  </si>
  <si>
    <t>Startup costs</t>
  </si>
  <si>
    <t>Pivot Table</t>
  </si>
  <si>
    <t>Seasonality Data Breakdown</t>
  </si>
  <si>
    <t>Five year monthly</t>
  </si>
  <si>
    <t>monthly Model Engine</t>
  </si>
  <si>
    <t>Loan Schedule</t>
  </si>
  <si>
    <t>Pivot Summary</t>
  </si>
  <si>
    <t>Break 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</si>
</sst>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quot;(£&quot;#,##0\)"/>
    <numFmt numFmtId="165" formatCode="0.0%"/>
    <numFmt numFmtId="166" formatCode="\£#,##0;&quot;(£&quot;#,##0\);\-"/>
    <numFmt numFmtId="167" formatCode="#,##0.0"/>
    <numFmt numFmtId="168" formatCode="\£#,##0.00;&quot;(£&quot;#,##0.00\);\-"/>
    <numFmt numFmtId="169" formatCode="#,##0;\(#,##0\);\-"/>
    <numFmt numFmtId="170" formatCode="0.0\x"/>
    <numFmt numFmtId="171" formatCode="_-&quot;£&quot;* #,##0_-;\-&quot;£&quot;* #,##0_-;_-&quot;£&quot;* &quot;-&quot;??_-;_-@_-"/>
  </numFmts>
  <fonts count="40" x14ac:knownFonts="1">
    <font>
      <sz val="11"/>
      <color theme="1"/>
      <name val="Calibri"/>
      <family val="2"/>
      <charset val="1"/>
    </font>
    <font>
      <b/>
      <i/>
      <sz val="10"/>
      <name val="Arial"/>
      <family val="2"/>
    </font>
    <font>
      <b/>
      <i/>
      <sz val="10"/>
      <color rgb="FF6D2E46"/>
      <name val="Arial"/>
      <family val="2"/>
    </font>
    <font>
      <i/>
      <sz val="9"/>
      <color rgb="FF808080"/>
      <name val="Arial"/>
      <family val="2"/>
    </font>
    <font>
      <b/>
      <sz val="11"/>
      <color rgb="FF595959"/>
      <name val="Arial"/>
      <family val="2"/>
    </font>
    <font>
      <b/>
      <sz val="26"/>
      <color rgb="FF1F1F1F"/>
      <name val="Arial"/>
      <family val="2"/>
    </font>
    <font>
      <i/>
      <sz val="13"/>
      <color rgb="FF6D2E46"/>
      <name val="Arial"/>
      <family val="2"/>
    </font>
    <font>
      <b/>
      <sz val="15"/>
      <color rgb="FF6D2E46"/>
      <name val="Arial"/>
      <family val="2"/>
    </font>
    <font>
      <b/>
      <sz val="10"/>
      <name val="Arial"/>
      <family val="2"/>
    </font>
    <font>
      <b/>
      <sz val="11"/>
      <name val="Arial"/>
      <family val="2"/>
    </font>
    <font>
      <sz val="10"/>
      <color rgb="FFC05A2C"/>
      <name val="Arial"/>
      <family val="2"/>
    </font>
    <font>
      <sz val="10"/>
      <name val="Arial"/>
      <family val="2"/>
    </font>
    <font>
      <i/>
      <sz val="10"/>
      <color rgb="FF595959"/>
      <name val="Arial"/>
      <family val="2"/>
    </font>
    <font>
      <b/>
      <sz val="10"/>
      <color rgb="FFFFFFFF"/>
      <name val="Arial"/>
      <family val="2"/>
    </font>
    <font>
      <b/>
      <u/>
      <sz val="9"/>
      <color rgb="FF0563C1"/>
      <name val="Arial"/>
      <family val="2"/>
    </font>
    <font>
      <b/>
      <sz val="9"/>
      <color rgb="FF595959"/>
      <name val="Arial"/>
      <family val="2"/>
    </font>
    <font>
      <b/>
      <u/>
      <sz val="9"/>
      <color rgb="FF6D2E46"/>
      <name val="Arial"/>
      <family val="2"/>
    </font>
    <font>
      <b/>
      <sz val="16"/>
      <color rgb="FF1F4E78"/>
      <name val="Arial"/>
      <family val="2"/>
    </font>
    <font>
      <i/>
      <sz val="8"/>
      <color rgb="FF808080"/>
      <name val="Arial"/>
      <family val="2"/>
    </font>
    <font>
      <b/>
      <sz val="9"/>
      <name val="Arial"/>
      <family val="2"/>
    </font>
    <font>
      <b/>
      <sz val="12"/>
      <name val="Arial"/>
      <family val="2"/>
    </font>
    <font>
      <sz val="9"/>
      <name val="Arial"/>
      <family val="2"/>
    </font>
    <font>
      <b/>
      <sz val="11"/>
      <color rgb="FFFFFFFF"/>
      <name val="Arial"/>
      <family val="2"/>
    </font>
    <font>
      <b/>
      <sz val="9"/>
      <color rgb="FFFFFFFF"/>
      <name val="Arial"/>
      <family val="2"/>
    </font>
    <font>
      <sz val="10"/>
      <color rgb="FF0000FF"/>
      <name val="Arial"/>
      <family val="2"/>
    </font>
    <font>
      <i/>
      <u/>
      <sz val="8"/>
      <color rgb="FF0563C1"/>
      <name val="Arial"/>
      <family val="2"/>
    </font>
    <font>
      <sz val="10"/>
      <color rgb="FF008000"/>
      <name val="Arial"/>
      <family val="2"/>
    </font>
    <font>
      <sz val="10"/>
      <color rgb="FF000000"/>
      <name val="Arial"/>
      <family val="2"/>
    </font>
    <font>
      <b/>
      <sz val="12"/>
      <color rgb="FFFFFFFF"/>
      <name val="Arial"/>
      <family val="2"/>
    </font>
    <font>
      <sz val="9"/>
      <color rgb="FFC05A2C"/>
      <name val="Arial"/>
      <family val="2"/>
    </font>
    <font>
      <sz val="9"/>
      <color rgb="FF1F4E78"/>
      <name val="Arial"/>
      <family val="2"/>
    </font>
    <font>
      <b/>
      <sz val="9"/>
      <color rgb="FF000000"/>
      <name val="Arial"/>
      <family val="2"/>
    </font>
    <font>
      <sz val="9"/>
      <color rgb="FF000000"/>
      <name val="Arial"/>
      <family val="2"/>
    </font>
    <font>
      <sz val="9"/>
      <color rgb="FF008000"/>
      <name val="Arial"/>
      <family val="2"/>
    </font>
    <font>
      <b/>
      <sz val="12"/>
      <color rgb="FF1F4E78"/>
      <name val="Arial"/>
      <family val="2"/>
    </font>
    <font>
      <u/>
      <sz val="11"/>
      <color theme="10"/>
      <name val="Calibri"/>
      <family val="2"/>
      <charset val="1"/>
    </font>
    <font>
      <b/>
      <sz val="18"/>
      <color theme="1"/>
      <name val="Calibri"/>
      <family val="2"/>
      <scheme val="minor"/>
    </font>
    <font>
      <sz val="18"/>
      <color theme="1"/>
      <name val="Calibri"/>
      <family val="2"/>
      <scheme val="minor"/>
    </font>
    <font>
      <u/>
      <sz val="18"/>
      <color theme="10"/>
      <name val="Calibri"/>
      <family val="2"/>
      <scheme val="minor"/>
    </font>
    <font>
      <sz val="9"/>
      <color rgb="FF0563C1"/>
      <name val="Arial"/>
      <family val="2"/>
    </font>
  </fonts>
  <fills count="13">
    <fill>
      <patternFill patternType="none"/>
    </fill>
    <fill>
      <patternFill patternType="gray125"/>
    </fill>
    <fill>
      <patternFill patternType="solid">
        <fgColor rgb="FF1F4E78"/>
        <bgColor rgb="FF36658B"/>
      </patternFill>
    </fill>
    <fill>
      <patternFill patternType="solid">
        <fgColor rgb="FF4472C4"/>
        <bgColor rgb="FF4570A6"/>
      </patternFill>
    </fill>
    <fill>
      <patternFill patternType="solid">
        <fgColor rgb="FFFFFF00"/>
        <bgColor rgb="FFFFD966"/>
      </patternFill>
    </fill>
    <fill>
      <patternFill patternType="solid">
        <fgColor rgb="FFD9E1F2"/>
        <bgColor rgb="FFD9D9D9"/>
      </patternFill>
    </fill>
    <fill>
      <patternFill patternType="solid">
        <fgColor rgb="FF808080"/>
        <bgColor rgb="FF8064A2"/>
      </patternFill>
    </fill>
    <fill>
      <patternFill patternType="solid">
        <fgColor theme="1" tint="0.499984740745262"/>
        <bgColor indexed="64"/>
      </patternFill>
    </fill>
    <fill>
      <patternFill patternType="solid">
        <fgColor theme="3"/>
        <bgColor indexed="64"/>
      </patternFill>
    </fill>
    <fill>
      <patternFill patternType="solid">
        <fgColor theme="3"/>
        <bgColor rgb="FF36658B"/>
      </patternFill>
    </fill>
    <fill>
      <patternFill patternType="solid">
        <fgColor theme="0"/>
        <bgColor rgb="FFFFD966"/>
      </patternFill>
    </fill>
    <fill>
      <patternFill patternType="solid">
        <fgColor theme="0" tint="-0.34998626667073579"/>
        <bgColor indexed="64"/>
      </patternFill>
    </fill>
    <fill>
      <patternFill patternType="solid">
        <fgColor theme="0"/>
        <bgColor rgb="FFFCE4D6"/>
      </patternFill>
    </fill>
  </fills>
  <borders count="15">
    <border>
      <left/>
      <right/>
      <top/>
      <bottom/>
      <diagonal/>
    </border>
    <border>
      <left/>
      <right/>
      <top/>
      <bottom style="thin">
        <color auto="1"/>
      </bottom>
      <diagonal/>
    </border>
    <border>
      <left/>
      <right/>
      <top style="thin">
        <color auto="1"/>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thin">
        <color rgb="FFD9D9D9"/>
      </bottom>
      <diagonal/>
    </border>
    <border>
      <left/>
      <right/>
      <top/>
      <bottom style="medium">
        <color auto="1"/>
      </bottom>
      <diagonal/>
    </border>
  </borders>
  <cellStyleXfs count="2">
    <xf numFmtId="0" fontId="0" fillId="0" borderId="0"/>
    <xf numFmtId="0" fontId="35" fillId="0" borderId="0" applyNumberFormat="0" applyFill="0" applyBorder="0" applyAlignment="0" applyProtection="0"/>
  </cellStyleXfs>
  <cellXfs count="156">
    <xf numFmtId="0" fontId="0" fillId="0" borderId="0" xfId="0"/>
    <xf numFmtId="0" fontId="12" fillId="0" borderId="0" xfId="0" applyFont="1"/>
    <xf numFmtId="0" fontId="3" fillId="0" borderId="0" xfId="0" applyFont="1" applyAlignment="1">
      <alignment wrapText="1"/>
    </xf>
    <xf numFmtId="0" fontId="9" fillId="0" borderId="0" xfId="0" applyFont="1"/>
    <xf numFmtId="0" fontId="3" fillId="0" borderId="0" xfId="0" applyFont="1"/>
    <xf numFmtId="0" fontId="0" fillId="2" borderId="0" xfId="0" applyFill="1"/>
    <xf numFmtId="0" fontId="4" fillId="0" borderId="0" xfId="0" applyFont="1"/>
    <xf numFmtId="0" fontId="6" fillId="0" borderId="0" xfId="0" applyFont="1"/>
    <xf numFmtId="164" fontId="7" fillId="0" borderId="0" xfId="0" applyNumberFormat="1" applyFont="1"/>
    <xf numFmtId="0" fontId="8" fillId="0" borderId="1" xfId="0" applyFont="1" applyBorder="1" applyAlignment="1">
      <alignment horizontal="center"/>
    </xf>
    <xf numFmtId="0" fontId="10" fillId="0" borderId="0" xfId="0" applyFont="1"/>
    <xf numFmtId="164" fontId="11" fillId="0" borderId="0" xfId="0" applyNumberFormat="1" applyFont="1"/>
    <xf numFmtId="0" fontId="8" fillId="0" borderId="2" xfId="0" applyFont="1" applyBorder="1"/>
    <xf numFmtId="164" fontId="8" fillId="0" borderId="2" xfId="0" applyNumberFormat="1" applyFont="1" applyBorder="1"/>
    <xf numFmtId="0" fontId="13" fillId="3" borderId="3" xfId="0" applyFont="1" applyFill="1" applyBorder="1"/>
    <xf numFmtId="0" fontId="17" fillId="0" borderId="0" xfId="0" applyFont="1"/>
    <xf numFmtId="0" fontId="8" fillId="0" borderId="0" xfId="0" applyFont="1"/>
    <xf numFmtId="0" fontId="18" fillId="0" borderId="0" xfId="0" applyFont="1"/>
    <xf numFmtId="0" fontId="23" fillId="3" borderId="3" xfId="0" applyFont="1" applyFill="1" applyBorder="1"/>
    <xf numFmtId="0" fontId="21" fillId="0" borderId="3" xfId="0" applyFont="1" applyBorder="1"/>
    <xf numFmtId="0" fontId="11" fillId="0" borderId="3" xfId="0" applyFont="1" applyBorder="1"/>
    <xf numFmtId="164" fontId="11" fillId="0" borderId="3" xfId="0" applyNumberFormat="1" applyFont="1" applyBorder="1"/>
    <xf numFmtId="0" fontId="20" fillId="4" borderId="4" xfId="0" applyFont="1" applyFill="1" applyBorder="1"/>
    <xf numFmtId="0" fontId="8" fillId="0" borderId="4" xfId="0" applyFont="1" applyBorder="1"/>
    <xf numFmtId="0" fontId="13" fillId="3" borderId="4" xfId="0" applyFont="1" applyFill="1" applyBorder="1" applyAlignment="1">
      <alignment vertical="center" wrapText="1"/>
    </xf>
    <xf numFmtId="0" fontId="11" fillId="0" borderId="4" xfId="0" applyFont="1" applyBorder="1" applyAlignment="1">
      <alignment wrapText="1"/>
    </xf>
    <xf numFmtId="167" fontId="24" fillId="0" borderId="4" xfId="0" applyNumberFormat="1" applyFont="1" applyBorder="1"/>
    <xf numFmtId="167" fontId="8" fillId="5" borderId="4" xfId="0" applyNumberFormat="1" applyFont="1" applyFill="1" applyBorder="1"/>
    <xf numFmtId="0" fontId="18" fillId="0" borderId="4" xfId="0" applyFont="1" applyBorder="1" applyAlignment="1">
      <alignment wrapText="1"/>
    </xf>
    <xf numFmtId="165" fontId="24" fillId="0" borderId="4" xfId="0" applyNumberFormat="1" applyFont="1" applyBorder="1"/>
    <xf numFmtId="165" fontId="8" fillId="5" borderId="4" xfId="0" applyNumberFormat="1" applyFont="1" applyFill="1" applyBorder="1"/>
    <xf numFmtId="0" fontId="18" fillId="0" borderId="0" xfId="0" applyFont="1" applyAlignment="1">
      <alignment vertical="top" wrapText="1"/>
    </xf>
    <xf numFmtId="0" fontId="22" fillId="2" borderId="0" xfId="0" applyFont="1" applyFill="1"/>
    <xf numFmtId="0" fontId="11" fillId="0" borderId="4" xfId="0" applyFont="1" applyBorder="1"/>
    <xf numFmtId="164" fontId="11" fillId="0" borderId="4" xfId="0" applyNumberFormat="1" applyFont="1" applyBorder="1"/>
    <xf numFmtId="0" fontId="0" fillId="0" borderId="4" xfId="0" applyBorder="1"/>
    <xf numFmtId="0" fontId="24" fillId="0" borderId="4" xfId="0" applyFont="1" applyBorder="1"/>
    <xf numFmtId="0" fontId="25" fillId="0" borderId="4" xfId="0" applyFont="1" applyBorder="1" applyAlignment="1">
      <alignment wrapText="1"/>
    </xf>
    <xf numFmtId="0" fontId="24" fillId="4" borderId="4" xfId="0" applyFont="1" applyFill="1" applyBorder="1"/>
    <xf numFmtId="167" fontId="26" fillId="4" borderId="4" xfId="0" applyNumberFormat="1" applyFont="1" applyFill="1" applyBorder="1"/>
    <xf numFmtId="168" fontId="24" fillId="0" borderId="4" xfId="0" applyNumberFormat="1" applyFont="1" applyBorder="1"/>
    <xf numFmtId="166" fontId="24" fillId="0" borderId="4" xfId="0" applyNumberFormat="1" applyFont="1" applyBorder="1"/>
    <xf numFmtId="165" fontId="24" fillId="4" borderId="4" xfId="0" applyNumberFormat="1" applyFont="1" applyFill="1" applyBorder="1"/>
    <xf numFmtId="165" fontId="26" fillId="4" borderId="4" xfId="0" applyNumberFormat="1" applyFont="1" applyFill="1" applyBorder="1"/>
    <xf numFmtId="165" fontId="26" fillId="0" borderId="4" xfId="0" applyNumberFormat="1" applyFont="1" applyBorder="1"/>
    <xf numFmtId="166" fontId="11" fillId="0" borderId="4" xfId="0" applyNumberFormat="1" applyFont="1" applyBorder="1"/>
    <xf numFmtId="166" fontId="27" fillId="0" borderId="4" xfId="0" applyNumberFormat="1" applyFont="1" applyBorder="1"/>
    <xf numFmtId="0" fontId="8" fillId="5" borderId="4" xfId="0" applyFont="1" applyFill="1" applyBorder="1"/>
    <xf numFmtId="0" fontId="0" fillId="5" borderId="4" xfId="0" applyFill="1" applyBorder="1"/>
    <xf numFmtId="166" fontId="8" fillId="5" borderId="4" xfId="0" applyNumberFormat="1" applyFont="1" applyFill="1" applyBorder="1"/>
    <xf numFmtId="166" fontId="26" fillId="0" borderId="4" xfId="0" applyNumberFormat="1" applyFont="1" applyBorder="1"/>
    <xf numFmtId="166" fontId="28" fillId="2" borderId="0" xfId="0" applyNumberFormat="1" applyFont="1" applyFill="1"/>
    <xf numFmtId="2" fontId="24" fillId="0" borderId="4" xfId="0" applyNumberFormat="1" applyFont="1" applyBorder="1"/>
    <xf numFmtId="166" fontId="0" fillId="0" borderId="4" xfId="0" applyNumberFormat="1" applyBorder="1"/>
    <xf numFmtId="0" fontId="11" fillId="0" borderId="0" xfId="0" applyFont="1"/>
    <xf numFmtId="2" fontId="0" fillId="0" borderId="0" xfId="0" applyNumberFormat="1"/>
    <xf numFmtId="0" fontId="23" fillId="2" borderId="0" xfId="0" applyFont="1" applyFill="1" applyAlignment="1">
      <alignment horizontal="center"/>
    </xf>
    <xf numFmtId="0" fontId="29" fillId="0" borderId="0" xfId="0" applyFont="1"/>
    <xf numFmtId="169" fontId="30" fillId="0" borderId="0" xfId="0" applyNumberFormat="1" applyFont="1"/>
    <xf numFmtId="0" fontId="19" fillId="0" borderId="2" xfId="0" applyFont="1" applyBorder="1"/>
    <xf numFmtId="169" fontId="31" fillId="0" borderId="2" xfId="0" applyNumberFormat="1" applyFont="1" applyBorder="1"/>
    <xf numFmtId="165" fontId="30" fillId="0" borderId="0" xfId="0" applyNumberFormat="1" applyFont="1"/>
    <xf numFmtId="0" fontId="32" fillId="0" borderId="3" xfId="0" applyFont="1" applyBorder="1"/>
    <xf numFmtId="165" fontId="32" fillId="0" borderId="3" xfId="0" applyNumberFormat="1" applyFont="1" applyBorder="1"/>
    <xf numFmtId="167" fontId="32" fillId="0" borderId="3" xfId="0" applyNumberFormat="1" applyFont="1" applyBorder="1"/>
    <xf numFmtId="2" fontId="33" fillId="0" borderId="3" xfId="0" applyNumberFormat="1" applyFont="1" applyBorder="1"/>
    <xf numFmtId="167" fontId="33" fillId="0" borderId="3" xfId="0" applyNumberFormat="1" applyFont="1" applyBorder="1"/>
    <xf numFmtId="166" fontId="33" fillId="0" borderId="3" xfId="0" applyNumberFormat="1" applyFont="1" applyBorder="1"/>
    <xf numFmtId="166" fontId="32" fillId="0" borderId="3" xfId="0" applyNumberFormat="1" applyFont="1" applyBorder="1"/>
    <xf numFmtId="166" fontId="19" fillId="0" borderId="3" xfId="0" applyNumberFormat="1" applyFont="1" applyBorder="1"/>
    <xf numFmtId="0" fontId="19" fillId="0" borderId="3" xfId="0" applyFont="1" applyBorder="1" applyAlignment="1">
      <alignment vertical="top" wrapText="1"/>
    </xf>
    <xf numFmtId="0" fontId="21" fillId="0" borderId="3" xfId="0" applyFont="1" applyBorder="1" applyAlignment="1">
      <alignment vertical="top" wrapText="1"/>
    </xf>
    <xf numFmtId="166" fontId="26" fillId="0" borderId="0" xfId="0" applyNumberFormat="1" applyFont="1"/>
    <xf numFmtId="10" fontId="26" fillId="0" borderId="0" xfId="0" applyNumberFormat="1" applyFont="1"/>
    <xf numFmtId="0" fontId="26" fillId="0" borderId="0" xfId="0" applyFont="1"/>
    <xf numFmtId="168" fontId="27" fillId="0" borderId="0" xfId="0" applyNumberFormat="1" applyFont="1"/>
    <xf numFmtId="166" fontId="8" fillId="0" borderId="0" xfId="0" applyNumberFormat="1" applyFont="1"/>
    <xf numFmtId="165" fontId="27" fillId="0" borderId="4" xfId="0" applyNumberFormat="1" applyFont="1" applyBorder="1"/>
    <xf numFmtId="0" fontId="13" fillId="2" borderId="0" xfId="0" applyFont="1" applyFill="1"/>
    <xf numFmtId="166" fontId="13" fillId="2" borderId="0" xfId="0" applyNumberFormat="1" applyFont="1" applyFill="1"/>
    <xf numFmtId="166" fontId="8" fillId="0" borderId="4" xfId="0" applyNumberFormat="1" applyFont="1" applyBorder="1"/>
    <xf numFmtId="167" fontId="26" fillId="0" borderId="4" xfId="0" applyNumberFormat="1" applyFont="1" applyBorder="1"/>
    <xf numFmtId="167" fontId="26" fillId="0" borderId="0" xfId="0" applyNumberFormat="1" applyFont="1"/>
    <xf numFmtId="167" fontId="27" fillId="0" borderId="0" xfId="0" applyNumberFormat="1" applyFont="1"/>
    <xf numFmtId="0" fontId="13" fillId="3" borderId="4" xfId="0" applyFont="1" applyFill="1" applyBorder="1"/>
    <xf numFmtId="165" fontId="11" fillId="0" borderId="4" xfId="0" applyNumberFormat="1" applyFont="1" applyBorder="1"/>
    <xf numFmtId="167" fontId="27" fillId="0" borderId="4" xfId="0" applyNumberFormat="1" applyFont="1" applyBorder="1"/>
    <xf numFmtId="170" fontId="24" fillId="0" borderId="4" xfId="0" applyNumberFormat="1" applyFont="1" applyBorder="1"/>
    <xf numFmtId="166" fontId="22" fillId="2" borderId="0" xfId="0" applyNumberFormat="1" applyFont="1" applyFill="1"/>
    <xf numFmtId="170" fontId="26" fillId="0" borderId="4" xfId="0" applyNumberFormat="1" applyFont="1" applyBorder="1"/>
    <xf numFmtId="0" fontId="18" fillId="0" borderId="4" xfId="0" applyFont="1" applyBorder="1" applyAlignment="1">
      <alignment vertical="center" wrapText="1"/>
    </xf>
    <xf numFmtId="0" fontId="25" fillId="0" borderId="4" xfId="0" applyFont="1" applyBorder="1" applyAlignment="1">
      <alignment vertical="center" wrapText="1"/>
    </xf>
    <xf numFmtId="0" fontId="0" fillId="0" borderId="0" xfId="0" applyAlignment="1">
      <alignment vertical="center"/>
    </xf>
    <xf numFmtId="0" fontId="0" fillId="0" borderId="4" xfId="0" applyBorder="1" applyAlignment="1">
      <alignment vertical="center"/>
    </xf>
    <xf numFmtId="0" fontId="25" fillId="0" borderId="4" xfId="0" applyFont="1" applyBorder="1" applyAlignment="1">
      <alignment horizontal="center" vertical="top" wrapText="1"/>
    </xf>
    <xf numFmtId="0" fontId="25" fillId="0" borderId="4" xfId="0" applyFont="1" applyBorder="1" applyAlignment="1">
      <alignment vertical="top" wrapText="1"/>
    </xf>
    <xf numFmtId="0" fontId="0" fillId="0" borderId="0" xfId="0" applyAlignment="1">
      <alignment vertical="top"/>
    </xf>
    <xf numFmtId="0" fontId="18" fillId="0" borderId="0" xfId="0" applyFont="1" applyAlignment="1">
      <alignment vertical="top"/>
    </xf>
    <xf numFmtId="0" fontId="11" fillId="0" borderId="0" xfId="0" applyFont="1" applyAlignment="1">
      <alignment horizontal="left"/>
    </xf>
    <xf numFmtId="0" fontId="18" fillId="0" borderId="4" xfId="0" applyFont="1" applyBorder="1" applyAlignment="1">
      <alignment vertical="top" wrapText="1"/>
    </xf>
    <xf numFmtId="0" fontId="0" fillId="7" borderId="0" xfId="0" applyFill="1"/>
    <xf numFmtId="0" fontId="21" fillId="0" borderId="5" xfId="0" applyFont="1" applyBorder="1"/>
    <xf numFmtId="165" fontId="32" fillId="0" borderId="6" xfId="0" applyNumberFormat="1" applyFont="1" applyBorder="1"/>
    <xf numFmtId="0" fontId="23" fillId="3" borderId="7"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1" fillId="0" borderId="10" xfId="0" applyFont="1" applyBorder="1"/>
    <xf numFmtId="0" fontId="21" fillId="0" borderId="11" xfId="0" applyFont="1" applyBorder="1"/>
    <xf numFmtId="0" fontId="32" fillId="0" borderId="11" xfId="0" applyFont="1" applyBorder="1"/>
    <xf numFmtId="165" fontId="32" fillId="0" borderId="11" xfId="0" applyNumberFormat="1" applyFont="1" applyBorder="1"/>
    <xf numFmtId="167" fontId="32" fillId="0" borderId="11" xfId="0" applyNumberFormat="1" applyFont="1" applyBorder="1"/>
    <xf numFmtId="2" fontId="33" fillId="0" borderId="11" xfId="0" applyNumberFormat="1" applyFont="1" applyBorder="1"/>
    <xf numFmtId="167" fontId="33" fillId="0" borderId="11" xfId="0" applyNumberFormat="1" applyFont="1" applyBorder="1"/>
    <xf numFmtId="166" fontId="33" fillId="0" borderId="11" xfId="0" applyNumberFormat="1" applyFont="1" applyBorder="1"/>
    <xf numFmtId="166" fontId="32" fillId="0" borderId="11" xfId="0" applyNumberFormat="1" applyFont="1" applyBorder="1"/>
    <xf numFmtId="166" fontId="19" fillId="0" borderId="11" xfId="0" applyNumberFormat="1" applyFont="1" applyBorder="1"/>
    <xf numFmtId="165" fontId="32" fillId="0" borderId="12" xfId="0" applyNumberFormat="1" applyFont="1" applyBorder="1"/>
    <xf numFmtId="0" fontId="0" fillId="0" borderId="0" xfId="0" pivotButton="1"/>
    <xf numFmtId="0" fontId="0" fillId="0" borderId="0" xfId="0" applyAlignment="1">
      <alignment horizontal="left"/>
    </xf>
    <xf numFmtId="166" fontId="0" fillId="0" borderId="0" xfId="0" applyNumberFormat="1"/>
    <xf numFmtId="171" fontId="0" fillId="7" borderId="0" xfId="0" applyNumberFormat="1" applyFill="1"/>
    <xf numFmtId="14" fontId="0" fillId="0" borderId="0" xfId="0" applyNumberFormat="1"/>
    <xf numFmtId="0" fontId="36" fillId="0" borderId="14" xfId="0" applyFont="1" applyBorder="1"/>
    <xf numFmtId="0" fontId="37" fillId="0" borderId="0" xfId="0" applyFont="1"/>
    <xf numFmtId="0" fontId="38" fillId="0" borderId="0" xfId="1" applyFont="1"/>
    <xf numFmtId="0" fontId="5" fillId="0" borderId="0" xfId="0" applyFont="1"/>
    <xf numFmtId="0" fontId="5" fillId="0" borderId="0" xfId="0" applyFont="1" applyAlignment="1">
      <alignment vertical="center"/>
    </xf>
    <xf numFmtId="0" fontId="2" fillId="0" borderId="0" xfId="0" applyFont="1"/>
    <xf numFmtId="0" fontId="0" fillId="8" borderId="0" xfId="0" applyFill="1"/>
    <xf numFmtId="0" fontId="0" fillId="9" borderId="0" xfId="0" applyFill="1"/>
    <xf numFmtId="0" fontId="20" fillId="10" borderId="4" xfId="0" applyFont="1" applyFill="1" applyBorder="1"/>
    <xf numFmtId="0" fontId="3" fillId="0" borderId="0" xfId="0" applyFont="1" applyAlignment="1">
      <alignment horizontal="left" vertical="top"/>
    </xf>
    <xf numFmtId="0" fontId="1" fillId="0" borderId="0" xfId="0" applyFont="1"/>
    <xf numFmtId="0" fontId="0" fillId="0" borderId="0" xfId="0" applyAlignment="1">
      <alignment horizontal="left" vertical="top" wrapText="1"/>
    </xf>
    <xf numFmtId="0" fontId="25" fillId="0" borderId="0" xfId="0" applyFont="1" applyAlignment="1">
      <alignment horizontal="left" vertical="top" wrapText="1"/>
    </xf>
    <xf numFmtId="0" fontId="13" fillId="3" borderId="4" xfId="0" applyFont="1" applyFill="1" applyBorder="1" applyAlignment="1">
      <alignment horizontal="left" vertical="top" wrapText="1"/>
    </xf>
    <xf numFmtId="0" fontId="11" fillId="0" borderId="4" xfId="0" applyFont="1" applyBorder="1" applyAlignment="1">
      <alignment horizontal="left" vertical="top" wrapText="1"/>
    </xf>
    <xf numFmtId="0" fontId="8" fillId="5" borderId="4" xfId="0" applyFont="1" applyFill="1" applyBorder="1" applyAlignment="1">
      <alignment horizontal="left" vertical="top" wrapText="1"/>
    </xf>
    <xf numFmtId="0" fontId="28" fillId="2" borderId="0" xfId="0" applyFont="1" applyFill="1" applyAlignment="1">
      <alignment horizontal="left" vertical="top" wrapText="1"/>
    </xf>
    <xf numFmtId="0" fontId="11" fillId="0" borderId="4" xfId="0" applyFont="1" applyBorder="1" applyAlignment="1">
      <alignment horizontal="left" vertical="center" wrapText="1"/>
    </xf>
    <xf numFmtId="0" fontId="17" fillId="0" borderId="0" xfId="0" applyFont="1" applyAlignment="1">
      <alignment horizontal="left" vertical="center" wrapText="1"/>
    </xf>
    <xf numFmtId="0" fontId="20" fillId="10" borderId="0" xfId="0" applyFont="1" applyFill="1"/>
    <xf numFmtId="0" fontId="0" fillId="11" borderId="0" xfId="0" applyFill="1"/>
    <xf numFmtId="0" fontId="15" fillId="12" borderId="0" xfId="0" applyFont="1" applyFill="1"/>
    <xf numFmtId="0" fontId="39" fillId="12" borderId="0" xfId="0" applyFont="1" applyFill="1"/>
    <xf numFmtId="0" fontId="16" fillId="12" borderId="0" xfId="0" applyFont="1" applyFill="1"/>
    <xf numFmtId="0" fontId="14" fillId="12" borderId="0" xfId="0" applyFont="1" applyFill="1"/>
    <xf numFmtId="0" fontId="18" fillId="0" borderId="0" xfId="0" applyFont="1" applyAlignment="1">
      <alignment vertical="top" wrapText="1"/>
    </xf>
    <xf numFmtId="0" fontId="9" fillId="0" borderId="0" xfId="0" applyFont="1"/>
    <xf numFmtId="0" fontId="3" fillId="0" borderId="0" xfId="0" applyFont="1"/>
    <xf numFmtId="0" fontId="22" fillId="2" borderId="0" xfId="0" applyFont="1" applyFill="1"/>
    <xf numFmtId="0" fontId="23" fillId="2" borderId="0" xfId="0" applyFont="1" applyFill="1" applyAlignment="1">
      <alignment horizontal="center"/>
    </xf>
    <xf numFmtId="0" fontId="13" fillId="6" borderId="0" xfId="0" applyFont="1" applyFill="1"/>
    <xf numFmtId="0" fontId="34" fillId="0" borderId="13" xfId="0" applyFont="1" applyBorder="1"/>
    <xf numFmtId="0" fontId="12" fillId="0" borderId="0" xfId="0" applyFont="1"/>
    <xf numFmtId="0" fontId="12" fillId="0" borderId="0" xfId="0" applyFont="1" applyAlignment="1">
      <alignment wrapText="1"/>
    </xf>
  </cellXfs>
  <cellStyles count="2">
    <cellStyle name="Hyperlink" xfId="1" builtinId="8"/>
    <cellStyle name="Normal" xfId="0" builtinId="0"/>
  </cellStyles>
  <dxfs count="59">
    <dxf>
      <font>
        <b val="0"/>
        <i val="0"/>
        <strike val="0"/>
        <condense val="0"/>
        <extend val="0"/>
        <outline val="0"/>
        <shadow val="0"/>
        <u val="none"/>
        <vertAlign val="baseline"/>
        <sz val="9"/>
        <color rgb="FF000000"/>
        <name val="Arial"/>
        <family val="2"/>
        <scheme val="none"/>
      </font>
      <numFmt numFmtId="165" formatCode="0.0%"/>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5"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5" formatCode="0.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i val="0"/>
        <strike val="0"/>
        <condense val="0"/>
        <extend val="0"/>
        <outline val="0"/>
        <shadow val="0"/>
        <u val="none"/>
        <vertAlign val="baseline"/>
        <sz val="9"/>
        <color auto="1"/>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6" formatCode="\£#,##0;&quot;(£&quot;#,##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8000"/>
        <name val="Arial"/>
        <family val="2"/>
        <scheme val="none"/>
      </font>
      <numFmt numFmtId="2" formatCode="0.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7"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5"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numFmt numFmtId="165" formatCode="0.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rgb="FF000000"/>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9"/>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9"/>
        <color rgb="FF000000"/>
        <name val="Arial"/>
        <family val="2"/>
        <scheme val="none"/>
      </font>
    </dxf>
    <dxf>
      <border outline="0">
        <bottom style="thin">
          <color rgb="FFD9D9D9"/>
        </bottom>
      </border>
    </dxf>
    <dxf>
      <font>
        <b/>
        <i val="0"/>
        <strike val="0"/>
        <condense val="0"/>
        <extend val="0"/>
        <outline val="0"/>
        <shadow val="0"/>
        <u val="none"/>
        <vertAlign val="baseline"/>
        <sz val="9"/>
        <color rgb="FFFFFFFF"/>
        <name val="Arial"/>
        <family val="2"/>
        <scheme val="none"/>
      </font>
      <fill>
        <patternFill patternType="solid">
          <fgColor rgb="FF4570A6"/>
          <bgColor rgb="FF4472C4"/>
        </patternFill>
      </fill>
      <alignment horizontal="center" vertical="center" textRotation="0" wrapText="1" indent="0" justifyLastLine="0" shrinkToFit="0" readingOrder="0"/>
      <border diagonalUp="0" diagonalDown="0" outline="0">
        <left style="thin">
          <color rgb="FFD9D9D9"/>
        </left>
        <right style="thin">
          <color rgb="FFD9D9D9"/>
        </right>
        <top/>
        <bottom/>
      </border>
    </dxf>
  </dxfs>
  <tableStyles count="0" defaultTableStyle="TableStyleMedium2" defaultPivotStyle="PivotStyleLight16"/>
  <colors>
    <indexedColors>
      <rgbColor rgb="FF000000"/>
      <rgbColor rgb="FFFFFFFF"/>
      <rgbColor rgb="FFC00000"/>
      <rgbColor rgb="FF8AA64F"/>
      <rgbColor rgb="FF0000FF"/>
      <rgbColor rgb="FFFFFF00"/>
      <rgbColor rgb="FFC0504D"/>
      <rgbColor rgb="FF86A14C"/>
      <rgbColor rgb="FF7F3432"/>
      <rgbColor rgb="FF008000"/>
      <rgbColor rgb="FFB04946"/>
      <rgbColor rgb="FF6D833D"/>
      <rgbColor rgb="FF7030A0"/>
      <rgbColor rgb="FF36658B"/>
      <rgbColor rgb="FFBFBFBF"/>
      <rgbColor rgb="FF808080"/>
      <rgbColor rgb="FF93A9CE"/>
      <rgbColor rgb="FF8F3B39"/>
      <rgbColor rgb="FFFCE4D6"/>
      <rgbColor rgb="FFD9E1F2"/>
      <rgbColor rgb="FF6D2E46"/>
      <rgbColor rgb="FFCC8785"/>
      <rgbColor rgb="FF0563C1"/>
      <rgbColor rgb="FFD9D9D9"/>
      <rgbColor rgb="FFA4632E"/>
      <rgbColor rgb="FFBA4D4A"/>
      <rgbColor rgb="FF96B656"/>
      <rgbColor rgb="FFC97B63"/>
      <rgbColor rgb="FFA64542"/>
      <rgbColor rgb="FFAB4744"/>
      <rgbColor rgb="FF4570A6"/>
      <rgbColor rgb="FFC05A2C"/>
      <rgbColor rgb="FF4C7DB7"/>
      <rgbColor rgb="FFADD8E6"/>
      <rgbColor rgb="FFF3E4DC"/>
      <rgbColor rgb="FFE3C5C5"/>
      <rgbColor rgb="FF99CCFF"/>
      <rgbColor rgb="FFD8AAA9"/>
      <rgbColor rgb="FFB3B3B3"/>
      <rgbColor rgb="FFFFD966"/>
      <rgbColor rgb="FF4472C4"/>
      <rgbColor rgb="FF4F81BD"/>
      <rgbColor rgb="FF9BBB59"/>
      <rgbColor rgb="FFFFC000"/>
      <rgbColor rgb="FFDC853E"/>
      <rgbColor rgb="FFD6813C"/>
      <rgbColor rgb="FF70588E"/>
      <rgbColor rgb="FF8FA4C8"/>
      <rgbColor rgb="FF59585A"/>
      <rgbColor rgb="FF4197AE"/>
      <rgbColor rgb="FF8064A2"/>
      <rgbColor rgb="FF375623"/>
      <rgbColor rgb="FF8A3937"/>
      <rgbColor rgb="FF9F423F"/>
      <rgbColor rgb="FF1F4E78"/>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400" b="1" strike="noStrike" spc="-1">
                <a:solidFill>
                  <a:srgbClr val="000000"/>
                </a:solidFill>
                <a:latin typeface="Calibri"/>
              </a:defRPr>
            </a:pPr>
            <a:r>
              <a:rPr lang="en-GB" sz="1400" b="1" strike="noStrike" spc="-1">
                <a:solidFill>
                  <a:srgbClr val="000000"/>
                </a:solidFill>
                <a:latin typeface="Calibri"/>
              </a:rPr>
              <a:t>Operating</a:t>
            </a:r>
            <a:r>
              <a:rPr lang="en-GB" sz="1400" b="1" strike="noStrike" spc="-1" baseline="0">
                <a:solidFill>
                  <a:srgbClr val="000000"/>
                </a:solidFill>
                <a:latin typeface="Calibri"/>
              </a:rPr>
              <a:t> Performance</a:t>
            </a:r>
          </a:p>
        </c:rich>
      </c:tx>
      <c:layout>
        <c:manualLayout>
          <c:xMode val="edge"/>
          <c:yMode val="edge"/>
          <c:x val="0.26590007196921589"/>
          <c:y val="3.8609502019941441E-2"/>
        </c:manualLayout>
      </c:layout>
      <c:overlay val="0"/>
      <c:spPr>
        <a:noFill/>
        <a:ln w="0">
          <a:noFill/>
        </a:ln>
      </c:spPr>
    </c:title>
    <c:autoTitleDeleted val="0"/>
    <c:plotArea>
      <c:layout>
        <c:manualLayout>
          <c:layoutTarget val="inner"/>
          <c:xMode val="edge"/>
          <c:yMode val="edge"/>
          <c:x val="0.23298000458998713"/>
          <c:y val="0.16589708244192722"/>
          <c:w val="0.7281109417717796"/>
          <c:h val="0.55868383725465165"/>
        </c:manualLayout>
      </c:layout>
      <c:barChart>
        <c:barDir val="col"/>
        <c:grouping val="clustered"/>
        <c:varyColors val="0"/>
        <c:ser>
          <c:idx val="0"/>
          <c:order val="0"/>
          <c:tx>
            <c:strRef>
              <c:f>Data!$A$10</c:f>
              <c:strCache>
                <c:ptCount val="1"/>
                <c:pt idx="0">
                  <c:v>Average Monthly Revenue</c:v>
                </c:pt>
              </c:strCache>
            </c:strRef>
          </c:tx>
          <c:spPr>
            <a:solidFill>
              <a:schemeClr val="accent2">
                <a:lumMod val="60000"/>
                <a:lumOff val="40000"/>
              </a:schemeClr>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Data!$B$9:$F$9</c:f>
              <c:strCache>
                <c:ptCount val="5"/>
                <c:pt idx="0">
                  <c:v>Year 1</c:v>
                </c:pt>
                <c:pt idx="1">
                  <c:v>Year 2</c:v>
                </c:pt>
                <c:pt idx="2">
                  <c:v>Year 3</c:v>
                </c:pt>
                <c:pt idx="3">
                  <c:v>Year 4</c:v>
                </c:pt>
                <c:pt idx="4">
                  <c:v>Year 5</c:v>
                </c:pt>
              </c:strCache>
            </c:strRef>
          </c:cat>
          <c:val>
            <c:numRef>
              <c:f>Data!$B$10:$F$10</c:f>
              <c:numCache>
                <c:formatCode>\£#,##0;"(£"#,##0\)</c:formatCode>
                <c:ptCount val="5"/>
                <c:pt idx="0">
                  <c:v>16214.938375868056</c:v>
                </c:pt>
                <c:pt idx="1">
                  <c:v>23797.494185590276</c:v>
                </c:pt>
                <c:pt idx="2">
                  <c:v>25701.293720437494</c:v>
                </c:pt>
                <c:pt idx="3">
                  <c:v>27243.371343663752</c:v>
                </c:pt>
                <c:pt idx="4">
                  <c:v>28060.672483973667</c:v>
                </c:pt>
              </c:numCache>
            </c:numRef>
          </c:val>
          <c:extLst>
            <c:ext xmlns:c16="http://schemas.microsoft.com/office/drawing/2014/chart" uri="{C3380CC4-5D6E-409C-BE32-E72D297353CC}">
              <c16:uniqueId val="{00000000-A731-4BCD-9275-6631BD77D759}"/>
            </c:ext>
          </c:extLst>
        </c:ser>
        <c:ser>
          <c:idx val="1"/>
          <c:order val="1"/>
          <c:tx>
            <c:strRef>
              <c:f>Data!$A$11</c:f>
              <c:strCache>
                <c:ptCount val="1"/>
                <c:pt idx="0">
                  <c:v>Average Monthly Gross Profit</c:v>
                </c:pt>
              </c:strCache>
            </c:strRef>
          </c:tx>
          <c:spPr>
            <a:solidFill>
              <a:srgbClr val="C0504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Data!$B$9:$F$9</c:f>
              <c:strCache>
                <c:ptCount val="5"/>
                <c:pt idx="0">
                  <c:v>Year 1</c:v>
                </c:pt>
                <c:pt idx="1">
                  <c:v>Year 2</c:v>
                </c:pt>
                <c:pt idx="2">
                  <c:v>Year 3</c:v>
                </c:pt>
                <c:pt idx="3">
                  <c:v>Year 4</c:v>
                </c:pt>
                <c:pt idx="4">
                  <c:v>Year 5</c:v>
                </c:pt>
              </c:strCache>
            </c:strRef>
          </c:cat>
          <c:val>
            <c:numRef>
              <c:f>Data!$B$11:$F$11</c:f>
              <c:numCache>
                <c:formatCode>\£#,##0;"(£"#,##0\)</c:formatCode>
                <c:ptCount val="5"/>
                <c:pt idx="0">
                  <c:v>11292.453088107641</c:v>
                </c:pt>
                <c:pt idx="1">
                  <c:v>16566.051349913192</c:v>
                </c:pt>
                <c:pt idx="2">
                  <c:v>17891.335457906251</c:v>
                </c:pt>
                <c:pt idx="3">
                  <c:v>18964.815585380627</c:v>
                </c:pt>
                <c:pt idx="4">
                  <c:v>19533.760052942045</c:v>
                </c:pt>
              </c:numCache>
            </c:numRef>
          </c:val>
          <c:extLst>
            <c:ext xmlns:c16="http://schemas.microsoft.com/office/drawing/2014/chart" uri="{C3380CC4-5D6E-409C-BE32-E72D297353CC}">
              <c16:uniqueId val="{00000001-A731-4BCD-9275-6631BD77D759}"/>
            </c:ext>
          </c:extLst>
        </c:ser>
        <c:ser>
          <c:idx val="2"/>
          <c:order val="2"/>
          <c:tx>
            <c:strRef>
              <c:f>Data!$A$12</c:f>
              <c:strCache>
                <c:ptCount val="1"/>
                <c:pt idx="0">
                  <c:v>Average Monthly EBITDA</c:v>
                </c:pt>
              </c:strCache>
            </c:strRef>
          </c:tx>
          <c:spPr>
            <a:solidFill>
              <a:srgbClr val="9BBB59"/>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Data!$B$9:$F$9</c:f>
              <c:strCache>
                <c:ptCount val="5"/>
                <c:pt idx="0">
                  <c:v>Year 1</c:v>
                </c:pt>
                <c:pt idx="1">
                  <c:v>Year 2</c:v>
                </c:pt>
                <c:pt idx="2">
                  <c:v>Year 3</c:v>
                </c:pt>
                <c:pt idx="3">
                  <c:v>Year 4</c:v>
                </c:pt>
                <c:pt idx="4">
                  <c:v>Year 5</c:v>
                </c:pt>
              </c:strCache>
            </c:strRef>
          </c:cat>
          <c:val>
            <c:numRef>
              <c:f>Data!$B$12:$F$12</c:f>
              <c:numCache>
                <c:formatCode>\£#,##0;"(£"#,##0\)</c:formatCode>
                <c:ptCount val="5"/>
                <c:pt idx="0">
                  <c:v>366.0944944205732</c:v>
                </c:pt>
                <c:pt idx="1">
                  <c:v>5212.3338552643227</c:v>
                </c:pt>
                <c:pt idx="2">
                  <c:v>6405.9791520188019</c:v>
                </c:pt>
                <c:pt idx="3">
                  <c:v>7372.8318423899327</c:v>
                </c:pt>
                <c:pt idx="4">
                  <c:v>7885.2637682866289</c:v>
                </c:pt>
              </c:numCache>
            </c:numRef>
          </c:val>
          <c:extLst>
            <c:ext xmlns:c16="http://schemas.microsoft.com/office/drawing/2014/chart" uri="{C3380CC4-5D6E-409C-BE32-E72D297353CC}">
              <c16:uniqueId val="{00000002-A731-4BCD-9275-6631BD77D759}"/>
            </c:ext>
          </c:extLst>
        </c:ser>
        <c:ser>
          <c:idx val="3"/>
          <c:order val="3"/>
          <c:tx>
            <c:strRef>
              <c:f>Data!$A$13</c:f>
              <c:strCache>
                <c:ptCount val="1"/>
                <c:pt idx="0">
                  <c:v>Average Monthly Net Profit (after tax)</c:v>
                </c:pt>
              </c:strCache>
            </c:strRef>
          </c:tx>
          <c:spPr>
            <a:solidFill>
              <a:srgbClr val="8064A2"/>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Data!$B$9:$F$9</c:f>
              <c:strCache>
                <c:ptCount val="5"/>
                <c:pt idx="0">
                  <c:v>Year 1</c:v>
                </c:pt>
                <c:pt idx="1">
                  <c:v>Year 2</c:v>
                </c:pt>
                <c:pt idx="2">
                  <c:v>Year 3</c:v>
                </c:pt>
                <c:pt idx="3">
                  <c:v>Year 4</c:v>
                </c:pt>
                <c:pt idx="4">
                  <c:v>Year 5</c:v>
                </c:pt>
              </c:strCache>
            </c:strRef>
          </c:cat>
          <c:val>
            <c:numRef>
              <c:f>Data!$B$13:$F$13</c:f>
              <c:numCache>
                <c:formatCode>\£#,##0;"(£"#,##0\)</c:formatCode>
                <c:ptCount val="5"/>
                <c:pt idx="0">
                  <c:v>-1104.719337758502</c:v>
                </c:pt>
                <c:pt idx="1">
                  <c:v>2977.7274206808711</c:v>
                </c:pt>
                <c:pt idx="2">
                  <c:v>3935.5107939550653</c:v>
                </c:pt>
                <c:pt idx="3">
                  <c:v>4728.0555849756247</c:v>
                </c:pt>
                <c:pt idx="4">
                  <c:v>5185.0176491787506</c:v>
                </c:pt>
              </c:numCache>
            </c:numRef>
          </c:val>
          <c:extLst>
            <c:ext xmlns:c16="http://schemas.microsoft.com/office/drawing/2014/chart" uri="{C3380CC4-5D6E-409C-BE32-E72D297353CC}">
              <c16:uniqueId val="{00000003-A731-4BCD-9275-6631BD77D759}"/>
            </c:ext>
          </c:extLst>
        </c:ser>
        <c:dLbls>
          <c:showLegendKey val="0"/>
          <c:showVal val="0"/>
          <c:showCatName val="0"/>
          <c:showSerName val="0"/>
          <c:showPercent val="0"/>
          <c:showBubbleSize val="0"/>
        </c:dLbls>
        <c:gapWidth val="150"/>
        <c:axId val="9503803"/>
        <c:axId val="8987275"/>
      </c:barChart>
      <c:catAx>
        <c:axId val="950380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987275"/>
        <c:crosses val="autoZero"/>
        <c:auto val="1"/>
        <c:lblAlgn val="ctr"/>
        <c:lblOffset val="100"/>
        <c:noMultiLvlLbl val="0"/>
      </c:catAx>
      <c:valAx>
        <c:axId val="8987275"/>
        <c:scaling>
          <c:orientation val="minMax"/>
        </c:scaling>
        <c:delete val="0"/>
        <c:axPos val="l"/>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 per month (average)</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en-US"/>
          </a:p>
        </c:txPr>
        <c:crossAx val="9503803"/>
        <c:crosses val="autoZero"/>
        <c:crossBetween val="between"/>
      </c:valAx>
      <c:spPr>
        <a:noFill/>
        <a:ln w="25400">
          <a:noFill/>
        </a:ln>
      </c:spPr>
    </c:plotArea>
    <c:legend>
      <c:legendPos val="b"/>
      <c:layout>
        <c:manualLayout>
          <c:xMode val="edge"/>
          <c:yMode val="edge"/>
          <c:x val="2.3860134624768551E-2"/>
          <c:y val="0.76927152686031341"/>
          <c:w val="0.96642847752800209"/>
          <c:h val="0.19763461426545095"/>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chemeClr val="accent2">
        <a:lumMod val="60000"/>
        <a:lumOff val="40000"/>
      </a:schemeClr>
    </a:solidFill>
    <a:ln w="9360">
      <a:solidFill>
        <a:schemeClr val="accent2">
          <a:lumMod val="75000"/>
        </a:schemeClr>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400" b="1" strike="noStrike" spc="-1">
                <a:solidFill>
                  <a:srgbClr val="000000"/>
                </a:solidFill>
                <a:latin typeface="Calibri"/>
              </a:defRPr>
            </a:pPr>
            <a:r>
              <a:rPr lang="en-GB" sz="1400" b="1" strike="noStrike" spc="-1">
                <a:solidFill>
                  <a:srgbClr val="000000"/>
                </a:solidFill>
                <a:latin typeface="Calibri"/>
              </a:rPr>
              <a:t>Monthly Revenue by Year (seasonality pattern)</a:t>
            </a:r>
          </a:p>
        </c:rich>
      </c:tx>
      <c:overlay val="0"/>
      <c:spPr>
        <a:noFill/>
        <a:ln w="0">
          <a:noFill/>
        </a:ln>
      </c:spPr>
    </c:title>
    <c:autoTitleDeleted val="0"/>
    <c:plotArea>
      <c:layout/>
      <c:lineChart>
        <c:grouping val="standard"/>
        <c:varyColors val="0"/>
        <c:ser>
          <c:idx val="0"/>
          <c:order val="0"/>
          <c:tx>
            <c:strRef>
              <c:f>'pivot Summary'!$B$21</c:f>
              <c:strCache>
                <c:ptCount val="1"/>
                <c:pt idx="0">
                  <c:v>Year 1</c:v>
                </c:pt>
              </c:strCache>
            </c:strRef>
          </c:tx>
          <c:spPr>
            <a:ln w="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Summary'!$B$22:$B$33</c:f>
              <c:numCache>
                <c:formatCode>\£#,##0;"(£"#,##0\);\-</c:formatCode>
                <c:ptCount val="12"/>
                <c:pt idx="0">
                  <c:v>9137.8015083333339</c:v>
                </c:pt>
                <c:pt idx="1">
                  <c:v>10471.063065</c:v>
                </c:pt>
                <c:pt idx="2">
                  <c:v>11834.392641666665</c:v>
                </c:pt>
                <c:pt idx="3">
                  <c:v>13392.061133333336</c:v>
                </c:pt>
                <c:pt idx="4">
                  <c:v>14940.587615</c:v>
                </c:pt>
                <c:pt idx="5">
                  <c:v>17445.394426666666</c:v>
                </c:pt>
                <c:pt idx="6">
                  <c:v>19038.187172916667</c:v>
                </c:pt>
                <c:pt idx="7">
                  <c:v>18300.826649999999</c:v>
                </c:pt>
                <c:pt idx="8">
                  <c:v>18344.806008333333</c:v>
                </c:pt>
                <c:pt idx="9">
                  <c:v>19425.484016666665</c:v>
                </c:pt>
                <c:pt idx="10">
                  <c:v>20319.854272500001</c:v>
                </c:pt>
                <c:pt idx="11">
                  <c:v>21928.802000000003</c:v>
                </c:pt>
              </c:numCache>
            </c:numRef>
          </c:val>
          <c:smooth val="1"/>
          <c:extLst>
            <c:ext xmlns:c16="http://schemas.microsoft.com/office/drawing/2014/chart" uri="{C3380CC4-5D6E-409C-BE32-E72D297353CC}">
              <c16:uniqueId val="{00000000-AA5E-49AF-B22E-CA9789782070}"/>
            </c:ext>
          </c:extLst>
        </c:ser>
        <c:ser>
          <c:idx val="1"/>
          <c:order val="1"/>
          <c:tx>
            <c:strRef>
              <c:f>'pivot Summary'!$C$21</c:f>
              <c:strCache>
                <c:ptCount val="1"/>
                <c:pt idx="0">
                  <c:v>Year 2</c:v>
                </c:pt>
              </c:strCache>
            </c:strRef>
          </c:tx>
          <c:spPr>
            <a:ln w="0">
              <a:solidFill>
                <a:schemeClr val="accent6">
                  <a:lumMod val="50000"/>
                </a:schemeClr>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Summary'!$C$22:$C$33</c:f>
              <c:numCache>
                <c:formatCode>\£#,##0;"(£"#,##0\);\-</c:formatCode>
                <c:ptCount val="12"/>
                <c:pt idx="0">
                  <c:v>22749.481029166665</c:v>
                </c:pt>
                <c:pt idx="1">
                  <c:v>22911.755324999998</c:v>
                </c:pt>
                <c:pt idx="2">
                  <c:v>22740.849320833331</c:v>
                </c:pt>
                <c:pt idx="3">
                  <c:v>23236.303916666664</c:v>
                </c:pt>
                <c:pt idx="4">
                  <c:v>23731.758512499997</c:v>
                </c:pt>
                <c:pt idx="5">
                  <c:v>25502.559370833333</c:v>
                </c:pt>
                <c:pt idx="6">
                  <c:v>26071.128810416663</c:v>
                </c:pt>
                <c:pt idx="7">
                  <c:v>23699.059891666664</c:v>
                </c:pt>
                <c:pt idx="8">
                  <c:v>22740.849320833331</c:v>
                </c:pt>
                <c:pt idx="9">
                  <c:v>23236.303916666664</c:v>
                </c:pt>
                <c:pt idx="10">
                  <c:v>23731.758512499997</c:v>
                </c:pt>
                <c:pt idx="11">
                  <c:v>25218.122299999999</c:v>
                </c:pt>
              </c:numCache>
            </c:numRef>
          </c:val>
          <c:smooth val="1"/>
          <c:extLst>
            <c:ext xmlns:c16="http://schemas.microsoft.com/office/drawing/2014/chart" uri="{C3380CC4-5D6E-409C-BE32-E72D297353CC}">
              <c16:uniqueId val="{00000001-AA5E-49AF-B22E-CA9789782070}"/>
            </c:ext>
          </c:extLst>
        </c:ser>
        <c:ser>
          <c:idx val="2"/>
          <c:order val="2"/>
          <c:tx>
            <c:strRef>
              <c:f>'pivot Summary'!$D$21</c:f>
              <c:strCache>
                <c:ptCount val="1"/>
                <c:pt idx="0">
                  <c:v>Year 3</c:v>
                </c:pt>
              </c:strCache>
            </c:strRef>
          </c:tx>
          <c:spPr>
            <a:ln w="0">
              <a:solidFill>
                <a:schemeClr val="bg2">
                  <a:lumMod val="25000"/>
                </a:schemeClr>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Summary'!$D$22:$D$33</c:f>
              <c:numCache>
                <c:formatCode>\£#,##0;"(£"#,##0\);\-</c:formatCode>
                <c:ptCount val="12"/>
                <c:pt idx="0">
                  <c:v>24569.439511499997</c:v>
                </c:pt>
                <c:pt idx="1">
                  <c:v>24744.695750999999</c:v>
                </c:pt>
                <c:pt idx="2">
                  <c:v>24560.117266500001</c:v>
                </c:pt>
                <c:pt idx="3">
                  <c:v>25095.20823</c:v>
                </c:pt>
                <c:pt idx="4">
                  <c:v>25630.299193499995</c:v>
                </c:pt>
                <c:pt idx="5">
                  <c:v>27542.7641205</c:v>
                </c:pt>
                <c:pt idx="6">
                  <c:v>28156.81911525</c:v>
                </c:pt>
                <c:pt idx="7">
                  <c:v>25594.984683000002</c:v>
                </c:pt>
                <c:pt idx="8">
                  <c:v>24560.117266500001</c:v>
                </c:pt>
                <c:pt idx="9">
                  <c:v>25095.20823</c:v>
                </c:pt>
                <c:pt idx="10">
                  <c:v>25630.299193499995</c:v>
                </c:pt>
                <c:pt idx="11">
                  <c:v>27235.572084000003</c:v>
                </c:pt>
              </c:numCache>
            </c:numRef>
          </c:val>
          <c:smooth val="1"/>
          <c:extLst>
            <c:ext xmlns:c16="http://schemas.microsoft.com/office/drawing/2014/chart" uri="{C3380CC4-5D6E-409C-BE32-E72D297353CC}">
              <c16:uniqueId val="{00000002-AA5E-49AF-B22E-CA9789782070}"/>
            </c:ext>
          </c:extLst>
        </c:ser>
        <c:ser>
          <c:idx val="3"/>
          <c:order val="3"/>
          <c:tx>
            <c:strRef>
              <c:f>'pivot Summary'!$E$21</c:f>
              <c:strCache>
                <c:ptCount val="1"/>
                <c:pt idx="0">
                  <c:v>Year 4</c:v>
                </c:pt>
              </c:strCache>
            </c:strRef>
          </c:tx>
          <c:spPr>
            <a:ln w="0">
              <a:solidFill>
                <a:srgbClr val="FFFFFF"/>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Summary'!$E$22:$E$33</c:f>
              <c:numCache>
                <c:formatCode>\£#,##0;"(£"#,##0\);\-</c:formatCode>
                <c:ptCount val="12"/>
                <c:pt idx="0">
                  <c:v>26043.605882190004</c:v>
                </c:pt>
                <c:pt idx="1">
                  <c:v>26229.377496060002</c:v>
                </c:pt>
                <c:pt idx="2">
                  <c:v>26033.724302490002</c:v>
                </c:pt>
                <c:pt idx="3">
                  <c:v>26600.920723800002</c:v>
                </c:pt>
                <c:pt idx="4">
                  <c:v>27168.117145110002</c:v>
                </c:pt>
                <c:pt idx="5">
                  <c:v>29195.329967730002</c:v>
                </c:pt>
                <c:pt idx="6">
                  <c:v>29846.228262165005</c:v>
                </c:pt>
                <c:pt idx="7">
                  <c:v>27130.683763980003</c:v>
                </c:pt>
                <c:pt idx="8">
                  <c:v>26033.724302490002</c:v>
                </c:pt>
                <c:pt idx="9">
                  <c:v>26600.920723800002</c:v>
                </c:pt>
                <c:pt idx="10">
                  <c:v>27168.117145110002</c:v>
                </c:pt>
                <c:pt idx="11">
                  <c:v>28869.706409040005</c:v>
                </c:pt>
              </c:numCache>
            </c:numRef>
          </c:val>
          <c:smooth val="1"/>
          <c:extLst>
            <c:ext xmlns:c16="http://schemas.microsoft.com/office/drawing/2014/chart" uri="{C3380CC4-5D6E-409C-BE32-E72D297353CC}">
              <c16:uniqueId val="{00000003-AA5E-49AF-B22E-CA9789782070}"/>
            </c:ext>
          </c:extLst>
        </c:ser>
        <c:dLbls>
          <c:dLblPos val="r"/>
          <c:showLegendKey val="0"/>
          <c:showVal val="1"/>
          <c:showCatName val="0"/>
          <c:showSerName val="0"/>
          <c:showPercent val="0"/>
          <c:showBubbleSize val="0"/>
        </c:dLbls>
        <c:marker val="1"/>
        <c:smooth val="0"/>
        <c:axId val="51826138"/>
        <c:axId val="10272633"/>
      </c:lineChart>
      <c:lineChart>
        <c:grouping val="standard"/>
        <c:varyColors val="0"/>
        <c:ser>
          <c:idx val="4"/>
          <c:order val="4"/>
          <c:tx>
            <c:strRef>
              <c:f>'pivot Summary'!$F$21</c:f>
              <c:strCache>
                <c:ptCount val="1"/>
                <c:pt idx="0">
                  <c:v>Year 5</c:v>
                </c:pt>
              </c:strCache>
            </c:strRef>
          </c:tx>
          <c:spPr>
            <a:ln w="0">
              <a:solidFill>
                <a:srgbClr val="00B050"/>
              </a:solidFill>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'pivot Summary'!$A$22:$A$33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Summary'!$F$22:$F$33</c:f>
              <c:numCache>
                <c:formatCode>\£#,##0;"(£"#,##0\);\-</c:formatCode>
                <c:ptCount val="12"/>
                <c:pt idx="0">
                  <c:v>26824.914058655697</c:v>
                </c:pt>
                <c:pt idx="1">
                  <c:v>27016.258820941803</c:v>
                </c:pt>
                <c:pt idx="2">
                  <c:v>26814.736031564698</c:v>
                </c:pt>
                <c:pt idx="3">
                  <c:v>27398.948345514007</c:v>
                </c:pt>
                <c:pt idx="4">
                  <c:v>27983.160659463305</c:v>
                </c:pt>
                <c:pt idx="5">
                  <c:v>30071.189866761903</c:v>
                </c:pt>
                <c:pt idx="6">
                  <c:v>30741.615110029954</c:v>
                </c:pt>
                <c:pt idx="7">
                  <c:v>27944.604276899405</c:v>
                </c:pt>
                <c:pt idx="8">
                  <c:v>26814.736031564698</c:v>
                </c:pt>
                <c:pt idx="9">
                  <c:v>27398.948345514007</c:v>
                </c:pt>
                <c:pt idx="10">
                  <c:v>27983.160659463305</c:v>
                </c:pt>
                <c:pt idx="11">
                  <c:v>29735.797601311198</c:v>
                </c:pt>
              </c:numCache>
            </c:numRef>
          </c:val>
          <c:smooth val="1"/>
          <c:extLst>
            <c:ext xmlns:c16="http://schemas.microsoft.com/office/drawing/2014/chart" uri="{C3380CC4-5D6E-409C-BE32-E72D297353CC}">
              <c16:uniqueId val="{00000004-AA5E-49AF-B22E-CA9789782070}"/>
            </c:ext>
          </c:extLst>
        </c:ser>
        <c:dLbls>
          <c:dLblPos val="r"/>
          <c:showLegendKey val="0"/>
          <c:showVal val="1"/>
          <c:showCatName val="0"/>
          <c:showSerName val="0"/>
          <c:showPercent val="0"/>
          <c:showBubbleSize val="0"/>
        </c:dLbls>
        <c:marker val="1"/>
        <c:smooth val="0"/>
        <c:axId val="760425647"/>
        <c:axId val="594667279"/>
      </c:lineChart>
      <c:catAx>
        <c:axId val="51826138"/>
        <c:scaling>
          <c:orientation val="minMax"/>
        </c:scaling>
        <c:delete val="0"/>
        <c:axPos val="b"/>
        <c:numFmt formatCode="General" sourceLinked="0"/>
        <c:majorTickMark val="none"/>
        <c:minorTickMark val="none"/>
        <c:tickLblPos val="nextTo"/>
        <c:spPr>
          <a:ln w="0">
            <a:solidFill>
              <a:srgbClr val="B3B3B3"/>
            </a:solidFill>
          </a:ln>
        </c:spPr>
        <c:txPr>
          <a:bodyPr anchor="ctr" anchorCtr="1"/>
          <a:lstStyle/>
          <a:p>
            <a:pPr>
              <a:defRPr sz="800" b="0" strike="noStrike" spc="-1">
                <a:solidFill>
                  <a:srgbClr val="000000"/>
                </a:solidFill>
                <a:latin typeface="Calibri"/>
              </a:defRPr>
            </a:pPr>
            <a:endParaRPr lang="en-US"/>
          </a:p>
        </c:txPr>
        <c:crossAx val="10272633"/>
        <c:crosses val="autoZero"/>
        <c:auto val="1"/>
        <c:lblAlgn val="ctr"/>
        <c:lblOffset val="100"/>
        <c:noMultiLvlLbl val="0"/>
      </c:catAx>
      <c:valAx>
        <c:axId val="10272633"/>
        <c:scaling>
          <c:orientation val="minMax"/>
        </c:scaling>
        <c:delete val="0"/>
        <c:axPos val="l"/>
        <c:numFmt formatCode="\£#,##0;&quot;(£&quot;#,##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en-US"/>
          </a:p>
        </c:txPr>
        <c:crossAx val="51826138"/>
        <c:crosses val="autoZero"/>
        <c:crossBetween val="between"/>
      </c:valAx>
      <c:valAx>
        <c:axId val="594667279"/>
        <c:scaling>
          <c:orientation val="minMax"/>
        </c:scaling>
        <c:delete val="0"/>
        <c:axPos val="r"/>
        <c:numFmt formatCode="\£#,##0;&quot;(£&quot;#,##0\);\-" sourceLinked="1"/>
        <c:majorTickMark val="out"/>
        <c:minorTickMark val="none"/>
        <c:tickLblPos val="nextTo"/>
        <c:txPr>
          <a:bodyPr/>
          <a:lstStyle/>
          <a:p>
            <a:pPr>
              <a:defRPr sz="800"/>
            </a:pPr>
            <a:endParaRPr lang="en-US"/>
          </a:p>
        </c:txPr>
        <c:crossAx val="760425647"/>
        <c:crosses val="max"/>
        <c:crossBetween val="between"/>
      </c:valAx>
      <c:catAx>
        <c:axId val="760425647"/>
        <c:scaling>
          <c:orientation val="minMax"/>
        </c:scaling>
        <c:delete val="1"/>
        <c:axPos val="b"/>
        <c:numFmt formatCode="General" sourceLinked="1"/>
        <c:majorTickMark val="out"/>
        <c:minorTickMark val="none"/>
        <c:tickLblPos val="nextTo"/>
        <c:crossAx val="594667279"/>
        <c:crosses val="autoZero"/>
        <c:auto val="1"/>
        <c:lblAlgn val="ctr"/>
        <c:lblOffset val="100"/>
        <c:noMultiLvlLbl val="0"/>
      </c:catAx>
      <c:spPr>
        <a:noFill/>
        <a:ln w="0">
          <a:noFill/>
        </a:ln>
      </c:spPr>
    </c:plotArea>
    <c:legend>
      <c:legendPos val="r"/>
      <c:layout>
        <c:manualLayout>
          <c:xMode val="edge"/>
          <c:yMode val="edge"/>
          <c:x val="0.83237523127541846"/>
          <c:y val="0.23798059363641746"/>
          <c:w val="0.16762476872458151"/>
          <c:h val="0.49631716510969404"/>
        </c:manualLayout>
      </c:layout>
      <c:overlay val="0"/>
      <c:spPr>
        <a:noFill/>
        <a:ln w="0">
          <a:noFill/>
        </a:ln>
      </c:spPr>
      <c:txPr>
        <a:bodyPr/>
        <a:lstStyle/>
        <a:p>
          <a:pPr>
            <a:defRPr sz="800" b="0" strike="noStrike" spc="-1">
              <a:solidFill>
                <a:srgbClr val="000000"/>
              </a:solidFill>
              <a:latin typeface="Calibri"/>
            </a:defRPr>
          </a:pPr>
          <a:endParaRPr lang="en-US"/>
        </a:p>
      </c:txPr>
    </c:legend>
    <c:plotVisOnly val="1"/>
    <c:dispBlanksAs val="gap"/>
    <c:showDLblsOverMax val="1"/>
  </c:chart>
  <c:spPr>
    <a:solidFill>
      <a:schemeClr val="accent2">
        <a:lumMod val="60000"/>
        <a:lumOff val="40000"/>
      </a:schemeClr>
    </a:solidFill>
    <a:ln w="9360">
      <a:solidFill>
        <a:schemeClr val="accent2">
          <a:lumMod val="75000"/>
        </a:schemeClr>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400" b="1" strike="noStrike" spc="-1">
                <a:solidFill>
                  <a:srgbClr val="000000"/>
                </a:solidFill>
                <a:latin typeface="Calibri"/>
              </a:defRPr>
            </a:pPr>
            <a:r>
              <a:rPr lang="en-GB" sz="1400" b="1" strike="noStrike" spc="-1">
                <a:solidFill>
                  <a:srgbClr val="000000"/>
                </a:solidFill>
                <a:latin typeface="Calibri"/>
              </a:rPr>
              <a:t>Operating Expense Mix by Year </a:t>
            </a:r>
          </a:p>
        </c:rich>
      </c:tx>
      <c:layout>
        <c:manualLayout>
          <c:xMode val="edge"/>
          <c:yMode val="edge"/>
          <c:x val="0.15049151027703306"/>
          <c:y val="0"/>
        </c:manualLayout>
      </c:layout>
      <c:overlay val="0"/>
      <c:spPr>
        <a:noFill/>
        <a:ln w="0">
          <a:noFill/>
        </a:ln>
      </c:spPr>
    </c:title>
    <c:autoTitleDeleted val="0"/>
    <c:plotArea>
      <c:layout>
        <c:manualLayout>
          <c:layoutTarget val="inner"/>
          <c:xMode val="edge"/>
          <c:yMode val="edge"/>
          <c:x val="0.16341444346217654"/>
          <c:y val="0.22046085027772114"/>
          <c:w val="0.63253082330947541"/>
          <c:h val="0.68125366845223756"/>
        </c:manualLayout>
      </c:layout>
      <c:barChart>
        <c:barDir val="col"/>
        <c:grouping val="stacked"/>
        <c:varyColors val="0"/>
        <c:ser>
          <c:idx val="0"/>
          <c:order val="0"/>
          <c:tx>
            <c:strRef>
              <c:f>Data!$A$18</c:f>
              <c:strCache>
                <c:ptCount val="1"/>
                <c:pt idx="0">
                  <c:v>Rent</c:v>
                </c:pt>
              </c:strCache>
            </c:strRef>
          </c:tx>
          <c:spPr>
            <a:solidFill>
              <a:srgbClr val="8A3937"/>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Data!$B$18:$F$18</c:f>
              <c:numCache>
                <c:formatCode>\£#,##0;"(£"#,##0\)</c:formatCode>
                <c:ptCount val="5"/>
                <c:pt idx="0">
                  <c:v>24000</c:v>
                </c:pt>
                <c:pt idx="1">
                  <c:v>24000</c:v>
                </c:pt>
                <c:pt idx="2">
                  <c:v>24000</c:v>
                </c:pt>
                <c:pt idx="3">
                  <c:v>24000</c:v>
                </c:pt>
                <c:pt idx="4">
                  <c:v>24000</c:v>
                </c:pt>
              </c:numCache>
            </c:numRef>
          </c:val>
          <c:extLst>
            <c:ext xmlns:c16="http://schemas.microsoft.com/office/drawing/2014/chart" uri="{C3380CC4-5D6E-409C-BE32-E72D297353CC}">
              <c16:uniqueId val="{00000000-255D-47E0-9731-E22E6017C763}"/>
            </c:ext>
          </c:extLst>
        </c:ser>
        <c:ser>
          <c:idx val="1"/>
          <c:order val="1"/>
          <c:tx>
            <c:strRef>
              <c:f>Data!$A$19</c:f>
              <c:strCache>
                <c:ptCount val="1"/>
                <c:pt idx="0">
                  <c:v>Business Rates</c:v>
                </c:pt>
              </c:strCache>
            </c:strRef>
          </c:tx>
          <c:spPr>
            <a:solidFill>
              <a:srgbClr val="9F423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Data!$B$19:$F$19</c:f>
              <c:numCache>
                <c:formatCode>\£#,##0;"(£"#,##0\)</c:formatCode>
                <c:ptCount val="5"/>
                <c:pt idx="0">
                  <c:v>1500</c:v>
                </c:pt>
                <c:pt idx="1">
                  <c:v>1500</c:v>
                </c:pt>
                <c:pt idx="2">
                  <c:v>1500</c:v>
                </c:pt>
                <c:pt idx="3">
                  <c:v>1500</c:v>
                </c:pt>
                <c:pt idx="4">
                  <c:v>1500</c:v>
                </c:pt>
              </c:numCache>
            </c:numRef>
          </c:val>
          <c:extLst>
            <c:ext xmlns:c16="http://schemas.microsoft.com/office/drawing/2014/chart" uri="{C3380CC4-5D6E-409C-BE32-E72D297353CC}">
              <c16:uniqueId val="{00000001-255D-47E0-9731-E22E6017C763}"/>
            </c:ext>
          </c:extLst>
        </c:ser>
        <c:ser>
          <c:idx val="2"/>
          <c:order val="2"/>
          <c:tx>
            <c:strRef>
              <c:f>Data!$A$20</c:f>
              <c:strCache>
                <c:ptCount val="1"/>
                <c:pt idx="0">
                  <c:v>Insurance</c:v>
                </c:pt>
              </c:strCache>
            </c:strRef>
          </c:tx>
          <c:spPr>
            <a:solidFill>
              <a:srgbClr val="B04946"/>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Data!$B$20:$F$20</c:f>
              <c:numCache>
                <c:formatCode>\£#,##0;"(£"#,##0\)</c:formatCode>
                <c:ptCount val="5"/>
                <c:pt idx="0">
                  <c:v>1800</c:v>
                </c:pt>
                <c:pt idx="1">
                  <c:v>1800</c:v>
                </c:pt>
                <c:pt idx="2">
                  <c:v>1800</c:v>
                </c:pt>
                <c:pt idx="3">
                  <c:v>1800</c:v>
                </c:pt>
                <c:pt idx="4">
                  <c:v>1800</c:v>
                </c:pt>
              </c:numCache>
            </c:numRef>
          </c:val>
          <c:extLst>
            <c:ext xmlns:c16="http://schemas.microsoft.com/office/drawing/2014/chart" uri="{C3380CC4-5D6E-409C-BE32-E72D297353CC}">
              <c16:uniqueId val="{00000002-255D-47E0-9731-E22E6017C763}"/>
            </c:ext>
          </c:extLst>
        </c:ser>
        <c:ser>
          <c:idx val="3"/>
          <c:order val="3"/>
          <c:tx>
            <c:strRef>
              <c:f>Data!$A$21</c:f>
              <c:strCache>
                <c:ptCount val="1"/>
                <c:pt idx="0">
                  <c:v>Wages</c:v>
                </c:pt>
              </c:strCache>
            </c:strRef>
          </c:tx>
          <c:spPr>
            <a:solidFill>
              <a:srgbClr val="C0504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Data!$B$21:$F$21</c:f>
              <c:numCache>
                <c:formatCode>\£#,##0;"(£"#,##0\)</c:formatCode>
                <c:ptCount val="5"/>
                <c:pt idx="0">
                  <c:v>81398.788250000027</c:v>
                </c:pt>
                <c:pt idx="1">
                  <c:v>81398.788250000027</c:v>
                </c:pt>
                <c:pt idx="2">
                  <c:v>81398.788250000027</c:v>
                </c:pt>
                <c:pt idx="3">
                  <c:v>81398.788250000027</c:v>
                </c:pt>
                <c:pt idx="4">
                  <c:v>81398.788250000027</c:v>
                </c:pt>
              </c:numCache>
            </c:numRef>
          </c:val>
          <c:extLst>
            <c:ext xmlns:c16="http://schemas.microsoft.com/office/drawing/2014/chart" uri="{C3380CC4-5D6E-409C-BE32-E72D297353CC}">
              <c16:uniqueId val="{00000003-255D-47E0-9731-E22E6017C763}"/>
            </c:ext>
          </c:extLst>
        </c:ser>
        <c:ser>
          <c:idx val="4"/>
          <c:order val="4"/>
          <c:tx>
            <c:strRef>
              <c:f>Data!$A$22</c:f>
              <c:strCache>
                <c:ptCount val="1"/>
                <c:pt idx="0">
                  <c:v>Marketing</c:v>
                </c:pt>
              </c:strCache>
            </c:strRef>
          </c:tx>
          <c:spPr>
            <a:solidFill>
              <a:srgbClr val="CC878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Data!$B$22:$F$22</c:f>
              <c:numCache>
                <c:formatCode>\£#,##0;"(£"#,##0\)</c:formatCode>
                <c:ptCount val="5"/>
                <c:pt idx="0">
                  <c:v>5375</c:v>
                </c:pt>
                <c:pt idx="1">
                  <c:v>6181.25</c:v>
                </c:pt>
                <c:pt idx="2">
                  <c:v>6675.75</c:v>
                </c:pt>
                <c:pt idx="3">
                  <c:v>7076.295000000001</c:v>
                </c:pt>
                <c:pt idx="4">
                  <c:v>7288.58385</c:v>
                </c:pt>
              </c:numCache>
            </c:numRef>
          </c:val>
          <c:extLst>
            <c:ext xmlns:c16="http://schemas.microsoft.com/office/drawing/2014/chart" uri="{C3380CC4-5D6E-409C-BE32-E72D297353CC}">
              <c16:uniqueId val="{00000004-255D-47E0-9731-E22E6017C763}"/>
            </c:ext>
          </c:extLst>
        </c:ser>
        <c:ser>
          <c:idx val="5"/>
          <c:order val="5"/>
          <c:tx>
            <c:strRef>
              <c:f>Data!$A$23</c:f>
              <c:strCache>
                <c:ptCount val="1"/>
                <c:pt idx="0">
                  <c:v>Software</c:v>
                </c:pt>
              </c:strCache>
            </c:strRef>
          </c:tx>
          <c:spPr>
            <a:solidFill>
              <a:srgbClr val="D8AAA9"/>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Data!$B$23:$F$23</c:f>
              <c:numCache>
                <c:formatCode>\£#,##0;"(£"#,##0\)</c:formatCode>
                <c:ptCount val="5"/>
                <c:pt idx="0">
                  <c:v>1800</c:v>
                </c:pt>
                <c:pt idx="1">
                  <c:v>1800</c:v>
                </c:pt>
                <c:pt idx="2">
                  <c:v>1800</c:v>
                </c:pt>
                <c:pt idx="3">
                  <c:v>1800</c:v>
                </c:pt>
                <c:pt idx="4">
                  <c:v>1800</c:v>
                </c:pt>
              </c:numCache>
            </c:numRef>
          </c:val>
          <c:extLst>
            <c:ext xmlns:c16="http://schemas.microsoft.com/office/drawing/2014/chart" uri="{C3380CC4-5D6E-409C-BE32-E72D297353CC}">
              <c16:uniqueId val="{00000005-255D-47E0-9731-E22E6017C763}"/>
            </c:ext>
          </c:extLst>
        </c:ser>
        <c:ser>
          <c:idx val="6"/>
          <c:order val="6"/>
          <c:tx>
            <c:strRef>
              <c:f>Data!$A$24</c:f>
              <c:strCache>
                <c:ptCount val="1"/>
                <c:pt idx="0">
                  <c:v>Admin</c:v>
                </c:pt>
              </c:strCache>
            </c:strRef>
          </c:tx>
          <c:spPr>
            <a:solidFill>
              <a:srgbClr val="E3C5C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Data!$B$24:$F$24</c:f>
              <c:numCache>
                <c:formatCode>\£#,##0;"(£"#,##0\)</c:formatCode>
                <c:ptCount val="5"/>
                <c:pt idx="0">
                  <c:v>6000</c:v>
                </c:pt>
                <c:pt idx="1">
                  <c:v>6000</c:v>
                </c:pt>
                <c:pt idx="2">
                  <c:v>6000</c:v>
                </c:pt>
                <c:pt idx="3">
                  <c:v>6000</c:v>
                </c:pt>
                <c:pt idx="4">
                  <c:v>6000</c:v>
                </c:pt>
              </c:numCache>
            </c:numRef>
          </c:val>
          <c:extLst>
            <c:ext xmlns:c16="http://schemas.microsoft.com/office/drawing/2014/chart" uri="{C3380CC4-5D6E-409C-BE32-E72D297353CC}">
              <c16:uniqueId val="{00000006-255D-47E0-9731-E22E6017C763}"/>
            </c:ext>
          </c:extLst>
        </c:ser>
        <c:dLbls>
          <c:showLegendKey val="0"/>
          <c:showVal val="0"/>
          <c:showCatName val="0"/>
          <c:showSerName val="0"/>
          <c:showPercent val="0"/>
          <c:showBubbleSize val="0"/>
        </c:dLbls>
        <c:gapWidth val="150"/>
        <c:overlap val="100"/>
        <c:axId val="45995373"/>
        <c:axId val="25067686"/>
      </c:barChart>
      <c:catAx>
        <c:axId val="4599537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067686"/>
        <c:crosses val="autoZero"/>
        <c:auto val="1"/>
        <c:lblAlgn val="ctr"/>
        <c:lblOffset val="100"/>
        <c:noMultiLvlLbl val="0"/>
      </c:catAx>
      <c:valAx>
        <c:axId val="25067686"/>
        <c:scaling>
          <c:orientation val="minMax"/>
        </c:scaling>
        <c:delete val="0"/>
        <c:axPos val="l"/>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800" b="0" strike="noStrike" spc="-1">
                <a:solidFill>
                  <a:srgbClr val="000000"/>
                </a:solidFill>
                <a:latin typeface="Calibri"/>
              </a:defRPr>
            </a:pPr>
            <a:endParaRPr lang="en-US"/>
          </a:p>
        </c:txPr>
        <c:crossAx val="45995373"/>
        <c:crosses val="autoZero"/>
        <c:crossBetween val="between"/>
      </c:valAx>
      <c:spPr>
        <a:noFill/>
        <a:ln w="0">
          <a:noFill/>
        </a:ln>
      </c:spPr>
    </c:plotArea>
    <c:legend>
      <c:legendPos val="r"/>
      <c:layout>
        <c:manualLayout>
          <c:xMode val="edge"/>
          <c:yMode val="edge"/>
          <c:x val="0.84288133516479968"/>
          <c:y val="4.9078891316595881E-2"/>
          <c:w val="0.15711866483520026"/>
          <c:h val="0.9020378997127978"/>
        </c:manualLayout>
      </c:layout>
      <c:overlay val="0"/>
      <c:spPr>
        <a:noFill/>
        <a:ln w="0">
          <a:noFill/>
        </a:ln>
      </c:spPr>
      <c:txPr>
        <a:bodyPr/>
        <a:lstStyle/>
        <a:p>
          <a:pPr>
            <a:defRPr sz="800" b="0" strike="noStrike" spc="-1">
              <a:solidFill>
                <a:srgbClr val="000000"/>
              </a:solidFill>
              <a:latin typeface="Calibri"/>
            </a:defRPr>
          </a:pPr>
          <a:endParaRPr lang="en-US"/>
        </a:p>
      </c:txPr>
    </c:legend>
    <c:plotVisOnly val="1"/>
    <c:dispBlanksAs val="gap"/>
    <c:showDLblsOverMax val="1"/>
  </c:chart>
  <c:spPr>
    <a:solidFill>
      <a:schemeClr val="accent2">
        <a:lumMod val="60000"/>
        <a:lumOff val="40000"/>
      </a:schemeClr>
    </a:solidFill>
    <a:ln w="9360">
      <a:solidFill>
        <a:schemeClr val="accent2">
          <a:lumMod val="75000"/>
        </a:schemeClr>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400" b="1" strike="noStrike" spc="-1">
                <a:solidFill>
                  <a:srgbClr val="000000"/>
                </a:solidFill>
                <a:latin typeface="Calibri"/>
              </a:defRPr>
            </a:pPr>
            <a:r>
              <a:rPr lang="en-GB" sz="1400" b="1" strike="noStrike" spc="-1">
                <a:solidFill>
                  <a:srgbClr val="000000"/>
                </a:solidFill>
                <a:latin typeface="Calibri"/>
              </a:rPr>
              <a:t>Operating Expense Mix — Year 5</a:t>
            </a:r>
          </a:p>
        </c:rich>
      </c:tx>
      <c:layout>
        <c:manualLayout>
          <c:xMode val="edge"/>
          <c:yMode val="edge"/>
          <c:x val="0.11357592368761796"/>
          <c:y val="6.723283418689034E-3"/>
        </c:manualLayout>
      </c:layout>
      <c:overlay val="0"/>
      <c:spPr>
        <a:noFill/>
        <a:ln w="0">
          <a:noFill/>
        </a:ln>
      </c:spPr>
    </c:title>
    <c:autoTitleDeleted val="0"/>
    <c:plotArea>
      <c:layout>
        <c:manualLayout>
          <c:layoutTarget val="inner"/>
          <c:xMode val="edge"/>
          <c:yMode val="edge"/>
          <c:x val="0.27569294968103508"/>
          <c:y val="0.14730608091868638"/>
          <c:w val="0.37559593873965097"/>
          <c:h val="0.64174269623781999"/>
        </c:manualLayout>
      </c:layout>
      <c:doughnutChart>
        <c:varyColors val="1"/>
        <c:ser>
          <c:idx val="0"/>
          <c:order val="0"/>
          <c:tx>
            <c:v>Year 5 Opex</c:v>
          </c:tx>
          <c:spPr>
            <a:ln w="0">
              <a:noFill/>
            </a:ln>
          </c:spPr>
          <c:dPt>
            <c:idx val="0"/>
            <c:bubble3D val="0"/>
            <c:spPr>
              <a:solidFill>
                <a:srgbClr val="92D050"/>
              </a:solidFill>
              <a:ln w="0">
                <a:noFill/>
              </a:ln>
            </c:spPr>
            <c:extLst>
              <c:ext xmlns:c16="http://schemas.microsoft.com/office/drawing/2014/chart" uri="{C3380CC4-5D6E-409C-BE32-E72D297353CC}">
                <c16:uniqueId val="{00000001-5CED-4C5E-9AD5-DC8B92CB2D4A}"/>
              </c:ext>
            </c:extLst>
          </c:dPt>
          <c:dPt>
            <c:idx val="1"/>
            <c:bubble3D val="0"/>
            <c:spPr>
              <a:solidFill>
                <a:schemeClr val="accent4">
                  <a:lumMod val="75000"/>
                </a:schemeClr>
              </a:solidFill>
              <a:ln w="0">
                <a:noFill/>
              </a:ln>
            </c:spPr>
            <c:extLst>
              <c:ext xmlns:c16="http://schemas.microsoft.com/office/drawing/2014/chart" uri="{C3380CC4-5D6E-409C-BE32-E72D297353CC}">
                <c16:uniqueId val="{00000003-5CED-4C5E-9AD5-DC8B92CB2D4A}"/>
              </c:ext>
            </c:extLst>
          </c:dPt>
          <c:dPt>
            <c:idx val="2"/>
            <c:bubble3D val="0"/>
            <c:spPr>
              <a:solidFill>
                <a:srgbClr val="00B0F0"/>
              </a:solidFill>
              <a:ln w="0">
                <a:noFill/>
              </a:ln>
            </c:spPr>
            <c:extLst>
              <c:ext xmlns:c16="http://schemas.microsoft.com/office/drawing/2014/chart" uri="{C3380CC4-5D6E-409C-BE32-E72D297353CC}">
                <c16:uniqueId val="{00000005-5CED-4C5E-9AD5-DC8B92CB2D4A}"/>
              </c:ext>
            </c:extLst>
          </c:dPt>
          <c:dPt>
            <c:idx val="3"/>
            <c:bubble3D val="0"/>
            <c:spPr>
              <a:solidFill>
                <a:schemeClr val="accent2">
                  <a:lumMod val="75000"/>
                </a:schemeClr>
              </a:solidFill>
              <a:ln w="0">
                <a:noFill/>
              </a:ln>
            </c:spPr>
            <c:extLst>
              <c:ext xmlns:c16="http://schemas.microsoft.com/office/drawing/2014/chart" uri="{C3380CC4-5D6E-409C-BE32-E72D297353CC}">
                <c16:uniqueId val="{00000007-5CED-4C5E-9AD5-DC8B92CB2D4A}"/>
              </c:ext>
            </c:extLst>
          </c:dPt>
          <c:dPt>
            <c:idx val="4"/>
            <c:bubble3D val="0"/>
            <c:extLst>
              <c:ext xmlns:c16="http://schemas.microsoft.com/office/drawing/2014/chart" uri="{C3380CC4-5D6E-409C-BE32-E72D297353CC}">
                <c16:uniqueId val="{00000008-5CED-4C5E-9AD5-DC8B92CB2D4A}"/>
              </c:ext>
            </c:extLst>
          </c:dPt>
          <c:dPt>
            <c:idx val="5"/>
            <c:bubble3D val="0"/>
            <c:extLst>
              <c:ext xmlns:c16="http://schemas.microsoft.com/office/drawing/2014/chart" uri="{C3380CC4-5D6E-409C-BE32-E72D297353CC}">
                <c16:uniqueId val="{00000009-5CED-4C5E-9AD5-DC8B92CB2D4A}"/>
              </c:ext>
            </c:extLst>
          </c:dPt>
          <c:dPt>
            <c:idx val="6"/>
            <c:bubble3D val="0"/>
            <c:extLst>
              <c:ext xmlns:c16="http://schemas.microsoft.com/office/drawing/2014/chart" uri="{C3380CC4-5D6E-409C-BE32-E72D297353CC}">
                <c16:uniqueId val="{0000000A-5CED-4C5E-9AD5-DC8B92CB2D4A}"/>
              </c:ext>
            </c:extLst>
          </c:dPt>
          <c:dLbls>
            <c:dLbl>
              <c:idx val="0"/>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5CED-4C5E-9AD5-DC8B92CB2D4A}"/>
                </c:ext>
              </c:extLst>
            </c:dLbl>
            <c:dLbl>
              <c:idx val="1"/>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3-5CED-4C5E-9AD5-DC8B92CB2D4A}"/>
                </c:ext>
              </c:extLst>
            </c:dLbl>
            <c:dLbl>
              <c:idx val="2"/>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5-5CED-4C5E-9AD5-DC8B92CB2D4A}"/>
                </c:ext>
              </c:extLst>
            </c:dLbl>
            <c:dLbl>
              <c:idx val="3"/>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7-5CED-4C5E-9AD5-DC8B92CB2D4A}"/>
                </c:ext>
              </c:extLst>
            </c:dLbl>
            <c:dLbl>
              <c:idx val="4"/>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8-5CED-4C5E-9AD5-DC8B92CB2D4A}"/>
                </c:ext>
              </c:extLst>
            </c:dLbl>
            <c:dLbl>
              <c:idx val="5"/>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9-5CED-4C5E-9AD5-DC8B92CB2D4A}"/>
                </c:ext>
              </c:extLst>
            </c:dLbl>
            <c:dLbl>
              <c:idx val="6"/>
              <c:spPr>
                <a:noFill/>
              </c:spPr>
              <c:txPr>
                <a:bodyPr wrap="square"/>
                <a:lstStyle/>
                <a:p>
                  <a:pPr>
                    <a:defRPr sz="1000" b="0" strike="noStrike" spc="-1">
                      <a:solidFill>
                        <a:srgbClr val="000000"/>
                      </a:solidFill>
                      <a:latin typeface="Arial"/>
                    </a:defRPr>
                  </a:pPr>
                  <a:endParaRPr lang="en-US"/>
                </a:p>
              </c:txPr>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A-5CED-4C5E-9AD5-DC8B92CB2D4A}"/>
                </c:ext>
              </c:extLst>
            </c:dLbl>
            <c:spPr>
              <a:noFill/>
              <a:ln>
                <a:solidFill>
                  <a:srgbClr val="000000">
                    <a:lumMod val="65000"/>
                    <a:lumOff val="35000"/>
                  </a:srgbClr>
                </a:solidFill>
              </a:ln>
              <a:effectLst/>
            </c:spPr>
            <c:txPr>
              <a:bodyPr wrap="square" lIns="38100" tIns="19050" rIns="38100" bIns="19050" anchor="ctr">
                <a:spAutoFit/>
              </a:bodyPr>
              <a:lstStyle/>
              <a:p>
                <a:pPr>
                  <a:defRPr sz="1000"/>
                </a:pPr>
                <a:endParaRPr lang="en-US"/>
              </a:p>
            </c:txPr>
            <c:showLegendKey val="0"/>
            <c:showVal val="0"/>
            <c:showCatName val="0"/>
            <c:showSerName val="0"/>
            <c:showPercent val="1"/>
            <c:showBubbleSize val="1"/>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Data!$A$18:$A$24</c:f>
              <c:strCache>
                <c:ptCount val="7"/>
                <c:pt idx="0">
                  <c:v>Rent</c:v>
                </c:pt>
                <c:pt idx="1">
                  <c:v>Business Rates</c:v>
                </c:pt>
                <c:pt idx="2">
                  <c:v>Insurance</c:v>
                </c:pt>
                <c:pt idx="3">
                  <c:v>Wages</c:v>
                </c:pt>
                <c:pt idx="4">
                  <c:v>Marketing</c:v>
                </c:pt>
                <c:pt idx="5">
                  <c:v>Software</c:v>
                </c:pt>
                <c:pt idx="6">
                  <c:v>Admin</c:v>
                </c:pt>
              </c:strCache>
            </c:strRef>
          </c:cat>
          <c:val>
            <c:numRef>
              <c:f>Data!$F$18:$F$24</c:f>
              <c:numCache>
                <c:formatCode>\£#,##0;"(£"#,##0\)</c:formatCode>
                <c:ptCount val="7"/>
                <c:pt idx="0">
                  <c:v>24000</c:v>
                </c:pt>
                <c:pt idx="1">
                  <c:v>1500</c:v>
                </c:pt>
                <c:pt idx="2">
                  <c:v>1800</c:v>
                </c:pt>
                <c:pt idx="3">
                  <c:v>81398.788250000027</c:v>
                </c:pt>
                <c:pt idx="4">
                  <c:v>7288.58385</c:v>
                </c:pt>
                <c:pt idx="5">
                  <c:v>1800</c:v>
                </c:pt>
                <c:pt idx="6">
                  <c:v>6000</c:v>
                </c:pt>
              </c:numCache>
            </c:numRef>
          </c:val>
          <c:extLst>
            <c:ext xmlns:c16="http://schemas.microsoft.com/office/drawing/2014/chart" uri="{C3380CC4-5D6E-409C-BE32-E72D297353CC}">
              <c16:uniqueId val="{0000000B-5CED-4C5E-9AD5-DC8B92CB2D4A}"/>
            </c:ext>
          </c:extLst>
        </c:ser>
        <c:dLbls>
          <c:showLegendKey val="0"/>
          <c:showVal val="0"/>
          <c:showCatName val="0"/>
          <c:showSerName val="0"/>
          <c:showPercent val="0"/>
          <c:showBubbleSize val="0"/>
          <c:showLeaderLines val="0"/>
        </c:dLbls>
        <c:firstSliceAng val="0"/>
        <c:holeSize val="50"/>
      </c:doughnutChart>
      <c:spPr>
        <a:noFill/>
        <a:ln w="0">
          <a:noFill/>
        </a:ln>
      </c:spPr>
    </c:plotArea>
    <c:legend>
      <c:legendPos val="b"/>
      <c:layout>
        <c:manualLayout>
          <c:xMode val="edge"/>
          <c:yMode val="edge"/>
          <c:x val="5.6225756947157694E-2"/>
          <c:y val="0.81859579149553441"/>
          <c:w val="0.88754817626556526"/>
          <c:h val="0.14106418609048732"/>
        </c:manualLayout>
      </c:layout>
      <c:overlay val="0"/>
      <c:spPr>
        <a:noFill/>
        <a:ln w="0">
          <a:noFill/>
        </a:ln>
      </c:spPr>
      <c:txPr>
        <a:bodyPr/>
        <a:lstStyle/>
        <a:p>
          <a:pPr>
            <a:defRPr sz="800" b="0" strike="noStrike" spc="-1">
              <a:solidFill>
                <a:srgbClr val="000000"/>
              </a:solidFill>
              <a:latin typeface="Calibri"/>
            </a:defRPr>
          </a:pPr>
          <a:endParaRPr lang="en-US"/>
        </a:p>
      </c:txPr>
    </c:legend>
    <c:plotVisOnly val="1"/>
    <c:dispBlanksAs val="gap"/>
    <c:showDLblsOverMax val="1"/>
  </c:chart>
  <c:spPr>
    <a:solidFill>
      <a:schemeClr val="accent2">
        <a:lumMod val="60000"/>
        <a:lumOff val="40000"/>
      </a:schemeClr>
    </a:solidFill>
    <a:ln w="9360">
      <a:solidFill>
        <a:schemeClr val="accent2">
          <a:lumMod val="75000"/>
        </a:schemeClr>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400" b="1" strike="noStrike" spc="-1">
                <a:solidFill>
                  <a:srgbClr val="000000"/>
                </a:solidFill>
                <a:latin typeface="Calibri"/>
              </a:defRPr>
            </a:pPr>
            <a:r>
              <a:rPr lang="en-GB" sz="1400" b="1" strike="noStrike" spc="-1">
                <a:solidFill>
                  <a:srgbClr val="000000"/>
                </a:solidFill>
                <a:latin typeface="Calibri"/>
              </a:rPr>
              <a:t>Operating Expense Mix by Year (stacked)</a:t>
            </a:r>
          </a:p>
        </c:rich>
      </c:tx>
      <c:overlay val="0"/>
      <c:spPr>
        <a:noFill/>
        <a:ln w="0">
          <a:noFill/>
        </a:ln>
      </c:spPr>
    </c:title>
    <c:autoTitleDeleted val="0"/>
    <c:plotArea>
      <c:layout>
        <c:manualLayout>
          <c:layoutTarget val="inner"/>
          <c:xMode val="edge"/>
          <c:yMode val="edge"/>
          <c:x val="0.16341444346217654"/>
          <c:y val="0.22046085027772114"/>
          <c:w val="0.63253082330947541"/>
          <c:h val="0.68125366845223756"/>
        </c:manualLayout>
      </c:layout>
      <c:barChart>
        <c:barDir val="col"/>
        <c:grouping val="stacked"/>
        <c:varyColors val="0"/>
        <c:ser>
          <c:idx val="0"/>
          <c:order val="0"/>
          <c:tx>
            <c:strRef>
              <c:f>Data!$A$18</c:f>
              <c:strCache>
                <c:ptCount val="1"/>
                <c:pt idx="0">
                  <c:v>Rent</c:v>
                </c:pt>
              </c:strCache>
            </c:strRef>
          </c:tx>
          <c:spPr>
            <a:solidFill>
              <a:srgbClr val="8A3937"/>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Data!$B$18:$F$18</c:f>
              <c:numCache>
                <c:formatCode>\£#,##0;"(£"#,##0\)</c:formatCode>
                <c:ptCount val="5"/>
                <c:pt idx="0">
                  <c:v>24000</c:v>
                </c:pt>
                <c:pt idx="1">
                  <c:v>24000</c:v>
                </c:pt>
                <c:pt idx="2">
                  <c:v>24000</c:v>
                </c:pt>
                <c:pt idx="3">
                  <c:v>24000</c:v>
                </c:pt>
                <c:pt idx="4">
                  <c:v>24000</c:v>
                </c:pt>
              </c:numCache>
            </c:numRef>
          </c:val>
          <c:extLst>
            <c:ext xmlns:c16="http://schemas.microsoft.com/office/drawing/2014/chart" uri="{C3380CC4-5D6E-409C-BE32-E72D297353CC}">
              <c16:uniqueId val="{00000000-005A-482D-BF83-C3EEE59574B3}"/>
            </c:ext>
          </c:extLst>
        </c:ser>
        <c:ser>
          <c:idx val="1"/>
          <c:order val="1"/>
          <c:tx>
            <c:strRef>
              <c:f>Data!$A$19</c:f>
              <c:strCache>
                <c:ptCount val="1"/>
                <c:pt idx="0">
                  <c:v>Business Rates</c:v>
                </c:pt>
              </c:strCache>
            </c:strRef>
          </c:tx>
          <c:spPr>
            <a:solidFill>
              <a:srgbClr val="9F423F"/>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Data!$B$19:$F$19</c:f>
              <c:numCache>
                <c:formatCode>\£#,##0;"(£"#,##0\)</c:formatCode>
                <c:ptCount val="5"/>
                <c:pt idx="0">
                  <c:v>1500</c:v>
                </c:pt>
                <c:pt idx="1">
                  <c:v>1500</c:v>
                </c:pt>
                <c:pt idx="2">
                  <c:v>1500</c:v>
                </c:pt>
                <c:pt idx="3">
                  <c:v>1500</c:v>
                </c:pt>
                <c:pt idx="4">
                  <c:v>1500</c:v>
                </c:pt>
              </c:numCache>
            </c:numRef>
          </c:val>
          <c:extLst>
            <c:ext xmlns:c16="http://schemas.microsoft.com/office/drawing/2014/chart" uri="{C3380CC4-5D6E-409C-BE32-E72D297353CC}">
              <c16:uniqueId val="{00000001-005A-482D-BF83-C3EEE59574B3}"/>
            </c:ext>
          </c:extLst>
        </c:ser>
        <c:ser>
          <c:idx val="2"/>
          <c:order val="2"/>
          <c:tx>
            <c:strRef>
              <c:f>Data!$A$20</c:f>
              <c:strCache>
                <c:ptCount val="1"/>
                <c:pt idx="0">
                  <c:v>Insurance</c:v>
                </c:pt>
              </c:strCache>
            </c:strRef>
          </c:tx>
          <c:spPr>
            <a:solidFill>
              <a:srgbClr val="B04946"/>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Data!$B$20:$F$20</c:f>
              <c:numCache>
                <c:formatCode>\£#,##0;"(£"#,##0\)</c:formatCode>
                <c:ptCount val="5"/>
                <c:pt idx="0">
                  <c:v>1800</c:v>
                </c:pt>
                <c:pt idx="1">
                  <c:v>1800</c:v>
                </c:pt>
                <c:pt idx="2">
                  <c:v>1800</c:v>
                </c:pt>
                <c:pt idx="3">
                  <c:v>1800</c:v>
                </c:pt>
                <c:pt idx="4">
                  <c:v>1800</c:v>
                </c:pt>
              </c:numCache>
            </c:numRef>
          </c:val>
          <c:extLst>
            <c:ext xmlns:c16="http://schemas.microsoft.com/office/drawing/2014/chart" uri="{C3380CC4-5D6E-409C-BE32-E72D297353CC}">
              <c16:uniqueId val="{00000002-005A-482D-BF83-C3EEE59574B3}"/>
            </c:ext>
          </c:extLst>
        </c:ser>
        <c:ser>
          <c:idx val="3"/>
          <c:order val="3"/>
          <c:tx>
            <c:strRef>
              <c:f>Data!$A$21</c:f>
              <c:strCache>
                <c:ptCount val="1"/>
                <c:pt idx="0">
                  <c:v>Wages</c:v>
                </c:pt>
              </c:strCache>
            </c:strRef>
          </c:tx>
          <c:spPr>
            <a:solidFill>
              <a:srgbClr val="C0504D"/>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Data!$B$21:$F$21</c:f>
              <c:numCache>
                <c:formatCode>\£#,##0;"(£"#,##0\)</c:formatCode>
                <c:ptCount val="5"/>
                <c:pt idx="0">
                  <c:v>81398.788250000027</c:v>
                </c:pt>
                <c:pt idx="1">
                  <c:v>81398.788250000027</c:v>
                </c:pt>
                <c:pt idx="2">
                  <c:v>81398.788250000027</c:v>
                </c:pt>
                <c:pt idx="3">
                  <c:v>81398.788250000027</c:v>
                </c:pt>
                <c:pt idx="4">
                  <c:v>81398.788250000027</c:v>
                </c:pt>
              </c:numCache>
            </c:numRef>
          </c:val>
          <c:extLst>
            <c:ext xmlns:c16="http://schemas.microsoft.com/office/drawing/2014/chart" uri="{C3380CC4-5D6E-409C-BE32-E72D297353CC}">
              <c16:uniqueId val="{00000003-005A-482D-BF83-C3EEE59574B3}"/>
            </c:ext>
          </c:extLst>
        </c:ser>
        <c:ser>
          <c:idx val="4"/>
          <c:order val="4"/>
          <c:tx>
            <c:strRef>
              <c:f>Data!$A$22</c:f>
              <c:strCache>
                <c:ptCount val="1"/>
                <c:pt idx="0">
                  <c:v>Marketing</c:v>
                </c:pt>
              </c:strCache>
            </c:strRef>
          </c:tx>
          <c:spPr>
            <a:solidFill>
              <a:srgbClr val="CC878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Data!$B$22:$F$22</c:f>
              <c:numCache>
                <c:formatCode>\£#,##0;"(£"#,##0\)</c:formatCode>
                <c:ptCount val="5"/>
                <c:pt idx="0">
                  <c:v>5375</c:v>
                </c:pt>
                <c:pt idx="1">
                  <c:v>6181.25</c:v>
                </c:pt>
                <c:pt idx="2">
                  <c:v>6675.75</c:v>
                </c:pt>
                <c:pt idx="3">
                  <c:v>7076.295000000001</c:v>
                </c:pt>
                <c:pt idx="4">
                  <c:v>7288.58385</c:v>
                </c:pt>
              </c:numCache>
            </c:numRef>
          </c:val>
          <c:extLst>
            <c:ext xmlns:c16="http://schemas.microsoft.com/office/drawing/2014/chart" uri="{C3380CC4-5D6E-409C-BE32-E72D297353CC}">
              <c16:uniqueId val="{00000004-005A-482D-BF83-C3EEE59574B3}"/>
            </c:ext>
          </c:extLst>
        </c:ser>
        <c:ser>
          <c:idx val="5"/>
          <c:order val="5"/>
          <c:tx>
            <c:strRef>
              <c:f>Data!$A$23</c:f>
              <c:strCache>
                <c:ptCount val="1"/>
                <c:pt idx="0">
                  <c:v>Software</c:v>
                </c:pt>
              </c:strCache>
            </c:strRef>
          </c:tx>
          <c:spPr>
            <a:solidFill>
              <a:srgbClr val="D8AAA9"/>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Data!$B$23:$F$23</c:f>
              <c:numCache>
                <c:formatCode>\£#,##0;"(£"#,##0\)</c:formatCode>
                <c:ptCount val="5"/>
                <c:pt idx="0">
                  <c:v>1800</c:v>
                </c:pt>
                <c:pt idx="1">
                  <c:v>1800</c:v>
                </c:pt>
                <c:pt idx="2">
                  <c:v>1800</c:v>
                </c:pt>
                <c:pt idx="3">
                  <c:v>1800</c:v>
                </c:pt>
                <c:pt idx="4">
                  <c:v>1800</c:v>
                </c:pt>
              </c:numCache>
            </c:numRef>
          </c:val>
          <c:extLst>
            <c:ext xmlns:c16="http://schemas.microsoft.com/office/drawing/2014/chart" uri="{C3380CC4-5D6E-409C-BE32-E72D297353CC}">
              <c16:uniqueId val="{00000005-005A-482D-BF83-C3EEE59574B3}"/>
            </c:ext>
          </c:extLst>
        </c:ser>
        <c:ser>
          <c:idx val="6"/>
          <c:order val="6"/>
          <c:tx>
            <c:strRef>
              <c:f>Data!$A$24</c:f>
              <c:strCache>
                <c:ptCount val="1"/>
                <c:pt idx="0">
                  <c:v>Admin</c:v>
                </c:pt>
              </c:strCache>
            </c:strRef>
          </c:tx>
          <c:spPr>
            <a:solidFill>
              <a:srgbClr val="E3C5C5"/>
            </a:solidFill>
            <a:ln w="0">
              <a:solidFill>
                <a:srgbClr val="000000"/>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Data!$B$17:$F$17</c:f>
              <c:strCache>
                <c:ptCount val="5"/>
                <c:pt idx="0">
                  <c:v>Year 1</c:v>
                </c:pt>
                <c:pt idx="1">
                  <c:v>Year 2</c:v>
                </c:pt>
                <c:pt idx="2">
                  <c:v>Year 3</c:v>
                </c:pt>
                <c:pt idx="3">
                  <c:v>Year 4</c:v>
                </c:pt>
                <c:pt idx="4">
                  <c:v>Year 5</c:v>
                </c:pt>
              </c:strCache>
            </c:strRef>
          </c:cat>
          <c:val>
            <c:numRef>
              <c:f>Data!$B$24:$F$24</c:f>
              <c:numCache>
                <c:formatCode>\£#,##0;"(£"#,##0\)</c:formatCode>
                <c:ptCount val="5"/>
                <c:pt idx="0">
                  <c:v>6000</c:v>
                </c:pt>
                <c:pt idx="1">
                  <c:v>6000</c:v>
                </c:pt>
                <c:pt idx="2">
                  <c:v>6000</c:v>
                </c:pt>
                <c:pt idx="3">
                  <c:v>6000</c:v>
                </c:pt>
                <c:pt idx="4">
                  <c:v>6000</c:v>
                </c:pt>
              </c:numCache>
            </c:numRef>
          </c:val>
          <c:extLst>
            <c:ext xmlns:c16="http://schemas.microsoft.com/office/drawing/2014/chart" uri="{C3380CC4-5D6E-409C-BE32-E72D297353CC}">
              <c16:uniqueId val="{00000006-005A-482D-BF83-C3EEE59574B3}"/>
            </c:ext>
          </c:extLst>
        </c:ser>
        <c:dLbls>
          <c:showLegendKey val="0"/>
          <c:showVal val="0"/>
          <c:showCatName val="0"/>
          <c:showSerName val="0"/>
          <c:showPercent val="0"/>
          <c:showBubbleSize val="0"/>
        </c:dLbls>
        <c:gapWidth val="150"/>
        <c:overlap val="100"/>
        <c:axId val="45995373"/>
        <c:axId val="25067686"/>
      </c:barChart>
      <c:catAx>
        <c:axId val="4599537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5067686"/>
        <c:crosses val="autoZero"/>
        <c:auto val="1"/>
        <c:lblAlgn val="ctr"/>
        <c:lblOffset val="100"/>
        <c:noMultiLvlLbl val="0"/>
      </c:catAx>
      <c:valAx>
        <c:axId val="25067686"/>
        <c:scaling>
          <c:orientation val="minMax"/>
        </c:scaling>
        <c:delete val="0"/>
        <c:axPos val="l"/>
        <c:title>
          <c:tx>
            <c:rich>
              <a:bodyPr rot="-5400000"/>
              <a:lstStyle/>
              <a:p>
                <a:pPr>
                  <a:defRPr sz="1000" b="1" strike="noStrike" spc="-1">
                    <a:solidFill>
                      <a:srgbClr val="000000"/>
                    </a:solidFill>
                    <a:latin typeface="Calibri"/>
                  </a:defRPr>
                </a:pPr>
                <a:r>
                  <a:rPr lang="en-GB" sz="1000" b="1" strike="noStrike" spc="-1">
                    <a:solidFill>
                      <a:srgbClr val="000000"/>
                    </a:solidFill>
                    <a:latin typeface="Calibri"/>
                  </a:rPr>
                  <a:t>£</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995373"/>
        <c:crosses val="autoZero"/>
        <c:crossBetween val="between"/>
      </c:valAx>
      <c:spPr>
        <a:noFill/>
        <a:ln w="0">
          <a:noFill/>
        </a:ln>
      </c:spPr>
    </c:plotArea>
    <c:legend>
      <c:legendPos val="r"/>
      <c:layout>
        <c:manualLayout>
          <c:xMode val="edge"/>
          <c:yMode val="edge"/>
          <c:x val="0.81994925999142587"/>
          <c:y val="0.13982935132496774"/>
          <c:w val="0.12767839116543081"/>
          <c:h val="0.63000716699721349"/>
        </c:manualLayout>
      </c:layout>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trlProps/ctrlProp1.xml><?xml version="1.0" encoding="utf-8"?>
<formControlPr xmlns="http://schemas.microsoft.com/office/spreadsheetml/2009/9/main" objectType="Drop" dropLines="3" dropStyle="combo" dx="22" fmlaLink="$C$2" fmlaRange="'[1]Input Data'!$C$18:$C$20" sel="0"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28576</xdr:colOff>
      <xdr:row>27</xdr:row>
      <xdr:rowOff>161925</xdr:rowOff>
    </xdr:to>
    <xdr:sp macro="" textlink="">
      <xdr:nvSpPr>
        <xdr:cNvPr id="2" name="Rectangle 1">
          <a:extLst>
            <a:ext uri="{FF2B5EF4-FFF2-40B4-BE49-F238E27FC236}">
              <a16:creationId xmlns:a16="http://schemas.microsoft.com/office/drawing/2014/main" id="{DEFD3B7A-5B45-4396-9DF8-C3F588CF57CF}"/>
            </a:ext>
          </a:extLst>
        </xdr:cNvPr>
        <xdr:cNvSpPr/>
      </xdr:nvSpPr>
      <xdr:spPr>
        <a:xfrm>
          <a:off x="609600" y="190500"/>
          <a:ext cx="9782176" cy="5114925"/>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609599</xdr:colOff>
      <xdr:row>2</xdr:row>
      <xdr:rowOff>19051</xdr:rowOff>
    </xdr:from>
    <xdr:to>
      <xdr:col>6</xdr:col>
      <xdr:colOff>466725</xdr:colOff>
      <xdr:row>13</xdr:row>
      <xdr:rowOff>180975</xdr:rowOff>
    </xdr:to>
    <xdr:sp macro="" textlink="">
      <xdr:nvSpPr>
        <xdr:cNvPr id="4" name="Rectangle 3">
          <a:extLst>
            <a:ext uri="{FF2B5EF4-FFF2-40B4-BE49-F238E27FC236}">
              <a16:creationId xmlns:a16="http://schemas.microsoft.com/office/drawing/2014/main" id="{6635621C-468A-4851-B7EB-C6117A6BA03F}"/>
            </a:ext>
          </a:extLst>
        </xdr:cNvPr>
        <xdr:cNvSpPr/>
      </xdr:nvSpPr>
      <xdr:spPr>
        <a:xfrm>
          <a:off x="609599" y="400051"/>
          <a:ext cx="3514726" cy="22574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b="1" baseline="0"/>
            <a:t>Afro Brunch Cafe &amp; Fitness studio Co.</a:t>
          </a:r>
        </a:p>
        <a:p>
          <a:pPr algn="l"/>
          <a:endParaRPr lang="en-GB" sz="1100" baseline="0"/>
        </a:p>
        <a:p>
          <a:pPr algn="l"/>
          <a:r>
            <a:rPr lang="en-GB" sz="1100" i="1" baseline="0">
              <a:solidFill>
                <a:schemeClr val="bg1"/>
              </a:solidFill>
            </a:rPr>
            <a:t>...Music for every soul...</a:t>
          </a:r>
          <a:endParaRPr lang="en-GB" sz="1100" i="1">
            <a:solidFill>
              <a:schemeClr val="bg1"/>
            </a:solidFill>
          </a:endParaRPr>
        </a:p>
      </xdr:txBody>
    </xdr:sp>
    <xdr:clientData/>
  </xdr:twoCellAnchor>
  <xdr:twoCellAnchor>
    <xdr:from>
      <xdr:col>1</xdr:col>
      <xdr:colOff>0</xdr:colOff>
      <xdr:row>15</xdr:row>
      <xdr:rowOff>0</xdr:rowOff>
    </xdr:from>
    <xdr:to>
      <xdr:col>7</xdr:col>
      <xdr:colOff>0</xdr:colOff>
      <xdr:row>21</xdr:row>
      <xdr:rowOff>0</xdr:rowOff>
    </xdr:to>
    <xdr:sp macro="" textlink="">
      <xdr:nvSpPr>
        <xdr:cNvPr id="5" name="Rectangle 4">
          <a:extLst>
            <a:ext uri="{FF2B5EF4-FFF2-40B4-BE49-F238E27FC236}">
              <a16:creationId xmlns:a16="http://schemas.microsoft.com/office/drawing/2014/main" id="{FC88667D-5ECD-4A58-950C-E27B190F4A99}"/>
            </a:ext>
          </a:extLst>
        </xdr:cNvPr>
        <xdr:cNvSpPr/>
      </xdr:nvSpPr>
      <xdr:spPr>
        <a:xfrm>
          <a:off x="609600" y="2857500"/>
          <a:ext cx="3657600" cy="1143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aseline="0"/>
            <a:t>Five year financial model</a:t>
          </a:r>
        </a:p>
        <a:p>
          <a:pPr algn="l"/>
          <a:endParaRPr lang="en-GB" sz="1800" baseline="0"/>
        </a:p>
        <a:p>
          <a:pPr algn="l"/>
          <a:r>
            <a:rPr lang="en-GB" sz="1800" baseline="0"/>
            <a:t>2026</a:t>
          </a:r>
          <a:endParaRPr lang="en-GB" sz="1800"/>
        </a:p>
      </xdr:txBody>
    </xdr:sp>
    <xdr:clientData/>
  </xdr:twoCellAnchor>
  <xdr:twoCellAnchor editAs="oneCell">
    <xdr:from>
      <xdr:col>6</xdr:col>
      <xdr:colOff>542924</xdr:colOff>
      <xdr:row>1</xdr:row>
      <xdr:rowOff>9525</xdr:rowOff>
    </xdr:from>
    <xdr:to>
      <xdr:col>17</xdr:col>
      <xdr:colOff>38099</xdr:colOff>
      <xdr:row>14</xdr:row>
      <xdr:rowOff>184785</xdr:rowOff>
    </xdr:to>
    <xdr:pic>
      <xdr:nvPicPr>
        <xdr:cNvPr id="6" name="Image 0">
          <a:extLst>
            <a:ext uri="{FF2B5EF4-FFF2-40B4-BE49-F238E27FC236}">
              <a16:creationId xmlns:a16="http://schemas.microsoft.com/office/drawing/2014/main" id="{0967916F-F57A-59D8-C546-5BE901DD839B}"/>
            </a:ext>
          </a:extLst>
        </xdr:cNvPr>
        <xdr:cNvPicPr>
          <a:picLocks noChangeAspect="1"/>
        </xdr:cNvPicPr>
      </xdr:nvPicPr>
      <xdr:blipFill>
        <a:blip xmlns:r="http://schemas.openxmlformats.org/officeDocument/2006/relationships" r:embed="rId1"/>
        <a:srcRect/>
        <a:stretch/>
      </xdr:blipFill>
      <xdr:spPr>
        <a:xfrm>
          <a:off x="4200524" y="200025"/>
          <a:ext cx="6200775" cy="26517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66675</xdr:colOff>
      <xdr:row>0</xdr:row>
      <xdr:rowOff>170447</xdr:rowOff>
    </xdr:from>
    <xdr:to>
      <xdr:col>17</xdr:col>
      <xdr:colOff>476250</xdr:colOff>
      <xdr:row>28</xdr:row>
      <xdr:rowOff>170447</xdr:rowOff>
    </xdr:to>
    <xdr:sp macro="" textlink="">
      <xdr:nvSpPr>
        <xdr:cNvPr id="2" name="Rectangle 1">
          <a:extLst>
            <a:ext uri="{FF2B5EF4-FFF2-40B4-BE49-F238E27FC236}">
              <a16:creationId xmlns:a16="http://schemas.microsoft.com/office/drawing/2014/main" id="{BF12343D-F378-43CC-8177-72A104446C3D}"/>
            </a:ext>
          </a:extLst>
        </xdr:cNvPr>
        <xdr:cNvSpPr/>
      </xdr:nvSpPr>
      <xdr:spPr>
        <a:xfrm>
          <a:off x="676275" y="170447"/>
          <a:ext cx="10163175" cy="533400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9525</xdr:colOff>
      <xdr:row>1</xdr:row>
      <xdr:rowOff>32586</xdr:rowOff>
    </xdr:from>
    <xdr:to>
      <xdr:col>14</xdr:col>
      <xdr:colOff>401052</xdr:colOff>
      <xdr:row>4</xdr:row>
      <xdr:rowOff>190499</xdr:rowOff>
    </xdr:to>
    <xdr:sp macro="" textlink="">
      <xdr:nvSpPr>
        <xdr:cNvPr id="3" name="Rectangle 2">
          <a:extLst>
            <a:ext uri="{FF2B5EF4-FFF2-40B4-BE49-F238E27FC236}">
              <a16:creationId xmlns:a16="http://schemas.microsoft.com/office/drawing/2014/main" id="{2A1F01C0-5EFA-431E-8592-0AC590986565}"/>
            </a:ext>
          </a:extLst>
        </xdr:cNvPr>
        <xdr:cNvSpPr/>
      </xdr:nvSpPr>
      <xdr:spPr>
        <a:xfrm>
          <a:off x="1228725" y="223086"/>
          <a:ext cx="7706727" cy="729413"/>
        </a:xfrm>
        <a:prstGeom prst="rect">
          <a:avLst/>
        </a:prstGeom>
        <a:solidFill>
          <a:schemeClr val="accent2">
            <a:lumMod val="60000"/>
            <a:lumOff val="40000"/>
          </a:schemeClr>
        </a:solidFill>
        <a:ln>
          <a:solidFill>
            <a:schemeClr val="accent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GB" sz="1400" b="1" baseline="0"/>
            <a:t>Afro Brunch Cafe and fitness Studio.</a:t>
          </a:r>
          <a:endParaRPr lang="en-GB" sz="1400" baseline="0"/>
        </a:p>
        <a:p>
          <a:pPr algn="l"/>
          <a:r>
            <a:rPr lang="en-GB" sz="800" i="1" baseline="0"/>
            <a:t>...Music for every soul...</a:t>
          </a:r>
          <a:endParaRPr lang="en-GB" sz="800" i="1"/>
        </a:p>
      </xdr:txBody>
    </xdr:sp>
    <xdr:clientData/>
  </xdr:twoCellAnchor>
  <xdr:twoCellAnchor>
    <xdr:from>
      <xdr:col>10</xdr:col>
      <xdr:colOff>100264</xdr:colOff>
      <xdr:row>3</xdr:row>
      <xdr:rowOff>39102</xdr:rowOff>
    </xdr:from>
    <xdr:to>
      <xdr:col>14</xdr:col>
      <xdr:colOff>27073</xdr:colOff>
      <xdr:row>4</xdr:row>
      <xdr:rowOff>130342</xdr:rowOff>
    </xdr:to>
    <xdr:sp macro="" textlink="">
      <xdr:nvSpPr>
        <xdr:cNvPr id="4" name="Rectangle 3">
          <a:extLst>
            <a:ext uri="{FF2B5EF4-FFF2-40B4-BE49-F238E27FC236}">
              <a16:creationId xmlns:a16="http://schemas.microsoft.com/office/drawing/2014/main" id="{872E9CD8-26DF-46A0-B786-437687B0A854}"/>
            </a:ext>
          </a:extLst>
        </xdr:cNvPr>
        <xdr:cNvSpPr/>
      </xdr:nvSpPr>
      <xdr:spPr>
        <a:xfrm>
          <a:off x="6196264" y="610602"/>
          <a:ext cx="2365209" cy="281740"/>
        </a:xfrm>
        <a:prstGeom prst="rect">
          <a:avLst/>
        </a:prstGeom>
        <a:solidFill>
          <a:schemeClr val="accent2">
            <a:lumMod val="60000"/>
            <a:lumOff val="4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GB" sz="1100"/>
            <a:t>Five year financial model</a:t>
          </a:r>
        </a:p>
      </xdr:txBody>
    </xdr:sp>
    <xdr:clientData/>
  </xdr:twoCellAnchor>
  <mc:AlternateContent xmlns:mc="http://schemas.openxmlformats.org/markup-compatibility/2006">
    <mc:Choice xmlns:a14="http://schemas.microsoft.com/office/drawing/2010/main" Requires="a14">
      <xdr:twoCellAnchor editAs="oneCell">
        <xdr:from>
          <xdr:col>7</xdr:col>
          <xdr:colOff>295275</xdr:colOff>
          <xdr:row>1</xdr:row>
          <xdr:rowOff>66675</xdr:rowOff>
        </xdr:from>
        <xdr:to>
          <xdr:col>8</xdr:col>
          <xdr:colOff>485775</xdr:colOff>
          <xdr:row>2</xdr:row>
          <xdr:rowOff>142875</xdr:rowOff>
        </xdr:to>
        <xdr:sp macro="" textlink="">
          <xdr:nvSpPr>
            <xdr:cNvPr id="20481" name="Drop Down 1" hidden="1">
              <a:extLst>
                <a:ext uri="{63B3BB69-23CF-44E3-9099-C40C66FF867C}">
                  <a14:compatExt spid="_x0000_s20481"/>
                </a:ext>
                <a:ext uri="{FF2B5EF4-FFF2-40B4-BE49-F238E27FC236}">
                  <a16:creationId xmlns:a16="http://schemas.microsoft.com/office/drawing/2014/main" id="{00000000-0008-0000-0300-0000015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254612</xdr:colOff>
      <xdr:row>6</xdr:row>
      <xdr:rowOff>47625</xdr:rowOff>
    </xdr:from>
    <xdr:to>
      <xdr:col>3</xdr:col>
      <xdr:colOff>575453</xdr:colOff>
      <xdr:row>28</xdr:row>
      <xdr:rowOff>133350</xdr:rowOff>
    </xdr:to>
    <xdr:sp macro="" textlink="">
      <xdr:nvSpPr>
        <xdr:cNvPr id="5" name="Rectangle 4">
          <a:extLst>
            <a:ext uri="{FF2B5EF4-FFF2-40B4-BE49-F238E27FC236}">
              <a16:creationId xmlns:a16="http://schemas.microsoft.com/office/drawing/2014/main" id="{C7A51A88-BF7D-42B1-9A3E-559C89423E50}"/>
            </a:ext>
          </a:extLst>
        </xdr:cNvPr>
        <xdr:cNvSpPr/>
      </xdr:nvSpPr>
      <xdr:spPr>
        <a:xfrm>
          <a:off x="864212" y="1190625"/>
          <a:ext cx="1540041" cy="4276725"/>
        </a:xfrm>
        <a:prstGeom prst="rect">
          <a:avLst/>
        </a:prstGeom>
        <a:solidFill>
          <a:schemeClr val="accent2">
            <a:lumMod val="60000"/>
            <a:lumOff val="4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rgbClr val="1F1F1F"/>
            </a:solidFill>
            <a:latin typeface="Arial"/>
            <a:ea typeface="+mn-ea"/>
            <a:cs typeface="Arial"/>
          </a:endParaRPr>
        </a:p>
        <a:p>
          <a:pPr marL="0" indent="0" algn="ctr"/>
          <a:endParaRPr lang="en-US" sz="2000" b="1" i="0" u="none" strike="noStrike">
            <a:solidFill>
              <a:srgbClr val="1F1F1F"/>
            </a:solidFill>
            <a:latin typeface="Arial"/>
            <a:ea typeface="+mn-ea"/>
            <a:cs typeface="Arial"/>
          </a:endParaRPr>
        </a:p>
        <a:p>
          <a:pPr marL="0" indent="0" algn="ctr"/>
          <a:r>
            <a:rPr lang="en-US" sz="2000" b="1" i="0" u="none" strike="noStrike">
              <a:solidFill>
                <a:srgbClr val="1F1F1F"/>
              </a:solidFill>
              <a:latin typeface="Arial"/>
              <a:ea typeface="+mn-ea"/>
              <a:cs typeface="Arial"/>
            </a:rPr>
            <a:t>£24,204</a:t>
          </a:r>
        </a:p>
      </xdr:txBody>
    </xdr:sp>
    <xdr:clientData/>
  </xdr:twoCellAnchor>
  <xdr:twoCellAnchor>
    <xdr:from>
      <xdr:col>4</xdr:col>
      <xdr:colOff>10026</xdr:colOff>
      <xdr:row>6</xdr:row>
      <xdr:rowOff>50132</xdr:rowOff>
    </xdr:from>
    <xdr:to>
      <xdr:col>9</xdr:col>
      <xdr:colOff>551447</xdr:colOff>
      <xdr:row>18</xdr:row>
      <xdr:rowOff>30079</xdr:rowOff>
    </xdr:to>
    <xdr:sp macro="" textlink="">
      <xdr:nvSpPr>
        <xdr:cNvPr id="6" name="Rectangle 5">
          <a:extLst>
            <a:ext uri="{FF2B5EF4-FFF2-40B4-BE49-F238E27FC236}">
              <a16:creationId xmlns:a16="http://schemas.microsoft.com/office/drawing/2014/main" id="{E6B92EF7-2E7B-45BE-AD9C-53CBCA9C866E}"/>
            </a:ext>
          </a:extLst>
        </xdr:cNvPr>
        <xdr:cNvSpPr/>
      </xdr:nvSpPr>
      <xdr:spPr>
        <a:xfrm>
          <a:off x="2448426" y="1193132"/>
          <a:ext cx="3589421" cy="22659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20052</xdr:colOff>
      <xdr:row>18</xdr:row>
      <xdr:rowOff>120316</xdr:rowOff>
    </xdr:from>
    <xdr:to>
      <xdr:col>10</xdr:col>
      <xdr:colOff>238125</xdr:colOff>
      <xdr:row>28</xdr:row>
      <xdr:rowOff>42112</xdr:rowOff>
    </xdr:to>
    <xdr:sp macro="" textlink="">
      <xdr:nvSpPr>
        <xdr:cNvPr id="7" name="Rectangle 6">
          <a:extLst>
            <a:ext uri="{FF2B5EF4-FFF2-40B4-BE49-F238E27FC236}">
              <a16:creationId xmlns:a16="http://schemas.microsoft.com/office/drawing/2014/main" id="{755B10E7-DDCA-4A5A-907B-782A11AB3059}"/>
            </a:ext>
          </a:extLst>
        </xdr:cNvPr>
        <xdr:cNvSpPr/>
      </xdr:nvSpPr>
      <xdr:spPr>
        <a:xfrm>
          <a:off x="2458452" y="3549316"/>
          <a:ext cx="3875673" cy="1826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38601</xdr:colOff>
      <xdr:row>18</xdr:row>
      <xdr:rowOff>114300</xdr:rowOff>
    </xdr:from>
    <xdr:to>
      <xdr:col>17</xdr:col>
      <xdr:colOff>471737</xdr:colOff>
      <xdr:row>28</xdr:row>
      <xdr:rowOff>164433</xdr:rowOff>
    </xdr:to>
    <xdr:sp macro="" textlink="">
      <xdr:nvSpPr>
        <xdr:cNvPr id="8" name="Rectangle 7">
          <a:extLst>
            <a:ext uri="{FF2B5EF4-FFF2-40B4-BE49-F238E27FC236}">
              <a16:creationId xmlns:a16="http://schemas.microsoft.com/office/drawing/2014/main" id="{C0E72D2F-1B6F-4DD7-B826-45D81E48F9BA}"/>
            </a:ext>
          </a:extLst>
        </xdr:cNvPr>
        <xdr:cNvSpPr/>
      </xdr:nvSpPr>
      <xdr:spPr>
        <a:xfrm>
          <a:off x="9792201" y="3543300"/>
          <a:ext cx="1042736" cy="19551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ysClr val="windowText" lastClr="000000"/>
            </a:solidFill>
          </a:endParaRPr>
        </a:p>
      </xdr:txBody>
    </xdr:sp>
    <xdr:clientData/>
  </xdr:twoCellAnchor>
  <xdr:twoCellAnchor>
    <xdr:from>
      <xdr:col>10</xdr:col>
      <xdr:colOff>287253</xdr:colOff>
      <xdr:row>18</xdr:row>
      <xdr:rowOff>111292</xdr:rowOff>
    </xdr:from>
    <xdr:to>
      <xdr:col>14</xdr:col>
      <xdr:colOff>485775</xdr:colOff>
      <xdr:row>28</xdr:row>
      <xdr:rowOff>23061</xdr:rowOff>
    </xdr:to>
    <xdr:sp macro="" textlink="">
      <xdr:nvSpPr>
        <xdr:cNvPr id="9" name="Rectangle 8">
          <a:extLst>
            <a:ext uri="{FF2B5EF4-FFF2-40B4-BE49-F238E27FC236}">
              <a16:creationId xmlns:a16="http://schemas.microsoft.com/office/drawing/2014/main" id="{01DBC9D3-6B44-4166-8E3D-0CF915524D87}"/>
            </a:ext>
          </a:extLst>
        </xdr:cNvPr>
        <xdr:cNvSpPr/>
      </xdr:nvSpPr>
      <xdr:spPr>
        <a:xfrm>
          <a:off x="6383253" y="3540292"/>
          <a:ext cx="2636922" cy="181676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486277</xdr:colOff>
      <xdr:row>6</xdr:row>
      <xdr:rowOff>58153</xdr:rowOff>
    </xdr:from>
    <xdr:to>
      <xdr:col>17</xdr:col>
      <xdr:colOff>457201</xdr:colOff>
      <xdr:row>18</xdr:row>
      <xdr:rowOff>47625</xdr:rowOff>
    </xdr:to>
    <xdr:sp macro="" textlink="">
      <xdr:nvSpPr>
        <xdr:cNvPr id="10" name="Rectangle 9">
          <a:extLst>
            <a:ext uri="{FF2B5EF4-FFF2-40B4-BE49-F238E27FC236}">
              <a16:creationId xmlns:a16="http://schemas.microsoft.com/office/drawing/2014/main" id="{02823ED5-AD75-4E33-B300-40456423E31C}"/>
            </a:ext>
          </a:extLst>
        </xdr:cNvPr>
        <xdr:cNvSpPr/>
      </xdr:nvSpPr>
      <xdr:spPr>
        <a:xfrm>
          <a:off x="7191877" y="1201153"/>
          <a:ext cx="3628524" cy="22754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250658</xdr:colOff>
      <xdr:row>6</xdr:row>
      <xdr:rowOff>130343</xdr:rowOff>
    </xdr:from>
    <xdr:to>
      <xdr:col>3</xdr:col>
      <xdr:colOff>481263</xdr:colOff>
      <xdr:row>13</xdr:row>
      <xdr:rowOff>70184</xdr:rowOff>
    </xdr:to>
    <xdr:sp macro="" textlink="[1]Pivot!G43">
      <xdr:nvSpPr>
        <xdr:cNvPr id="15" name="Rectangle 14">
          <a:extLst>
            <a:ext uri="{FF2B5EF4-FFF2-40B4-BE49-F238E27FC236}">
              <a16:creationId xmlns:a16="http://schemas.microsoft.com/office/drawing/2014/main" id="{9FC05CAA-9B3C-4934-8E7A-9C2750BE6762}"/>
            </a:ext>
          </a:extLst>
        </xdr:cNvPr>
        <xdr:cNvSpPr/>
      </xdr:nvSpPr>
      <xdr:spPr>
        <a:xfrm>
          <a:off x="860258" y="1273343"/>
          <a:ext cx="1449805" cy="12733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311318</xdr:colOff>
      <xdr:row>13</xdr:row>
      <xdr:rowOff>124326</xdr:rowOff>
    </xdr:from>
    <xdr:to>
      <xdr:col>3</xdr:col>
      <xdr:colOff>541923</xdr:colOff>
      <xdr:row>20</xdr:row>
      <xdr:rowOff>104273</xdr:rowOff>
    </xdr:to>
    <xdr:sp macro="" textlink="">
      <xdr:nvSpPr>
        <xdr:cNvPr id="16" name="Rectangle 15">
          <a:extLst>
            <a:ext uri="{FF2B5EF4-FFF2-40B4-BE49-F238E27FC236}">
              <a16:creationId xmlns:a16="http://schemas.microsoft.com/office/drawing/2014/main" id="{438CE765-CF79-4ED2-80BF-ACD1A90FE338}"/>
            </a:ext>
          </a:extLst>
        </xdr:cNvPr>
        <xdr:cNvSpPr/>
      </xdr:nvSpPr>
      <xdr:spPr>
        <a:xfrm>
          <a:off x="920918" y="2600826"/>
          <a:ext cx="1449805" cy="1313447"/>
        </a:xfrm>
        <a:prstGeom prst="rect">
          <a:avLst/>
        </a:prstGeom>
        <a:solidFill>
          <a:schemeClr val="accent2">
            <a:lumMod val="60000"/>
            <a:lumOff val="4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rgbClr val="1F1F1F"/>
            </a:solidFill>
            <a:latin typeface="Arial"/>
            <a:ea typeface="+mn-ea"/>
            <a:cs typeface="Arial"/>
          </a:endParaRPr>
        </a:p>
        <a:p>
          <a:pPr marL="0" indent="0" algn="ctr"/>
          <a:endParaRPr lang="en-US" sz="2000" b="1" i="0" u="none" strike="noStrike">
            <a:solidFill>
              <a:srgbClr val="1F1F1F"/>
            </a:solidFill>
            <a:latin typeface="Arial"/>
            <a:ea typeface="+mn-ea"/>
            <a:cs typeface="Arial"/>
          </a:endParaRPr>
        </a:p>
        <a:p>
          <a:pPr marL="0" indent="0" algn="ctr"/>
          <a:r>
            <a:rPr lang="en-US" sz="2000" b="1" i="0" u="none" strike="noStrike">
              <a:solidFill>
                <a:srgbClr val="1F1F1F"/>
              </a:solidFill>
              <a:latin typeface="Arial"/>
              <a:ea typeface="+mn-ea"/>
              <a:cs typeface="Arial"/>
            </a:rPr>
            <a:t>£16,850</a:t>
          </a:r>
        </a:p>
      </xdr:txBody>
    </xdr:sp>
    <xdr:clientData/>
  </xdr:twoCellAnchor>
  <xdr:twoCellAnchor>
    <xdr:from>
      <xdr:col>1</xdr:col>
      <xdr:colOff>293270</xdr:colOff>
      <xdr:row>20</xdr:row>
      <xdr:rowOff>177969</xdr:rowOff>
    </xdr:from>
    <xdr:to>
      <xdr:col>3</xdr:col>
      <xdr:colOff>523875</xdr:colOff>
      <xdr:row>28</xdr:row>
      <xdr:rowOff>95250</xdr:rowOff>
    </xdr:to>
    <xdr:sp macro="" textlink="$S$26">
      <xdr:nvSpPr>
        <xdr:cNvPr id="17" name="Rectangle 16">
          <a:extLst>
            <a:ext uri="{FF2B5EF4-FFF2-40B4-BE49-F238E27FC236}">
              <a16:creationId xmlns:a16="http://schemas.microsoft.com/office/drawing/2014/main" id="{D16CB75E-4083-41CB-A876-7E3635FD2869}"/>
            </a:ext>
          </a:extLst>
        </xdr:cNvPr>
        <xdr:cNvSpPr/>
      </xdr:nvSpPr>
      <xdr:spPr>
        <a:xfrm>
          <a:off x="902870" y="3987969"/>
          <a:ext cx="1449805" cy="1441281"/>
        </a:xfrm>
        <a:prstGeom prst="rect">
          <a:avLst/>
        </a:prstGeom>
        <a:solidFill>
          <a:schemeClr val="accent2">
            <a:lumMod val="60000"/>
            <a:lumOff val="4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rgbClr val="1F1F1F"/>
            </a:solidFill>
            <a:latin typeface="Arial"/>
            <a:ea typeface="+mn-ea"/>
            <a:cs typeface="Arial"/>
          </a:endParaRPr>
        </a:p>
        <a:p>
          <a:pPr marL="0" indent="0" algn="ctr"/>
          <a:endParaRPr lang="en-US" sz="2000" b="1" i="0" u="none" strike="noStrike">
            <a:solidFill>
              <a:srgbClr val="1F1F1F"/>
            </a:solidFill>
            <a:latin typeface="Arial"/>
            <a:ea typeface="+mn-ea"/>
            <a:cs typeface="Arial"/>
          </a:endParaRPr>
        </a:p>
        <a:p>
          <a:pPr marL="0" indent="0" algn="ctr"/>
          <a:fld id="{799461A6-CFCB-4778-9AFB-D158E66007E3}" type="TxLink">
            <a:rPr lang="en-US" sz="2000" b="1" i="0" u="none" strike="noStrike">
              <a:solidFill>
                <a:srgbClr val="1F1F1F"/>
              </a:solidFill>
              <a:latin typeface="Arial"/>
              <a:ea typeface="+mn-ea"/>
              <a:cs typeface="Arial"/>
            </a:rPr>
            <a:pPr marL="0" indent="0" algn="ctr"/>
            <a:t> £3,144 </a:t>
          </a:fld>
          <a:endParaRPr lang="en-US" sz="2000" b="1" i="0" u="none" strike="noStrike">
            <a:solidFill>
              <a:srgbClr val="1F1F1F"/>
            </a:solidFill>
            <a:latin typeface="Arial"/>
            <a:ea typeface="+mn-ea"/>
            <a:cs typeface="Arial"/>
          </a:endParaRPr>
        </a:p>
      </xdr:txBody>
    </xdr:sp>
    <xdr:clientData/>
  </xdr:twoCellAnchor>
  <xdr:twoCellAnchor>
    <xdr:from>
      <xdr:col>1</xdr:col>
      <xdr:colOff>357341</xdr:colOff>
      <xdr:row>6</xdr:row>
      <xdr:rowOff>83971</xdr:rowOff>
    </xdr:from>
    <xdr:to>
      <xdr:col>3</xdr:col>
      <xdr:colOff>467630</xdr:colOff>
      <xdr:row>7</xdr:row>
      <xdr:rowOff>112217</xdr:rowOff>
    </xdr:to>
    <xdr:sp macro="" textlink="">
      <xdr:nvSpPr>
        <xdr:cNvPr id="18" name="Rectangle 17">
          <a:extLst>
            <a:ext uri="{FF2B5EF4-FFF2-40B4-BE49-F238E27FC236}">
              <a16:creationId xmlns:a16="http://schemas.microsoft.com/office/drawing/2014/main" id="{DA99CFC9-81FF-4FC6-AEA4-C327808DD775}"/>
            </a:ext>
          </a:extLst>
        </xdr:cNvPr>
        <xdr:cNvSpPr/>
      </xdr:nvSpPr>
      <xdr:spPr>
        <a:xfrm>
          <a:off x="966941" y="1226971"/>
          <a:ext cx="1329489" cy="218746"/>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ysClr val="windowText" lastClr="000000"/>
              </a:solidFill>
            </a:rPr>
            <a:t>Average</a:t>
          </a:r>
          <a:r>
            <a:rPr lang="en-GB" sz="1100" b="1" baseline="0">
              <a:solidFill>
                <a:sysClr val="windowText" lastClr="000000"/>
              </a:solidFill>
            </a:rPr>
            <a:t> Revenue</a:t>
          </a:r>
          <a:endParaRPr lang="en-GB" sz="1100" b="1">
            <a:solidFill>
              <a:sysClr val="windowText" lastClr="000000"/>
            </a:solidFill>
          </a:endParaRPr>
        </a:p>
      </xdr:txBody>
    </xdr:sp>
    <xdr:clientData/>
  </xdr:twoCellAnchor>
  <xdr:twoCellAnchor>
    <xdr:from>
      <xdr:col>1</xdr:col>
      <xdr:colOff>338890</xdr:colOff>
      <xdr:row>21</xdr:row>
      <xdr:rowOff>53140</xdr:rowOff>
    </xdr:from>
    <xdr:to>
      <xdr:col>3</xdr:col>
      <xdr:colOff>449179</xdr:colOff>
      <xdr:row>22</xdr:row>
      <xdr:rowOff>83219</xdr:rowOff>
    </xdr:to>
    <xdr:sp macro="" textlink="">
      <xdr:nvSpPr>
        <xdr:cNvPr id="19" name="Rectangle 18">
          <a:extLst>
            <a:ext uri="{FF2B5EF4-FFF2-40B4-BE49-F238E27FC236}">
              <a16:creationId xmlns:a16="http://schemas.microsoft.com/office/drawing/2014/main" id="{E72CD36F-4576-4C50-B322-2026A8A0C52F}"/>
            </a:ext>
          </a:extLst>
        </xdr:cNvPr>
        <xdr:cNvSpPr/>
      </xdr:nvSpPr>
      <xdr:spPr>
        <a:xfrm>
          <a:off x="948490" y="4053640"/>
          <a:ext cx="1329489" cy="220579"/>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b="1">
              <a:solidFill>
                <a:sysClr val="windowText" lastClr="000000"/>
              </a:solidFill>
              <a:latin typeface="+mn-lt"/>
              <a:ea typeface="+mn-ea"/>
              <a:cs typeface="+mn-cs"/>
            </a:rPr>
            <a:t>Average Net Profit</a:t>
          </a:r>
        </a:p>
      </xdr:txBody>
    </xdr:sp>
    <xdr:clientData/>
  </xdr:twoCellAnchor>
  <xdr:twoCellAnchor>
    <xdr:from>
      <xdr:col>1</xdr:col>
      <xdr:colOff>332642</xdr:colOff>
      <xdr:row>13</xdr:row>
      <xdr:rowOff>139559</xdr:rowOff>
    </xdr:from>
    <xdr:to>
      <xdr:col>3</xdr:col>
      <xdr:colOff>523875</xdr:colOff>
      <xdr:row>15</xdr:row>
      <xdr:rowOff>1</xdr:rowOff>
    </xdr:to>
    <xdr:sp macro="" textlink="">
      <xdr:nvSpPr>
        <xdr:cNvPr id="20" name="Rectangle 19">
          <a:extLst>
            <a:ext uri="{FF2B5EF4-FFF2-40B4-BE49-F238E27FC236}">
              <a16:creationId xmlns:a16="http://schemas.microsoft.com/office/drawing/2014/main" id="{4C122D67-4274-4067-A23D-365097FD55B0}"/>
            </a:ext>
          </a:extLst>
        </xdr:cNvPr>
        <xdr:cNvSpPr/>
      </xdr:nvSpPr>
      <xdr:spPr>
        <a:xfrm>
          <a:off x="942242" y="2616059"/>
          <a:ext cx="1410433" cy="241442"/>
        </a:xfrm>
        <a:prstGeom prst="rect">
          <a:avLst/>
        </a:prstGeom>
        <a:solidFill>
          <a:schemeClr val="accent2">
            <a:lumMod val="40000"/>
            <a:lumOff val="6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100" b="1">
              <a:solidFill>
                <a:sysClr val="windowText" lastClr="000000"/>
              </a:solidFill>
              <a:latin typeface="+mn-lt"/>
              <a:ea typeface="+mn-ea"/>
              <a:cs typeface="+mn-cs"/>
            </a:rPr>
            <a:t>Average Gross Profit</a:t>
          </a:r>
        </a:p>
      </xdr:txBody>
    </xdr:sp>
    <xdr:clientData/>
  </xdr:twoCellAnchor>
  <xdr:twoCellAnchor editAs="oneCell">
    <xdr:from>
      <xdr:col>4</xdr:col>
      <xdr:colOff>10025</xdr:colOff>
      <xdr:row>6</xdr:row>
      <xdr:rowOff>50133</xdr:rowOff>
    </xdr:from>
    <xdr:to>
      <xdr:col>10</xdr:col>
      <xdr:colOff>238124</xdr:colOff>
      <xdr:row>18</xdr:row>
      <xdr:rowOff>66675</xdr:rowOff>
    </xdr:to>
    <xdr:graphicFrame macro="">
      <xdr:nvGraphicFramePr>
        <xdr:cNvPr id="22" name="Chart 1">
          <a:extLst>
            <a:ext uri="{FF2B5EF4-FFF2-40B4-BE49-F238E27FC236}">
              <a16:creationId xmlns:a16="http://schemas.microsoft.com/office/drawing/2014/main" id="{DAE114C2-38A7-4F00-947D-34C6D84D7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276225</xdr:colOff>
      <xdr:row>6</xdr:row>
      <xdr:rowOff>57150</xdr:rowOff>
    </xdr:from>
    <xdr:to>
      <xdr:col>17</xdr:col>
      <xdr:colOff>466725</xdr:colOff>
      <xdr:row>18</xdr:row>
      <xdr:rowOff>76200</xdr:rowOff>
    </xdr:to>
    <xdr:graphicFrame macro="">
      <xdr:nvGraphicFramePr>
        <xdr:cNvPr id="25" name="Chart 3">
          <a:extLst>
            <a:ext uri="{FF2B5EF4-FFF2-40B4-BE49-F238E27FC236}">
              <a16:creationId xmlns:a16="http://schemas.microsoft.com/office/drawing/2014/main" id="{82157839-1A2F-4525-BD4A-69828D849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19050</xdr:colOff>
      <xdr:row>18</xdr:row>
      <xdr:rowOff>123825</xdr:rowOff>
    </xdr:from>
    <xdr:to>
      <xdr:col>10</xdr:col>
      <xdr:colOff>238125</xdr:colOff>
      <xdr:row>28</xdr:row>
      <xdr:rowOff>142875</xdr:rowOff>
    </xdr:to>
    <xdr:graphicFrame macro="">
      <xdr:nvGraphicFramePr>
        <xdr:cNvPr id="26" name="Chart 2">
          <a:extLst>
            <a:ext uri="{FF2B5EF4-FFF2-40B4-BE49-F238E27FC236}">
              <a16:creationId xmlns:a16="http://schemas.microsoft.com/office/drawing/2014/main" id="{5EE6C585-CC71-41FF-82B3-FA8110ED5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287254</xdr:colOff>
      <xdr:row>18</xdr:row>
      <xdr:rowOff>111292</xdr:rowOff>
    </xdr:from>
    <xdr:to>
      <xdr:col>16</xdr:col>
      <xdr:colOff>19050</xdr:colOff>
      <xdr:row>28</xdr:row>
      <xdr:rowOff>152399</xdr:rowOff>
    </xdr:to>
    <xdr:graphicFrame macro="">
      <xdr:nvGraphicFramePr>
        <xdr:cNvPr id="29" name="Chart 4">
          <a:extLst>
            <a:ext uri="{FF2B5EF4-FFF2-40B4-BE49-F238E27FC236}">
              <a16:creationId xmlns:a16="http://schemas.microsoft.com/office/drawing/2014/main" id="{4AB23A67-5FE2-440F-85C0-519B27FA2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38601</xdr:colOff>
      <xdr:row>18</xdr:row>
      <xdr:rowOff>114301</xdr:rowOff>
    </xdr:from>
    <xdr:to>
      <xdr:col>17</xdr:col>
      <xdr:colOff>447675</xdr:colOff>
      <xdr:row>28</xdr:row>
      <xdr:rowOff>152401</xdr:rowOff>
    </xdr:to>
    <mc:AlternateContent xmlns:mc="http://schemas.openxmlformats.org/markup-compatibility/2006" xmlns:a14="http://schemas.microsoft.com/office/drawing/2010/main">
      <mc:Choice Requires="a14">
        <xdr:graphicFrame macro="">
          <xdr:nvGraphicFramePr>
            <xdr:cNvPr id="30" name="Year">
              <a:extLst>
                <a:ext uri="{FF2B5EF4-FFF2-40B4-BE49-F238E27FC236}">
                  <a16:creationId xmlns:a16="http://schemas.microsoft.com/office/drawing/2014/main" id="{4A204186-F60C-465C-99DE-A82EF6B3444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92201" y="3543301"/>
              <a:ext cx="1018674" cy="1943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25</xdr:row>
      <xdr:rowOff>131040</xdr:rowOff>
    </xdr:from>
    <xdr:to>
      <xdr:col>15</xdr:col>
      <xdr:colOff>285840</xdr:colOff>
      <xdr:row>42</xdr:row>
      <xdr:rowOff>129600</xdr:rowOff>
    </xdr:to>
    <xdr:graphicFrame macro="">
      <xdr:nvGraphicFramePr>
        <xdr:cNvPr id="5" name="Chart 2">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5d640d67baefce9/Documents/Sip%20%5e0%20Savor%20Beverage%20co.xlsx" TargetMode="External"/><Relationship Id="rId1" Type="http://schemas.openxmlformats.org/officeDocument/2006/relationships/externalLinkPath" Target="https://d.docs.live.net/95d640d67baefce9/Documents/Sip%20%5e0%20Savor%20Beverage%20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Summary "/>
      <sheetName val="Table of Content"/>
      <sheetName val="Dashboard"/>
      <sheetName val="Input Data"/>
      <sheetName val="workings"/>
      <sheetName val="Income statement"/>
      <sheetName val="Balance Sheet"/>
      <sheetName val="Cash Statement"/>
      <sheetName val="Valuation"/>
      <sheetName val="Financial Ratios"/>
      <sheetName val="Pivo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uwa Muhammed" refreshedDate="46232.766547222222" createdVersion="8" refreshedVersion="8" minRefreshableVersion="3" recordCount="60" xr:uid="{F7A5E6A1-A8C4-41DA-9868-17DA76AB12E3}">
  <cacheSource type="worksheet">
    <worksheetSource name="Table1"/>
  </cacheSource>
  <cacheFields count="54">
    <cacheField name="Period" numFmtId="0">
      <sharedItems containsSemiMixedTypes="0" containsString="0" containsNumber="1" containsInteger="1" minValue="1" maxValue="60"/>
    </cacheField>
    <cacheField name="Year" numFmtId="0">
      <sharedItems containsSemiMixedTypes="0" containsString="0" containsNumber="1" containsInteger="1" minValue="1" maxValue="5" count="5">
        <n v="1"/>
        <n v="2"/>
        <n v="3"/>
        <n v="4"/>
        <n v="5"/>
      </sharedItems>
    </cacheField>
    <cacheField name="MonthInYr" numFmtId="0">
      <sharedItems containsSemiMixedTypes="0" containsString="0" containsNumber="1" containsInteger="1" minValue="1" maxValue="12"/>
    </cacheField>
    <cacheField name="MonthLabel" numFmtId="0">
      <sharedItems/>
    </cacheField>
    <cacheField name="CafeRamp" numFmtId="165">
      <sharedItems containsSemiMixedTypes="0" containsString="0" containsNumber="1" minValue="0.5" maxValue="1"/>
    </cacheField>
    <cacheField name="FitRamp" numFmtId="165">
      <sharedItems containsSemiMixedTypes="0" containsString="0" containsNumber="1" minValue="0.4" maxValue="1"/>
    </cacheField>
    <cacheField name="GrowthFactor" numFmtId="167">
      <sharedItems containsSemiMixedTypes="0" containsString="0" containsNumber="1" minValue="1" maxValue="1.3560156000000001"/>
    </cacheField>
    <cacheField name="CafeSeason" numFmtId="2">
      <sharedItems containsSemiMixedTypes="0" containsString="0" containsNumber="1" minValue="0.85" maxValue="1.2"/>
    </cacheField>
    <cacheField name="FitSeason" numFmtId="2">
      <sharedItems containsSemiMixedTypes="0" containsString="0" containsNumber="1" minValue="0.8" maxValue="1.3"/>
    </cacheField>
    <cacheField name="TradingDays" numFmtId="167">
      <sharedItems containsSemiMixedTypes="0" containsString="0" containsNumber="1" minValue="26.083333333333332" maxValue="26.083333333333332"/>
    </cacheField>
    <cacheField name="EffCoversPerDay" numFmtId="167">
      <sharedItems containsSemiMixedTypes="0" containsString="0" containsNumber="1" minValue="27.625" maxValue="105.76921680000001"/>
    </cacheField>
    <cacheField name="AvgSpendAdj" numFmtId="166">
      <sharedItems containsSemiMixedTypes="0" containsString="0" containsNumber="1" minValue="8.5" maxValue="9.25"/>
    </cacheField>
    <cacheField name="CafeRevenue" numFmtId="166">
      <sharedItems containsSemiMixedTypes="0" containsString="0" containsNumber="1" minValue="6124.692708333333" maxValue="24455.734283418751"/>
    </cacheField>
    <cacheField name="FoodCOGS" numFmtId="166">
      <sharedItems containsSemiMixedTypes="0" containsString="0" containsNumber="1" minValue="1837.4078124999999" maxValue="7336.7202850256253"/>
    </cacheField>
    <cacheField name="Members" numFmtId="167">
      <sharedItems containsSemiMixedTypes="0" containsString="0" containsNumber="1" minValue="28.6" maxValue="96.955115400000011"/>
    </cacheField>
    <cacheField name="MembershipRev" numFmtId="166">
      <sharedItems containsSemiMixedTypes="0" containsString="0" containsNumber="1" minValue="1287" maxValue="4362.9801930000003"/>
    </cacheField>
    <cacheField name="ClassesRun" numFmtId="167">
      <sharedItems containsSemiMixedTypes="0" containsString="0" containsNumber="1" minValue="31.544240000000006" maxValue="106.93620382536001"/>
    </cacheField>
    <cacheField name="TotalAttend" numFmtId="167">
      <sharedItems containsSemiMixedTypes="0" containsString="0" containsNumber="1" minValue="315.44240000000008" maxValue="1069.3620382536001"/>
    </cacheField>
    <cacheField name="MemberCovAttend" numFmtId="167">
      <sharedItems containsSemiMixedTypes="0" containsString="0" containsNumber="1" minValue="171.60000000000002" maxValue="581.73069240000007"/>
    </cacheField>
    <cacheField name="DropinAttend" numFmtId="167">
      <sharedItems containsSemiMixedTypes="0" containsString="0" containsNumber="1" minValue="143.84240000000005" maxValue="487.63134585360001"/>
    </cacheField>
    <cacheField name="DropinRev" numFmtId="166">
      <sharedItems containsSemiMixedTypes="0" containsString="0" containsNumber="1" minValue="1726.1088000000007" maxValue="5851.5761502431997"/>
    </cacheField>
    <cacheField name="InstructorCost" numFmtId="166">
      <sharedItems containsSemiMixedTypes="0" containsString="0" containsNumber="1" minValue="946.32720000000018" maxValue="3208.0861147608002"/>
    </cacheField>
    <cacheField name="FitnessRevenue" numFmtId="166">
      <sharedItems containsSemiMixedTypes="0" containsString="0" containsNumber="1" minValue="3013.1088000000009" maxValue="10214.556343243199"/>
    </cacheField>
    <cacheField name="TotalRevenue" numFmtId="166">
      <sharedItems containsSemiMixedTypes="0" containsString="0" containsNumber="1" minValue="9137.8015083333339" maxValue="30741.615110029954"/>
    </cacheField>
    <cacheField name="TotalCOGS" numFmtId="166">
      <sharedItems containsSemiMixedTypes="0" containsString="0" containsNumber="1" minValue="2783.7350125000003" maxValue="9310.9271248784262"/>
    </cacheField>
    <cacheField name="GrossProfit" numFmtId="166">
      <sharedItems containsSemiMixedTypes="0" containsString="0" containsNumber="1" minValue="6354.0664958333336" maxValue="21430.687985151526"/>
    </cacheField>
    <cacheField name="Rent" numFmtId="166">
      <sharedItems containsSemiMixedTypes="0" containsString="0" containsNumber="1" containsInteger="1" minValue="2000" maxValue="2000"/>
    </cacheField>
    <cacheField name="Rates" numFmtId="166">
      <sharedItems containsSemiMixedTypes="0" containsString="0" containsNumber="1" containsInteger="1" minValue="125" maxValue="125"/>
    </cacheField>
    <cacheField name="Insurance" numFmtId="166">
      <sharedItems containsSemiMixedTypes="0" containsString="0" containsNumber="1" containsInteger="1" minValue="150" maxValue="150"/>
    </cacheField>
    <cacheField name="WagesTotal" numFmtId="166">
      <sharedItems containsSemiMixedTypes="0" containsString="0" containsNumber="1" minValue="6783.2323541666665" maxValue="6783.2323541666665"/>
    </cacheField>
    <cacheField name="MktSocial" numFmtId="166">
      <sharedItems containsSemiMixedTypes="0" containsString="0" containsNumber="1" minValue="150" maxValue="406.80468000000002"/>
    </cacheField>
    <cacheField name="MktLocal" numFmtId="166">
      <sharedItems containsSemiMixedTypes="0" containsString="0" containsNumber="1" minValue="150" maxValue="339.00390000000004"/>
    </cacheField>
    <cacheField name="MktReferral" numFmtId="166">
      <sharedItems containsSemiMixedTypes="0" containsString="0" containsNumber="1" minValue="50" maxValue="135.60156000000001"/>
    </cacheField>
    <cacheField name="MktTotal" numFmtId="166">
      <sharedItems containsSemiMixedTypes="0" containsString="0" containsNumber="1" minValue="350" maxValue="881.41014000000018"/>
    </cacheField>
    <cacheField name="Software" numFmtId="166">
      <sharedItems containsSemiMixedTypes="0" containsString="0" containsNumber="1" containsInteger="1" minValue="150" maxValue="150"/>
    </cacheField>
    <cacheField name="Admin" numFmtId="166">
      <sharedItems containsSemiMixedTypes="0" containsString="0" containsNumber="1" containsInteger="1" minValue="500" maxValue="500"/>
    </cacheField>
    <cacheField name="TotalFixedOpex" numFmtId="166">
      <sharedItems containsSemiMixedTypes="0" containsString="0" containsNumber="1" minValue="10058.232354166666" maxValue="10589.642494166666"/>
    </cacheField>
    <cacheField name="Utilities" numFmtId="166">
      <sharedItems containsSemiMixedTypes="0" containsString="0" containsNumber="1" minValue="274.13404524999999" maxValue="922.24845330089863"/>
    </cacheField>
    <cacheField name="CardFees" numFmtId="166">
      <sharedItems containsSemiMixedTypes="0" containsString="0" containsNumber="1" minValue="159.91152639583336" maxValue="537.97826442552423"/>
    </cacheField>
    <cacheField name="TotalVarOpex" numFmtId="166">
      <sharedItems containsSemiMixedTypes="0" containsString="0" containsNumber="1" minValue="434.04557164583332" maxValue="1460.226717726423"/>
    </cacheField>
    <cacheField name="TotalOpex" numFmtId="166">
      <sharedItems containsSemiMixedTypes="0" containsString="0" containsNumber="1" minValue="10605.607849754166" maxValue="12002.092880228949"/>
    </cacheField>
    <cacheField name="EBITDA" numFmtId="166">
      <sharedItems containsSemiMixedTypes="0" containsString="0" containsNumber="1" minValue="-4288.2114299791656" maxValue="9618.1215032584369"/>
    </cacheField>
    <cacheField name="Depreciation" numFmtId="166">
      <sharedItems containsSemiMixedTypes="0" containsString="0" containsNumber="1" minValue="916.66666666666663" maxValue="916.66666666666663"/>
    </cacheField>
    <cacheField name="LoanInterest" numFmtId="166">
      <sharedItems containsSemiMixedTypes="0" containsString="0" containsNumber="1" minValue="-436.56060664062494" maxValue="-8.6934449637162885"/>
    </cacheField>
    <cacheField name="NPBT" numFmtId="166">
      <sharedItems containsSemiMixedTypes="0" containsString="0" containsNumber="1" minValue="-5641.4387032864579" maxValue="8650.0974386209855"/>
    </cacheField>
    <cacheField name="Tax" numFmtId="166">
      <sharedItems containsSemiMixedTypes="0" containsString="0" containsNumber="1" minValue="-2162.5243596552464" maxValue="0"/>
    </cacheField>
    <cacheField name="NPAT" numFmtId="166">
      <sharedItems containsSemiMixedTypes="0" containsString="0" containsNumber="1" minValue="-5641.4387032864579" maxValue="6487.5730789657391"/>
    </cacheField>
    <cacheField name="LoanPrincipal" numFmtId="166">
      <sharedItems containsSemiMixedTypes="0" containsString="0" containsNumber="1" minValue="-1390.9511941945509" maxValue="-963.0840325176423"/>
    </cacheField>
    <cacheField name="NetCashFlow" numFmtId="166">
      <sharedItems containsSemiMixedTypes="0" containsString="0" containsNumber="1" minValue="-5687.8560691374332" maxValue="6055.9525044449238"/>
    </cacheField>
    <cacheField name="OpeningCash" numFmtId="166">
      <sharedItems containsSemiMixedTypes="0" containsString="0" containsNumber="1" minValue="11998.400939025394" maxValue="199509.0178070179"/>
    </cacheField>
    <cacheField name="ClosingCash" numFmtId="166">
      <sharedItems containsSemiMixedTypes="0" containsString="0" containsNumber="1" minValue="11998.400939025394" maxValue="204884.10533238182"/>
    </cacheField>
    <cacheField name="GrossMarginPct" numFmtId="165">
      <sharedItems containsSemiMixedTypes="0" containsString="0" containsNumber="1" minValue="0.69464232349547961" maxValue="0.69725930207923226"/>
    </cacheField>
    <cacheField name="EBITDAMarginPct" numFmtId="165">
      <sharedItems containsSemiMixedTypes="0" containsString="0" containsNumber="1" minValue="-0.46928261968357232" maxValue="0.3128697522506021"/>
    </cacheField>
    <cacheField name="NetMarginPct" numFmtId="165">
      <sharedItems containsSemiMixedTypes="0" containsString="0" containsNumber="1" minValue="-0.61737374117195221" maxValue="0.21103553133904998"/>
    </cacheField>
  </cacheFields>
  <extLst>
    <ext xmlns:x14="http://schemas.microsoft.com/office/spreadsheetml/2009/9/main" uri="{725AE2AE-9491-48be-B2B4-4EB974FC3084}">
      <x14:pivotCacheDefinition pivotCacheId="19771686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1"/>
    <x v="0"/>
    <n v="1"/>
    <s v="January Y1"/>
    <n v="0.5"/>
    <n v="0.4"/>
    <n v="1"/>
    <n v="0.85"/>
    <n v="1.3"/>
    <n v="26.083333333333332"/>
    <n v="27.625"/>
    <n v="8.5"/>
    <n v="6124.692708333333"/>
    <n v="1837.4078124999999"/>
    <n v="28.6"/>
    <n v="1287"/>
    <n v="31.544240000000006"/>
    <n v="315.44240000000008"/>
    <n v="171.60000000000002"/>
    <n v="143.84240000000005"/>
    <n v="1726.1088000000007"/>
    <n v="946.32720000000018"/>
    <n v="3013.1088000000009"/>
    <n v="9137.8015083333339"/>
    <n v="2783.7350125000003"/>
    <n v="6354.0664958333336"/>
    <n v="2000"/>
    <n v="125"/>
    <n v="150"/>
    <n v="6783.2323541666665"/>
    <n v="300"/>
    <n v="150"/>
    <n v="50"/>
    <n v="500"/>
    <n v="150"/>
    <n v="500"/>
    <n v="10208.232354166666"/>
    <n v="274.13404524999999"/>
    <n v="159.91152639583336"/>
    <n v="434.04557164583332"/>
    <n v="10642.277925812499"/>
    <n v="-4288.2114299791656"/>
    <n v="916.66666666666663"/>
    <n v="-436.56060664062494"/>
    <n v="-5641.4387032864579"/>
    <n v="0"/>
    <n v="-5641.4387032864579"/>
    <n v="-963.0840325176423"/>
    <n v="-5687.8560691374332"/>
    <n v="31074.697062499996"/>
    <n v="25386.840993362563"/>
    <n v="0.69536052955830374"/>
    <n v="-0.46928261968357232"/>
    <n v="-0.61737374117195221"/>
  </r>
  <r>
    <n v="2"/>
    <x v="0"/>
    <n v="2"/>
    <s v="February Y1"/>
    <n v="0.55000000000000004"/>
    <n v="0.48"/>
    <n v="1"/>
    <n v="0.9"/>
    <n v="1.2"/>
    <n v="26.083333333333332"/>
    <n v="32.175000000000004"/>
    <n v="8.5"/>
    <n v="7133.4656250000007"/>
    <n v="2140.0396875000001"/>
    <n v="31.679999999999996"/>
    <n v="1425.6"/>
    <n v="34.941311999999996"/>
    <n v="349.41311999999994"/>
    <n v="190.07999999999998"/>
    <n v="159.33311999999995"/>
    <n v="1911.9974399999994"/>
    <n v="1048.2393599999998"/>
    <n v="3337.5974399999996"/>
    <n v="10471.063065"/>
    <n v="3188.2790475000002"/>
    <n v="7282.7840175000001"/>
    <n v="2000"/>
    <n v="125"/>
    <n v="150"/>
    <n v="6783.2323541666665"/>
    <n v="200"/>
    <n v="150"/>
    <n v="50"/>
    <n v="400"/>
    <n v="150"/>
    <n v="500"/>
    <n v="10108.232354166666"/>
    <n v="314.13189195000001"/>
    <n v="183.24360363750003"/>
    <n v="497.37549558750004"/>
    <n v="10605.607849754166"/>
    <n v="-3322.8238322541656"/>
    <n v="916.66666666666663"/>
    <n v="-430.54133143738972"/>
    <n v="-4670.0318303582226"/>
    <n v="0"/>
    <n v="-4670.0318303582226"/>
    <n v="-969.10330772087741"/>
    <n v="-4722.4684714124332"/>
    <n v="25386.840993362563"/>
    <n v="20664.372521950128"/>
    <n v="0.69551524733367653"/>
    <n v="-0.31733395278277465"/>
    <n v="-0.44599405059148334"/>
  </r>
  <r>
    <n v="3"/>
    <x v="0"/>
    <n v="3"/>
    <s v="March Y1"/>
    <n v="0.62"/>
    <n v="0.55000000000000004"/>
    <n v="1"/>
    <n v="0.95"/>
    <n v="1.05"/>
    <n v="26.083333333333332"/>
    <n v="38.284999999999997"/>
    <n v="8.5"/>
    <n v="8488.1035416666655"/>
    <n v="2546.4310624999994"/>
    <n v="31.762500000000006"/>
    <n v="1429.3125000000002"/>
    <n v="35.032305000000008"/>
    <n v="350.32305000000008"/>
    <n v="190.57500000000005"/>
    <n v="159.74805000000003"/>
    <n v="1916.9766000000004"/>
    <n v="1050.9691500000004"/>
    <n v="3346.2891000000009"/>
    <n v="11834.392641666665"/>
    <n v="3597.4002124999997"/>
    <n v="8236.9924291666648"/>
    <n v="2000"/>
    <n v="125"/>
    <n v="150"/>
    <n v="6783.2323541666665"/>
    <n v="150"/>
    <n v="150"/>
    <n v="50"/>
    <n v="350"/>
    <n v="150"/>
    <n v="500"/>
    <n v="10058.232354166666"/>
    <n v="355.03177924999994"/>
    <n v="207.10187122916668"/>
    <n v="562.13365047916659"/>
    <n v="10620.366004645834"/>
    <n v="-2383.3735754791687"/>
    <n v="916.66666666666663"/>
    <n v="-424.48443576413428"/>
    <n v="-3724.5246779099693"/>
    <n v="0"/>
    <n v="-3724.5246779099693"/>
    <n v="-975.16020339413285"/>
    <n v="-3783.0182146374354"/>
    <n v="20664.372521950128"/>
    <n v="16881.354307312693"/>
    <n v="0.6960215600896803"/>
    <n v="-0.20139382287247759"/>
    <n v="-0.31472039087131687"/>
  </r>
  <r>
    <n v="4"/>
    <x v="0"/>
    <n v="4"/>
    <s v="April Y1"/>
    <n v="0.68"/>
    <n v="0.62"/>
    <n v="1"/>
    <n v="1"/>
    <n v="1"/>
    <n v="26.083333333333332"/>
    <n v="44.2"/>
    <n v="8.5"/>
    <n v="9799.508333333335"/>
    <n v="2939.8525000000004"/>
    <n v="34.1"/>
    <n v="1534.5"/>
    <n v="37.610440000000004"/>
    <n v="376.10440000000006"/>
    <n v="204.60000000000002"/>
    <n v="171.50440000000003"/>
    <n v="2058.0528000000004"/>
    <n v="1128.3132000000001"/>
    <n v="3592.5528000000004"/>
    <n v="13392.061133333336"/>
    <n v="4068.1657000000005"/>
    <n v="9323.8954333333349"/>
    <n v="2000"/>
    <n v="125"/>
    <n v="150"/>
    <n v="6783.2323541666665"/>
    <n v="150"/>
    <n v="150"/>
    <n v="75"/>
    <n v="375"/>
    <n v="150"/>
    <n v="500"/>
    <n v="10083.232354166666"/>
    <n v="401.76183400000008"/>
    <n v="234.3610698333334"/>
    <n v="636.12290383333345"/>
    <n v="10719.355258"/>
    <n v="-1395.4598246666646"/>
    <n v="916.66666666666663"/>
    <n v="-418.38968449292094"/>
    <n v="-2730.516175826252"/>
    <n v="0"/>
    <n v="-2730.516175826252"/>
    <n v="-981.2549546653463"/>
    <n v="-2795.1044638249318"/>
    <n v="16881.354307312693"/>
    <n v="14086.249843487762"/>
    <n v="0.69622557278549257"/>
    <n v="-0.10420052677278432"/>
    <n v="-0.20389065944672968"/>
  </r>
  <r>
    <n v="5"/>
    <x v="0"/>
    <n v="5"/>
    <s v="May Y1"/>
    <n v="0.74"/>
    <n v="0.68"/>
    <n v="1"/>
    <n v="1.05"/>
    <n v="0.95"/>
    <n v="26.083333333333332"/>
    <n v="50.505000000000003"/>
    <n v="8.5"/>
    <n v="11197.379375"/>
    <n v="3359.2138125000001"/>
    <n v="35.53"/>
    <n v="1598.8500000000001"/>
    <n v="39.187652000000007"/>
    <n v="391.87652000000008"/>
    <n v="213.18"/>
    <n v="178.69652000000008"/>
    <n v="2144.3582400000009"/>
    <n v="1175.6295600000003"/>
    <n v="3743.2082400000008"/>
    <n v="14940.587615"/>
    <n v="4534.8433725000004"/>
    <n v="10405.744242500001"/>
    <n v="2000"/>
    <n v="125"/>
    <n v="150"/>
    <n v="6783.2323541666665"/>
    <n v="150"/>
    <n v="200"/>
    <n v="75"/>
    <n v="425"/>
    <n v="150"/>
    <n v="500"/>
    <n v="10133.232354166666"/>
    <n v="448.21762845000001"/>
    <n v="261.46028326250001"/>
    <n v="709.67791171249996"/>
    <n v="10842.910265879167"/>
    <n v="-437.16602337916629"/>
    <n v="916.66666666666663"/>
    <n v="-412.25684102626252"/>
    <n v="-1766.0895310720953"/>
    <n v="0"/>
    <n v="-1766.0895310720953"/>
    <n v="-987.38779813200472"/>
    <n v="-1836.8106625374335"/>
    <n v="14086.249843487762"/>
    <n v="12249.439180950329"/>
    <n v="0.69647489848745148"/>
    <n v="-2.9260296491970761E-2"/>
    <n v="-0.11820750137691925"/>
  </r>
  <r>
    <n v="6"/>
    <x v="0"/>
    <n v="6"/>
    <s v="June Y1"/>
    <n v="0.8"/>
    <n v="0.74"/>
    <n v="1"/>
    <n v="1.1000000000000001"/>
    <n v="0.85"/>
    <n v="26.083333333333332"/>
    <n v="57.2"/>
    <n v="9.25"/>
    <n v="13800.691666666668"/>
    <n v="4140.2075000000004"/>
    <n v="34.594999999999999"/>
    <n v="1556.7749999999999"/>
    <n v="38.156398000000003"/>
    <n v="381.56398000000002"/>
    <n v="207.57"/>
    <n v="173.99398000000002"/>
    <n v="2087.9277600000005"/>
    <n v="1144.6919400000002"/>
    <n v="3644.7027600000001"/>
    <n v="17445.394426666666"/>
    <n v="5284.8994400000011"/>
    <n v="12160.494986666665"/>
    <n v="2000"/>
    <n v="125"/>
    <n v="150"/>
    <n v="6783.2323541666665"/>
    <n v="250"/>
    <n v="150"/>
    <n v="75"/>
    <n v="475"/>
    <n v="150"/>
    <n v="500"/>
    <n v="10183.232354166666"/>
    <n v="523.3618328"/>
    <n v="305.29440246666667"/>
    <n v="828.65623526666673"/>
    <n v="11011.888589433333"/>
    <n v="1148.6063972333322"/>
    <n v="916.66666666666663"/>
    <n v="-406.0856672879375"/>
    <n v="-174.14593672127188"/>
    <n v="0"/>
    <n v="-174.14593672127188"/>
    <n v="-993.55897187032974"/>
    <n v="-251.03824192493494"/>
    <n v="12249.439180950329"/>
    <n v="11998.400939025394"/>
    <n v="0.69706047849960828"/>
    <n v="6.5840093330168367E-2"/>
    <n v="-9.9823444779830271E-3"/>
  </r>
  <r>
    <n v="7"/>
    <x v="0"/>
    <n v="7"/>
    <s v="July Y1"/>
    <n v="0.85"/>
    <n v="0.8"/>
    <n v="1"/>
    <n v="1.1499999999999999"/>
    <n v="0.8"/>
    <n v="26.083333333333332"/>
    <n v="63.537499999999994"/>
    <n v="9.25"/>
    <n v="15329.745572916663"/>
    <n v="4598.9236718749989"/>
    <n v="35.200000000000003"/>
    <n v="1584.0000000000002"/>
    <n v="38.82368000000001"/>
    <n v="388.23680000000013"/>
    <n v="211.20000000000002"/>
    <n v="177.03680000000011"/>
    <n v="2124.4416000000015"/>
    <n v="1164.7104000000004"/>
    <n v="3708.4416000000019"/>
    <n v="19038.187172916667"/>
    <n v="5763.6340718749998"/>
    <n v="13274.553101041667"/>
    <n v="2000"/>
    <n v="125"/>
    <n v="150"/>
    <n v="6783.2323541666665"/>
    <n v="250"/>
    <n v="150"/>
    <n v="75"/>
    <n v="475"/>
    <n v="150"/>
    <n v="500"/>
    <n v="10183.232354166666"/>
    <n v="571.14561518749997"/>
    <n v="333.16827552604173"/>
    <n v="904.3138907135417"/>
    <n v="11087.546244880208"/>
    <n v="2187.0068561614589"/>
    <n v="916.66666666666663"/>
    <n v="-399.87592371374802"/>
    <n v="870.46426578104433"/>
    <n v="-217.61606644526108"/>
    <n v="652.84819933578319"/>
    <n v="-999.7687154445191"/>
    <n v="569.7461505579306"/>
    <n v="11998.400939025394"/>
    <n v="12568.147089583324"/>
    <n v="0.69725930207923226"/>
    <n v="0.11487474286798954"/>
    <n v="3.4291510709828069E-2"/>
  </r>
  <r>
    <n v="8"/>
    <x v="0"/>
    <n v="8"/>
    <s v="August Y1"/>
    <n v="0.9"/>
    <n v="0.85"/>
    <n v="1"/>
    <n v="1"/>
    <n v="0.85"/>
    <n v="26.083333333333332"/>
    <n v="58.5"/>
    <n v="9.25"/>
    <n v="14114.34375"/>
    <n v="4234.3031249999995"/>
    <n v="39.737499999999997"/>
    <n v="1788.1874999999998"/>
    <n v="43.828295000000004"/>
    <n v="438.28295000000003"/>
    <n v="238.42499999999998"/>
    <n v="199.85795000000005"/>
    <n v="2398.2954000000004"/>
    <n v="1314.8488500000001"/>
    <n v="4186.4829"/>
    <n v="18300.826649999999"/>
    <n v="5549.1519749999998"/>
    <n v="12751.674674999998"/>
    <n v="2000"/>
    <n v="125"/>
    <n v="150"/>
    <n v="6783.2323541666665"/>
    <n v="150"/>
    <n v="150"/>
    <n v="75"/>
    <n v="375"/>
    <n v="150"/>
    <n v="500"/>
    <n v="10083.232354166666"/>
    <n v="549.02479949999997"/>
    <n v="320.26446637500004"/>
    <n v="869.28926587499996"/>
    <n v="10952.521620041667"/>
    <n v="1799.1530549583313"/>
    <n v="916.66666666666663"/>
    <n v="-393.6273692422198"/>
    <n v="488.85901904944484"/>
    <n v="-122.21475476236121"/>
    <n v="366.64426428708362"/>
    <n v="-1006.0172699160473"/>
    <n v="277.29366103770303"/>
    <n v="12568.147089583324"/>
    <n v="12845.440750621028"/>
    <n v="0.69678134867202834"/>
    <n v="9.8309933718667919E-2"/>
    <n v="2.0034300706688768E-2"/>
  </r>
  <r>
    <n v="9"/>
    <x v="0"/>
    <n v="9"/>
    <s v="September Y1"/>
    <n v="0.94"/>
    <n v="0.9"/>
    <n v="1"/>
    <n v="0.95"/>
    <n v="1.05"/>
    <n v="26.083333333333332"/>
    <n v="58.044999999999995"/>
    <n v="8.5"/>
    <n v="12869.060208333332"/>
    <n v="3860.7180624999996"/>
    <n v="51.975000000000001"/>
    <n v="2338.875"/>
    <n v="57.325590000000005"/>
    <n v="573.25590000000011"/>
    <n v="311.85000000000002"/>
    <n v="261.40590000000009"/>
    <n v="3136.8708000000011"/>
    <n v="1719.7677000000001"/>
    <n v="5475.7458000000006"/>
    <n v="18344.806008333333"/>
    <n v="5580.4857624999995"/>
    <n v="12764.320245833333"/>
    <n v="2000"/>
    <n v="125"/>
    <n v="150"/>
    <n v="6783.2323541666665"/>
    <n v="200"/>
    <n v="200"/>
    <n v="75"/>
    <n v="475"/>
    <n v="150"/>
    <n v="500"/>
    <n v="10183.232354166666"/>
    <n v="550.34418025000002"/>
    <n v="321.03410514583334"/>
    <n v="871.37828539583336"/>
    <n v="11054.610639562499"/>
    <n v="1709.7096062708333"/>
    <n v="916.66666666666663"/>
    <n v="-387.33976130524451"/>
    <n v="405.70317829892218"/>
    <n v="-101.42579457473055"/>
    <n v="304.27738372419162"/>
    <n v="-1012.3048778530226"/>
    <n v="208.63917253783552"/>
    <n v="12845.440750621028"/>
    <n v="13054.079923158864"/>
    <n v="0.69580023032323146"/>
    <n v="9.3198565604573777E-2"/>
    <n v="1.6586568622528372E-2"/>
  </r>
  <r>
    <n v="10"/>
    <x v="0"/>
    <n v="10"/>
    <s v="October Y1"/>
    <n v="0.97"/>
    <n v="0.94"/>
    <n v="1"/>
    <n v="1"/>
    <n v="1"/>
    <n v="26.083333333333332"/>
    <n v="63.05"/>
    <n v="8.5"/>
    <n v="13978.710416666665"/>
    <n v="4193.6131249999989"/>
    <n v="51.699999999999996"/>
    <n v="2326.5"/>
    <n v="57.022280000000002"/>
    <n v="570.22280000000001"/>
    <n v="310.2"/>
    <n v="260.02280000000002"/>
    <n v="3120.2736000000004"/>
    <n v="1710.6684"/>
    <n v="5446.7736000000004"/>
    <n v="19425.484016666665"/>
    <n v="5904.2815249999985"/>
    <n v="13521.202491666667"/>
    <n v="2000"/>
    <n v="125"/>
    <n v="150"/>
    <n v="6783.2323541666665"/>
    <n v="150"/>
    <n v="150"/>
    <n v="50"/>
    <n v="350"/>
    <n v="150"/>
    <n v="500"/>
    <n v="10058.232354166666"/>
    <n v="582.76452049999989"/>
    <n v="339.9459702916667"/>
    <n v="922.71049079166664"/>
    <n v="10980.942844958334"/>
    <n v="2540.2596467083331"/>
    <n v="916.66666666666663"/>
    <n v="-381.01285581866313"/>
    <n v="1242.5801242230034"/>
    <n v="-310.64503105575085"/>
    <n v="931.93509316725249"/>
    <n v="-1018.631783339604"/>
    <n v="829.96997649431501"/>
    <n v="13054.079923158864"/>
    <n v="13884.049899653179"/>
    <n v="0.69605485660309696"/>
    <n v="0.13076943897659604"/>
    <n v="4.7974871172716795E-2"/>
  </r>
  <r>
    <n v="11"/>
    <x v="0"/>
    <n v="11"/>
    <s v="November Y1"/>
    <n v="0.99"/>
    <n v="0.97"/>
    <n v="1"/>
    <n v="1.05"/>
    <n v="0.95"/>
    <n v="26.083333333333332"/>
    <n v="67.567499999999995"/>
    <n v="8.5"/>
    <n v="14980.277812499999"/>
    <n v="4494.0833437499996"/>
    <n v="50.682499999999997"/>
    <n v="2280.7125000000001"/>
    <n v="55.900033000000008"/>
    <n v="559.00033000000008"/>
    <n v="304.09499999999997"/>
    <n v="254.90533000000011"/>
    <n v="3058.8639600000015"/>
    <n v="1677.0009900000002"/>
    <n v="5339.576460000002"/>
    <n v="20319.854272500001"/>
    <n v="6171.08433375"/>
    <n v="14148.76993875"/>
    <n v="2000"/>
    <n v="125"/>
    <n v="150"/>
    <n v="6783.2323541666665"/>
    <n v="250"/>
    <n v="200"/>
    <n v="75"/>
    <n v="525"/>
    <n v="150"/>
    <n v="500"/>
    <n v="10233.232354166666"/>
    <n v="609.595628175"/>
    <n v="355.59744976875004"/>
    <n v="965.19307794375004"/>
    <n v="11198.425432110416"/>
    <n v="2950.3445066395834"/>
    <n v="916.66666666666663"/>
    <n v="-374.64640717279053"/>
    <n v="1659.0314328001264"/>
    <n v="-414.75785820003159"/>
    <n v="1244.2735746000949"/>
    <n v="-1024.9982319854767"/>
    <n v="1135.9420092812848"/>
    <n v="13884.049899653179"/>
    <n v="15019.991908934464"/>
    <n v="0.69630272683098537"/>
    <n v="0.14519516070705538"/>
    <n v="6.1234374908093712E-2"/>
  </r>
  <r>
    <n v="12"/>
    <x v="0"/>
    <n v="12"/>
    <s v="December Y1"/>
    <n v="1"/>
    <n v="1"/>
    <n v="1"/>
    <n v="1.2"/>
    <n v="0.8"/>
    <n v="26.083333333333332"/>
    <n v="78"/>
    <n v="8.5"/>
    <n v="17293.25"/>
    <n v="5187.9749999999995"/>
    <n v="44"/>
    <n v="1980"/>
    <n v="48.529600000000009"/>
    <n v="485.29600000000011"/>
    <n v="264"/>
    <n v="221.29600000000011"/>
    <n v="2655.5520000000015"/>
    <n v="1455.8880000000004"/>
    <n v="4635.5520000000015"/>
    <n v="21928.802000000003"/>
    <n v="6643.8629999999994"/>
    <n v="15284.939000000004"/>
    <n v="2000"/>
    <n v="125"/>
    <n v="150"/>
    <n v="6783.2323541666665"/>
    <n v="300"/>
    <n v="250"/>
    <n v="100"/>
    <n v="650"/>
    <n v="150"/>
    <n v="500"/>
    <n v="10358.232354166666"/>
    <n v="657.86406000000011"/>
    <n v="383.7540350000001"/>
    <n v="1041.6180950000003"/>
    <n v="11399.850449166666"/>
    <n v="3885.0885508333376"/>
    <n v="916.66666666666663"/>
    <n v="-368.24016822288132"/>
    <n v="2600.1817159437896"/>
    <n v="-650.04542898594741"/>
    <n v="1950.1362869578422"/>
    <n v="-1031.4044709353859"/>
    <n v="1835.3984826891231"/>
    <n v="15019.991908934464"/>
    <n v="16855.390391623587"/>
    <n v="0.69702571987288686"/>
    <n v="0.17716829906318352"/>
    <n v="8.8930361401313301E-2"/>
  </r>
  <r>
    <n v="13"/>
    <x v="1"/>
    <n v="1"/>
    <s v="January Y2"/>
    <n v="1"/>
    <n v="1"/>
    <n v="1.1499999999999999"/>
    <n v="0.85"/>
    <n v="1.3"/>
    <n v="26.083333333333332"/>
    <n v="63.537499999999994"/>
    <n v="8.5"/>
    <n v="14086.793229166664"/>
    <n v="4226.037968749999"/>
    <n v="82.224999999999994"/>
    <n v="3700.1249999999995"/>
    <n v="90.689689999999999"/>
    <n v="906.89689999999996"/>
    <n v="493.34999999999997"/>
    <n v="413.54689999999999"/>
    <n v="4962.5627999999997"/>
    <n v="2720.6907000000001"/>
    <n v="8662.6877999999997"/>
    <n v="22749.481029166665"/>
    <n v="6946.7286687499991"/>
    <n v="15802.752360416667"/>
    <n v="2000"/>
    <n v="125"/>
    <n v="150"/>
    <n v="6783.2323541666665"/>
    <n v="345"/>
    <n v="172.5"/>
    <n v="57.499999999999993"/>
    <n v="575"/>
    <n v="150"/>
    <n v="500"/>
    <n v="10283.232354166666"/>
    <n v="682.48443087499993"/>
    <n v="398.11591801041669"/>
    <n v="1080.6003488854167"/>
    <n v="11363.832703052083"/>
    <n v="4438.9196573645841"/>
    <n v="916.66666666666663"/>
    <n v="-361.79389027953516"/>
    <n v="3160.4591004183821"/>
    <n v="-790.11477510459554"/>
    <n v="2370.3443253137866"/>
    <n v="-1037.850748878732"/>
    <n v="2249.1602431017209"/>
    <n v="16855.390391623587"/>
    <n v="19104.550634725307"/>
    <n v="0.69464232349547961"/>
    <n v="0.19512179867635362"/>
    <n v="0.10419333620291445"/>
  </r>
  <r>
    <n v="14"/>
    <x v="1"/>
    <n v="2"/>
    <s v="February Y2"/>
    <n v="1"/>
    <n v="1"/>
    <n v="1.1499999999999999"/>
    <n v="0.9"/>
    <n v="1.2"/>
    <n v="26.083333333333332"/>
    <n v="67.274999999999991"/>
    <n v="8.5"/>
    <n v="14915.428124999997"/>
    <n v="4474.6284374999987"/>
    <n v="75.899999999999991"/>
    <n v="3415.4999999999995"/>
    <n v="83.713560000000001"/>
    <n v="837.13560000000007"/>
    <n v="455.4"/>
    <n v="381.73560000000009"/>
    <n v="4580.8272000000015"/>
    <n v="2511.4068000000002"/>
    <n v="7996.3272000000015"/>
    <n v="22911.755324999998"/>
    <n v="6986.0352374999984"/>
    <n v="15925.7200875"/>
    <n v="2000"/>
    <n v="125"/>
    <n v="150"/>
    <n v="6783.2323541666665"/>
    <n v="229.99999999999997"/>
    <n v="172.5"/>
    <n v="57.499999999999993"/>
    <n v="460"/>
    <n v="150"/>
    <n v="500"/>
    <n v="10168.232354166666"/>
    <n v="687.35265974999993"/>
    <n v="400.9557181875"/>
    <n v="1088.3083779374999"/>
    <n v="11256.540732104166"/>
    <n v="4669.1793553958341"/>
    <n v="916.66666666666663"/>
    <n v="-355.30732309904312"/>
    <n v="3397.2053656301246"/>
    <n v="-849.30134140753114"/>
    <n v="2547.9040242225933"/>
    <n v="-1044.3373160592241"/>
    <n v="2420.2333748300357"/>
    <n v="19104.550634725307"/>
    <n v="21524.784009555344"/>
    <n v="0.69508947968394041"/>
    <n v="0.20378968303232065"/>
    <n v="0.11120509922007006"/>
  </r>
  <r>
    <n v="15"/>
    <x v="1"/>
    <n v="3"/>
    <s v="March Y2"/>
    <n v="1"/>
    <n v="1"/>
    <n v="1.1499999999999999"/>
    <n v="0.95"/>
    <n v="1.05"/>
    <n v="26.083333333333332"/>
    <n v="71.012499999999989"/>
    <n v="8.5"/>
    <n v="15744.06302083333"/>
    <n v="4723.2189062499983"/>
    <n v="66.412499999999994"/>
    <n v="2988.5624999999995"/>
    <n v="73.249365000000012"/>
    <n v="732.49365000000012"/>
    <n v="398.47499999999997"/>
    <n v="334.01865000000015"/>
    <n v="4008.2238000000016"/>
    <n v="2197.4809500000001"/>
    <n v="6996.7863000000016"/>
    <n v="22740.849320833331"/>
    <n v="6920.6998562499984"/>
    <n v="15820.149464583334"/>
    <n v="2000"/>
    <n v="125"/>
    <n v="150"/>
    <n v="6783.2323541666665"/>
    <n v="172.5"/>
    <n v="172.5"/>
    <n v="57.499999999999993"/>
    <n v="402.5"/>
    <n v="150"/>
    <n v="500"/>
    <n v="10110.732354166666"/>
    <n v="682.22547962499993"/>
    <n v="397.96486311458335"/>
    <n v="1080.1903427395832"/>
    <n v="11190.922696906249"/>
    <n v="4629.2267676770844"/>
    <n v="916.66666666666663"/>
    <n v="-348.780214873673"/>
    <n v="3363.7798861367446"/>
    <n v="-840.94497153418615"/>
    <n v="2522.8349146025585"/>
    <n v="-1050.8644242845942"/>
    <n v="2388.6371569846306"/>
    <n v="21524.784009555344"/>
    <n v="23913.421166539974"/>
    <n v="0.69567100337322008"/>
    <n v="0.20356437450364531"/>
    <n v="0.11093846491878123"/>
  </r>
  <r>
    <n v="16"/>
    <x v="1"/>
    <n v="4"/>
    <s v="April Y2"/>
    <n v="1"/>
    <n v="1"/>
    <n v="1.1499999999999999"/>
    <n v="1"/>
    <n v="1"/>
    <n v="26.083333333333332"/>
    <n v="74.75"/>
    <n v="8.5"/>
    <n v="16572.697916666664"/>
    <n v="4971.8093749999989"/>
    <n v="63.249999999999993"/>
    <n v="2846.2499999999995"/>
    <n v="69.761300000000006"/>
    <n v="697.61300000000006"/>
    <n v="379.49999999999994"/>
    <n v="318.11300000000011"/>
    <n v="3817.3560000000016"/>
    <n v="2092.8389999999999"/>
    <n v="6663.6060000000016"/>
    <n v="23236.303916666664"/>
    <n v="7064.6483749999989"/>
    <n v="16171.655541666665"/>
    <n v="2000"/>
    <n v="125"/>
    <n v="150"/>
    <n v="6783.2323541666665"/>
    <n v="172.5"/>
    <n v="172.5"/>
    <n v="86.25"/>
    <n v="431.25"/>
    <n v="150"/>
    <n v="500"/>
    <n v="10139.482354166666"/>
    <n v="697.08911749999993"/>
    <n v="406.63531854166666"/>
    <n v="1103.7244360416666"/>
    <n v="11243.206790208333"/>
    <n v="4928.4487514583325"/>
    <n v="916.66666666666663"/>
    <n v="-342.21231222189431"/>
    <n v="3669.5697725697719"/>
    <n v="-917.39244314244297"/>
    <n v="2752.1773294273289"/>
    <n v="-1057.4323269363729"/>
    <n v="2611.4116691576228"/>
    <n v="23913.421166539974"/>
    <n v="26524.832835697598"/>
    <n v="0.69596505535750242"/>
    <n v="0.21210123473739351"/>
    <n v="0.11844299073112395"/>
  </r>
  <r>
    <n v="17"/>
    <x v="1"/>
    <n v="5"/>
    <s v="May Y2"/>
    <n v="1"/>
    <n v="1"/>
    <n v="1.1499999999999999"/>
    <n v="1.05"/>
    <n v="0.95"/>
    <n v="26.083333333333332"/>
    <n v="78.487499999999997"/>
    <n v="8.5"/>
    <n v="17401.332812499997"/>
    <n v="5220.3998437499986"/>
    <n v="60.087499999999999"/>
    <n v="2703.9375"/>
    <n v="66.273235"/>
    <n v="662.73235"/>
    <n v="360.52499999999998"/>
    <n v="302.20735000000002"/>
    <n v="3626.4882000000002"/>
    <n v="1988.19705"/>
    <n v="6330.4256999999998"/>
    <n v="23731.758512499997"/>
    <n v="7208.5968937499983"/>
    <n v="16523.161618749997"/>
    <n v="2000"/>
    <n v="125"/>
    <n v="150"/>
    <n v="6783.2323541666665"/>
    <n v="172.5"/>
    <n v="229.99999999999997"/>
    <n v="86.25"/>
    <n v="488.75"/>
    <n v="150"/>
    <n v="500"/>
    <n v="10196.982354166666"/>
    <n v="711.95275537499992"/>
    <n v="415.30577396874997"/>
    <n v="1127.2585293437498"/>
    <n v="11324.240883510416"/>
    <n v="5198.9207352395806"/>
    <n v="916.66666666666663"/>
    <n v="-335.60336017854195"/>
    <n v="3946.6507083943716"/>
    <n v="-986.66267709859289"/>
    <n v="2959.9880312957785"/>
    <n v="-1064.0412789797251"/>
    <n v="2812.6134189827198"/>
    <n v="26524.832835697598"/>
    <n v="29337.446254680319"/>
    <n v="0.69624682932985826"/>
    <n v="0.21907018531733347"/>
    <n v="0.12472687305227267"/>
  </r>
  <r>
    <n v="18"/>
    <x v="1"/>
    <n v="6"/>
    <s v="June Y2"/>
    <n v="1"/>
    <n v="1"/>
    <n v="1.1499999999999999"/>
    <n v="1.1000000000000001"/>
    <n v="0.85"/>
    <n v="26.083333333333332"/>
    <n v="82.224999999999994"/>
    <n v="9.25"/>
    <n v="19838.494270833333"/>
    <n v="5951.5482812499995"/>
    <n v="53.762499999999996"/>
    <n v="2419.3125"/>
    <n v="59.297105000000002"/>
    <n v="592.97104999999999"/>
    <n v="322.57499999999999"/>
    <n v="270.39605"/>
    <n v="3244.7525999999998"/>
    <n v="1778.9131500000001"/>
    <n v="5664.0650999999998"/>
    <n v="25502.559370833333"/>
    <n v="7730.4614312499998"/>
    <n v="17772.097939583335"/>
    <n v="2000"/>
    <n v="125"/>
    <n v="150"/>
    <n v="6783.2323541666665"/>
    <n v="287.5"/>
    <n v="172.5"/>
    <n v="86.25"/>
    <n v="546.25"/>
    <n v="150"/>
    <n v="500"/>
    <n v="10254.482354166666"/>
    <n v="765.07678112499991"/>
    <n v="446.29478898958337"/>
    <n v="1211.3715701145834"/>
    <n v="11465.853924281249"/>
    <n v="6306.2440153020852"/>
    <n v="916.66666666666663"/>
    <n v="-328.95310218491869"/>
    <n v="5060.6242464504994"/>
    <n v="-1265.1560616126249"/>
    <n v="3795.4681848378746"/>
    <n v="-1070.6915369733485"/>
    <n v="3641.4433145311923"/>
    <n v="29337.446254680319"/>
    <n v="32978.889569211511"/>
    <n v="0.69687507364099532"/>
    <n v="0.24727886811683636"/>
    <n v="0.14882695221479067"/>
  </r>
  <r>
    <n v="19"/>
    <x v="1"/>
    <n v="7"/>
    <s v="July Y2"/>
    <n v="1"/>
    <n v="1"/>
    <n v="1.1499999999999999"/>
    <n v="1.1499999999999999"/>
    <n v="0.8"/>
    <n v="26.083333333333332"/>
    <n v="85.962499999999991"/>
    <n v="9.25"/>
    <n v="20740.244010416664"/>
    <n v="6222.0732031249991"/>
    <n v="50.599999999999994"/>
    <n v="2276.9999999999995"/>
    <n v="55.809040000000003"/>
    <n v="558.09040000000005"/>
    <n v="303.59999999999997"/>
    <n v="254.49040000000008"/>
    <n v="3053.8848000000007"/>
    <n v="1674.2712000000001"/>
    <n v="5330.8847999999998"/>
    <n v="26071.128810416663"/>
    <n v="7896.3444031249992"/>
    <n v="18174.784407291663"/>
    <n v="2000"/>
    <n v="125"/>
    <n v="150"/>
    <n v="6783.2323541666665"/>
    <n v="287.5"/>
    <n v="172.5"/>
    <n v="86.25"/>
    <n v="546.25"/>
    <n v="150"/>
    <n v="500"/>
    <n v="10254.482354166666"/>
    <n v="782.1338643124999"/>
    <n v="456.24475418229167"/>
    <n v="1238.3786184947917"/>
    <n v="11492.860972661458"/>
    <n v="6681.9234346302055"/>
    <n v="916.66666666666663"/>
    <n v="-322.26128007883523"/>
    <n v="5442.9954878847029"/>
    <n v="-1360.7488719711757"/>
    <n v="4082.2466159135274"/>
    <n v="-1077.383359079432"/>
    <n v="3921.5299235007624"/>
    <n v="32978.889569211511"/>
    <n v="36900.419492712273"/>
    <n v="0.69712303366128003"/>
    <n v="0.25629590046597667"/>
    <n v="0.15658112257427359"/>
  </r>
  <r>
    <n v="20"/>
    <x v="1"/>
    <n v="8"/>
    <s v="August Y2"/>
    <n v="1"/>
    <n v="1"/>
    <n v="1.1499999999999999"/>
    <n v="1"/>
    <n v="0.85"/>
    <n v="26.083333333333332"/>
    <n v="74.75"/>
    <n v="9.25"/>
    <n v="18034.994791666664"/>
    <n v="5410.4984374999995"/>
    <n v="53.762499999999996"/>
    <n v="2419.3125"/>
    <n v="59.297105000000002"/>
    <n v="592.97104999999999"/>
    <n v="322.57499999999999"/>
    <n v="270.39605"/>
    <n v="3244.7525999999998"/>
    <n v="1778.9131500000001"/>
    <n v="5664.0650999999998"/>
    <n v="23699.059891666664"/>
    <n v="7189.4115874999998"/>
    <n v="16509.648304166665"/>
    <n v="2000"/>
    <n v="125"/>
    <n v="150"/>
    <n v="6783.2323541666665"/>
    <n v="172.5"/>
    <n v="172.5"/>
    <n v="86.25"/>
    <n v="431.25"/>
    <n v="150"/>
    <n v="500"/>
    <n v="10139.482354166666"/>
    <n v="710.97179674999984"/>
    <n v="414.73354810416669"/>
    <n v="1125.7053448541665"/>
    <n v="11265.187699020833"/>
    <n v="5244.4606051458322"/>
    <n v="916.66666666666663"/>
    <n v="-315.52763408458878"/>
    <n v="4012.2663043945763"/>
    <n v="-1003.0665760986441"/>
    <n v="3009.1997282959323"/>
    <n v="-1084.1170050736785"/>
    <n v="2841.7493898889206"/>
    <n v="36900.419492712273"/>
    <n v="39742.168882601196"/>
    <n v="0.69663726661039316"/>
    <n v="0.22129403567564931"/>
    <n v="0.12697548940977452"/>
  </r>
  <r>
    <n v="21"/>
    <x v="1"/>
    <n v="9"/>
    <s v="September Y2"/>
    <n v="1"/>
    <n v="1"/>
    <n v="1.1499999999999999"/>
    <n v="0.95"/>
    <n v="1.05"/>
    <n v="26.083333333333332"/>
    <n v="71.012499999999989"/>
    <n v="8.5"/>
    <n v="15744.06302083333"/>
    <n v="4723.2189062499983"/>
    <n v="66.412499999999994"/>
    <n v="2988.5624999999995"/>
    <n v="73.249365000000012"/>
    <n v="732.49365000000012"/>
    <n v="398.47499999999997"/>
    <n v="334.01865000000015"/>
    <n v="4008.2238000000016"/>
    <n v="2197.4809500000001"/>
    <n v="6996.7863000000016"/>
    <n v="22740.849320833331"/>
    <n v="6920.6998562499984"/>
    <n v="15820.149464583334"/>
    <n v="2000"/>
    <n v="125"/>
    <n v="150"/>
    <n v="6783.2323541666665"/>
    <n v="229.99999999999997"/>
    <n v="229.99999999999997"/>
    <n v="86.25"/>
    <n v="546.25"/>
    <n v="150"/>
    <n v="500"/>
    <n v="10254.482354166666"/>
    <n v="682.22547962499993"/>
    <n v="397.96486311458335"/>
    <n v="1080.1903427395832"/>
    <n v="11334.672696906249"/>
    <n v="4485.4767676770844"/>
    <n v="916.66666666666663"/>
    <n v="-308.75190280287831"/>
    <n v="3260.0581982075396"/>
    <n v="-815.0145495518849"/>
    <n v="2445.0436486556546"/>
    <n v="-1090.8927363553889"/>
    <n v="2270.8175789669322"/>
    <n v="39742.168882601196"/>
    <n v="42012.986461568129"/>
    <n v="0.69567100337322008"/>
    <n v="0.1972431506138978"/>
    <n v="0.1075176926842263"/>
  </r>
  <r>
    <n v="22"/>
    <x v="1"/>
    <n v="10"/>
    <s v="October Y2"/>
    <n v="1"/>
    <n v="1"/>
    <n v="1.1499999999999999"/>
    <n v="1"/>
    <n v="1"/>
    <n v="26.083333333333332"/>
    <n v="74.75"/>
    <n v="8.5"/>
    <n v="16572.697916666664"/>
    <n v="4971.8093749999989"/>
    <n v="63.249999999999993"/>
    <n v="2846.2499999999995"/>
    <n v="69.761300000000006"/>
    <n v="697.61300000000006"/>
    <n v="379.49999999999994"/>
    <n v="318.11300000000011"/>
    <n v="3817.3560000000016"/>
    <n v="2092.8389999999999"/>
    <n v="6663.6060000000016"/>
    <n v="23236.303916666664"/>
    <n v="7064.6483749999989"/>
    <n v="16171.655541666665"/>
    <n v="2000"/>
    <n v="125"/>
    <n v="150"/>
    <n v="6783.2323541666665"/>
    <n v="172.5"/>
    <n v="172.5"/>
    <n v="57.499999999999993"/>
    <n v="402.5"/>
    <n v="150"/>
    <n v="500"/>
    <n v="10110.732354166666"/>
    <n v="697.08911749999993"/>
    <n v="406.63531854166666"/>
    <n v="1103.7244360416666"/>
    <n v="11214.456790208333"/>
    <n v="4957.1987514583325"/>
    <n v="916.66666666666663"/>
    <n v="-301.93382320065717"/>
    <n v="3738.5982615910088"/>
    <n v="-934.64956539775221"/>
    <n v="2803.9486961932566"/>
    <n v="-1097.7108159576101"/>
    <n v="2622.9045469023131"/>
    <n v="42012.986461568129"/>
    <n v="44635.89100847044"/>
    <n v="0.69596505535750242"/>
    <n v="0.21333852273737439"/>
    <n v="0.12067102867345754"/>
  </r>
  <r>
    <n v="23"/>
    <x v="1"/>
    <n v="11"/>
    <s v="November Y2"/>
    <n v="1"/>
    <n v="1"/>
    <n v="1.1499999999999999"/>
    <n v="1.05"/>
    <n v="0.95"/>
    <n v="26.083333333333332"/>
    <n v="78.487499999999997"/>
    <n v="8.5"/>
    <n v="17401.332812499997"/>
    <n v="5220.3998437499986"/>
    <n v="60.087499999999999"/>
    <n v="2703.9375"/>
    <n v="66.273235"/>
    <n v="662.73235"/>
    <n v="360.52499999999998"/>
    <n v="302.20735000000002"/>
    <n v="3626.4882000000002"/>
    <n v="1988.19705"/>
    <n v="6330.4256999999998"/>
    <n v="23731.758512499997"/>
    <n v="7208.5968937499983"/>
    <n v="16523.161618749997"/>
    <n v="2000"/>
    <n v="125"/>
    <n v="150"/>
    <n v="6783.2323541666665"/>
    <n v="287.5"/>
    <n v="229.99999999999997"/>
    <n v="86.25"/>
    <n v="603.75"/>
    <n v="150"/>
    <n v="500"/>
    <n v="10311.982354166666"/>
    <n v="711.95275537499992"/>
    <n v="415.30577396874997"/>
    <n v="1127.2585293437498"/>
    <n v="11439.240883510416"/>
    <n v="5083.9207352395806"/>
    <n v="916.66666666666663"/>
    <n v="-295.07313060092207"/>
    <n v="3872.1809379719916"/>
    <n v="-968.04523449299791"/>
    <n v="2904.1357034789935"/>
    <n v="-1104.5715085573452"/>
    <n v="2716.2308615883148"/>
    <n v="44635.89100847044"/>
    <n v="47352.121870058756"/>
    <n v="0.69624682932985826"/>
    <n v="0.21422435815541344"/>
    <n v="0.12237338846800276"/>
  </r>
  <r>
    <n v="24"/>
    <x v="1"/>
    <n v="12"/>
    <s v="December Y2"/>
    <n v="1"/>
    <n v="1"/>
    <n v="1.1499999999999999"/>
    <n v="1.2"/>
    <n v="0.8"/>
    <n v="26.083333333333332"/>
    <n v="89.699999999999989"/>
    <n v="8.5"/>
    <n v="19887.237499999999"/>
    <n v="5966.1712499999994"/>
    <n v="50.599999999999994"/>
    <n v="2276.9999999999995"/>
    <n v="55.809040000000003"/>
    <n v="558.09040000000005"/>
    <n v="303.59999999999997"/>
    <n v="254.49040000000008"/>
    <n v="3053.8848000000007"/>
    <n v="1674.2712000000001"/>
    <n v="5330.8847999999998"/>
    <n v="25218.122299999999"/>
    <n v="7640.4424499999996"/>
    <n v="17577.67985"/>
    <n v="2000"/>
    <n v="125"/>
    <n v="150"/>
    <n v="6783.2323541666665"/>
    <n v="345"/>
    <n v="287.5"/>
    <n v="114.99999999999999"/>
    <n v="747.5"/>
    <n v="150"/>
    <n v="500"/>
    <n v="10455.732354166666"/>
    <n v="756.54366899999991"/>
    <n v="441.31714025000002"/>
    <n v="1197.8608092499999"/>
    <n v="11653.593163416666"/>
    <n v="5924.0866865833341"/>
    <n v="916.66666666666663"/>
    <n v="-288.16955867243865"/>
    <n v="4719.2504612442281"/>
    <n v="-1179.812615311057"/>
    <n v="3539.437845933171"/>
    <n v="-1111.4750804858286"/>
    <n v="3344.6294321140094"/>
    <n v="47352.121870058756"/>
    <n v="50696.751302172765"/>
    <n v="0.69702571987288686"/>
    <n v="0.23491386932417782"/>
    <n v="0.14035294951096225"/>
  </r>
  <r>
    <n v="25"/>
    <x v="2"/>
    <n v="1"/>
    <s v="January Y3"/>
    <n v="1"/>
    <n v="1"/>
    <n v="1.242"/>
    <n v="0.85"/>
    <n v="1.3"/>
    <n v="26.083333333333332"/>
    <n v="68.620499999999993"/>
    <n v="8.5"/>
    <n v="15213.736687499997"/>
    <n v="4564.1210062499986"/>
    <n v="88.802999999999997"/>
    <n v="3996.1349999999998"/>
    <n v="97.94486520000001"/>
    <n v="979.44865200000004"/>
    <n v="532.81799999999998"/>
    <n v="446.63065200000005"/>
    <n v="5359.5678240000007"/>
    <n v="2938.3459560000001"/>
    <n v="9355.702824"/>
    <n v="24569.439511499997"/>
    <n v="7502.4669622499987"/>
    <n v="17066.97254925"/>
    <n v="2000"/>
    <n v="125"/>
    <n v="150"/>
    <n v="6783.2323541666665"/>
    <n v="372.6"/>
    <n v="186.3"/>
    <n v="62.1"/>
    <n v="621.00000000000011"/>
    <n v="150"/>
    <n v="500"/>
    <n v="10329.232354166666"/>
    <n v="737.08318534499983"/>
    <n v="429.96519145125001"/>
    <n v="1167.0483767962498"/>
    <n v="11496.280730962917"/>
    <n v="5570.6918182870832"/>
    <n v="916.66666666666663"/>
    <n v="-281.22283941940225"/>
    <n v="4372.8023122010136"/>
    <n v="-1093.2005780502534"/>
    <n v="3279.6017341507604"/>
    <n v="-1118.421799738865"/>
    <n v="3077.8466010785623"/>
    <n v="50696.751302172765"/>
    <n v="53774.597903251328"/>
    <n v="0.69464232349547961"/>
    <n v="0.2267325559331404"/>
    <n v="0.13348296906063759"/>
  </r>
  <r>
    <n v="26"/>
    <x v="2"/>
    <n v="2"/>
    <s v="February Y3"/>
    <n v="1"/>
    <n v="1"/>
    <n v="1.242"/>
    <n v="0.9"/>
    <n v="1.2"/>
    <n v="26.083333333333332"/>
    <n v="72.656999999999996"/>
    <n v="8.5"/>
    <n v="16108.662375"/>
    <n v="4832.5987125000001"/>
    <n v="81.971999999999994"/>
    <n v="3688.74"/>
    <n v="90.410644800000014"/>
    <n v="904.10644800000011"/>
    <n v="491.83199999999999"/>
    <n v="412.27444800000012"/>
    <n v="4947.2933760000014"/>
    <n v="2712.3193440000005"/>
    <n v="8636.0333760000012"/>
    <n v="24744.695750999999"/>
    <n v="7544.9180565000006"/>
    <n v="17199.777694500001"/>
    <n v="2000"/>
    <n v="125"/>
    <n v="150"/>
    <n v="6783.2323541666665"/>
    <n v="248.4"/>
    <n v="186.3"/>
    <n v="62.1"/>
    <n v="496.80000000000007"/>
    <n v="150"/>
    <n v="500"/>
    <n v="10205.032354166666"/>
    <n v="742.34087252999996"/>
    <n v="433.03217564250002"/>
    <n v="1175.3730481724999"/>
    <n v="11380.405402339165"/>
    <n v="5819.3722921608351"/>
    <n v="916.66666666666663"/>
    <n v="-274.23270317103436"/>
    <n v="4628.4729223231334"/>
    <n v="-1157.1182305807833"/>
    <n v="3471.35469174235"/>
    <n v="-1125.4119359872329"/>
    <n v="3262.6094224217841"/>
    <n v="53774.597903251328"/>
    <n v="57037.207325673109"/>
    <n v="0.69508947968394041"/>
    <n v="0.23517655463295234"/>
    <n v="0.14028682052403346"/>
  </r>
  <r>
    <n v="27"/>
    <x v="2"/>
    <n v="3"/>
    <s v="March Y3"/>
    <n v="1"/>
    <n v="1"/>
    <n v="1.242"/>
    <n v="0.95"/>
    <n v="1.05"/>
    <n v="26.083333333333332"/>
    <n v="76.6935"/>
    <n v="8.5"/>
    <n v="17003.588062499999"/>
    <n v="5101.0764187499999"/>
    <n v="71.725499999999997"/>
    <n v="3227.6475"/>
    <n v="79.109314200000014"/>
    <n v="791.09314200000017"/>
    <n v="430.35299999999995"/>
    <n v="360.74014200000022"/>
    <n v="4328.8817040000031"/>
    <n v="2373.2794260000005"/>
    <n v="7556.5292040000031"/>
    <n v="24560.117266500001"/>
    <n v="7474.35584475"/>
    <n v="17085.761421750001"/>
    <n v="2000"/>
    <n v="125"/>
    <n v="150"/>
    <n v="6783.2323541666665"/>
    <n v="186.3"/>
    <n v="186.3"/>
    <n v="62.1"/>
    <n v="434.70000000000005"/>
    <n v="150"/>
    <n v="500"/>
    <n v="10142.932354166667"/>
    <n v="736.80351799499999"/>
    <n v="429.80205216375009"/>
    <n v="1166.6055701587502"/>
    <n v="11309.537924325417"/>
    <n v="5776.2234974245839"/>
    <n v="916.66666666666663"/>
    <n v="-267.19887857111416"/>
    <n v="4592.3579521868032"/>
    <n v="-1148.0894880467008"/>
    <n v="3444.2684641401024"/>
    <n v="-1132.445760587153"/>
    <n v="3228.4893702196159"/>
    <n v="57037.207325673109"/>
    <n v="60265.696695892722"/>
    <n v="0.69567100337321996"/>
    <n v="0.2351871302057402"/>
    <n v="0.14023827438471087"/>
  </r>
  <r>
    <n v="28"/>
    <x v="2"/>
    <n v="4"/>
    <s v="April Y3"/>
    <n v="1"/>
    <n v="1"/>
    <n v="1.242"/>
    <n v="1"/>
    <n v="1"/>
    <n v="26.083333333333332"/>
    <n v="80.73"/>
    <n v="8.5"/>
    <n v="17898.513749999998"/>
    <n v="5369.5541249999997"/>
    <n v="68.31"/>
    <n v="3073.9500000000003"/>
    <n v="75.34220400000001"/>
    <n v="753.42204000000015"/>
    <n v="409.86"/>
    <n v="343.56204000000014"/>
    <n v="4122.7444800000012"/>
    <n v="2260.2661200000002"/>
    <n v="7196.6944800000019"/>
    <n v="25095.20823"/>
    <n v="7629.8202449999999"/>
    <n v="17465.387985000001"/>
    <n v="2000"/>
    <n v="125"/>
    <n v="150"/>
    <n v="6783.2323541666665"/>
    <n v="186.3"/>
    <n v="186.3"/>
    <n v="93.15"/>
    <n v="465.75"/>
    <n v="150"/>
    <n v="500"/>
    <n v="10173.982354166666"/>
    <n v="752.85624689999997"/>
    <n v="439.16614402500005"/>
    <n v="1192.0223909250001"/>
    <n v="11366.004745091666"/>
    <n v="6099.3832399083349"/>
    <n v="916.66666666666663"/>
    <n v="-260.12109256744446"/>
    <n v="4922.5954806742238"/>
    <n v="-1230.648870168556"/>
    <n v="3691.9466105056681"/>
    <n v="-1139.5235465908227"/>
    <n v="3469.0897305815124"/>
    <n v="60265.696695892722"/>
    <n v="63734.786426474238"/>
    <n v="0.69596505535750242"/>
    <n v="0.24304971626483032"/>
    <n v="0.14711759219802528"/>
  </r>
  <r>
    <n v="29"/>
    <x v="2"/>
    <n v="5"/>
    <s v="May Y3"/>
    <n v="1"/>
    <n v="1"/>
    <n v="1.242"/>
    <n v="1.05"/>
    <n v="0.95"/>
    <n v="26.083333333333332"/>
    <n v="84.766499999999994"/>
    <n v="8.5"/>
    <n v="18793.439437499997"/>
    <n v="5638.0318312499994"/>
    <n v="64.894499999999994"/>
    <n v="2920.2524999999996"/>
    <n v="71.575093800000005"/>
    <n v="715.75093800000002"/>
    <n v="389.36699999999996"/>
    <n v="326.38393800000006"/>
    <n v="3916.6072560000007"/>
    <n v="2147.2528139999999"/>
    <n v="6836.8597559999998"/>
    <n v="25630.299193499995"/>
    <n v="7785.2846452499998"/>
    <n v="17845.014548249994"/>
    <n v="2000"/>
    <n v="125"/>
    <n v="150"/>
    <n v="6783.2323541666665"/>
    <n v="186.3"/>
    <n v="248.4"/>
    <n v="93.15"/>
    <n v="527.85"/>
    <n v="150"/>
    <n v="500"/>
    <n v="10236.082354166667"/>
    <n v="768.90897580499984"/>
    <n v="448.53023588624995"/>
    <n v="1217.4392116912497"/>
    <n v="11453.521565857916"/>
    <n v="6391.4929823920775"/>
    <n v="916.66666666666663"/>
    <n v="-252.99907040125183"/>
    <n v="5221.8272453241589"/>
    <n v="-1305.4568113310397"/>
    <n v="3916.3704339931191"/>
    <n v="-1146.6455687570153"/>
    <n v="3686.391531902771"/>
    <n v="63734.786426474238"/>
    <n v="67421.177958377011"/>
    <n v="0.69624682932985826"/>
    <n v="0.24937254669321224"/>
    <n v="0.15280236896283814"/>
  </r>
  <r>
    <n v="30"/>
    <x v="2"/>
    <n v="6"/>
    <s v="June Y3"/>
    <n v="1"/>
    <n v="1"/>
    <n v="1.242"/>
    <n v="1.1000000000000001"/>
    <n v="0.85"/>
    <n v="26.083333333333332"/>
    <n v="88.802999999999997"/>
    <n v="9.25"/>
    <n v="21425.573812499999"/>
    <n v="6427.6721437499991"/>
    <n v="58.063499999999998"/>
    <n v="2612.8575000000001"/>
    <n v="64.040873400000009"/>
    <n v="640.40873400000009"/>
    <n v="348.38099999999997"/>
    <n v="292.02773400000012"/>
    <n v="3504.3328080000015"/>
    <n v="1921.2262020000003"/>
    <n v="6117.1903080000011"/>
    <n v="27542.7641205"/>
    <n v="8348.8983457499999"/>
    <n v="19193.86577475"/>
    <n v="2000"/>
    <n v="125"/>
    <n v="150"/>
    <n v="6783.2323541666665"/>
    <n v="310.5"/>
    <n v="186.3"/>
    <n v="93.15"/>
    <n v="589.95000000000005"/>
    <n v="150"/>
    <n v="500"/>
    <n v="10298.182354166667"/>
    <n v="826.28292361499996"/>
    <n v="481.99837210875006"/>
    <n v="1308.28129572375"/>
    <n v="11606.463649890416"/>
    <n v="7587.4021248595836"/>
    <n v="916.66666666666663"/>
    <n v="-245.8325355965205"/>
    <n v="6424.9029225963959"/>
    <n v="-1606.225730649099"/>
    <n v="4818.6771919472967"/>
    <n v="-1153.8121035617467"/>
    <n v="4581.5317550522168"/>
    <n v="67421.177958377011"/>
    <n v="72002.709713429227"/>
    <n v="0.69687507364099532"/>
    <n v="0.27547714861386413"/>
    <n v="0.17495256361581984"/>
  </r>
  <r>
    <n v="31"/>
    <x v="2"/>
    <n v="7"/>
    <s v="July Y3"/>
    <n v="1"/>
    <n v="1"/>
    <n v="1.242"/>
    <n v="1.1499999999999999"/>
    <n v="0.8"/>
    <n v="26.083333333333332"/>
    <n v="92.839500000000001"/>
    <n v="9.25"/>
    <n v="22399.46353125"/>
    <n v="6719.839059375"/>
    <n v="54.647999999999996"/>
    <n v="2459.16"/>
    <n v="60.273763200000012"/>
    <n v="602.73763200000008"/>
    <n v="327.88799999999998"/>
    <n v="274.8496320000001"/>
    <n v="3298.195584000001"/>
    <n v="1808.2128960000005"/>
    <n v="5757.3555840000008"/>
    <n v="28156.81911525"/>
    <n v="8528.051955375"/>
    <n v="19628.767159875002"/>
    <n v="2000"/>
    <n v="125"/>
    <n v="150"/>
    <n v="6783.2323541666665"/>
    <n v="310.5"/>
    <n v="186.3"/>
    <n v="93.15"/>
    <n v="589.95000000000005"/>
    <n v="150"/>
    <n v="500"/>
    <n v="10298.182354166667"/>
    <n v="844.70457345750003"/>
    <n v="492.74433451687503"/>
    <n v="1337.4489079743751"/>
    <n v="11635.631262141042"/>
    <n v="7993.1358977339605"/>
    <n v="916.66666666666663"/>
    <n v="-238.62120994925957"/>
    <n v="6837.848021118034"/>
    <n v="-1709.4620052795085"/>
    <n v="5128.3860158385251"/>
    <n v="-1161.0234292090076"/>
    <n v="4884.0292532961848"/>
    <n v="72002.709713429227"/>
    <n v="76886.738966725417"/>
    <n v="0.69712303366128014"/>
    <n v="0.28387922176212022"/>
    <n v="0.18213655437595017"/>
  </r>
  <r>
    <n v="32"/>
    <x v="2"/>
    <n v="8"/>
    <s v="August Y3"/>
    <n v="1"/>
    <n v="1"/>
    <n v="1.242"/>
    <n v="1"/>
    <n v="0.85"/>
    <n v="26.083333333333332"/>
    <n v="80.73"/>
    <n v="9.25"/>
    <n v="19477.794375000001"/>
    <n v="5843.3383125"/>
    <n v="58.063499999999998"/>
    <n v="2612.8575000000001"/>
    <n v="64.040873400000009"/>
    <n v="640.40873400000009"/>
    <n v="348.38099999999997"/>
    <n v="292.02773400000012"/>
    <n v="3504.3328080000015"/>
    <n v="1921.2262020000003"/>
    <n v="6117.1903080000011"/>
    <n v="25594.984683000002"/>
    <n v="7764.5645144999999"/>
    <n v="17830.420168500001"/>
    <n v="2000"/>
    <n v="125"/>
    <n v="150"/>
    <n v="6783.2323541666665"/>
    <n v="186.3"/>
    <n v="186.3"/>
    <n v="93.15"/>
    <n v="465.75"/>
    <n v="150"/>
    <n v="500"/>
    <n v="10173.982354166666"/>
    <n v="767.84954049000009"/>
    <n v="447.91223195250006"/>
    <n v="1215.7617724425002"/>
    <n v="11389.744126609166"/>
    <n v="6440.6760418908343"/>
    <n v="916.66666666666663"/>
    <n v="-231.36481351670326"/>
    <n v="5292.6445617074642"/>
    <n v="-1323.161140426866"/>
    <n v="3969.4834212805981"/>
    <n v="-1168.279825641564"/>
    <n v="3717.8702623057011"/>
    <n v="76886.738966725417"/>
    <n v="80604.609229031121"/>
    <n v="0.69663726661039316"/>
    <n v="0.25163820653382468"/>
    <n v="0.15508832962565119"/>
  </r>
  <r>
    <n v="33"/>
    <x v="2"/>
    <n v="9"/>
    <s v="September Y3"/>
    <n v="1"/>
    <n v="1"/>
    <n v="1.242"/>
    <n v="0.95"/>
    <n v="1.05"/>
    <n v="26.083333333333332"/>
    <n v="76.6935"/>
    <n v="8.5"/>
    <n v="17003.588062499999"/>
    <n v="5101.0764187499999"/>
    <n v="71.725499999999997"/>
    <n v="3227.6475"/>
    <n v="79.109314200000014"/>
    <n v="791.09314200000017"/>
    <n v="430.35299999999995"/>
    <n v="360.74014200000022"/>
    <n v="4328.8817040000031"/>
    <n v="2373.2794260000005"/>
    <n v="7556.5292040000031"/>
    <n v="24560.117266500001"/>
    <n v="7474.35584475"/>
    <n v="17085.761421750001"/>
    <n v="2000"/>
    <n v="125"/>
    <n v="150"/>
    <n v="6783.2323541666665"/>
    <n v="248.4"/>
    <n v="248.4"/>
    <n v="93.15"/>
    <n v="589.95000000000005"/>
    <n v="150"/>
    <n v="500"/>
    <n v="10298.182354166667"/>
    <n v="736.80351799499999"/>
    <n v="429.80205216375009"/>
    <n v="1166.6055701587502"/>
    <n v="11464.787924325417"/>
    <n v="5620.9734974245839"/>
    <n v="916.66666666666663"/>
    <n v="-224.0630646064435"/>
    <n v="4480.2437661514732"/>
    <n v="-1120.0609415378683"/>
    <n v="3360.1828246136047"/>
    <n v="-1175.5815745518237"/>
    <n v="3101.2679167284477"/>
    <n v="80604.609229031121"/>
    <n v="83705.877145759572"/>
    <n v="0.69567100337321996"/>
    <n v="0.22886590631599268"/>
    <n v="0.13681460834052669"/>
  </r>
  <r>
    <n v="34"/>
    <x v="2"/>
    <n v="10"/>
    <s v="October Y3"/>
    <n v="1"/>
    <n v="1"/>
    <n v="1.242"/>
    <n v="1"/>
    <n v="1"/>
    <n v="26.083333333333332"/>
    <n v="80.73"/>
    <n v="8.5"/>
    <n v="17898.513749999998"/>
    <n v="5369.5541249999997"/>
    <n v="68.31"/>
    <n v="3073.9500000000003"/>
    <n v="75.34220400000001"/>
    <n v="753.42204000000015"/>
    <n v="409.86"/>
    <n v="343.56204000000014"/>
    <n v="4122.7444800000012"/>
    <n v="2260.2661200000002"/>
    <n v="7196.6944800000019"/>
    <n v="25095.20823"/>
    <n v="7629.8202449999999"/>
    <n v="17465.387985000001"/>
    <n v="2000"/>
    <n v="125"/>
    <n v="150"/>
    <n v="6783.2323541666665"/>
    <n v="186.3"/>
    <n v="186.3"/>
    <n v="62.1"/>
    <n v="434.70000000000005"/>
    <n v="150"/>
    <n v="500"/>
    <n v="10142.932354166667"/>
    <n v="752.85624689999997"/>
    <n v="439.16614402500005"/>
    <n v="1192.0223909250001"/>
    <n v="11334.954745091667"/>
    <n v="6130.4332399083341"/>
    <n v="916.66666666666663"/>
    <n v="-216.71567976549457"/>
    <n v="4997.0508934761729"/>
    <n v="-1249.2627233690432"/>
    <n v="3747.7881701071296"/>
    <n v="-1182.9289593927726"/>
    <n v="3481.5258773810237"/>
    <n v="83705.877145759572"/>
    <n v="87187.403023140592"/>
    <n v="0.69596505535750242"/>
    <n v="0.24428700426481115"/>
    <n v="0.14934278033313333"/>
  </r>
  <r>
    <n v="35"/>
    <x v="2"/>
    <n v="11"/>
    <s v="November Y3"/>
    <n v="1"/>
    <n v="1"/>
    <n v="1.242"/>
    <n v="1.05"/>
    <n v="0.95"/>
    <n v="26.083333333333332"/>
    <n v="84.766499999999994"/>
    <n v="8.5"/>
    <n v="18793.439437499997"/>
    <n v="5638.0318312499994"/>
    <n v="64.894499999999994"/>
    <n v="2920.2524999999996"/>
    <n v="71.575093800000005"/>
    <n v="715.75093800000002"/>
    <n v="389.36699999999996"/>
    <n v="326.38393800000006"/>
    <n v="3916.6072560000007"/>
    <n v="2147.2528139999999"/>
    <n v="6836.8597559999998"/>
    <n v="25630.299193499995"/>
    <n v="7785.2846452499998"/>
    <n v="17845.014548249994"/>
    <n v="2000"/>
    <n v="125"/>
    <n v="150"/>
    <n v="6783.2323541666665"/>
    <n v="310.5"/>
    <n v="248.4"/>
    <n v="93.15"/>
    <n v="652.04999999999995"/>
    <n v="150"/>
    <n v="500"/>
    <n v="10360.282354166666"/>
    <n v="768.90897580499984"/>
    <n v="448.53023588624995"/>
    <n v="1217.4392116912497"/>
    <n v="11577.721565857915"/>
    <n v="6267.2929823920786"/>
    <n v="916.66666666666663"/>
    <n v="-209.32237376928973"/>
    <n v="5141.3039419561219"/>
    <n v="-1285.3259854890305"/>
    <n v="3855.9779564670916"/>
    <n v="-1190.3222653889775"/>
    <n v="3582.3223577447811"/>
    <n v="87187.403023140592"/>
    <n v="90769.725380885371"/>
    <n v="0.69624682932985826"/>
    <n v="0.24452671953129221"/>
    <n v="0.15044607662812581"/>
  </r>
  <r>
    <n v="36"/>
    <x v="2"/>
    <n v="12"/>
    <s v="December Y3"/>
    <n v="1"/>
    <n v="1"/>
    <n v="1.242"/>
    <n v="1.2"/>
    <n v="0.8"/>
    <n v="26.083333333333332"/>
    <n v="96.876000000000005"/>
    <n v="8.5"/>
    <n v="21478.216500000002"/>
    <n v="6443.4649500000005"/>
    <n v="54.647999999999996"/>
    <n v="2459.16"/>
    <n v="60.273763200000012"/>
    <n v="602.73763200000008"/>
    <n v="327.88799999999998"/>
    <n v="274.8496320000001"/>
    <n v="3298.195584000001"/>
    <n v="1808.2128960000005"/>
    <n v="5757.3555840000008"/>
    <n v="27235.572084000003"/>
    <n v="8251.6778460000005"/>
    <n v="18983.894238000001"/>
    <n v="2000"/>
    <n v="125"/>
    <n v="150"/>
    <n v="6783.2323541666665"/>
    <n v="372.6"/>
    <n v="310.5"/>
    <n v="124.2"/>
    <n v="807.30000000000007"/>
    <n v="150"/>
    <n v="500"/>
    <n v="10515.532354166666"/>
    <n v="817.06716252000001"/>
    <n v="476.62251147000012"/>
    <n v="1293.6896739900001"/>
    <n v="11809.222028156666"/>
    <n v="7174.6722098433347"/>
    <n v="916.66666666666663"/>
    <n v="-201.88285961060862"/>
    <n v="6056.1226835660591"/>
    <n v="-1514.0306708915148"/>
    <n v="4542.0920126745441"/>
    <n v="-1197.7617795476585"/>
    <n v="4260.9968997935521"/>
    <n v="90769.725380885371"/>
    <n v="95030.722280678921"/>
    <n v="0.69702571987288675"/>
    <n v="0.26343020031726144"/>
    <n v="0.16677057484475874"/>
  </r>
  <r>
    <n v="37"/>
    <x v="3"/>
    <n v="1"/>
    <s v="January Y4"/>
    <n v="1"/>
    <n v="1"/>
    <n v="1.3165200000000001"/>
    <n v="0.85"/>
    <n v="1.3"/>
    <n v="26.083333333333332"/>
    <n v="72.737730000000013"/>
    <n v="8.5"/>
    <n v="16126.560888750002"/>
    <n v="4837.9682666250001"/>
    <n v="94.131180000000015"/>
    <n v="4235.9031000000004"/>
    <n v="103.82155711200002"/>
    <n v="1038.2155711200003"/>
    <n v="564.78708000000006"/>
    <n v="473.42849112000022"/>
    <n v="5681.1418934400026"/>
    <n v="3114.6467133600008"/>
    <n v="9917.0449934400021"/>
    <n v="26043.605882190004"/>
    <n v="7952.6149799850009"/>
    <n v="18090.990902205005"/>
    <n v="2000"/>
    <n v="125"/>
    <n v="150"/>
    <n v="6783.2323541666665"/>
    <n v="394.95600000000002"/>
    <n v="197.47800000000001"/>
    <n v="65.826000000000008"/>
    <n v="658.26"/>
    <n v="150"/>
    <n v="500"/>
    <n v="10366.492354166667"/>
    <n v="781.30817646570006"/>
    <n v="455.76310293832512"/>
    <n v="1237.0712794040251"/>
    <n v="11603.563633570691"/>
    <n v="6487.4272686343138"/>
    <n v="916.66666666666663"/>
    <n v="-194.39684848843578"/>
    <n v="5376.3637534792115"/>
    <n v="-1344.0909383698029"/>
    <n v="4032.2728151094088"/>
    <n v="-1205.2477906698314"/>
    <n v="3743.6916911062444"/>
    <n v="95030.722280678921"/>
    <n v="98774.413971785165"/>
    <n v="0.69464232349547961"/>
    <n v="0.24909865776577275"/>
    <n v="0.15482774671639807"/>
  </r>
  <r>
    <n v="38"/>
    <x v="3"/>
    <n v="2"/>
    <s v="February Y4"/>
    <n v="1"/>
    <n v="1"/>
    <n v="1.3165200000000001"/>
    <n v="0.9"/>
    <n v="1.2"/>
    <n v="26.083333333333332"/>
    <n v="77.016420000000011"/>
    <n v="8.5"/>
    <n v="17075.1821175"/>
    <n v="5122.5546352499996"/>
    <n v="86.890320000000003"/>
    <n v="3910.0644000000002"/>
    <n v="95.83528348800003"/>
    <n v="958.35283488000027"/>
    <n v="521.34192000000007"/>
    <n v="437.0109148800002"/>
    <n v="5244.1309785600024"/>
    <n v="2875.058504640001"/>
    <n v="9154.1953785600017"/>
    <n v="26229.377496060002"/>
    <n v="7997.6131398900006"/>
    <n v="18231.764356170002"/>
    <n v="2000"/>
    <n v="125"/>
    <n v="150"/>
    <n v="6783.2323541666665"/>
    <n v="263.30400000000003"/>
    <n v="197.47800000000001"/>
    <n v="65.826000000000008"/>
    <n v="526.60800000000006"/>
    <n v="150"/>
    <n v="500"/>
    <n v="10234.840354166667"/>
    <n v="786.88132488180008"/>
    <n v="459.01410618105007"/>
    <n v="1245.8954310628501"/>
    <n v="11480.735785229517"/>
    <n v="6751.0285709404852"/>
    <n v="916.66666666666663"/>
    <n v="-186.8640497967493"/>
    <n v="5647.4978544770693"/>
    <n v="-1411.8744636192673"/>
    <n v="4235.6233908578015"/>
    <n v="-1212.780589361518"/>
    <n v="3939.5094681629507"/>
    <n v="98774.413971785165"/>
    <n v="102713.92343994812"/>
    <n v="0.69508947968394041"/>
    <n v="0.25738424680321059"/>
    <n v="0.16148394644493747"/>
  </r>
  <r>
    <n v="39"/>
    <x v="3"/>
    <n v="3"/>
    <s v="March Y4"/>
    <n v="1"/>
    <n v="1"/>
    <n v="1.3165200000000001"/>
    <n v="0.95"/>
    <n v="1.05"/>
    <n v="26.083333333333332"/>
    <n v="81.295110000000008"/>
    <n v="8.5"/>
    <n v="18023.803346249999"/>
    <n v="5407.1410038749991"/>
    <n v="76.029030000000006"/>
    <n v="3421.3063500000003"/>
    <n v="83.855873052000021"/>
    <n v="838.55873052000015"/>
    <n v="456.17418000000004"/>
    <n v="382.38455052000012"/>
    <n v="4588.6146062400012"/>
    <n v="2515.6761915600005"/>
    <n v="8009.920956240001"/>
    <n v="26033.724302490002"/>
    <n v="7922.817195435"/>
    <n v="18110.907107055002"/>
    <n v="2000"/>
    <n v="125"/>
    <n v="150"/>
    <n v="6783.2323541666665"/>
    <n v="197.47800000000001"/>
    <n v="197.47800000000001"/>
    <n v="65.826000000000008"/>
    <n v="460.78200000000004"/>
    <n v="150"/>
    <n v="500"/>
    <n v="10169.014354166666"/>
    <n v="781.01172907470004"/>
    <n v="455.5901752935751"/>
    <n v="1236.6019043682752"/>
    <n v="11405.616258534941"/>
    <n v="6705.2908485200605"/>
    <n v="916.66666666666663"/>
    <n v="-179.28417111323981"/>
    <n v="5609.340010740154"/>
    <n v="-1402.3350026850385"/>
    <n v="4207.0050080551155"/>
    <n v="-1220.3604680450273"/>
    <n v="3903.3112066767553"/>
    <n v="102713.92343994812"/>
    <n v="106617.23464662487"/>
    <n v="0.69567100337321996"/>
    <n v="0.25756172150439233"/>
    <n v="0.16159827764837839"/>
  </r>
  <r>
    <n v="40"/>
    <x v="3"/>
    <n v="4"/>
    <s v="April Y4"/>
    <n v="1"/>
    <n v="1"/>
    <n v="1.3165200000000001"/>
    <n v="1"/>
    <n v="1"/>
    <n v="26.083333333333332"/>
    <n v="85.573800000000006"/>
    <n v="8.5"/>
    <n v="18972.424575000001"/>
    <n v="5691.7273725000005"/>
    <n v="72.408600000000007"/>
    <n v="3258.3870000000002"/>
    <n v="79.862736240000018"/>
    <n v="798.62736240000015"/>
    <n v="434.45160000000004"/>
    <n v="364.17576240000011"/>
    <n v="4370.1091488000011"/>
    <n v="2395.8820872000006"/>
    <n v="7628.4961488000008"/>
    <n v="26600.920723800002"/>
    <n v="8087.609459700001"/>
    <n v="18513.311264100001"/>
    <n v="2000"/>
    <n v="125"/>
    <n v="150"/>
    <n v="6783.2323541666665"/>
    <n v="197.47800000000001"/>
    <n v="197.47800000000001"/>
    <n v="98.739000000000004"/>
    <n v="493.69500000000005"/>
    <n v="150"/>
    <n v="500"/>
    <n v="10201.927354166666"/>
    <n v="798.02762171400002"/>
    <n v="465.51611266650008"/>
    <n v="1263.5437343805002"/>
    <n v="11465.471088547167"/>
    <n v="7047.8401755528339"/>
    <n v="916.66666666666663"/>
    <n v="-171.65691818795838"/>
    <n v="5959.5165906982083"/>
    <n v="-1489.8791476745521"/>
    <n v="4469.6374430236565"/>
    <n v="-1227.9877209703088"/>
    <n v="4158.3163887200144"/>
    <n v="106617.23464662487"/>
    <n v="110775.55103534489"/>
    <n v="0.69596505535750242"/>
    <n v="0.26494722677952609"/>
    <n v="0.16802566683433048"/>
  </r>
  <r>
    <n v="41"/>
    <x v="3"/>
    <n v="5"/>
    <s v="May Y4"/>
    <n v="1"/>
    <n v="1"/>
    <n v="1.3165200000000001"/>
    <n v="1.05"/>
    <n v="0.95"/>
    <n v="26.083333333333332"/>
    <n v="89.852490000000003"/>
    <n v="8.5"/>
    <n v="19921.045803749999"/>
    <n v="5976.313741125"/>
    <n v="68.788170000000008"/>
    <n v="3095.4676500000005"/>
    <n v="75.869599428000015"/>
    <n v="758.69599428000015"/>
    <n v="412.72902000000005"/>
    <n v="345.9669742800001"/>
    <n v="4151.603691360001"/>
    <n v="2276.0879828400002"/>
    <n v="7247.0713413600015"/>
    <n v="27168.117145110002"/>
    <n v="8252.4017239650002"/>
    <n v="18915.715421145003"/>
    <n v="2000"/>
    <n v="125"/>
    <n v="150"/>
    <n v="6783.2323541666665"/>
    <n v="197.47800000000001"/>
    <n v="263.30400000000003"/>
    <n v="98.739000000000004"/>
    <n v="559.52100000000007"/>
    <n v="150"/>
    <n v="500"/>
    <n v="10267.753354166667"/>
    <n v="815.0435143533"/>
    <n v="475.44205003942506"/>
    <n v="1290.4855643927251"/>
    <n v="11558.238918559393"/>
    <n v="7357.4765025856104"/>
    <n v="916.66666666666663"/>
    <n v="-163.98199493189398"/>
    <n v="6276.8278409870491"/>
    <n v="-1569.2069602467623"/>
    <n v="4707.6208807402872"/>
    <n v="-1235.6626442263732"/>
    <n v="4388.624903180581"/>
    <n v="110775.55103534489"/>
    <n v="115164.17593852547"/>
    <n v="0.69624682932985837"/>
    <n v="0.27081289672331543"/>
    <n v="0.17327740658640428"/>
  </r>
  <r>
    <n v="42"/>
    <x v="3"/>
    <n v="6"/>
    <s v="June Y4"/>
    <n v="1"/>
    <n v="1"/>
    <n v="1.3165200000000001"/>
    <n v="1.1000000000000001"/>
    <n v="0.85"/>
    <n v="26.083333333333332"/>
    <n v="94.131180000000015"/>
    <n v="9.25"/>
    <n v="22711.10824125"/>
    <n v="6813.3324723750002"/>
    <n v="61.547310000000003"/>
    <n v="2769.6289500000003"/>
    <n v="67.883325804000009"/>
    <n v="678.83325804000015"/>
    <n v="369.28386"/>
    <n v="309.54939804000014"/>
    <n v="3714.5927764800017"/>
    <n v="2036.4997741200002"/>
    <n v="6484.221726480002"/>
    <n v="29195.329967730002"/>
    <n v="8849.8322464949997"/>
    <n v="20345.497721235002"/>
    <n v="2000"/>
    <n v="125"/>
    <n v="150"/>
    <n v="6783.2323541666665"/>
    <n v="329.13000000000005"/>
    <n v="197.47800000000001"/>
    <n v="98.739000000000004"/>
    <n v="625.34700000000009"/>
    <n v="150"/>
    <n v="500"/>
    <n v="10333.579354166666"/>
    <n v="875.8598990319"/>
    <n v="510.91827443527507"/>
    <n v="1386.7781734671751"/>
    <n v="11720.357527633842"/>
    <n v="8625.1401936011607"/>
    <n v="916.66666666666663"/>
    <n v="-156.25910340547912"/>
    <n v="7552.2144235290143"/>
    <n v="-1888.0536058822536"/>
    <n v="5664.1608176467607"/>
    <n v="-1243.385535752788"/>
    <n v="5337.4419485606395"/>
    <n v="115164.17593852547"/>
    <n v="120501.6178870861"/>
    <n v="0.69687507364099532"/>
    <n v="0.295428762173082"/>
    <n v="0.19400913858166477"/>
  </r>
  <r>
    <n v="43"/>
    <x v="3"/>
    <n v="7"/>
    <s v="July Y4"/>
    <n v="1"/>
    <n v="1"/>
    <n v="1.3165200000000001"/>
    <n v="1.1499999999999999"/>
    <n v="0.8"/>
    <n v="26.083333333333332"/>
    <n v="98.409870000000012"/>
    <n v="9.25"/>
    <n v="23743.431343125001"/>
    <n v="7123.0294029375"/>
    <n v="57.926880000000004"/>
    <n v="2606.7096000000001"/>
    <n v="63.89018899200002"/>
    <n v="638.90188992000026"/>
    <n v="347.56128000000001"/>
    <n v="291.34060992000025"/>
    <n v="3496.087319040003"/>
    <n v="1916.7056697600005"/>
    <n v="6102.7969190400036"/>
    <n v="29846.228262165005"/>
    <n v="9039.7350726975001"/>
    <n v="20806.493189467503"/>
    <n v="2000"/>
    <n v="125"/>
    <n v="150"/>
    <n v="6783.2323541666665"/>
    <n v="329.13000000000005"/>
    <n v="197.47800000000001"/>
    <n v="98.739000000000004"/>
    <n v="625.34700000000009"/>
    <n v="150"/>
    <n v="500"/>
    <n v="10333.579354166666"/>
    <n v="895.38684786495014"/>
    <n v="522.30899458788758"/>
    <n v="1417.6958424528377"/>
    <n v="11751.275196619505"/>
    <n v="9055.2179928479982"/>
    <n v="916.66666666666663"/>
    <n v="-148.48794380702421"/>
    <n v="7990.0633823743074"/>
    <n v="-1997.5158455935768"/>
    <n v="5992.5475367807303"/>
    <n v="-1251.1566953512429"/>
    <n v="5658.0575080961544"/>
    <n v="120501.6178870861"/>
    <n v="126159.67539518226"/>
    <n v="0.69712303366128003"/>
    <n v="0.30339572267920278"/>
    <n v="0.20078073129184193"/>
  </r>
  <r>
    <n v="44"/>
    <x v="3"/>
    <n v="8"/>
    <s v="August Y4"/>
    <n v="1"/>
    <n v="1"/>
    <n v="1.3165200000000001"/>
    <n v="1"/>
    <n v="0.85"/>
    <n v="26.083333333333332"/>
    <n v="85.573800000000006"/>
    <n v="9.25"/>
    <n v="20646.462037500001"/>
    <n v="6193.9386112500006"/>
    <n v="61.547310000000003"/>
    <n v="2769.6289500000003"/>
    <n v="67.883325804000009"/>
    <n v="678.83325804000015"/>
    <n v="369.28386"/>
    <n v="309.54939804000014"/>
    <n v="3714.5927764800017"/>
    <n v="2036.4997741200002"/>
    <n v="6484.221726480002"/>
    <n v="27130.683763980003"/>
    <n v="8230.4383853700001"/>
    <n v="18900.245378610001"/>
    <n v="2000"/>
    <n v="125"/>
    <n v="150"/>
    <n v="6783.2323541666665"/>
    <n v="197.47800000000001"/>
    <n v="197.47800000000001"/>
    <n v="98.739000000000004"/>
    <n v="493.69500000000005"/>
    <n v="150"/>
    <n v="500"/>
    <n v="10201.927354166666"/>
    <n v="813.92051291940004"/>
    <n v="474.78696586965009"/>
    <n v="1288.7074787890501"/>
    <n v="11490.634832955717"/>
    <n v="7409.6105456542846"/>
    <n v="916.66666666666663"/>
    <n v="-140.66821446107897"/>
    <n v="6352.275664526539"/>
    <n v="-1588.0689161316348"/>
    <n v="4764.206748394904"/>
    <n v="-1258.9764246971881"/>
    <n v="4421.8969903643829"/>
    <n v="126159.67539518226"/>
    <n v="130581.57238554665"/>
    <n v="0.69663726661039316"/>
    <n v="0.27310813874479783"/>
    <n v="0.17560216284412608"/>
  </r>
  <r>
    <n v="45"/>
    <x v="3"/>
    <n v="9"/>
    <s v="September Y4"/>
    <n v="1"/>
    <n v="1"/>
    <n v="1.3165200000000001"/>
    <n v="0.95"/>
    <n v="1.05"/>
    <n v="26.083333333333332"/>
    <n v="81.295110000000008"/>
    <n v="8.5"/>
    <n v="18023.803346249999"/>
    <n v="5407.1410038749991"/>
    <n v="76.029030000000006"/>
    <n v="3421.3063500000003"/>
    <n v="83.855873052000021"/>
    <n v="838.55873052000015"/>
    <n v="456.17418000000004"/>
    <n v="382.38455052000012"/>
    <n v="4588.6146062400012"/>
    <n v="2515.6761915600005"/>
    <n v="8009.920956240001"/>
    <n v="26033.724302490002"/>
    <n v="7922.817195435"/>
    <n v="18110.907107055002"/>
    <n v="2000"/>
    <n v="125"/>
    <n v="150"/>
    <n v="6783.2323541666665"/>
    <n v="263.30400000000003"/>
    <n v="263.30400000000003"/>
    <n v="98.739000000000004"/>
    <n v="625.34700000000009"/>
    <n v="150"/>
    <n v="500"/>
    <n v="10333.579354166666"/>
    <n v="781.01172907470004"/>
    <n v="455.5901752935751"/>
    <n v="1236.6019043682752"/>
    <n v="11570.181258534942"/>
    <n v="6540.72584852006"/>
    <n v="916.66666666666663"/>
    <n v="-132.79961180672151"/>
    <n v="5491.2595700466718"/>
    <n v="-1372.8148925116679"/>
    <n v="4118.4446775350043"/>
    <n v="-1266.8450273515457"/>
    <n v="3768.2663168501258"/>
    <n v="130581.57238554665"/>
    <n v="134349.83870239678"/>
    <n v="0.69567100337321996"/>
    <n v="0.25124049761464484"/>
    <n v="0.15819652346633689"/>
  </r>
  <r>
    <n v="46"/>
    <x v="3"/>
    <n v="10"/>
    <s v="October Y4"/>
    <n v="1"/>
    <n v="1"/>
    <n v="1.3165200000000001"/>
    <n v="1"/>
    <n v="1"/>
    <n v="26.083333333333332"/>
    <n v="85.573800000000006"/>
    <n v="8.5"/>
    <n v="18972.424575000001"/>
    <n v="5691.7273725000005"/>
    <n v="72.408600000000007"/>
    <n v="3258.3870000000002"/>
    <n v="79.862736240000018"/>
    <n v="798.62736240000015"/>
    <n v="434.45160000000004"/>
    <n v="364.17576240000011"/>
    <n v="4370.1091488000011"/>
    <n v="2395.8820872000006"/>
    <n v="7628.4961488000008"/>
    <n v="26600.920723800002"/>
    <n v="8087.609459700001"/>
    <n v="18513.311264100001"/>
    <n v="2000"/>
    <n v="125"/>
    <n v="150"/>
    <n v="6783.2323541666665"/>
    <n v="197.47800000000001"/>
    <n v="197.47800000000001"/>
    <n v="65.826000000000008"/>
    <n v="460.78200000000004"/>
    <n v="150"/>
    <n v="500"/>
    <n v="10169.014354166666"/>
    <n v="798.02762171400002"/>
    <n v="465.51611266650008"/>
    <n v="1263.5437343805002"/>
    <n v="11432.558088547166"/>
    <n v="7080.7531755528344"/>
    <n v="916.66666666666663"/>
    <n v="-124.88183038577438"/>
    <n v="6039.2046785003931"/>
    <n v="-1509.8011696250983"/>
    <n v="4529.4035088752953"/>
    <n v="-1274.7628087724929"/>
    <n v="4171.3073667694698"/>
    <n v="134349.83870239678"/>
    <n v="138521.14606916625"/>
    <n v="0.69596505535750242"/>
    <n v="0.26618451477950694"/>
    <n v="0.17027243364635913"/>
  </r>
  <r>
    <n v="47"/>
    <x v="3"/>
    <n v="11"/>
    <s v="November Y4"/>
    <n v="1"/>
    <n v="1"/>
    <n v="1.3165200000000001"/>
    <n v="1.05"/>
    <n v="0.95"/>
    <n v="26.083333333333332"/>
    <n v="89.852490000000003"/>
    <n v="8.5"/>
    <n v="19921.045803749999"/>
    <n v="5976.313741125"/>
    <n v="68.788170000000008"/>
    <n v="3095.4676500000005"/>
    <n v="75.869599428000015"/>
    <n v="758.69599428000015"/>
    <n v="412.72902000000005"/>
    <n v="345.9669742800001"/>
    <n v="4151.603691360001"/>
    <n v="2276.0879828400002"/>
    <n v="7247.0713413600015"/>
    <n v="27168.117145110002"/>
    <n v="8252.4017239650002"/>
    <n v="18915.715421145003"/>
    <n v="2000"/>
    <n v="125"/>
    <n v="150"/>
    <n v="6783.2323541666665"/>
    <n v="329.13000000000005"/>
    <n v="263.30400000000003"/>
    <n v="98.739000000000004"/>
    <n v="691.17300000000012"/>
    <n v="150"/>
    <n v="500"/>
    <n v="10399.405354166667"/>
    <n v="815.0435143533"/>
    <n v="475.44205003942506"/>
    <n v="1290.4855643927251"/>
    <n v="11689.890918559393"/>
    <n v="7225.8245025856104"/>
    <n v="916.66666666666663"/>
    <n v="-116.91456283094629"/>
    <n v="6192.2432730879973"/>
    <n v="-1548.0608182719993"/>
    <n v="4644.1824548159984"/>
    <n v="-1282.7300763273208"/>
    <n v="4278.1190451553448"/>
    <n v="138521.14606916625"/>
    <n v="142799.26511432161"/>
    <n v="0.69624682932985837"/>
    <n v="0.26596706956139538"/>
    <n v="0.17094237447558658"/>
  </r>
  <r>
    <n v="48"/>
    <x v="3"/>
    <n v="12"/>
    <s v="December Y4"/>
    <n v="1"/>
    <n v="1"/>
    <n v="1.3165200000000001"/>
    <n v="1.2"/>
    <n v="0.8"/>
    <n v="26.083333333333332"/>
    <n v="102.68856000000001"/>
    <n v="8.5"/>
    <n v="22766.909490000002"/>
    <n v="6830.0728470000004"/>
    <n v="57.926880000000004"/>
    <n v="2606.7096000000001"/>
    <n v="63.89018899200002"/>
    <n v="638.90188992000026"/>
    <n v="347.56128000000001"/>
    <n v="291.34060992000025"/>
    <n v="3496.087319040003"/>
    <n v="1916.7056697600005"/>
    <n v="6102.7969190400036"/>
    <n v="28869.706409040005"/>
    <n v="8746.7785167600014"/>
    <n v="20122.927892280004"/>
    <n v="2000"/>
    <n v="125"/>
    <n v="150"/>
    <n v="6783.2323541666665"/>
    <n v="394.95600000000002"/>
    <n v="329.13000000000005"/>
    <n v="131.65200000000002"/>
    <n v="855.73800000000006"/>
    <n v="150"/>
    <n v="500"/>
    <n v="10563.970354166666"/>
    <n v="866.09119227120016"/>
    <n v="505.21986215820016"/>
    <n v="1371.3110544294004"/>
    <n v="11935.281408596067"/>
    <n v="8187.6464836839368"/>
    <n v="916.66666666666663"/>
    <n v="-108.89749985390056"/>
    <n v="7162.0823171633692"/>
    <n v="-1790.5205792908423"/>
    <n v="5371.5617378725274"/>
    <n v="-1290.7471393043666"/>
    <n v="4997.4812652348282"/>
    <n v="142799.26511432161"/>
    <n v="147796.74637955643"/>
    <n v="0.69702571987288686"/>
    <n v="0.28360684960482069"/>
    <n v="0.18606222251676671"/>
  </r>
  <r>
    <n v="49"/>
    <x v="4"/>
    <n v="1"/>
    <s v="January Y5"/>
    <n v="1"/>
    <n v="1"/>
    <n v="1.3560156000000001"/>
    <n v="0.85"/>
    <n v="1.3"/>
    <n v="26.083333333333332"/>
    <n v="74.919861900000001"/>
    <n v="8.5"/>
    <n v="16610.357715412498"/>
    <n v="4983.1073146237495"/>
    <n v="96.955115400000011"/>
    <n v="4362.9801930000003"/>
    <n v="106.93620382536001"/>
    <n v="1069.3620382536001"/>
    <n v="581.73069240000007"/>
    <n v="487.63134585360001"/>
    <n v="5851.5761502431997"/>
    <n v="3208.0861147608002"/>
    <n v="10214.556343243199"/>
    <n v="26824.914058655697"/>
    <n v="8191.1934293845497"/>
    <n v="18633.720629271149"/>
    <n v="2000"/>
    <n v="125"/>
    <n v="150"/>
    <n v="6783.2323541666665"/>
    <n v="406.80468000000002"/>
    <n v="203.40234000000001"/>
    <n v="67.800780000000003"/>
    <n v="678.00780000000009"/>
    <n v="150"/>
    <n v="500"/>
    <n v="10386.240154166666"/>
    <n v="804.74742175967083"/>
    <n v="469.43599602647475"/>
    <n v="1274.1834177861456"/>
    <n v="11660.423571952811"/>
    <n v="6973.2970573183375"/>
    <n v="916.66666666666663"/>
    <n v="-100.83033023324826"/>
    <n v="5955.8000604184226"/>
    <n v="-1488.9500151046057"/>
    <n v="4466.8500453138167"/>
    <n v="-1298.8143089250188"/>
    <n v="4084.7024030554649"/>
    <n v="147796.74637955643"/>
    <n v="151881.4487826119"/>
    <n v="0.69464232349547961"/>
    <n v="0.25995598875248727"/>
    <n v="0.16651870852396938"/>
  </r>
  <r>
    <n v="50"/>
    <x v="4"/>
    <n v="2"/>
    <s v="February Y5"/>
    <n v="1"/>
    <n v="1"/>
    <n v="1.3560156000000001"/>
    <n v="0.9"/>
    <n v="1.2"/>
    <n v="26.083333333333332"/>
    <n v="79.3269126"/>
    <n v="8.5"/>
    <n v="17587.437581024999"/>
    <n v="5276.231274307499"/>
    <n v="89.497029600000005"/>
    <n v="4027.3663320000001"/>
    <n v="98.710341992640025"/>
    <n v="987.10341992640019"/>
    <n v="536.9821776"/>
    <n v="450.12124232640019"/>
    <n v="5401.4549079168028"/>
    <n v="2961.3102597792008"/>
    <n v="9428.8212399168024"/>
    <n v="27016.258820941803"/>
    <n v="8237.5415340867003"/>
    <n v="18778.717286855102"/>
    <n v="2000"/>
    <n v="125"/>
    <n v="150"/>
    <n v="6783.2323541666665"/>
    <n v="271.20312000000001"/>
    <n v="203.40234000000001"/>
    <n v="67.800780000000003"/>
    <n v="542.40624000000003"/>
    <n v="150"/>
    <n v="500"/>
    <n v="10250.638594166667"/>
    <n v="810.48776462825401"/>
    <n v="472.78452936648159"/>
    <n v="1283.2722939947357"/>
    <n v="11533.910888161403"/>
    <n v="7244.8063986936995"/>
    <n v="916.66666666666663"/>
    <n v="-92.712740802466897"/>
    <n v="6235.4269912245654"/>
    <n v="-1558.8567478061414"/>
    <n v="4676.5702434184241"/>
    <n v="-1306.9318983558003"/>
    <n v="4286.3050117292905"/>
    <n v="151881.4487826119"/>
    <n v="156167.7537943412"/>
    <n v="0.69508947968394041"/>
    <n v="0.26816467989556897"/>
    <n v="0.17310206695952124"/>
  </r>
  <r>
    <n v="51"/>
    <x v="4"/>
    <n v="3"/>
    <s v="March Y5"/>
    <n v="1"/>
    <n v="1"/>
    <n v="1.3560156000000001"/>
    <n v="0.95"/>
    <n v="1.05"/>
    <n v="26.083333333333332"/>
    <n v="83.733963299999999"/>
    <n v="8.5"/>
    <n v="18564.517446637496"/>
    <n v="5569.3552339912485"/>
    <n v="78.309900900000002"/>
    <n v="3523.9455404999999"/>
    <n v="86.371549243560025"/>
    <n v="863.71549243560025"/>
    <n v="469.85940540000001"/>
    <n v="393.85608703560024"/>
    <n v="4726.2730444272029"/>
    <n v="2591.146477306801"/>
    <n v="8250.2185849272028"/>
    <n v="26814.736031564698"/>
    <n v="8160.5017112980495"/>
    <n v="18654.234320266649"/>
    <n v="2000"/>
    <n v="125"/>
    <n v="150"/>
    <n v="6783.2323541666665"/>
    <n v="203.40234000000001"/>
    <n v="203.40234000000001"/>
    <n v="67.800780000000003"/>
    <n v="474.60545999999999"/>
    <n v="150"/>
    <n v="500"/>
    <n v="10182.837814166667"/>
    <n v="804.44208094694091"/>
    <n v="469.25788055238229"/>
    <n v="1273.6999614993233"/>
    <n v="11456.537775665991"/>
    <n v="7197.6965446006579"/>
    <n v="916.66666666666663"/>
    <n v="-84.544416437743138"/>
    <n v="6196.4854614962478"/>
    <n v="-1549.121365374062"/>
    <n v="4647.3640961221863"/>
    <n v="-1315.100222720524"/>
    <n v="4248.9305400683297"/>
    <n v="156167.7537943412"/>
    <n v="160416.68433440954"/>
    <n v="0.69567100337321996"/>
    <n v="0.2684231735911165"/>
    <n v="0.17331381113174443"/>
  </r>
  <r>
    <n v="52"/>
    <x v="4"/>
    <n v="4"/>
    <s v="April Y5"/>
    <n v="1"/>
    <n v="1"/>
    <n v="1.3560156000000001"/>
    <n v="1"/>
    <n v="1"/>
    <n v="26.083333333333332"/>
    <n v="88.141014000000013"/>
    <n v="8.5"/>
    <n v="19541.597312250004"/>
    <n v="5862.4791936750007"/>
    <n v="74.580858000000006"/>
    <n v="3356.1386100000004"/>
    <n v="82.258618327200011"/>
    <n v="822.58618327200008"/>
    <n v="447.48514800000004"/>
    <n v="375.10103527200005"/>
    <n v="4501.2124232640008"/>
    <n v="2467.7585498160001"/>
    <n v="7857.3510332640017"/>
    <n v="27398.948345514007"/>
    <n v="8330.2377434910013"/>
    <n v="19068.710602023006"/>
    <n v="2000"/>
    <n v="125"/>
    <n v="150"/>
    <n v="6783.2323541666665"/>
    <n v="203.40234000000001"/>
    <n v="203.40234000000001"/>
    <n v="101.70117"/>
    <n v="508.50585000000001"/>
    <n v="150"/>
    <n v="500"/>
    <n v="10216.738204166666"/>
    <n v="821.96845036542015"/>
    <n v="479.48159604649516"/>
    <n v="1301.4500464119153"/>
    <n v="11518.188250578582"/>
    <n v="7550.5223514444242"/>
    <n v="916.66666666666663"/>
    <n v="-76.325040045739868"/>
    <n v="6557.5306447320172"/>
    <n v="-1639.3826611830043"/>
    <n v="4918.1479835490127"/>
    <n v="-1323.3195991125274"/>
    <n v="4511.495051103152"/>
    <n v="160416.68433440954"/>
    <n v="164928.17938551269"/>
    <n v="0.69596505535750242"/>
    <n v="0.27557708625267952"/>
    <n v="0.17950134149416191"/>
  </r>
  <r>
    <n v="53"/>
    <x v="4"/>
    <n v="5"/>
    <s v="May Y5"/>
    <n v="1"/>
    <n v="1"/>
    <n v="1.3560156000000001"/>
    <n v="1.05"/>
    <n v="0.95"/>
    <n v="26.083333333333332"/>
    <n v="92.548064700000012"/>
    <n v="8.5"/>
    <n v="20518.677177862501"/>
    <n v="6155.6031533587502"/>
    <n v="70.85181510000001"/>
    <n v="3188.3316795000005"/>
    <n v="78.145687410840011"/>
    <n v="781.45687410840014"/>
    <n v="425.11089060000006"/>
    <n v="356.34598350840008"/>
    <n v="4276.1518021008014"/>
    <n v="2344.3706223252002"/>
    <n v="7464.4834816008024"/>
    <n v="27983.160659463305"/>
    <n v="8499.9737756839495"/>
    <n v="19483.186883779355"/>
    <n v="2000"/>
    <n v="125"/>
    <n v="150"/>
    <n v="6783.2323541666665"/>
    <n v="203.40234000000001"/>
    <n v="271.20312000000001"/>
    <n v="101.70117"/>
    <n v="576.30663000000004"/>
    <n v="150"/>
    <n v="500"/>
    <n v="10284.538984166666"/>
    <n v="839.49481978389906"/>
    <n v="489.70531154060791"/>
    <n v="1329.2001313245069"/>
    <n v="11613.739115491173"/>
    <n v="7869.4477682881825"/>
    <n v="916.66666666666663"/>
    <n v="-68.054292551286565"/>
    <n v="6884.7268090702291"/>
    <n v="-1721.1817022675573"/>
    <n v="5163.5451068026723"/>
    <n v="-1331.5903466069806"/>
    <n v="4748.6214268623589"/>
    <n v="164928.17938551269"/>
    <n v="169676.80081237503"/>
    <n v="0.69624682932985837"/>
    <n v="0.28122083363113254"/>
    <n v="0.18452329848081231"/>
  </r>
  <r>
    <n v="54"/>
    <x v="4"/>
    <n v="6"/>
    <s v="June Y5"/>
    <n v="1"/>
    <n v="1"/>
    <n v="1.3560156000000001"/>
    <n v="1.1000000000000001"/>
    <n v="0.85"/>
    <n v="26.083333333333332"/>
    <n v="96.955115400000011"/>
    <n v="9.25"/>
    <n v="23392.4414884875"/>
    <n v="7017.7324465462498"/>
    <n v="63.393729300000004"/>
    <n v="2852.7178185000002"/>
    <n v="69.919825578120012"/>
    <n v="699.19825578120015"/>
    <n v="380.3623758"/>
    <n v="318.83587998120015"/>
    <n v="3826.0305597744018"/>
    <n v="2097.5947673436003"/>
    <n v="6678.7483782744021"/>
    <n v="30071.189866761903"/>
    <n v="9115.3272138898501"/>
    <n v="20955.862652872052"/>
    <n v="2000"/>
    <n v="125"/>
    <n v="150"/>
    <n v="6783.2323541666665"/>
    <n v="339.00390000000004"/>
    <n v="203.40234000000001"/>
    <n v="101.70117"/>
    <n v="644.10741000000007"/>
    <n v="150"/>
    <n v="500"/>
    <n v="10352.339764166667"/>
    <n v="902.135696002857"/>
    <n v="526.24582266833329"/>
    <n v="1428.3815186711904"/>
    <n v="11780.721282837858"/>
    <n v="9175.1413700341946"/>
    <n v="916.66666666666663"/>
    <n v="-59.731852884992939"/>
    <n v="8198.7428504825348"/>
    <n v="-2049.6857126206337"/>
    <n v="6149.0571378619006"/>
    <n v="-1339.9127862732742"/>
    <n v="5725.8110182552937"/>
    <n v="169676.80081237503"/>
    <n v="175402.61183063034"/>
    <n v="0.69687507364099532"/>
    <n v="0.30511401147367312"/>
    <n v="0.2044833332204968"/>
  </r>
  <r>
    <n v="55"/>
    <x v="4"/>
    <n v="7"/>
    <s v="July Y5"/>
    <n v="1"/>
    <n v="1"/>
    <n v="1.3560156000000001"/>
    <n v="1.1499999999999999"/>
    <n v="0.8"/>
    <n v="26.083333333333332"/>
    <n v="101.36216610000001"/>
    <n v="9.25"/>
    <n v="24455.734283418751"/>
    <n v="7336.7202850256253"/>
    <n v="59.664686400000008"/>
    <n v="2684.9108880000003"/>
    <n v="65.806894661760012"/>
    <n v="658.06894661760009"/>
    <n v="357.98811840000008"/>
    <n v="300.08082821760001"/>
    <n v="3600.9699386112002"/>
    <n v="1974.2068398528004"/>
    <n v="6285.880826611201"/>
    <n v="30741.615110029954"/>
    <n v="9310.9271248784262"/>
    <n v="21430.687985151526"/>
    <n v="2000"/>
    <n v="125"/>
    <n v="150"/>
    <n v="6783.2323541666665"/>
    <n v="339.00390000000004"/>
    <n v="203.40234000000001"/>
    <n v="101.70117"/>
    <n v="644.10741000000007"/>
    <n v="150"/>
    <n v="500"/>
    <n v="10352.339764166667"/>
    <n v="922.24845330089863"/>
    <n v="537.97826442552423"/>
    <n v="1460.226717726423"/>
    <n v="11812.566481893089"/>
    <n v="9618.1215032584369"/>
    <n v="916.66666666666663"/>
    <n v="-51.357397970784973"/>
    <n v="8650.0974386209855"/>
    <n v="-2162.5243596552464"/>
    <n v="6487.5730789657391"/>
    <n v="-1348.2872411874823"/>
    <n v="6055.9525044449238"/>
    <n v="175402.61183063034"/>
    <n v="181458.56433507527"/>
    <n v="0.69712303366128003"/>
    <n v="0.3128697522506021"/>
    <n v="0.21103553133904998"/>
  </r>
  <r>
    <n v="56"/>
    <x v="4"/>
    <n v="8"/>
    <s v="August Y5"/>
    <n v="1"/>
    <n v="1"/>
    <n v="1.3560156000000001"/>
    <n v="1"/>
    <n v="0.85"/>
    <n v="26.083333333333332"/>
    <n v="88.141014000000013"/>
    <n v="9.25"/>
    <n v="21265.855898625003"/>
    <n v="6379.7567695875005"/>
    <n v="63.393729300000004"/>
    <n v="2852.7178185000002"/>
    <n v="69.919825578120012"/>
    <n v="699.19825578120015"/>
    <n v="380.3623758"/>
    <n v="318.83587998120015"/>
    <n v="3826.0305597744018"/>
    <n v="2097.5947673436003"/>
    <n v="6678.7483782744021"/>
    <n v="27944.604276899405"/>
    <n v="8477.3515369311008"/>
    <n v="19467.252739968302"/>
    <n v="2000"/>
    <n v="125"/>
    <n v="150"/>
    <n v="6783.2323541666665"/>
    <n v="203.40234000000001"/>
    <n v="203.40234000000001"/>
    <n v="101.70117"/>
    <n v="508.50585000000001"/>
    <n v="150"/>
    <n v="500"/>
    <n v="10216.738204166666"/>
    <n v="838.33812830698207"/>
    <n v="489.03057484573964"/>
    <n v="1327.3687031527218"/>
    <n v="11544.106907319388"/>
    <n v="7923.1458326489137"/>
    <n v="916.66666666666663"/>
    <n v="-42.930602713363207"/>
    <n v="6963.5485632688833"/>
    <n v="-1740.8871408172208"/>
    <n v="5222.6614224516625"/>
    <n v="-1356.714036444904"/>
    <n v="4782.6140526734252"/>
    <n v="181458.56433507527"/>
    <n v="186241.17838774869"/>
    <n v="0.69663726661039316"/>
    <n v="0.2835304359345906"/>
    <n v="0.18689337557622923"/>
  </r>
  <r>
    <n v="57"/>
    <x v="4"/>
    <n v="9"/>
    <s v="September Y5"/>
    <n v="1"/>
    <n v="1"/>
    <n v="1.3560156000000001"/>
    <n v="0.95"/>
    <n v="1.05"/>
    <n v="26.083333333333332"/>
    <n v="83.733963299999999"/>
    <n v="8.5"/>
    <n v="18564.517446637496"/>
    <n v="5569.3552339912485"/>
    <n v="78.309900900000002"/>
    <n v="3523.9455404999999"/>
    <n v="86.371549243560025"/>
    <n v="863.71549243560025"/>
    <n v="469.85940540000001"/>
    <n v="393.85608703560024"/>
    <n v="4726.2730444272029"/>
    <n v="2591.146477306801"/>
    <n v="8250.2185849272028"/>
    <n v="26814.736031564698"/>
    <n v="8160.5017112980495"/>
    <n v="18654.234320266649"/>
    <n v="2000"/>
    <n v="125"/>
    <n v="150"/>
    <n v="6783.2323541666665"/>
    <n v="271.20312000000001"/>
    <n v="271.20312000000001"/>
    <n v="101.70117"/>
    <n v="644.10741000000007"/>
    <n v="150"/>
    <n v="500"/>
    <n v="10352.339764166667"/>
    <n v="804.44208094694091"/>
    <n v="469.25788055238229"/>
    <n v="1273.6999614993233"/>
    <n v="11626.039725665991"/>
    <n v="7028.1945946006581"/>
    <n v="916.66666666666663"/>
    <n v="-34.451139985582557"/>
    <n v="6077.0767879484083"/>
    <n v="-1519.2691969871021"/>
    <n v="4557.8075909613062"/>
    <n v="-1365.1934991726846"/>
    <n v="4109.2807584552884"/>
    <n v="186241.17838774869"/>
    <n v="190350.45914620397"/>
    <n v="0.69567100337321996"/>
    <n v="0.26210194970136902"/>
    <n v="0.1699739869001928"/>
  </r>
  <r>
    <n v="58"/>
    <x v="4"/>
    <n v="10"/>
    <s v="October Y5"/>
    <n v="1"/>
    <n v="1"/>
    <n v="1.3560156000000001"/>
    <n v="1"/>
    <n v="1"/>
    <n v="26.083333333333332"/>
    <n v="88.141014000000013"/>
    <n v="8.5"/>
    <n v="19541.597312250004"/>
    <n v="5862.4791936750007"/>
    <n v="74.580858000000006"/>
    <n v="3356.1386100000004"/>
    <n v="82.258618327200011"/>
    <n v="822.58618327200008"/>
    <n v="447.48514800000004"/>
    <n v="375.10103527200005"/>
    <n v="4501.2124232640008"/>
    <n v="2467.7585498160001"/>
    <n v="7857.3510332640017"/>
    <n v="27398.948345514007"/>
    <n v="8330.2377434910013"/>
    <n v="19068.710602023006"/>
    <n v="2000"/>
    <n v="125"/>
    <n v="150"/>
    <n v="6783.2323541666665"/>
    <n v="203.40234000000001"/>
    <n v="203.40234000000001"/>
    <n v="67.800780000000003"/>
    <n v="474.60545999999999"/>
    <n v="150"/>
    <n v="500"/>
    <n v="10182.837814166667"/>
    <n v="821.96845036542015"/>
    <n v="479.48159604649516"/>
    <n v="1301.4500464119153"/>
    <n v="11484.287860578583"/>
    <n v="7584.4227414444231"/>
    <n v="916.66666666666663"/>
    <n v="-25.918680615753274"/>
    <n v="6641.837394162003"/>
    <n v="-1660.4593485405007"/>
    <n v="4981.3780456215027"/>
    <n v="-1373.7259585425138"/>
    <n v="4524.3187537456561"/>
    <n v="190350.45914620397"/>
    <n v="194874.77789994964"/>
    <n v="0.69596505535750242"/>
    <n v="0.27681437425266031"/>
    <n v="0.18180909656837602"/>
  </r>
  <r>
    <n v="59"/>
    <x v="4"/>
    <n v="11"/>
    <s v="November Y5"/>
    <n v="1"/>
    <n v="1"/>
    <n v="1.3560156000000001"/>
    <n v="1.05"/>
    <n v="0.95"/>
    <n v="26.083333333333332"/>
    <n v="92.548064700000012"/>
    <n v="8.5"/>
    <n v="20518.677177862501"/>
    <n v="6155.6031533587502"/>
    <n v="70.85181510000001"/>
    <n v="3188.3316795000005"/>
    <n v="78.145687410840011"/>
    <n v="781.45687410840014"/>
    <n v="425.11089060000006"/>
    <n v="356.34598350840008"/>
    <n v="4276.1518021008014"/>
    <n v="2344.3706223252002"/>
    <n v="7464.4834816008024"/>
    <n v="27983.160659463305"/>
    <n v="8499.9737756839495"/>
    <n v="19483.186883779355"/>
    <n v="2000"/>
    <n v="125"/>
    <n v="150"/>
    <n v="6783.2323541666665"/>
    <n v="339.00390000000004"/>
    <n v="271.20312000000001"/>
    <n v="101.70117"/>
    <n v="711.9081900000001"/>
    <n v="150"/>
    <n v="500"/>
    <n v="10420.140544166667"/>
    <n v="839.49481978389906"/>
    <n v="489.70531154060791"/>
    <n v="1329.2001313245069"/>
    <n v="11749.340675491174"/>
    <n v="7733.8462082881815"/>
    <n v="916.66666666666663"/>
    <n v="-17.332893374862568"/>
    <n v="6799.846648246652"/>
    <n v="-1699.961662061663"/>
    <n v="5099.8849861849885"/>
    <n v="-1382.3117457834046"/>
    <n v="4634.2399070682513"/>
    <n v="194874.77789994964"/>
    <n v="199509.0178070179"/>
    <n v="0.69624682932985837"/>
    <n v="0.27637500646921243"/>
    <n v="0.18224835458178726"/>
  </r>
  <r>
    <n v="60"/>
    <x v="4"/>
    <n v="12"/>
    <s v="December Y5"/>
    <n v="1"/>
    <n v="1"/>
    <n v="1.3560156000000001"/>
    <n v="1.2"/>
    <n v="0.8"/>
    <n v="26.083333333333332"/>
    <n v="105.76921680000001"/>
    <n v="8.5"/>
    <n v="23449.916774699999"/>
    <n v="7034.9750324099996"/>
    <n v="59.664686400000008"/>
    <n v="2684.9108880000003"/>
    <n v="65.806894661760012"/>
    <n v="658.06894661760009"/>
    <n v="357.98811840000008"/>
    <n v="300.08082821760001"/>
    <n v="3600.9699386112002"/>
    <n v="1974.2068398528004"/>
    <n v="6285.880826611201"/>
    <n v="29735.797601311198"/>
    <n v="9009.1818722627995"/>
    <n v="20726.615729048397"/>
    <n v="2000"/>
    <n v="125"/>
    <n v="150"/>
    <n v="6783.2323541666665"/>
    <n v="406.80468000000002"/>
    <n v="339.00390000000004"/>
    <n v="135.60156000000001"/>
    <n v="881.41014000000018"/>
    <n v="150"/>
    <n v="500"/>
    <n v="10589.642494166666"/>
    <n v="892.0739280393359"/>
    <n v="520.37645802294605"/>
    <n v="1412.450386062282"/>
    <n v="12002.092880228949"/>
    <n v="8724.522848819448"/>
    <n v="916.66666666666663"/>
    <n v="-8.6934449637162885"/>
    <n v="7799.1627371890645"/>
    <n v="-1949.7906842972661"/>
    <n v="5849.3720528917984"/>
    <n v="-1390.9511941945509"/>
    <n v="5375.0875253639142"/>
    <n v="199509.0178070179"/>
    <n v="204884.10533238182"/>
    <n v="0.69702571987288675"/>
    <n v="0.29340133955023762"/>
    <n v="0.19671145638393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D8B52-D6CA-41B2-86AD-0F74079F04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13" firstHeaderRow="0" firstDataRow="1" firstDataCol="1"/>
  <pivotFields count="54">
    <pivotField showAll="0"/>
    <pivotField axis="axisRow" showAll="0">
      <items count="6">
        <item x="0"/>
        <item x="1"/>
        <item x="2"/>
        <item x="3"/>
        <item x="4"/>
        <item t="default"/>
      </items>
    </pivotField>
    <pivotField showAll="0"/>
    <pivotField showAll="0"/>
    <pivotField numFmtId="165" showAll="0"/>
    <pivotField numFmtId="165" showAll="0"/>
    <pivotField numFmtId="167" showAll="0"/>
    <pivotField numFmtId="2" showAll="0"/>
    <pivotField numFmtId="2" showAll="0"/>
    <pivotField numFmtId="167" showAll="0"/>
    <pivotField numFmtId="167" showAll="0"/>
    <pivotField numFmtId="166" showAll="0"/>
    <pivotField numFmtId="166" showAll="0"/>
    <pivotField numFmtId="166" showAll="0"/>
    <pivotField numFmtId="167" showAll="0"/>
    <pivotField numFmtId="166" showAll="0"/>
    <pivotField numFmtId="167" showAll="0"/>
    <pivotField numFmtId="167" showAll="0"/>
    <pivotField numFmtId="167" showAll="0"/>
    <pivotField numFmtId="167" showAll="0"/>
    <pivotField numFmtId="166" showAll="0"/>
    <pivotField numFmtId="166" showAll="0"/>
    <pivotField numFmtId="166" showAll="0"/>
    <pivotField dataField="1" numFmtId="166" showAll="0"/>
    <pivotField numFmtId="166" showAll="0"/>
    <pivotField dataField="1"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dataField="1"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5" showAll="0"/>
    <pivotField numFmtId="165" showAll="0"/>
    <pivotField numFmtId="165" showAll="0"/>
  </pivotFields>
  <rowFields count="1">
    <field x="1"/>
  </rowFields>
  <rowItems count="6">
    <i>
      <x/>
    </i>
    <i>
      <x v="1"/>
    </i>
    <i>
      <x v="2"/>
    </i>
    <i>
      <x v="3"/>
    </i>
    <i>
      <x v="4"/>
    </i>
    <i t="grand">
      <x/>
    </i>
  </rowItems>
  <colFields count="1">
    <field x="-2"/>
  </colFields>
  <colItems count="3">
    <i>
      <x/>
    </i>
    <i i="1">
      <x v="1"/>
    </i>
    <i i="2">
      <x v="2"/>
    </i>
  </colItems>
  <dataFields count="3">
    <dataField name="Sum of TotalRevenue" fld="23" baseField="0" baseItem="0" numFmtId="166"/>
    <dataField name="Sum of GrossProfit" fld="25" baseField="0" baseItem="0" numFmtId="166"/>
    <dataField name="Sum of EBITDA" fld="4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88A1A44-8B40-4E1B-8C2A-750E8984C643}" sourceName="Year">
  <pivotTables>
    <pivotTable tabId="22" name="PivotTable4"/>
  </pivotTables>
  <data>
    <tabular pivotCacheId="1977168679">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8185F5B-D709-4F60-852F-589C2E81710D}"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685FA5-E059-403D-B7A2-79E5AA63B006}" name="Table1" displayName="Table1" ref="A7:BB67" totalsRowShown="0" headerRowDxfId="58" dataDxfId="56" headerRowBorderDxfId="57" tableBorderDxfId="55" totalsRowBorderDxfId="54">
  <autoFilter ref="A7:BB67" xr:uid="{1B685FA5-E059-403D-B7A2-79E5AA63B006}"/>
  <tableColumns count="54">
    <tableColumn id="1" xr3:uid="{D91BE39B-B7C2-44CA-9A44-F45C0833FD9B}" name="Period" dataDxfId="53"/>
    <tableColumn id="2" xr3:uid="{34ECF1E8-3DC8-4ACA-BA2B-F55839501585}" name="Year" dataDxfId="52"/>
    <tableColumn id="3" xr3:uid="{CD5A3649-21B1-45A5-98C5-4932AAED474A}" name="MonthInYr" dataDxfId="51"/>
    <tableColumn id="4" xr3:uid="{1207422A-8E46-4BE3-AD69-CC50211C56BB}" name="MonthLabel" dataDxfId="50"/>
    <tableColumn id="5" xr3:uid="{1EB99220-D7CF-492D-A6E5-0A9C958A0373}" name="CafeRamp" dataDxfId="49">
      <calculatedColumnFormula>IF(B8=1,INDEX(Workings!$B$27:$B$38,C8),1)</calculatedColumnFormula>
    </tableColumn>
    <tableColumn id="6" xr3:uid="{8D42FABE-B898-4E25-B1C8-0F2D6B709E61}" name="FitRamp" dataDxfId="48">
      <calculatedColumnFormula>IF(B8=1,INDEX(Workings!$C$27:$C$38,C8),1)</calculatedColumnFormula>
    </tableColumn>
    <tableColumn id="7" xr3:uid="{9413D17D-36CF-4436-B74E-8B941EC6358C}" name="GrowthFactor" dataDxfId="47">
      <calculatedColumnFormula>INDEX(Workings!$C$19:$C$23,B8)</calculatedColumnFormula>
    </tableColumn>
    <tableColumn id="8" xr3:uid="{878EA63C-E8E9-4940-AC60-F0FEC6C41E22}" name="CafeSeason" dataDxfId="46">
      <calculatedColumnFormula>INDEX('Seasonality Data Break down'!$C$7:$C$18,C8)</calculatedColumnFormula>
    </tableColumn>
    <tableColumn id="9" xr3:uid="{9BB486E7-CBA2-4346-B2F7-D636BBA6E156}" name="FitSeason" dataDxfId="45">
      <calculatedColumnFormula>INDEX('Seasonality Data Break down'!$D$7:$D$18,C8)</calculatedColumnFormula>
    </tableColumn>
    <tableColumn id="10" xr3:uid="{A33ACDE7-1E60-4CC7-B0EC-E505258500EF}" name="TradingDays" dataDxfId="44">
      <calculatedColumnFormula>Assumptions!$C$18/12</calculatedColumnFormula>
    </tableColumn>
    <tableColumn id="11" xr3:uid="{5CFACA52-3DF6-412D-AE7D-F68983A3DB79}" name="EffCoversPerDay" dataDxfId="43">
      <calculatedColumnFormula>Assumptions!$C$19*E8*H8*G8</calculatedColumnFormula>
    </tableColumn>
    <tableColumn id="12" xr3:uid="{6641C0A8-0F4D-478D-B449-FD5BDCF52555}" name="AvgSpendAdj" dataDxfId="42">
      <calculatedColumnFormula>Assumptions!$C$20+INDEX('Seasonality Data Break down'!$E$7:$E$18,C8)</calculatedColumnFormula>
    </tableColumn>
    <tableColumn id="13" xr3:uid="{5CD0685E-BC78-420F-971A-7D8AA74EFD30}" name="CafeRevenue" dataDxfId="41">
      <calculatedColumnFormula>K8*J8*L8</calculatedColumnFormula>
    </tableColumn>
    <tableColumn id="14" xr3:uid="{B0A0DFE5-9067-4A50-BFD3-BAAFA36FABC2}" name="FoodCOGS" dataDxfId="40">
      <calculatedColumnFormula>M8*Assumptions!$C$21</calculatedColumnFormula>
    </tableColumn>
    <tableColumn id="15" xr3:uid="{39864467-9D65-4421-AB8F-B574BD424D28}" name="Members" dataDxfId="39">
      <calculatedColumnFormula>Assumptions!$C$27*F8*I8*G8</calculatedColumnFormula>
    </tableColumn>
    <tableColumn id="16" xr3:uid="{3CBAF5C9-A918-4F09-BB69-A80C0FA47600}" name="MembershipRev" dataDxfId="38">
      <calculatedColumnFormula>O8*Assumptions!$C$28</calculatedColumnFormula>
    </tableColumn>
    <tableColumn id="17" xr3:uid="{24839E83-3E57-4B2B-B694-FD5A2D9C56D0}" name="ClassesRun" dataDxfId="37">
      <calculatedColumnFormula>Assumptions!$C$24*4.333*F8*I8*G8</calculatedColumnFormula>
    </tableColumn>
    <tableColumn id="18" xr3:uid="{F6F2D90F-EC08-486C-A991-C357EA621442}" name="TotalAttend" dataDxfId="36">
      <calculatedColumnFormula>Q8*Assumptions!$C$25</calculatedColumnFormula>
    </tableColumn>
    <tableColumn id="19" xr3:uid="{BA9C9069-46DD-43EB-BBA8-9BBA1F3A883A}" name="MemberCovAttend" dataDxfId="35">
      <calculatedColumnFormula>MIN(O8*Assumptions!$C$48,R8)</calculatedColumnFormula>
    </tableColumn>
    <tableColumn id="20" xr3:uid="{CE87395A-DD22-40F5-8464-D2A2F1284BA8}" name="DropinAttend" dataDxfId="34">
      <calculatedColumnFormula>MAX(R8-S8,0)</calculatedColumnFormula>
    </tableColumn>
    <tableColumn id="21" xr3:uid="{34F2FB96-47AB-49F9-863D-034B3C9BF66C}" name="DropinRev" dataDxfId="33">
      <calculatedColumnFormula>T8*Assumptions!$C$26</calculatedColumnFormula>
    </tableColumn>
    <tableColumn id="22" xr3:uid="{705B8A5A-7F96-412C-A4DA-33A78F8C9032}" name="InstructorCost" dataDxfId="32">
      <calculatedColumnFormula>Q8*Assumptions!$C$29</calculatedColumnFormula>
    </tableColumn>
    <tableColumn id="23" xr3:uid="{1A9F2524-DF76-492E-B4AF-326AE7F6C656}" name="FitnessRevenue" dataDxfId="31">
      <calculatedColumnFormula>P8+U8</calculatedColumnFormula>
    </tableColumn>
    <tableColumn id="24" xr3:uid="{3228FD8B-7D2E-4475-8736-62F2B5872429}" name="TotalRevenue" dataDxfId="30">
      <calculatedColumnFormula>M8+W8</calculatedColumnFormula>
    </tableColumn>
    <tableColumn id="25" xr3:uid="{A01B023E-9CCF-4763-A4E6-4675F5267EE7}" name="TotalCOGS" dataDxfId="29">
      <calculatedColumnFormula>N8+V8</calculatedColumnFormula>
    </tableColumn>
    <tableColumn id="26" xr3:uid="{09D96906-0EB9-40A6-BEBF-B28B51C25C69}" name="GrossProfit" dataDxfId="28">
      <calculatedColumnFormula>X8-Y8</calculatedColumnFormula>
    </tableColumn>
    <tableColumn id="27" xr3:uid="{E6AF369D-4704-4857-96CF-413127556C16}" name="Rent" dataDxfId="27">
      <calculatedColumnFormula>Assumptions!$C$10*Assumptions!$C$9/12</calculatedColumnFormula>
    </tableColumn>
    <tableColumn id="28" xr3:uid="{AF359003-407C-4D4A-8B2B-9D4F8FF0AF17}" name="Rates" dataDxfId="26">
      <calculatedColumnFormula>Assumptions!$C$12/12</calculatedColumnFormula>
    </tableColumn>
    <tableColumn id="29" xr3:uid="{85847E31-983A-439D-9A9C-7B94450CE3B0}" name="Insurance" dataDxfId="25">
      <calculatedColumnFormula>Assumptions!$C$14/12</calculatedColumnFormula>
    </tableColumn>
    <tableColumn id="30" xr3:uid="{6940EDC3-910E-4351-8A4E-DBD93CD93C80}" name="WagesTotal" dataDxfId="24">
      <calculatedColumnFormula>(Assumptions!$C$32*4.333*Assumptions!$C$33+Assumptions!$C$34/12)*(1+(Assumptions!$C$35))</calculatedColumnFormula>
    </tableColumn>
    <tableColumn id="31" xr3:uid="{E6A79FE6-DA64-4B8A-AC9E-423397BF2288}" name="MktSocial" dataDxfId="23">
      <calculatedColumnFormula>INDEX('Seasonality Data Break down'!$F$7:$F$18,C8)*G8</calculatedColumnFormula>
    </tableColumn>
    <tableColumn id="32" xr3:uid="{8CC875C3-2C77-416A-AF9B-C77F6F506C7B}" name="MktLocal" dataDxfId="22">
      <calculatedColumnFormula>INDEX('Seasonality Data Break down'!$G$7:$G$18,C8)*G8</calculatedColumnFormula>
    </tableColumn>
    <tableColumn id="33" xr3:uid="{305E9F7B-DAC2-44E6-B7EA-554B8506FC43}" name="MktReferral" dataDxfId="21">
      <calculatedColumnFormula>INDEX('Seasonality Data Break down'!$H$7:$H$18,C8)*G8</calculatedColumnFormula>
    </tableColumn>
    <tableColumn id="34" xr3:uid="{EC2E977F-FDC1-4E1E-A14F-0BA531951EDD}" name="MktTotal" dataDxfId="20">
      <calculatedColumnFormula>AE8+AF8+AG8</calculatedColumnFormula>
    </tableColumn>
    <tableColumn id="35" xr3:uid="{09E9919A-3E24-4591-8F3A-1BDC393B772E}" name="Software" dataDxfId="19">
      <calculatedColumnFormula>Assumptions!$C$39</calculatedColumnFormula>
    </tableColumn>
    <tableColumn id="36" xr3:uid="{E2A7C999-6DCC-4523-9021-AD0DFC9E2ABF}" name="Admin" dataDxfId="18">
      <calculatedColumnFormula>Assumptions!$C$40</calculatedColumnFormula>
    </tableColumn>
    <tableColumn id="37" xr3:uid="{11B35F7F-A34C-4EE3-A4D1-09D267F4439E}" name="TotalFixedOpex" dataDxfId="17">
      <calculatedColumnFormula>AA8+AB8+AC8+AD8+AH8+AI8+AJ8</calculatedColumnFormula>
    </tableColumn>
    <tableColumn id="38" xr3:uid="{066D37A4-AD2F-4DA7-8E51-F7AB100398B8}" name="Utilities" dataDxfId="16">
      <calculatedColumnFormula>X8*Assumptions!$C$13</calculatedColumnFormula>
    </tableColumn>
    <tableColumn id="39" xr3:uid="{D5058D41-357F-4B08-A1E6-B96AE12A16D8}" name="CardFees" dataDxfId="15">
      <calculatedColumnFormula>X8*Assumptions!$C$15</calculatedColumnFormula>
    </tableColumn>
    <tableColumn id="40" xr3:uid="{57014C1C-9F61-41C9-90DE-6412575D9C4F}" name="TotalVarOpex" dataDxfId="14">
      <calculatedColumnFormula>AL8+AM8</calculatedColumnFormula>
    </tableColumn>
    <tableColumn id="41" xr3:uid="{A55BD7CC-4EB7-4BA6-AD9B-0A4545C157EF}" name="TotalOpex" dataDxfId="13">
      <calculatedColumnFormula>AK8+AN8</calculatedColumnFormula>
    </tableColumn>
    <tableColumn id="42" xr3:uid="{C1DB7DDE-DA09-4872-802E-F81F1B31D76B}" name="EBITDA" dataDxfId="12">
      <calculatedColumnFormula>Z8-AO8</calculatedColumnFormula>
    </tableColumn>
    <tableColumn id="43" xr3:uid="{A0C2EA22-91DF-41E1-9448-7CF4D323FE65}" name="Depreciation" dataDxfId="11">
      <calculatedColumnFormula>'Startup Costs'!$D$24/(Assumptions!$C$54*12)</calculatedColumnFormula>
    </tableColumn>
    <tableColumn id="44" xr3:uid="{D6E5DA1A-6F97-4014-BBCB-EF9C8732AB7F}" name="LoanInterest" dataDxfId="10"/>
    <tableColumn id="45" xr3:uid="{A70C05AA-4672-4B2E-883A-BDDCB1414273}" name="NPBT" dataDxfId="9">
      <calculatedColumnFormula>AP8-AQ8+AR8</calculatedColumnFormula>
    </tableColumn>
    <tableColumn id="46" xr3:uid="{191E0865-C030-4B90-8F7E-2F7A9D11EF9E}" name="Tax" dataDxfId="8">
      <calculatedColumnFormula>-MAX(AS8,0)*Assumptions!$C$41</calculatedColumnFormula>
    </tableColumn>
    <tableColumn id="47" xr3:uid="{CC0791E5-896D-475E-B334-C59341F9F796}" name="NPAT" dataDxfId="7">
      <calculatedColumnFormula>AS8+AT8</calculatedColumnFormula>
    </tableColumn>
    <tableColumn id="48" xr3:uid="{327347B2-BF24-439A-9F16-F660E5DF479E}" name="LoanPrincipal" dataDxfId="6"/>
    <tableColumn id="49" xr3:uid="{0E04B296-C9FD-479F-8C55-7B05F65A30FE}" name="NetCashFlow" dataDxfId="5">
      <calculatedColumnFormula>AU8+AQ8+AV8</calculatedColumnFormula>
    </tableColumn>
    <tableColumn id="50" xr3:uid="{14BB5A00-C135-4A82-BDDC-7F439D3EF4BE}" name="OpeningCash" dataDxfId="4">
      <calculatedColumnFormula>AY7</calculatedColumnFormula>
    </tableColumn>
    <tableColumn id="51" xr3:uid="{720F6362-3516-4D07-B1F7-AEA686F25F5F}" name="ClosingCash" dataDxfId="3">
      <calculatedColumnFormula>AX8+AW8</calculatedColumnFormula>
    </tableColumn>
    <tableColumn id="52" xr3:uid="{54663496-49CD-470A-BA2B-4021CEACCE70}" name="GrossMarginPct" dataDxfId="2">
      <calculatedColumnFormula>IFERROR(Z8/X8,0)</calculatedColumnFormula>
    </tableColumn>
    <tableColumn id="53" xr3:uid="{165EB2C7-5945-46EB-B6E7-561276B8C86F}" name="EBITDAMarginPct" dataDxfId="1">
      <calculatedColumnFormula>IFERROR(AP8/X8,0)</calculatedColumnFormula>
    </tableColumn>
    <tableColumn id="54" xr3:uid="{4D6C249C-F319-40DE-B716-F298D84D0C79}" name="NetMarginPct" dataDxfId="0">
      <calculatedColumnFormula>IFERROR(AU8/X8,0)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8" Type="http://schemas.openxmlformats.org/officeDocument/2006/relationships/hyperlink" Target="https://bsness.co.uk/how-much-does-it-cost-to-start-cafe-uk/" TargetMode="External"/><Relationship Id="rId3" Type="http://schemas.openxmlformats.org/officeDocument/2006/relationships/hyperlink" Target="https://www.atcoffee.co.uk/2025/08/22/coffee-shop-startup-costs/" TargetMode="External"/><Relationship Id="rId7" Type="http://schemas.openxmlformats.org/officeDocument/2006/relationships/hyperlink" Target="https://www.atcoffee.co.uk/2025/08/22/coffee-shop-startup-costs/" TargetMode="External"/><Relationship Id="rId2" Type="http://schemas.openxmlformats.org/officeDocument/2006/relationships/hyperlink" Target="https://huxleyandco.co.uk/how-much-does-it-cost-to-open-a-coffee-shop/" TargetMode="External"/><Relationship Id="rId1" Type="http://schemas.openxmlformats.org/officeDocument/2006/relationships/hyperlink" Target="https://huxleyandco.co.uk/how-much-does-it-cost-to-open-a-coffee-shop/" TargetMode="External"/><Relationship Id="rId6" Type="http://schemas.openxmlformats.org/officeDocument/2006/relationships/hyperlink" Target="https://www.atcoffee.co.uk/2025/08/22/coffee-shop-startup-costs/" TargetMode="External"/><Relationship Id="rId5" Type="http://schemas.openxmlformats.org/officeDocument/2006/relationships/hyperlink" Target="https://www.huxleyandco.co.uk/shop-front-cost/" TargetMode="External"/><Relationship Id="rId4" Type="http://schemas.openxmlformats.org/officeDocument/2006/relationships/hyperlink" Target="https://www.atcoffee.co.uk/2025/08/22/coffee-shop-startup-cost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leisuredb.com/publications" TargetMode="External"/><Relationship Id="rId3" Type="http://schemas.openxmlformats.org/officeDocument/2006/relationships/hyperlink" Target="https://www.brik.ly/blog/average-cafe-profit-margin-uk-2026/" TargetMode="External"/><Relationship Id="rId7" Type="http://schemas.openxmlformats.org/officeDocument/2006/relationships/hyperlink" Target="https://studiogrowth.com/how-much-to-charge-for-group-fitness-classes/" TargetMode="External"/><Relationship Id="rId2" Type="http://schemas.openxmlformats.org/officeDocument/2006/relationships/hyperlink" Target="https://huxleyandco.co.uk/how-much-does-it-cost-to-open-a-coffee-shop/" TargetMode="External"/><Relationship Id="rId1" Type="http://schemas.openxmlformats.org/officeDocument/2006/relationships/hyperlink" Target="https://huxleyandco.co.uk/how-much-does-it-cost-to-open-a-coffee-shop/" TargetMode="External"/><Relationship Id="rId6" Type="http://schemas.openxmlformats.org/officeDocument/2006/relationships/hyperlink" Target="https://bsness.co.uk/how-much-does-cafe-earn-uk/" TargetMode="External"/><Relationship Id="rId5" Type="http://schemas.openxmlformats.org/officeDocument/2006/relationships/hyperlink" Target="https://bsness.co.uk/how-much-does-cafe-earn-uk/" TargetMode="External"/><Relationship Id="rId10" Type="http://schemas.openxmlformats.org/officeDocument/2006/relationships/hyperlink" Target="https://bsness.co.uk/how-much-does-cafe-earn-uk/" TargetMode="External"/><Relationship Id="rId4" Type="http://schemas.openxmlformats.org/officeDocument/2006/relationships/hyperlink" Target="https://www.brik.ly/blog/average-cafe-profit-margin-uk-2026/" TargetMode="External"/><Relationship Id="rId9" Type="http://schemas.openxmlformats.org/officeDocument/2006/relationships/hyperlink" Target="https://www.gov.uk/national-minimum-wage-rates" TargetMode="Externa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openxmlformats.org/officeDocument/2006/relationships/hyperlink" Target="https://peakbusinessvaluation.com/gym-valuation-multiples/" TargetMode="External"/><Relationship Id="rId2" Type="http://schemas.openxmlformats.org/officeDocument/2006/relationships/hyperlink" Target="https://www.tupelosmb.com/blog/how-to-value-a-gym-business" TargetMode="External"/><Relationship Id="rId1" Type="http://schemas.openxmlformats.org/officeDocument/2006/relationships/hyperlink" Target="https://www.stocktitan.net/articles/dcf-calculator-formula-analysis-guide" TargetMode="External"/><Relationship Id="rId4" Type="http://schemas.openxmlformats.org/officeDocument/2006/relationships/hyperlink" Target="https://ctacquisitions.com/gym-business-valu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621F4-7B6B-4647-9A6B-54174108AA72}">
  <dimension ref="A1"/>
  <sheetViews>
    <sheetView tabSelected="1" workbookViewId="0">
      <selection sqref="A1:XFD1048576"/>
    </sheetView>
  </sheetViews>
  <sheetFormatPr defaultRowHeight="15" x14ac:dyDescent="0.25"/>
  <cols>
    <col min="1" max="16384" width="9.140625" style="14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D2E46"/>
  </sheetPr>
  <dimension ref="B1:K24"/>
  <sheetViews>
    <sheetView showGridLines="0" topLeftCell="A5" zoomScaleNormal="100" workbookViewId="0">
      <selection activeCell="B3" sqref="B3:K3"/>
    </sheetView>
  </sheetViews>
  <sheetFormatPr defaultColWidth="8.7109375" defaultRowHeight="15" x14ac:dyDescent="0.25"/>
  <cols>
    <col min="1" max="2" width="3" customWidth="1"/>
    <col min="3" max="3" width="11.140625" customWidth="1"/>
    <col min="4" max="4" width="6.28515625" customWidth="1"/>
    <col min="5" max="5" width="3" customWidth="1"/>
    <col min="6" max="10" width="18" customWidth="1"/>
  </cols>
  <sheetData>
    <row r="1" spans="2:11" ht="19.5" customHeight="1" x14ac:dyDescent="0.25"/>
    <row r="2" spans="2:11" ht="20.25" customHeight="1" x14ac:dyDescent="0.25">
      <c r="B2" s="132" t="s">
        <v>0</v>
      </c>
      <c r="D2" s="130" t="s">
        <v>48</v>
      </c>
      <c r="E2" s="132"/>
      <c r="F2" s="127" t="s">
        <v>540</v>
      </c>
      <c r="G2" s="127"/>
      <c r="H2" s="127"/>
      <c r="I2" s="149" t="s">
        <v>1</v>
      </c>
      <c r="J2" s="149"/>
    </row>
    <row r="3" spans="2:11" ht="19.5" customHeight="1" x14ac:dyDescent="0.25">
      <c r="B3" s="128"/>
      <c r="C3" s="129"/>
      <c r="D3" s="5"/>
      <c r="E3" s="5"/>
      <c r="F3" s="5"/>
      <c r="G3" s="5"/>
      <c r="H3" s="5"/>
      <c r="I3" s="5"/>
      <c r="J3" s="5"/>
      <c r="K3" s="5"/>
    </row>
    <row r="4" spans="2:11" ht="19.5" customHeight="1" x14ac:dyDescent="0.25"/>
    <row r="5" spans="2:11" ht="19.5" customHeight="1" x14ac:dyDescent="0.5">
      <c r="C5" s="6" t="s">
        <v>2</v>
      </c>
      <c r="F5" s="126" t="s">
        <v>3</v>
      </c>
      <c r="G5" s="125"/>
      <c r="H5" s="125"/>
    </row>
    <row r="6" spans="2:11" ht="19.5" customHeight="1" x14ac:dyDescent="0.5">
      <c r="F6" s="125"/>
      <c r="G6" s="125"/>
      <c r="H6" s="125"/>
    </row>
    <row r="7" spans="2:11" ht="19.5" customHeight="1" x14ac:dyDescent="0.25">
      <c r="C7" s="6" t="s">
        <v>4</v>
      </c>
      <c r="F7" s="7" t="s">
        <v>5</v>
      </c>
    </row>
    <row r="8" spans="2:11" ht="19.5" customHeight="1" x14ac:dyDescent="0.25"/>
    <row r="10" spans="2:11" ht="18" customHeight="1" x14ac:dyDescent="0.3">
      <c r="C10" s="6" t="s">
        <v>6</v>
      </c>
      <c r="F10" s="8">
        <f>Assumptions!$C$51</f>
        <v>40000</v>
      </c>
    </row>
    <row r="11" spans="2:11" ht="18" customHeight="1" x14ac:dyDescent="0.3">
      <c r="C11" s="6" t="s">
        <v>7</v>
      </c>
      <c r="F11" s="8">
        <f>Valuation!$B$31</f>
        <v>271957.23615430918</v>
      </c>
    </row>
    <row r="12" spans="2:11" ht="18" customHeight="1" x14ac:dyDescent="0.3">
      <c r="C12" s="6" t="s">
        <v>8</v>
      </c>
      <c r="F12" s="8">
        <f>Valuation!$B$33</f>
        <v>233182.23615430918</v>
      </c>
    </row>
    <row r="13" spans="2:11" ht="18" customHeight="1" x14ac:dyDescent="0.3">
      <c r="C13" s="6" t="s">
        <v>9</v>
      </c>
      <c r="F13" s="8">
        <f>Valuation!$C$41</f>
        <v>488753.6009907003</v>
      </c>
    </row>
    <row r="15" spans="2:11" ht="15" customHeight="1" x14ac:dyDescent="0.25">
      <c r="C15" s="6"/>
      <c r="F15" s="9" t="s">
        <v>10</v>
      </c>
      <c r="G15" s="9" t="s">
        <v>11</v>
      </c>
      <c r="H15" s="9" t="s">
        <v>12</v>
      </c>
      <c r="I15" s="9" t="s">
        <v>13</v>
      </c>
      <c r="J15" s="9" t="s">
        <v>14</v>
      </c>
    </row>
    <row r="16" spans="2:11" ht="15" customHeight="1" x14ac:dyDescent="0.25">
      <c r="C16" s="148" t="s">
        <v>15</v>
      </c>
      <c r="D16" s="148"/>
      <c r="E16" s="148"/>
      <c r="F16" s="148"/>
      <c r="G16" s="148"/>
      <c r="H16" s="148"/>
      <c r="I16" s="148"/>
      <c r="J16" s="148"/>
    </row>
    <row r="17" spans="3:10" ht="15" customHeight="1" x14ac:dyDescent="0.25">
      <c r="C17" s="10" t="s">
        <v>16</v>
      </c>
      <c r="F17" s="11">
        <f>'Income Statement'!B8</f>
        <v>194579.26051041667</v>
      </c>
      <c r="G17" s="11">
        <f>'Income Statement'!C8</f>
        <v>285569.93022708333</v>
      </c>
      <c r="H17" s="11">
        <f>'Income Statement'!D8</f>
        <v>308415.52464524994</v>
      </c>
      <c r="I17" s="11">
        <f>'Income Statement'!E8</f>
        <v>326920.45612396504</v>
      </c>
      <c r="J17" s="11">
        <f>'Income Statement'!F8</f>
        <v>336728.06980768399</v>
      </c>
    </row>
    <row r="18" spans="3:10" ht="15" customHeight="1" x14ac:dyDescent="0.25">
      <c r="C18" s="10" t="s">
        <v>17</v>
      </c>
      <c r="F18" s="11">
        <f>-'Income Statement'!B10</f>
        <v>-59069.823453124991</v>
      </c>
      <c r="G18" s="11">
        <f>-'Income Statement'!C10</f>
        <v>-86777.314028124994</v>
      </c>
      <c r="H18" s="11">
        <f>-'Income Statement'!D10</f>
        <v>-93719.499150374992</v>
      </c>
      <c r="I18" s="11">
        <f>-'Income Statement'!E10</f>
        <v>-99342.669099397492</v>
      </c>
      <c r="J18" s="11">
        <f>-'Income Statement'!F10</f>
        <v>-102322.94917237942</v>
      </c>
    </row>
    <row r="19" spans="3:10" ht="15" customHeight="1" x14ac:dyDescent="0.25">
      <c r="C19" s="12" t="s">
        <v>18</v>
      </c>
      <c r="F19" s="13">
        <f>'Income Statement'!B11</f>
        <v>135509.43705729168</v>
      </c>
      <c r="G19" s="13">
        <f>'Income Statement'!C11</f>
        <v>198792.61619895831</v>
      </c>
      <c r="H19" s="13">
        <f>'Income Statement'!D11</f>
        <v>214696.02549487501</v>
      </c>
      <c r="I19" s="13">
        <f>'Income Statement'!E11</f>
        <v>227577.78702456754</v>
      </c>
      <c r="J19" s="13">
        <f>'Income Statement'!F11</f>
        <v>234405.12063530454</v>
      </c>
    </row>
    <row r="20" spans="3:10" ht="15" customHeight="1" x14ac:dyDescent="0.25">
      <c r="C20" s="10" t="s">
        <v>19</v>
      </c>
      <c r="F20" s="11">
        <f>-'Income Statement'!B22</f>
        <v>-131116.30312424479</v>
      </c>
      <c r="G20" s="11">
        <f>-'Income Statement'!C22</f>
        <v>-136244.60993578643</v>
      </c>
      <c r="H20" s="11">
        <f>-'Income Statement'!D22</f>
        <v>-137824.27567064937</v>
      </c>
      <c r="I20" s="11">
        <f>-'Income Statement'!E22</f>
        <v>-139103.80491588835</v>
      </c>
      <c r="J20" s="11">
        <f>-'Income Statement'!F22</f>
        <v>-139781.955415865</v>
      </c>
    </row>
    <row r="21" spans="3:10" ht="15" customHeight="1" x14ac:dyDescent="0.25">
      <c r="C21" s="12" t="s">
        <v>20</v>
      </c>
      <c r="F21" s="13">
        <f>'Income Statement'!B24</f>
        <v>4393.1339330468782</v>
      </c>
      <c r="G21" s="13">
        <f>'Income Statement'!C24</f>
        <v>62548.006263171876</v>
      </c>
      <c r="H21" s="13">
        <f>'Income Statement'!D24</f>
        <v>76871.749824225626</v>
      </c>
      <c r="I21" s="13">
        <f>'Income Statement'!E24</f>
        <v>88473.982108679193</v>
      </c>
      <c r="J21" s="13">
        <f>'Income Statement'!F24</f>
        <v>94623.165219439543</v>
      </c>
    </row>
    <row r="22" spans="3:10" ht="15" customHeight="1" x14ac:dyDescent="0.25">
      <c r="C22" s="12" t="s">
        <v>21</v>
      </c>
      <c r="F22" s="13">
        <f>'Income Statement'!B29</f>
        <v>-13256.632053102023</v>
      </c>
      <c r="G22" s="13">
        <f>'Income Statement'!C29</f>
        <v>35732.729048170455</v>
      </c>
      <c r="H22" s="13">
        <f>'Income Statement'!D29</f>
        <v>47226.129527460784</v>
      </c>
      <c r="I22" s="13">
        <f>'Income Statement'!E29</f>
        <v>56736.6670197075</v>
      </c>
      <c r="J22" s="13">
        <f>'Income Statement'!F29</f>
        <v>62220.211790145004</v>
      </c>
    </row>
    <row r="24" spans="3:10" ht="15" customHeight="1" x14ac:dyDescent="0.25">
      <c r="C24" s="131" t="s">
        <v>22</v>
      </c>
      <c r="D24" s="2"/>
      <c r="E24" s="2"/>
      <c r="F24" s="2"/>
      <c r="G24" s="2"/>
      <c r="H24" s="2"/>
      <c r="I24" s="2"/>
      <c r="J24" s="2"/>
    </row>
  </sheetData>
  <mergeCells count="2">
    <mergeCell ref="C16:J16"/>
    <mergeCell ref="I2:J2"/>
  </mergeCells>
  <dataValidations count="1">
    <dataValidation type="list" sqref="D2" xr:uid="{A072EBF6-71CE-4AAE-A3CA-B191004B6EDF}">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8080"/>
  </sheetPr>
  <dimension ref="B1:M22"/>
  <sheetViews>
    <sheetView showGridLines="0" zoomScaleNormal="100" workbookViewId="0">
      <selection activeCell="C7" sqref="C7"/>
    </sheetView>
  </sheetViews>
  <sheetFormatPr defaultRowHeight="15" x14ac:dyDescent="0.25"/>
  <cols>
    <col min="3" max="3" width="9.140625" customWidth="1"/>
    <col min="13" max="13" width="10.42578125" bestFit="1" customWidth="1"/>
  </cols>
  <sheetData>
    <row r="1" spans="2:13" ht="15.75" x14ac:dyDescent="0.25">
      <c r="B1" t="s">
        <v>0</v>
      </c>
      <c r="C1" s="130" t="s">
        <v>48</v>
      </c>
      <c r="F1" t="s">
        <v>540</v>
      </c>
      <c r="L1" t="s">
        <v>1</v>
      </c>
      <c r="M1" s="121">
        <f ca="1">TODAY()</f>
        <v>46233</v>
      </c>
    </row>
    <row r="3" spans="2:13" x14ac:dyDescent="0.25">
      <c r="B3" s="128"/>
      <c r="C3" s="129"/>
      <c r="D3" s="5"/>
      <c r="E3" s="5"/>
      <c r="F3" s="5"/>
      <c r="G3" s="5"/>
      <c r="H3" s="5"/>
      <c r="I3" s="5"/>
      <c r="J3" s="5"/>
      <c r="K3" s="5"/>
    </row>
    <row r="5" spans="2:13" ht="24" thickBot="1" x14ac:dyDescent="0.4">
      <c r="B5" s="122" t="s">
        <v>23</v>
      </c>
      <c r="C5" s="122" t="s">
        <v>535</v>
      </c>
      <c r="D5" s="122"/>
      <c r="E5" s="123"/>
      <c r="F5" s="123"/>
      <c r="G5" s="123"/>
      <c r="H5" s="123"/>
      <c r="I5" s="123"/>
      <c r="J5" s="123"/>
    </row>
    <row r="6" spans="2:13" ht="23.25" x14ac:dyDescent="0.35">
      <c r="B6" s="123">
        <v>1</v>
      </c>
      <c r="C6" s="124" t="s">
        <v>536</v>
      </c>
      <c r="D6" s="123"/>
      <c r="E6" s="123"/>
      <c r="F6" s="123"/>
      <c r="G6" s="123"/>
      <c r="H6" s="123"/>
      <c r="I6" s="123"/>
      <c r="J6" s="123"/>
    </row>
    <row r="7" spans="2:13" ht="23.25" x14ac:dyDescent="0.35">
      <c r="B7" s="123">
        <v>2</v>
      </c>
      <c r="C7" s="124" t="s">
        <v>542</v>
      </c>
      <c r="D7" s="123"/>
      <c r="E7" s="123"/>
      <c r="F7" s="123"/>
      <c r="G7" s="123"/>
      <c r="H7" s="123"/>
      <c r="I7" s="123"/>
      <c r="J7" s="123"/>
    </row>
    <row r="8" spans="2:13" ht="23.25" x14ac:dyDescent="0.35">
      <c r="B8" s="123">
        <v>3</v>
      </c>
      <c r="C8" s="124" t="s">
        <v>27</v>
      </c>
      <c r="D8" s="123"/>
      <c r="E8" s="123"/>
      <c r="F8" s="123"/>
      <c r="G8" s="123"/>
      <c r="H8" s="123"/>
      <c r="I8" s="123"/>
      <c r="J8" s="123"/>
    </row>
    <row r="9" spans="2:13" ht="23.25" x14ac:dyDescent="0.35">
      <c r="B9" s="123">
        <v>4</v>
      </c>
      <c r="C9" s="124" t="s">
        <v>537</v>
      </c>
      <c r="D9" s="123"/>
      <c r="E9" s="123"/>
      <c r="F9" s="123"/>
      <c r="G9" s="123"/>
      <c r="H9" s="123"/>
      <c r="I9" s="123"/>
      <c r="J9" s="123"/>
    </row>
    <row r="10" spans="2:13" ht="23.25" x14ac:dyDescent="0.35">
      <c r="B10" s="123">
        <v>5</v>
      </c>
      <c r="C10" s="124" t="s">
        <v>26</v>
      </c>
      <c r="D10" s="123"/>
      <c r="E10" s="123"/>
      <c r="F10" s="123"/>
      <c r="G10" s="123"/>
      <c r="H10" s="123"/>
      <c r="I10" s="123"/>
      <c r="J10" s="123"/>
    </row>
    <row r="11" spans="2:13" ht="23.25" x14ac:dyDescent="0.35">
      <c r="B11" s="123">
        <v>6</v>
      </c>
      <c r="C11" s="124" t="s">
        <v>538</v>
      </c>
      <c r="D11" s="123"/>
      <c r="E11" s="123"/>
      <c r="F11" s="123"/>
      <c r="G11" s="123"/>
      <c r="H11" s="123"/>
      <c r="I11" s="123"/>
      <c r="J11" s="123"/>
    </row>
    <row r="12" spans="2:13" ht="23.25" x14ac:dyDescent="0.35">
      <c r="B12" s="123">
        <v>7</v>
      </c>
      <c r="C12" s="124" t="s">
        <v>28</v>
      </c>
      <c r="D12" s="123"/>
      <c r="E12" s="123"/>
      <c r="F12" s="123"/>
      <c r="G12" s="123"/>
      <c r="H12" s="123"/>
      <c r="I12" s="123"/>
      <c r="J12" s="123"/>
    </row>
    <row r="13" spans="2:13" ht="23.25" x14ac:dyDescent="0.35">
      <c r="B13" s="123">
        <v>8</v>
      </c>
      <c r="C13" s="124" t="s">
        <v>24</v>
      </c>
      <c r="D13" s="123"/>
      <c r="E13" s="123"/>
      <c r="F13" s="123"/>
      <c r="G13" s="123"/>
      <c r="H13" s="123"/>
      <c r="I13" s="123"/>
      <c r="J13" s="123"/>
    </row>
    <row r="14" spans="2:13" ht="23.25" x14ac:dyDescent="0.35">
      <c r="B14" s="123">
        <v>9</v>
      </c>
      <c r="C14" s="124" t="s">
        <v>539</v>
      </c>
      <c r="D14" s="123"/>
      <c r="E14" s="123"/>
      <c r="F14" s="123"/>
      <c r="G14" s="123"/>
      <c r="H14" s="123"/>
      <c r="I14" s="123"/>
      <c r="J14" s="123"/>
    </row>
    <row r="15" spans="2:13" ht="23.25" x14ac:dyDescent="0.35">
      <c r="B15" s="123">
        <v>10</v>
      </c>
      <c r="C15" s="124" t="s">
        <v>25</v>
      </c>
      <c r="D15" s="123"/>
      <c r="E15" s="123"/>
      <c r="F15" s="123"/>
      <c r="G15" s="123"/>
      <c r="H15" s="123"/>
      <c r="I15" s="123"/>
      <c r="J15" s="123"/>
    </row>
    <row r="16" spans="2:13" ht="23.25" x14ac:dyDescent="0.35">
      <c r="B16" s="123">
        <v>11</v>
      </c>
      <c r="C16" s="124" t="s">
        <v>544</v>
      </c>
      <c r="D16" s="123"/>
      <c r="E16" s="123"/>
      <c r="F16" s="123"/>
      <c r="G16" s="123"/>
      <c r="H16" s="123"/>
      <c r="I16" s="123"/>
      <c r="J16" s="123"/>
    </row>
    <row r="17" spans="2:10" ht="23.25" x14ac:dyDescent="0.35">
      <c r="B17" s="123">
        <v>12</v>
      </c>
      <c r="C17" s="124" t="s">
        <v>545</v>
      </c>
      <c r="D17" s="123"/>
      <c r="E17" s="123"/>
      <c r="F17" s="123"/>
      <c r="G17" s="123"/>
      <c r="H17" s="123"/>
      <c r="I17" s="123"/>
      <c r="J17" s="123"/>
    </row>
    <row r="18" spans="2:10" ht="23.25" x14ac:dyDescent="0.35">
      <c r="B18" s="123">
        <v>13</v>
      </c>
      <c r="C18" s="124" t="s">
        <v>543</v>
      </c>
      <c r="D18" s="123"/>
      <c r="E18" s="123"/>
      <c r="F18" s="123"/>
      <c r="G18" s="123"/>
      <c r="H18" s="123"/>
      <c r="I18" s="123"/>
      <c r="J18" s="123"/>
    </row>
    <row r="19" spans="2:10" ht="23.25" x14ac:dyDescent="0.35">
      <c r="B19" s="123">
        <v>14</v>
      </c>
      <c r="C19" s="124" t="s">
        <v>546</v>
      </c>
      <c r="D19" s="123"/>
      <c r="E19" s="123"/>
      <c r="F19" s="123"/>
      <c r="G19" s="123"/>
      <c r="H19" s="123"/>
      <c r="I19" s="123"/>
      <c r="J19" s="123"/>
    </row>
    <row r="20" spans="2:10" ht="23.25" x14ac:dyDescent="0.35">
      <c r="B20" s="123">
        <v>15</v>
      </c>
      <c r="C20" s="124" t="s">
        <v>547</v>
      </c>
      <c r="D20" s="123"/>
      <c r="E20" s="123"/>
      <c r="F20" s="123"/>
      <c r="G20" s="123"/>
      <c r="H20" s="123"/>
      <c r="I20" s="123"/>
      <c r="J20" s="123"/>
    </row>
    <row r="21" spans="2:10" ht="23.25" x14ac:dyDescent="0.35">
      <c r="B21" s="123">
        <v>16</v>
      </c>
      <c r="C21" s="124" t="s">
        <v>548</v>
      </c>
      <c r="D21" s="123"/>
      <c r="E21" s="123"/>
      <c r="F21" s="123"/>
      <c r="G21" s="123"/>
      <c r="H21" s="123"/>
      <c r="I21" s="123"/>
      <c r="J21" s="123"/>
    </row>
    <row r="22" spans="2:10" ht="23.25" x14ac:dyDescent="0.35">
      <c r="B22" s="123">
        <v>17</v>
      </c>
      <c r="C22" s="124" t="s">
        <v>549</v>
      </c>
      <c r="D22" s="123"/>
      <c r="E22" s="123"/>
      <c r="F22" s="123"/>
      <c r="G22" s="123"/>
      <c r="H22" s="123"/>
      <c r="I22" s="123"/>
      <c r="J22" s="123"/>
    </row>
  </sheetData>
  <dataValidations count="1">
    <dataValidation type="list" sqref="C1" xr:uid="{77F4179A-DF7E-4B35-977E-EC92E504B464}">
      <formula1>"Worst,Base,Best"</formula1>
      <formula2>0</formula2>
    </dataValidation>
  </dataValidations>
  <hyperlinks>
    <hyperlink ref="C6" location="Dashboard!A1" display="Dasboard" xr:uid="{348C8EAA-BD88-4CC9-8847-AE2FF1711F88}"/>
    <hyperlink ref="C7" location="'Startup Costs'!A1" display="Startup costs" xr:uid="{DEB41AE3-91F5-4FB9-A3FF-0E2C495C8E3F}"/>
    <hyperlink ref="C8" location="workings!A1" display="Workings" xr:uid="{383BDDE2-9551-4946-A771-50986D9462BD}"/>
    <hyperlink ref="C9" location="'Income statement'!A1" display="Income statement" xr:uid="{CD5458AA-083F-4FCA-B2D5-FC267396468D}"/>
    <hyperlink ref="C10" location="Valuation!A1" display="Balance Sheet" xr:uid="{DF9EB7F7-AD7B-4237-AF88-96C0BF146D49}"/>
    <hyperlink ref="C11" location="'Cash Statement'!A1" display="CashFlow Statement" xr:uid="{114A7DD9-8E98-47E5-938A-751B53732E8F}"/>
    <hyperlink ref="C12" location="Valuation!A1" display="Valuation" xr:uid="{C665DE5C-C115-4E89-A0C3-63B062F6E64A}"/>
    <hyperlink ref="C13" location="'Financial Ratios'!A1" display="Financial Ratios" xr:uid="{46F69DA8-86AE-439C-9BC3-C76F65F5539C}"/>
    <hyperlink ref="C14" location="Data!A1" display="Data " xr:uid="{C96EE3C3-A296-4F75-ABD5-B53AB030A9F2}"/>
    <hyperlink ref="C15" location="Assumptions!A1" display="Assumptions" xr:uid="{5A95C783-C3B9-44EB-8BF2-C8C820711D7C}"/>
    <hyperlink ref="C16" location="'Seasonality Data Break down'!A1" display="Seasonality Data Breakdown" xr:uid="{5F819DCD-9298-4550-8895-75E51AEDBA09}"/>
    <hyperlink ref="C17" location="'5-Year monthly'!A1" display="Five year monthly" xr:uid="{0F4B038C-8E08-499A-BA48-46B9AD0D67C6}"/>
    <hyperlink ref="C18" location="'Pivot Table'!A1" display="Pivot Table" xr:uid="{64ECB2D5-7162-4A4F-8B89-C59C4EEBB44A}"/>
    <hyperlink ref="C19" location="'monthly model engine'!A1" display="monthly Model Engine" xr:uid="{3623CF30-CCDB-4CB1-8BC6-99F9DD5B06CD}"/>
    <hyperlink ref="C20" location="'Loan schedule'!A1" display="Loan Schedule" xr:uid="{5E468D54-5963-4779-B547-295F4BD4E1D1}"/>
    <hyperlink ref="C21" location="'pivot Summary'!A1" display="Pivot Summary" xr:uid="{7FFD0117-4AD5-4C0C-A8BC-79890E35B879}"/>
    <hyperlink ref="C22" location="'Break-Even'!A1" display="Break Even" xr:uid="{4DC0438C-AA36-4649-9E89-E48F16EBD6D1}"/>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D24A-4814-4873-AB5E-A345AE9E714B}">
  <dimension ref="C1:T26"/>
  <sheetViews>
    <sheetView topLeftCell="A16" workbookViewId="0"/>
  </sheetViews>
  <sheetFormatPr defaultRowHeight="15" x14ac:dyDescent="0.25"/>
  <cols>
    <col min="1" max="18" width="9.140625" style="100"/>
    <col min="19" max="19" width="10.5703125" style="100" bestFit="1" customWidth="1"/>
    <col min="20" max="16384" width="9.140625" style="100"/>
  </cols>
  <sheetData>
    <row r="1" spans="3:6" x14ac:dyDescent="0.25">
      <c r="F1" s="100" t="s">
        <v>534</v>
      </c>
    </row>
    <row r="2" spans="3:6" x14ac:dyDescent="0.25">
      <c r="C2" s="100">
        <v>2</v>
      </c>
    </row>
    <row r="23" spans="19:20" x14ac:dyDescent="0.25">
      <c r="T23" s="100">
        <f>AVERAGE('monthly model engine'!Z8:Z68)</f>
        <v>16849.683106849952</v>
      </c>
    </row>
    <row r="26" spans="19:20" x14ac:dyDescent="0.25">
      <c r="S26" s="120">
        <f>AVERAGE('monthly model engine'!AU8:AU68)</f>
        <v>3144.3184222063619</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81" r:id="rId3" name="Drop Down 1">
              <controlPr defaultSize="0" autoLine="0" autoPict="0">
                <anchor moveWithCells="1">
                  <from>
                    <xdr:col>7</xdr:col>
                    <xdr:colOff>295275</xdr:colOff>
                    <xdr:row>1</xdr:row>
                    <xdr:rowOff>66675</xdr:rowOff>
                  </from>
                  <to>
                    <xdr:col>8</xdr:col>
                    <xdr:colOff>485775</xdr:colOff>
                    <xdr:row>2</xdr:row>
                    <xdr:rowOff>142875</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K24"/>
  <sheetViews>
    <sheetView showGridLines="0" zoomScaleNormal="100" workbookViewId="0">
      <pane ySplit="6" topLeftCell="A7" activePane="bottomLeft" state="frozen"/>
      <selection pane="bottomLeft" activeCell="C2" sqref="C2"/>
    </sheetView>
  </sheetViews>
  <sheetFormatPr defaultColWidth="8.7109375" defaultRowHeight="15" x14ac:dyDescent="0.25"/>
  <cols>
    <col min="1" max="1" width="36.28515625" style="133" customWidth="1"/>
    <col min="2" max="2" width="12.7109375" customWidth="1"/>
    <col min="3" max="3" width="10.85546875" customWidth="1"/>
    <col min="4" max="4" width="14" customWidth="1"/>
    <col min="5" max="5" width="60" customWidth="1"/>
    <col min="6" max="6" width="13.140625" bestFit="1" customWidth="1"/>
    <col min="7" max="7" width="10.7109375" bestFit="1" customWidth="1"/>
    <col min="13" max="13" width="10.7109375" bestFit="1" customWidth="1"/>
  </cols>
  <sheetData>
    <row r="1" spans="1:11" ht="15" customHeight="1" x14ac:dyDescent="0.25"/>
    <row r="2" spans="1:11" ht="15.75" customHeight="1" x14ac:dyDescent="0.25">
      <c r="B2" t="s">
        <v>0</v>
      </c>
      <c r="C2" s="130" t="s">
        <v>48</v>
      </c>
      <c r="E2" t="s">
        <v>540</v>
      </c>
      <c r="F2" t="s">
        <v>1</v>
      </c>
      <c r="G2" s="121">
        <f ca="1">TODAY()</f>
        <v>46233</v>
      </c>
    </row>
    <row r="3" spans="1:11" ht="19.5" customHeight="1" x14ac:dyDescent="0.25">
      <c r="B3" s="128"/>
      <c r="C3" s="129"/>
      <c r="D3" s="5"/>
      <c r="E3" s="5"/>
      <c r="F3" s="5"/>
      <c r="G3" s="5"/>
      <c r="H3" s="5"/>
      <c r="I3" s="5"/>
      <c r="J3" s="5"/>
      <c r="K3" s="5"/>
    </row>
    <row r="4" spans="1:11" ht="15" customHeight="1" x14ac:dyDescent="0.25">
      <c r="A4" s="140" t="s">
        <v>171</v>
      </c>
    </row>
    <row r="5" spans="1:11" ht="24.75" customHeight="1" x14ac:dyDescent="0.25">
      <c r="A5" s="134" t="s">
        <v>524</v>
      </c>
    </row>
    <row r="6" spans="1:11" ht="23.25" customHeight="1" x14ac:dyDescent="0.25">
      <c r="A6" s="135" t="s">
        <v>172</v>
      </c>
      <c r="B6" s="24" t="s">
        <v>173</v>
      </c>
      <c r="C6" s="24" t="s">
        <v>174</v>
      </c>
      <c r="D6" s="24" t="s">
        <v>175</v>
      </c>
      <c r="E6" s="24" t="s">
        <v>176</v>
      </c>
    </row>
    <row r="7" spans="1:11" ht="18.75" customHeight="1" x14ac:dyDescent="0.25">
      <c r="A7" s="136" t="s">
        <v>177</v>
      </c>
      <c r="B7" s="45">
        <v>6000</v>
      </c>
      <c r="C7" s="45">
        <v>12000</v>
      </c>
      <c r="D7" s="46">
        <f>Assumptions!$C$10*Assumptions!$C$9/12*Assumptions!$C$11+1500</f>
        <v>7500</v>
      </c>
      <c r="E7" s="91" t="s">
        <v>178</v>
      </c>
    </row>
    <row r="8" spans="1:11" ht="18.75" customHeight="1" x14ac:dyDescent="0.25">
      <c r="A8" s="136" t="s">
        <v>179</v>
      </c>
      <c r="B8" s="45">
        <v>11000</v>
      </c>
      <c r="C8" s="45">
        <v>30000</v>
      </c>
      <c r="D8" s="41">
        <v>18000</v>
      </c>
      <c r="E8" s="91" t="s">
        <v>180</v>
      </c>
    </row>
    <row r="9" spans="1:11" ht="25.5" x14ac:dyDescent="0.25">
      <c r="A9" s="136" t="s">
        <v>181</v>
      </c>
      <c r="B9" s="45">
        <v>10000</v>
      </c>
      <c r="C9" s="45">
        <v>15000</v>
      </c>
      <c r="D9" s="41">
        <v>12000</v>
      </c>
      <c r="E9" s="37" t="s">
        <v>182</v>
      </c>
    </row>
    <row r="10" spans="1:11" ht="25.5" x14ac:dyDescent="0.25">
      <c r="A10" s="136" t="s">
        <v>183</v>
      </c>
      <c r="B10" s="45">
        <v>6000</v>
      </c>
      <c r="C10" s="45">
        <v>25000</v>
      </c>
      <c r="D10" s="41">
        <v>14000</v>
      </c>
      <c r="E10" s="28" t="s">
        <v>184</v>
      </c>
    </row>
    <row r="11" spans="1:11" ht="25.5" x14ac:dyDescent="0.25">
      <c r="A11" s="136" t="s">
        <v>185</v>
      </c>
      <c r="B11" s="45">
        <v>2000</v>
      </c>
      <c r="C11" s="45">
        <v>8000</v>
      </c>
      <c r="D11" s="41">
        <v>4000</v>
      </c>
      <c r="E11" s="28" t="s">
        <v>186</v>
      </c>
    </row>
    <row r="12" spans="1:11" ht="15" customHeight="1" x14ac:dyDescent="0.25">
      <c r="A12" s="136" t="s">
        <v>187</v>
      </c>
      <c r="B12" s="45">
        <v>3000</v>
      </c>
      <c r="C12" s="45">
        <v>5000</v>
      </c>
      <c r="D12" s="41">
        <v>4000</v>
      </c>
      <c r="E12" s="37" t="s">
        <v>188</v>
      </c>
    </row>
    <row r="13" spans="1:11" s="96" customFormat="1" ht="18.75" customHeight="1" x14ac:dyDescent="0.2">
      <c r="A13" s="136" t="s">
        <v>189</v>
      </c>
      <c r="B13" s="45">
        <v>1000</v>
      </c>
      <c r="C13" s="45">
        <v>5000</v>
      </c>
      <c r="D13" s="41">
        <v>3000</v>
      </c>
      <c r="E13" s="95" t="s">
        <v>190</v>
      </c>
    </row>
    <row r="14" spans="1:11" ht="15" customHeight="1" x14ac:dyDescent="0.25">
      <c r="A14" s="136" t="s">
        <v>191</v>
      </c>
      <c r="B14" s="45">
        <v>1500</v>
      </c>
      <c r="C14" s="45">
        <v>3000</v>
      </c>
      <c r="D14" s="41">
        <v>2000</v>
      </c>
      <c r="E14" s="94" t="s">
        <v>192</v>
      </c>
    </row>
    <row r="15" spans="1:11" ht="25.5" x14ac:dyDescent="0.25">
      <c r="A15" s="136" t="s">
        <v>193</v>
      </c>
      <c r="B15" s="45">
        <v>500</v>
      </c>
      <c r="C15" s="45">
        <v>3000</v>
      </c>
      <c r="D15" s="41">
        <v>2000</v>
      </c>
      <c r="E15" s="28" t="s">
        <v>194</v>
      </c>
    </row>
    <row r="16" spans="1:11" ht="15" customHeight="1" x14ac:dyDescent="0.25">
      <c r="A16" s="136" t="s">
        <v>195</v>
      </c>
      <c r="B16" s="45">
        <v>1000</v>
      </c>
      <c r="C16" s="45">
        <v>3000</v>
      </c>
      <c r="D16" s="41">
        <v>2000</v>
      </c>
      <c r="E16" s="37" t="s">
        <v>196</v>
      </c>
    </row>
    <row r="17" spans="1:5" ht="15" customHeight="1" x14ac:dyDescent="0.25">
      <c r="A17" s="137" t="s">
        <v>197</v>
      </c>
      <c r="B17" s="48"/>
      <c r="C17" s="48"/>
      <c r="D17" s="49">
        <f>SUM(D7:D16)</f>
        <v>68500</v>
      </c>
      <c r="E17" s="48"/>
    </row>
    <row r="18" spans="1:5" ht="15" customHeight="1" x14ac:dyDescent="0.25"/>
    <row r="19" spans="1:5" ht="15" customHeight="1" x14ac:dyDescent="0.25">
      <c r="A19" s="136" t="s">
        <v>198</v>
      </c>
      <c r="B19" s="35"/>
      <c r="C19" s="35"/>
      <c r="D19" s="46">
        <f>D17*0.15</f>
        <v>10275</v>
      </c>
      <c r="E19" s="28" t="s">
        <v>199</v>
      </c>
    </row>
    <row r="20" spans="1:5" ht="18.75" customHeight="1" x14ac:dyDescent="0.25">
      <c r="A20" s="139" t="s">
        <v>200</v>
      </c>
      <c r="B20" s="35"/>
      <c r="C20" s="35"/>
      <c r="D20" s="50">
        <f>'monthly model engine'!$AK$19*3</f>
        <v>31074.697062499999</v>
      </c>
      <c r="E20" s="99" t="s">
        <v>201</v>
      </c>
    </row>
    <row r="22" spans="1:5" ht="15" customHeight="1" x14ac:dyDescent="0.25">
      <c r="A22" s="138" t="s">
        <v>202</v>
      </c>
      <c r="B22" s="5"/>
      <c r="C22" s="5"/>
      <c r="D22" s="51">
        <f>D17+D19+D20</f>
        <v>109849.6970625</v>
      </c>
      <c r="E22" s="5"/>
    </row>
    <row r="24" spans="1:5" ht="18.75" customHeight="1" x14ac:dyDescent="0.25">
      <c r="A24" s="136" t="s">
        <v>203</v>
      </c>
      <c r="B24" s="35"/>
      <c r="C24" s="35"/>
      <c r="D24" s="46">
        <f>D8+D9+D10+D11+D12+D13</f>
        <v>55000</v>
      </c>
      <c r="E24" s="90" t="s">
        <v>204</v>
      </c>
    </row>
  </sheetData>
  <dataValidations count="1">
    <dataValidation type="list" sqref="C2" xr:uid="{37B9D4E4-6707-49F1-9AA0-538A332C8975}">
      <formula1>"Worst,Base,Best"</formula1>
      <formula2>0</formula2>
    </dataValidation>
  </dataValidations>
  <hyperlinks>
    <hyperlink ref="E7" r:id="rId1" xr:uid="{00000000-0004-0000-0700-000003000000}"/>
    <hyperlink ref="E8" r:id="rId2" xr:uid="{00000000-0004-0000-0700-000004000000}"/>
    <hyperlink ref="E9" r:id="rId3" xr:uid="{00000000-0004-0000-0700-000005000000}"/>
    <hyperlink ref="E12" r:id="rId4" xr:uid="{00000000-0004-0000-0700-000006000000}"/>
    <hyperlink ref="E13" r:id="rId5" xr:uid="{00000000-0004-0000-0700-000007000000}"/>
    <hyperlink ref="E14" r:id="rId6" xr:uid="{00000000-0004-0000-0700-000008000000}"/>
    <hyperlink ref="E16" r:id="rId7" xr:uid="{00000000-0004-0000-0700-000009000000}"/>
    <hyperlink ref="A5" r:id="rId8" display="Capital required before opening day. Ranges reflect UK 2025-26 sources; the 'Model Assumption' column is what flows into the totals below." xr:uid="{00000000-0004-0000-0700-000002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K32"/>
  <sheetViews>
    <sheetView showGridLines="0" zoomScaleNormal="100" workbookViewId="0">
      <pane ySplit="7" topLeftCell="A8" activePane="bottomLeft" state="frozen"/>
      <selection pane="bottomLeft"/>
    </sheetView>
  </sheetViews>
  <sheetFormatPr defaultColWidth="8.7109375" defaultRowHeight="15" x14ac:dyDescent="0.25"/>
  <cols>
    <col min="1" max="1" width="36.5703125" customWidth="1"/>
    <col min="2" max="2" width="14" customWidth="1"/>
    <col min="3" max="3" width="11.85546875" customWidth="1"/>
    <col min="4" max="5" width="14" customWidth="1"/>
    <col min="6" max="6" width="56" style="92" customWidth="1"/>
    <col min="7" max="7" width="10.7109375" bestFit="1" customWidth="1"/>
  </cols>
  <sheetData>
    <row r="1" spans="1:11" ht="15.75" customHeight="1" x14ac:dyDescent="0.25">
      <c r="A1" s="133"/>
      <c r="B1" t="s">
        <v>0</v>
      </c>
      <c r="C1" s="130" t="s">
        <v>48</v>
      </c>
      <c r="E1" t="s">
        <v>540</v>
      </c>
      <c r="F1" t="s">
        <v>1</v>
      </c>
      <c r="G1" s="121">
        <f ca="1">TODAY()</f>
        <v>46233</v>
      </c>
    </row>
    <row r="2" spans="1:11" x14ac:dyDescent="0.25">
      <c r="B2" s="128"/>
      <c r="C2" s="129"/>
      <c r="D2" s="5"/>
      <c r="E2" s="5"/>
      <c r="F2" s="5"/>
      <c r="G2" s="5"/>
      <c r="H2" s="5"/>
      <c r="I2" s="5"/>
      <c r="J2" s="5"/>
      <c r="K2" s="5"/>
    </row>
    <row r="3" spans="1:11" ht="15" customHeight="1" x14ac:dyDescent="0.25">
      <c r="A3" s="1"/>
    </row>
    <row r="4" spans="1:11" ht="15" customHeight="1" x14ac:dyDescent="0.3">
      <c r="A4" s="15" t="s">
        <v>46</v>
      </c>
      <c r="H4" s="4"/>
    </row>
    <row r="5" spans="1:11" ht="15" customHeight="1" x14ac:dyDescent="0.25">
      <c r="A5" s="16" t="s">
        <v>47</v>
      </c>
      <c r="B5" s="22" t="s">
        <v>48</v>
      </c>
      <c r="C5" s="17"/>
      <c r="H5" s="23" t="s">
        <v>49</v>
      </c>
    </row>
    <row r="6" spans="1:11" ht="15" customHeight="1" x14ac:dyDescent="0.25">
      <c r="H6" s="23" t="s">
        <v>48</v>
      </c>
    </row>
    <row r="7" spans="1:11" ht="23.25" customHeight="1" x14ac:dyDescent="0.25">
      <c r="A7" s="24" t="s">
        <v>50</v>
      </c>
      <c r="B7" s="24" t="s">
        <v>51</v>
      </c>
      <c r="C7" s="24" t="s">
        <v>52</v>
      </c>
      <c r="D7" s="24" t="s">
        <v>53</v>
      </c>
      <c r="E7" s="24" t="s">
        <v>54</v>
      </c>
      <c r="F7" s="24" t="s">
        <v>55</v>
      </c>
      <c r="H7" s="23" t="s">
        <v>56</v>
      </c>
    </row>
    <row r="8" spans="1:11" ht="27.75" customHeight="1" x14ac:dyDescent="0.25">
      <c r="A8" s="25" t="s">
        <v>57</v>
      </c>
      <c r="B8" s="26">
        <v>40</v>
      </c>
      <c r="C8" s="26">
        <v>65</v>
      </c>
      <c r="D8" s="26">
        <v>90</v>
      </c>
      <c r="E8" s="27">
        <f>CHOOSE(MATCH($B$5,{"Worst","Base","Best"},0),B8,C8,D8)</f>
        <v>65</v>
      </c>
      <c r="F8" s="90" t="s">
        <v>523</v>
      </c>
    </row>
    <row r="9" spans="1:11" ht="18.75" customHeight="1" x14ac:dyDescent="0.25">
      <c r="A9" s="25" t="s">
        <v>58</v>
      </c>
      <c r="B9" s="26">
        <v>8</v>
      </c>
      <c r="C9" s="26">
        <v>14</v>
      </c>
      <c r="D9" s="26">
        <v>20</v>
      </c>
      <c r="E9" s="27">
        <f>CHOOSE(MATCH($B$5,{"Worst","Base","Best"},0),B9,C9,D9)</f>
        <v>14</v>
      </c>
      <c r="F9" s="90" t="s">
        <v>59</v>
      </c>
    </row>
    <row r="10" spans="1:11" ht="18.75" customHeight="1" x14ac:dyDescent="0.25">
      <c r="A10" s="25" t="s">
        <v>60</v>
      </c>
      <c r="B10" s="26">
        <v>30</v>
      </c>
      <c r="C10" s="26">
        <v>55</v>
      </c>
      <c r="D10" s="26">
        <v>85</v>
      </c>
      <c r="E10" s="27">
        <f>CHOOSE(MATCH($B$5,{"Worst","Base","Best"},0),B10,C10,D10)</f>
        <v>55</v>
      </c>
      <c r="F10" s="90" t="s">
        <v>61</v>
      </c>
    </row>
    <row r="11" spans="1:11" ht="18.75" customHeight="1" x14ac:dyDescent="0.25">
      <c r="A11" s="25" t="s">
        <v>62</v>
      </c>
      <c r="B11" s="29">
        <v>0.05</v>
      </c>
      <c r="C11" s="29">
        <v>0.15</v>
      </c>
      <c r="D11" s="29">
        <v>0.3</v>
      </c>
      <c r="E11" s="30">
        <f>CHOOSE(MATCH($B$5,{"Worst","Base","Best"},0),B11,C11,D11)</f>
        <v>0.15</v>
      </c>
      <c r="F11" s="90" t="s">
        <v>63</v>
      </c>
    </row>
    <row r="12" spans="1:11" ht="18.75" customHeight="1" x14ac:dyDescent="0.25">
      <c r="A12" s="25" t="s">
        <v>64</v>
      </c>
      <c r="B12" s="29">
        <v>0.02</v>
      </c>
      <c r="C12" s="29">
        <v>0.08</v>
      </c>
      <c r="D12" s="29">
        <v>0.15</v>
      </c>
      <c r="E12" s="30">
        <f>CHOOSE(MATCH($B$5,{"Worst","Base","Best"},0),B12,C12,D12)</f>
        <v>0.08</v>
      </c>
      <c r="F12" s="90" t="s">
        <v>65</v>
      </c>
    </row>
    <row r="13" spans="1:11" ht="18.75" customHeight="1" x14ac:dyDescent="0.25">
      <c r="A13" s="25" t="s">
        <v>66</v>
      </c>
      <c r="B13" s="29">
        <v>0</v>
      </c>
      <c r="C13" s="29">
        <v>0.06</v>
      </c>
      <c r="D13" s="29">
        <v>0.12</v>
      </c>
      <c r="E13" s="30">
        <f>CHOOSE(MATCH($B$5,{"Worst","Base","Best"},0),B13,C13,D13)</f>
        <v>0.06</v>
      </c>
      <c r="F13" s="90" t="s">
        <v>67</v>
      </c>
    </row>
    <row r="14" spans="1:11" ht="15" customHeight="1" x14ac:dyDescent="0.25">
      <c r="A14" s="25" t="s">
        <v>68</v>
      </c>
      <c r="B14" s="29">
        <v>-0.03</v>
      </c>
      <c r="C14" s="29">
        <v>0.03</v>
      </c>
      <c r="D14" s="29">
        <v>0.08</v>
      </c>
      <c r="E14" s="30">
        <f>CHOOSE(MATCH($B$5,{"Worst","Base","Best"},0),B14,C14,D14)</f>
        <v>0.03</v>
      </c>
      <c r="F14" s="90" t="s">
        <v>69</v>
      </c>
    </row>
    <row r="15" spans="1:11" ht="15" customHeight="1" x14ac:dyDescent="0.25"/>
    <row r="16" spans="1:11" ht="79.5" customHeight="1" x14ac:dyDescent="0.25">
      <c r="A16" s="31" t="s">
        <v>522</v>
      </c>
    </row>
    <row r="17" spans="1:6" ht="15" customHeight="1" x14ac:dyDescent="0.25"/>
    <row r="18" spans="1:6" ht="15" customHeight="1" x14ac:dyDescent="0.25"/>
    <row r="19" spans="1:6" ht="15" customHeight="1" x14ac:dyDescent="0.25">
      <c r="A19" s="147"/>
      <c r="B19" s="147"/>
      <c r="C19" s="147"/>
      <c r="D19" s="147"/>
      <c r="E19" s="147"/>
      <c r="F19" s="147"/>
    </row>
    <row r="20" spans="1:6" ht="15" customHeight="1" x14ac:dyDescent="0.25">
      <c r="A20" s="147"/>
      <c r="B20" s="147"/>
      <c r="C20" s="147"/>
      <c r="D20" s="147"/>
      <c r="E20" s="147"/>
      <c r="F20" s="147"/>
    </row>
    <row r="22" spans="1:6" ht="15" customHeight="1" x14ac:dyDescent="0.25">
      <c r="A22" s="24" t="s">
        <v>30</v>
      </c>
      <c r="B22" s="24" t="s">
        <v>51</v>
      </c>
      <c r="C22" s="24" t="s">
        <v>52</v>
      </c>
      <c r="D22" s="24" t="s">
        <v>53</v>
      </c>
      <c r="E22" s="24"/>
      <c r="F22" s="24"/>
    </row>
    <row r="23" spans="1:6" ht="15" customHeight="1" x14ac:dyDescent="0.25">
      <c r="A23" s="33" t="s">
        <v>70</v>
      </c>
      <c r="B23" s="34">
        <v>117896</v>
      </c>
      <c r="C23" s="34">
        <v>194579</v>
      </c>
      <c r="D23" s="34">
        <v>270110</v>
      </c>
      <c r="E23" s="35"/>
      <c r="F23" s="93"/>
    </row>
    <row r="24" spans="1:6" ht="15" customHeight="1" x14ac:dyDescent="0.25">
      <c r="A24" s="33" t="s">
        <v>71</v>
      </c>
      <c r="B24" s="34">
        <v>-45246</v>
      </c>
      <c r="C24" s="34">
        <v>4393</v>
      </c>
      <c r="D24" s="34">
        <v>52934</v>
      </c>
      <c r="E24" s="35"/>
      <c r="F24" s="93"/>
    </row>
    <row r="25" spans="1:6" ht="15" customHeight="1" x14ac:dyDescent="0.25">
      <c r="A25" s="33" t="s">
        <v>72</v>
      </c>
      <c r="B25" s="34">
        <v>156104</v>
      </c>
      <c r="C25" s="34">
        <v>336728</v>
      </c>
      <c r="D25" s="34">
        <v>623497</v>
      </c>
      <c r="E25" s="35"/>
      <c r="F25" s="93"/>
    </row>
    <row r="26" spans="1:6" ht="15" customHeight="1" x14ac:dyDescent="0.25">
      <c r="A26" s="33" t="s">
        <v>73</v>
      </c>
      <c r="B26" s="34">
        <v>-20654</v>
      </c>
      <c r="C26" s="34">
        <v>94623</v>
      </c>
      <c r="D26" s="34">
        <v>277017</v>
      </c>
      <c r="E26" s="35"/>
      <c r="F26" s="93"/>
    </row>
    <row r="27" spans="1:6" ht="15" customHeight="1" x14ac:dyDescent="0.25">
      <c r="A27" s="33" t="s">
        <v>74</v>
      </c>
      <c r="B27" s="34">
        <v>-30967</v>
      </c>
      <c r="C27" s="34">
        <v>14587</v>
      </c>
      <c r="D27" s="34">
        <v>56387</v>
      </c>
      <c r="E27" s="35"/>
      <c r="F27" s="93"/>
    </row>
    <row r="28" spans="1:6" ht="15" customHeight="1" x14ac:dyDescent="0.25">
      <c r="A28" s="33" t="s">
        <v>75</v>
      </c>
      <c r="B28" s="34">
        <v>-173811</v>
      </c>
      <c r="C28" s="34">
        <v>197994</v>
      </c>
      <c r="D28" s="34">
        <v>677608</v>
      </c>
      <c r="E28" s="35"/>
      <c r="F28" s="93"/>
    </row>
    <row r="30" spans="1:6" ht="79.5" customHeight="1" x14ac:dyDescent="0.25">
      <c r="A30" s="31"/>
    </row>
    <row r="31" spans="1:6" ht="15" customHeight="1" x14ac:dyDescent="0.25"/>
    <row r="32" spans="1:6" ht="15" customHeight="1" x14ac:dyDescent="0.25"/>
  </sheetData>
  <mergeCells count="1">
    <mergeCell ref="A19:F20"/>
  </mergeCells>
  <dataValidations count="1">
    <dataValidation type="list" sqref="B5 C1" xr:uid="{00000000-0002-0000-0500-000000000000}">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K65"/>
  <sheetViews>
    <sheetView showGridLines="0" zoomScaleNormal="100" workbookViewId="0">
      <pane ySplit="7" topLeftCell="A8" activePane="bottomLeft" state="frozen"/>
      <selection pane="bottomLeft" activeCell="D1" sqref="D1:D1048576"/>
    </sheetView>
  </sheetViews>
  <sheetFormatPr defaultColWidth="8.7109375" defaultRowHeight="15" x14ac:dyDescent="0.25"/>
  <cols>
    <col min="1" max="1" width="38" customWidth="1"/>
    <col min="2" max="2" width="46" customWidth="1"/>
    <col min="3" max="4" width="14" customWidth="1"/>
    <col min="5" max="5" width="62" style="92" customWidth="1"/>
  </cols>
  <sheetData>
    <row r="1" spans="1:11" ht="15.75" customHeight="1" x14ac:dyDescent="0.25">
      <c r="A1" s="133"/>
      <c r="B1" t="s">
        <v>0</v>
      </c>
      <c r="C1" s="130" t="s">
        <v>48</v>
      </c>
      <c r="E1" t="s">
        <v>540</v>
      </c>
      <c r="F1" t="s">
        <v>1</v>
      </c>
      <c r="G1" s="121">
        <f ca="1">TODAY()</f>
        <v>46233</v>
      </c>
    </row>
    <row r="2" spans="1:11" ht="15.75" customHeight="1" x14ac:dyDescent="0.25">
      <c r="A2" s="133"/>
      <c r="C2" s="141"/>
      <c r="E2"/>
      <c r="G2" s="121"/>
    </row>
    <row r="3" spans="1:11" ht="15.75" customHeight="1" x14ac:dyDescent="0.25">
      <c r="A3" s="133"/>
      <c r="B3" s="128"/>
      <c r="C3" s="129"/>
      <c r="D3" s="5"/>
      <c r="E3" s="5"/>
      <c r="F3" s="5"/>
      <c r="G3" s="5"/>
      <c r="H3" s="5"/>
      <c r="I3" s="5"/>
      <c r="J3" s="5"/>
      <c r="K3" s="5"/>
    </row>
    <row r="4" spans="1:11" ht="15" customHeight="1" x14ac:dyDescent="0.25"/>
    <row r="5" spans="1:11" ht="15" customHeight="1" x14ac:dyDescent="0.3">
      <c r="A5" s="15" t="s">
        <v>25</v>
      </c>
    </row>
    <row r="6" spans="1:11" x14ac:dyDescent="0.25">
      <c r="A6" s="1" t="s">
        <v>76</v>
      </c>
    </row>
    <row r="7" spans="1:11" ht="15" customHeight="1" x14ac:dyDescent="0.25">
      <c r="A7" s="24" t="s">
        <v>31</v>
      </c>
      <c r="B7" s="24" t="s">
        <v>77</v>
      </c>
      <c r="C7" s="24" t="s">
        <v>78</v>
      </c>
      <c r="D7" s="24" t="s">
        <v>79</v>
      </c>
      <c r="E7" s="24" t="s">
        <v>80</v>
      </c>
    </row>
    <row r="8" spans="1:11" ht="15" customHeight="1" x14ac:dyDescent="0.25">
      <c r="A8" s="150" t="s">
        <v>81</v>
      </c>
      <c r="B8" s="150"/>
      <c r="C8" s="150"/>
      <c r="D8" s="150"/>
      <c r="E8" s="150"/>
    </row>
    <row r="9" spans="1:11" ht="15" customHeight="1" x14ac:dyDescent="0.25">
      <c r="A9" s="33" t="s">
        <v>82</v>
      </c>
      <c r="B9" s="25" t="s">
        <v>83</v>
      </c>
      <c r="C9" s="36">
        <v>800</v>
      </c>
      <c r="D9" s="33" t="s">
        <v>84</v>
      </c>
      <c r="E9" s="90" t="s">
        <v>521</v>
      </c>
    </row>
    <row r="10" spans="1:11" ht="27.75" customHeight="1" x14ac:dyDescent="0.25">
      <c r="A10" s="33" t="s">
        <v>82</v>
      </c>
      <c r="B10" s="25" t="s">
        <v>85</v>
      </c>
      <c r="C10" s="36">
        <v>30</v>
      </c>
      <c r="D10" s="33" t="s">
        <v>86</v>
      </c>
      <c r="E10" s="91" t="s">
        <v>87</v>
      </c>
    </row>
    <row r="11" spans="1:11" ht="15" customHeight="1" x14ac:dyDescent="0.25">
      <c r="A11" s="33" t="s">
        <v>82</v>
      </c>
      <c r="B11" s="25" t="s">
        <v>88</v>
      </c>
      <c r="C11" s="36">
        <v>3</v>
      </c>
      <c r="D11" s="33" t="s">
        <v>89</v>
      </c>
      <c r="E11" s="91" t="s">
        <v>90</v>
      </c>
    </row>
    <row r="12" spans="1:11" ht="36.75" customHeight="1" x14ac:dyDescent="0.25">
      <c r="A12" s="33" t="s">
        <v>82</v>
      </c>
      <c r="B12" s="25" t="s">
        <v>91</v>
      </c>
      <c r="C12" s="38">
        <v>1500</v>
      </c>
      <c r="D12" s="33" t="s">
        <v>92</v>
      </c>
      <c r="E12" s="90" t="s">
        <v>93</v>
      </c>
    </row>
    <row r="13" spans="1:11" ht="15" customHeight="1" x14ac:dyDescent="0.25">
      <c r="A13" s="33" t="s">
        <v>82</v>
      </c>
      <c r="B13" s="25" t="s">
        <v>94</v>
      </c>
      <c r="C13" s="29">
        <v>0.03</v>
      </c>
      <c r="D13" s="33" t="s">
        <v>95</v>
      </c>
      <c r="E13" s="91" t="s">
        <v>96</v>
      </c>
    </row>
    <row r="14" spans="1:11" ht="18.75" customHeight="1" x14ac:dyDescent="0.25">
      <c r="A14" s="33" t="s">
        <v>82</v>
      </c>
      <c r="B14" s="25" t="s">
        <v>97</v>
      </c>
      <c r="C14" s="38">
        <v>1800</v>
      </c>
      <c r="D14" s="33" t="s">
        <v>92</v>
      </c>
      <c r="E14" s="90" t="s">
        <v>98</v>
      </c>
    </row>
    <row r="15" spans="1:11" ht="15" customHeight="1" x14ac:dyDescent="0.25">
      <c r="A15" s="33" t="s">
        <v>82</v>
      </c>
      <c r="B15" s="25" t="s">
        <v>99</v>
      </c>
      <c r="C15" s="29">
        <v>1.7500000000000002E-2</v>
      </c>
      <c r="D15" s="33" t="s">
        <v>100</v>
      </c>
      <c r="E15" s="91" t="s">
        <v>101</v>
      </c>
    </row>
    <row r="17" spans="1:5" ht="15" customHeight="1" x14ac:dyDescent="0.25">
      <c r="A17" s="150" t="s">
        <v>102</v>
      </c>
      <c r="B17" s="150"/>
      <c r="C17" s="150"/>
      <c r="D17" s="150"/>
      <c r="E17" s="150"/>
    </row>
    <row r="18" spans="1:5" ht="15" customHeight="1" x14ac:dyDescent="0.25">
      <c r="A18" s="33" t="s">
        <v>103</v>
      </c>
      <c r="B18" s="25" t="s">
        <v>104</v>
      </c>
      <c r="C18" s="36">
        <v>313</v>
      </c>
      <c r="D18" s="33" t="s">
        <v>105</v>
      </c>
      <c r="E18" s="91" t="s">
        <v>106</v>
      </c>
    </row>
    <row r="19" spans="1:5" ht="18.75" customHeight="1" x14ac:dyDescent="0.25">
      <c r="A19" s="33" t="s">
        <v>103</v>
      </c>
      <c r="B19" s="25" t="s">
        <v>107</v>
      </c>
      <c r="C19" s="39">
        <f>'Scenario Analysis'!$E$8</f>
        <v>65</v>
      </c>
      <c r="D19" s="33" t="s">
        <v>108</v>
      </c>
      <c r="E19" s="90" t="s">
        <v>520</v>
      </c>
    </row>
    <row r="20" spans="1:5" ht="18.75" customHeight="1" x14ac:dyDescent="0.25">
      <c r="A20" s="33" t="s">
        <v>103</v>
      </c>
      <c r="B20" s="25" t="s">
        <v>109</v>
      </c>
      <c r="C20" s="40">
        <v>8.5</v>
      </c>
      <c r="D20" s="33" t="s">
        <v>110</v>
      </c>
      <c r="E20" s="91" t="s">
        <v>111</v>
      </c>
    </row>
    <row r="21" spans="1:5" ht="18.75" customHeight="1" x14ac:dyDescent="0.25">
      <c r="A21" s="33" t="s">
        <v>103</v>
      </c>
      <c r="B21" s="25" t="s">
        <v>112</v>
      </c>
      <c r="C21" s="29">
        <v>0.3</v>
      </c>
      <c r="D21" s="33" t="s">
        <v>113</v>
      </c>
      <c r="E21" s="90" t="s">
        <v>114</v>
      </c>
    </row>
    <row r="23" spans="1:5" ht="15" customHeight="1" x14ac:dyDescent="0.25">
      <c r="A23" s="150" t="s">
        <v>115</v>
      </c>
      <c r="B23" s="150"/>
      <c r="C23" s="150"/>
      <c r="D23" s="150"/>
      <c r="E23" s="150"/>
    </row>
    <row r="24" spans="1:5" ht="18.75" customHeight="1" x14ac:dyDescent="0.25">
      <c r="A24" s="33" t="s">
        <v>116</v>
      </c>
      <c r="B24" s="25" t="s">
        <v>58</v>
      </c>
      <c r="C24" s="39">
        <f>'Scenario Analysis'!$E$9</f>
        <v>14</v>
      </c>
      <c r="D24" s="33" t="s">
        <v>117</v>
      </c>
      <c r="E24" s="90" t="s">
        <v>519</v>
      </c>
    </row>
    <row r="25" spans="1:5" ht="15" customHeight="1" x14ac:dyDescent="0.25">
      <c r="A25" s="33" t="s">
        <v>116</v>
      </c>
      <c r="B25" s="25" t="s">
        <v>118</v>
      </c>
      <c r="C25" s="36">
        <v>10</v>
      </c>
      <c r="D25" s="33" t="s">
        <v>119</v>
      </c>
      <c r="E25" s="90" t="s">
        <v>518</v>
      </c>
    </row>
    <row r="26" spans="1:5" ht="18.75" customHeight="1" x14ac:dyDescent="0.25">
      <c r="A26" s="33" t="s">
        <v>116</v>
      </c>
      <c r="B26" s="25" t="s">
        <v>120</v>
      </c>
      <c r="C26" s="36">
        <v>12</v>
      </c>
      <c r="D26" s="33" t="s">
        <v>110</v>
      </c>
      <c r="E26" s="91" t="s">
        <v>121</v>
      </c>
    </row>
    <row r="27" spans="1:5" ht="18.75" customHeight="1" x14ac:dyDescent="0.25">
      <c r="A27" s="33" t="s">
        <v>116</v>
      </c>
      <c r="B27" s="25" t="s">
        <v>60</v>
      </c>
      <c r="C27" s="39">
        <f>'Scenario Analysis'!$E$10</f>
        <v>55</v>
      </c>
      <c r="D27" s="33" t="s">
        <v>122</v>
      </c>
      <c r="E27" s="90" t="s">
        <v>517</v>
      </c>
    </row>
    <row r="28" spans="1:5" ht="27.75" customHeight="1" x14ac:dyDescent="0.25">
      <c r="A28" s="33" t="s">
        <v>116</v>
      </c>
      <c r="B28" s="25" t="s">
        <v>123</v>
      </c>
      <c r="C28" s="41">
        <v>45</v>
      </c>
      <c r="D28" s="33" t="s">
        <v>124</v>
      </c>
      <c r="E28" s="91" t="s">
        <v>125</v>
      </c>
    </row>
    <row r="29" spans="1:5" ht="27.75" customHeight="1" x14ac:dyDescent="0.25">
      <c r="A29" s="33" t="s">
        <v>116</v>
      </c>
      <c r="B29" s="25" t="s">
        <v>126</v>
      </c>
      <c r="C29" s="41">
        <v>30</v>
      </c>
      <c r="D29" s="33" t="s">
        <v>127</v>
      </c>
      <c r="E29" s="90" t="s">
        <v>128</v>
      </c>
    </row>
    <row r="31" spans="1:5" ht="15" customHeight="1" x14ac:dyDescent="0.25">
      <c r="A31" s="150" t="s">
        <v>129</v>
      </c>
      <c r="B31" s="150"/>
      <c r="C31" s="150"/>
      <c r="D31" s="150"/>
      <c r="E31" s="150"/>
    </row>
    <row r="32" spans="1:5" ht="18.75" customHeight="1" x14ac:dyDescent="0.25">
      <c r="A32" s="33" t="s">
        <v>130</v>
      </c>
      <c r="B32" s="25" t="s">
        <v>131</v>
      </c>
      <c r="C32" s="38">
        <v>65</v>
      </c>
      <c r="D32" s="33" t="s">
        <v>132</v>
      </c>
      <c r="E32" s="90" t="s">
        <v>133</v>
      </c>
    </row>
    <row r="33" spans="1:5" ht="18.75" customHeight="1" x14ac:dyDescent="0.25">
      <c r="A33" s="33" t="s">
        <v>130</v>
      </c>
      <c r="B33" s="25" t="s">
        <v>134</v>
      </c>
      <c r="C33" s="40">
        <v>13.25</v>
      </c>
      <c r="D33" s="33" t="s">
        <v>135</v>
      </c>
      <c r="E33" s="91" t="s">
        <v>136</v>
      </c>
    </row>
    <row r="34" spans="1:5" ht="18.75" customHeight="1" x14ac:dyDescent="0.25">
      <c r="A34" s="33" t="s">
        <v>130</v>
      </c>
      <c r="B34" s="25" t="s">
        <v>137</v>
      </c>
      <c r="C34" s="38">
        <v>26000</v>
      </c>
      <c r="D34" s="33" t="s">
        <v>92</v>
      </c>
      <c r="E34" s="90" t="s">
        <v>516</v>
      </c>
    </row>
    <row r="35" spans="1:5" ht="18.75" customHeight="1" x14ac:dyDescent="0.25">
      <c r="A35" s="33" t="s">
        <v>130</v>
      </c>
      <c r="B35" s="25" t="s">
        <v>138</v>
      </c>
      <c r="C35" s="42">
        <v>0.15</v>
      </c>
      <c r="D35" s="33" t="s">
        <v>139</v>
      </c>
      <c r="E35" s="90" t="s">
        <v>515</v>
      </c>
    </row>
    <row r="37" spans="1:5" ht="15" customHeight="1" x14ac:dyDescent="0.25">
      <c r="A37" s="150" t="s">
        <v>140</v>
      </c>
      <c r="B37" s="150"/>
      <c r="C37" s="150"/>
      <c r="D37" s="150"/>
      <c r="E37" s="150"/>
    </row>
    <row r="38" spans="1:5" ht="15" customHeight="1" x14ac:dyDescent="0.25">
      <c r="A38" s="33" t="s">
        <v>141</v>
      </c>
      <c r="B38" s="25" t="s">
        <v>142</v>
      </c>
      <c r="C38" s="38">
        <v>400</v>
      </c>
      <c r="D38" s="33" t="s">
        <v>124</v>
      </c>
      <c r="E38" s="90" t="s">
        <v>143</v>
      </c>
    </row>
    <row r="39" spans="1:5" ht="15" customHeight="1" x14ac:dyDescent="0.25">
      <c r="A39" s="33" t="s">
        <v>141</v>
      </c>
      <c r="B39" s="25" t="s">
        <v>144</v>
      </c>
      <c r="C39" s="36">
        <v>150</v>
      </c>
      <c r="D39" s="33" t="s">
        <v>124</v>
      </c>
      <c r="E39" s="90" t="s">
        <v>145</v>
      </c>
    </row>
    <row r="40" spans="1:5" ht="15" customHeight="1" x14ac:dyDescent="0.25">
      <c r="A40" s="33" t="s">
        <v>141</v>
      </c>
      <c r="B40" s="25" t="s">
        <v>146</v>
      </c>
      <c r="C40" s="38">
        <v>500</v>
      </c>
      <c r="D40" s="33" t="s">
        <v>124</v>
      </c>
      <c r="E40" s="90" t="s">
        <v>147</v>
      </c>
    </row>
    <row r="41" spans="1:5" ht="18.75" customHeight="1" x14ac:dyDescent="0.25">
      <c r="A41" s="33" t="s">
        <v>148</v>
      </c>
      <c r="B41" s="25" t="s">
        <v>149</v>
      </c>
      <c r="C41" s="29">
        <v>0.25</v>
      </c>
      <c r="D41" s="33" t="s">
        <v>150</v>
      </c>
      <c r="E41" s="91" t="s">
        <v>151</v>
      </c>
    </row>
    <row r="42" spans="1:5" ht="18.75" customHeight="1" x14ac:dyDescent="0.25">
      <c r="A42" s="33" t="s">
        <v>148</v>
      </c>
      <c r="B42" s="25" t="s">
        <v>152</v>
      </c>
      <c r="C42" s="36">
        <v>90000</v>
      </c>
      <c r="D42" s="33" t="s">
        <v>153</v>
      </c>
      <c r="E42" s="90" t="s">
        <v>514</v>
      </c>
    </row>
    <row r="44" spans="1:5" ht="15" customHeight="1" x14ac:dyDescent="0.25">
      <c r="A44" s="150" t="s">
        <v>154</v>
      </c>
      <c r="B44" s="150"/>
      <c r="C44" s="150"/>
      <c r="D44" s="150"/>
      <c r="E44" s="150"/>
    </row>
    <row r="45" spans="1:5" ht="18.75" customHeight="1" x14ac:dyDescent="0.25">
      <c r="A45" s="33" t="s">
        <v>155</v>
      </c>
      <c r="B45" s="25" t="s">
        <v>62</v>
      </c>
      <c r="C45" s="43">
        <f>'Scenario Analysis'!$E$11</f>
        <v>0.15</v>
      </c>
      <c r="D45" s="33" t="s">
        <v>150</v>
      </c>
      <c r="E45" s="90" t="s">
        <v>513</v>
      </c>
    </row>
    <row r="46" spans="1:5" ht="15" customHeight="1" x14ac:dyDescent="0.25">
      <c r="A46" s="33" t="s">
        <v>155</v>
      </c>
      <c r="B46" s="25" t="s">
        <v>64</v>
      </c>
      <c r="C46" s="43">
        <f>'Scenario Analysis'!$E$12</f>
        <v>0.08</v>
      </c>
      <c r="D46" s="33" t="s">
        <v>150</v>
      </c>
      <c r="E46" s="90" t="s">
        <v>512</v>
      </c>
    </row>
    <row r="48" spans="1:5" ht="18.75" customHeight="1" x14ac:dyDescent="0.25">
      <c r="A48" s="33" t="s">
        <v>116</v>
      </c>
      <c r="B48" s="25" t="s">
        <v>156</v>
      </c>
      <c r="C48" s="38">
        <v>6</v>
      </c>
      <c r="D48" s="33" t="s">
        <v>157</v>
      </c>
      <c r="E48" s="90" t="s">
        <v>511</v>
      </c>
    </row>
    <row r="50" spans="1:5" ht="15" customHeight="1" x14ac:dyDescent="0.25">
      <c r="A50" s="150" t="s">
        <v>158</v>
      </c>
      <c r="B50" s="150"/>
      <c r="C50" s="150"/>
      <c r="D50" s="150"/>
      <c r="E50" s="150"/>
    </row>
    <row r="51" spans="1:5" ht="15" customHeight="1" x14ac:dyDescent="0.25">
      <c r="A51" s="33" t="s">
        <v>159</v>
      </c>
      <c r="B51" s="25" t="s">
        <v>160</v>
      </c>
      <c r="C51" s="38">
        <v>40000</v>
      </c>
      <c r="D51" s="33" t="s">
        <v>110</v>
      </c>
      <c r="E51" s="90" t="s">
        <v>510</v>
      </c>
    </row>
    <row r="52" spans="1:5" ht="27.75" customHeight="1" x14ac:dyDescent="0.25">
      <c r="A52" s="33" t="s">
        <v>159</v>
      </c>
      <c r="B52" s="25" t="s">
        <v>161</v>
      </c>
      <c r="C52" s="42">
        <v>7.4999999999999997E-2</v>
      </c>
      <c r="D52" s="33" t="s">
        <v>162</v>
      </c>
      <c r="E52" s="90" t="s">
        <v>163</v>
      </c>
    </row>
    <row r="53" spans="1:5" ht="15" customHeight="1" x14ac:dyDescent="0.25">
      <c r="A53" s="33" t="s">
        <v>159</v>
      </c>
      <c r="B53" s="25" t="s">
        <v>164</v>
      </c>
      <c r="C53" s="36">
        <v>5</v>
      </c>
      <c r="D53" s="33" t="s">
        <v>165</v>
      </c>
      <c r="E53" s="90" t="s">
        <v>166</v>
      </c>
    </row>
    <row r="54" spans="1:5" ht="18.75" customHeight="1" x14ac:dyDescent="0.25">
      <c r="A54" s="33" t="s">
        <v>159</v>
      </c>
      <c r="B54" s="25" t="s">
        <v>167</v>
      </c>
      <c r="C54" s="36">
        <v>5</v>
      </c>
      <c r="D54" s="33" t="s">
        <v>165</v>
      </c>
      <c r="E54" s="90" t="s">
        <v>168</v>
      </c>
    </row>
    <row r="55" spans="1:5" ht="18.75" customHeight="1" x14ac:dyDescent="0.25">
      <c r="A55" s="33" t="s">
        <v>155</v>
      </c>
      <c r="B55" s="25" t="s">
        <v>66</v>
      </c>
      <c r="C55" s="44">
        <f>'Scenario Analysis'!$E$13</f>
        <v>0.06</v>
      </c>
      <c r="D55" s="33" t="s">
        <v>150</v>
      </c>
      <c r="E55" s="90" t="s">
        <v>169</v>
      </c>
    </row>
    <row r="56" spans="1:5" ht="18.75" customHeight="1" x14ac:dyDescent="0.25">
      <c r="A56" s="33" t="s">
        <v>155</v>
      </c>
      <c r="B56" s="25" t="s">
        <v>68</v>
      </c>
      <c r="C56" s="44">
        <f>'Scenario Analysis'!$E$14</f>
        <v>0.03</v>
      </c>
      <c r="D56" s="33" t="s">
        <v>150</v>
      </c>
      <c r="E56" s="90" t="s">
        <v>170</v>
      </c>
    </row>
    <row r="65" spans="3:3" ht="15.75" x14ac:dyDescent="0.25">
      <c r="C65" s="22" t="s">
        <v>48</v>
      </c>
    </row>
  </sheetData>
  <mergeCells count="7">
    <mergeCell ref="A44:E44"/>
    <mergeCell ref="A50:E50"/>
    <mergeCell ref="A8:E8"/>
    <mergeCell ref="A17:E17"/>
    <mergeCell ref="A23:E23"/>
    <mergeCell ref="A31:E31"/>
    <mergeCell ref="A37:E37"/>
  </mergeCells>
  <dataValidations count="1">
    <dataValidation type="list" sqref="C65 C1:C2" xr:uid="{00000000-0002-0000-0500-000000000000}">
      <formula1>"Worst,Base,Best"</formula1>
      <formula2>0</formula2>
    </dataValidation>
  </dataValidations>
  <hyperlinks>
    <hyperlink ref="E10" r:id="rId1" xr:uid="{00000000-0004-0000-0600-000002000000}"/>
    <hyperlink ref="E11" r:id="rId2" xr:uid="{00000000-0004-0000-0600-000003000000}"/>
    <hyperlink ref="E13" r:id="rId3" xr:uid="{00000000-0004-0000-0600-000004000000}"/>
    <hyperlink ref="E15" r:id="rId4" xr:uid="{00000000-0004-0000-0600-000005000000}"/>
    <hyperlink ref="E18" r:id="rId5" xr:uid="{00000000-0004-0000-0600-000006000000}"/>
    <hyperlink ref="E20" r:id="rId6" xr:uid="{00000000-0004-0000-0600-000007000000}"/>
    <hyperlink ref="E26" r:id="rId7" xr:uid="{00000000-0004-0000-0600-000008000000}"/>
    <hyperlink ref="E28" r:id="rId8" xr:uid="{00000000-0004-0000-0600-000009000000}"/>
    <hyperlink ref="E33" r:id="rId9" xr:uid="{00000000-0004-0000-0600-00000A000000}"/>
    <hyperlink ref="E41" r:id="rId10" xr:uid="{00000000-0004-0000-0600-00000B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K26"/>
  <sheetViews>
    <sheetView showGridLines="0" zoomScaleNormal="100" workbookViewId="0">
      <pane ySplit="6" topLeftCell="A7" activePane="bottomLeft" state="frozen"/>
      <selection pane="bottomLeft" activeCell="B2" sqref="B2:K2"/>
    </sheetView>
  </sheetViews>
  <sheetFormatPr defaultColWidth="8.7109375" defaultRowHeight="15" x14ac:dyDescent="0.25"/>
  <cols>
    <col min="1" max="1" width="8" customWidth="1"/>
    <col min="2" max="2" width="10" customWidth="1"/>
    <col min="3" max="4" width="12" customWidth="1"/>
    <col min="5" max="5" width="31.42578125" bestFit="1" customWidth="1"/>
    <col min="6" max="6" width="12" customWidth="1"/>
    <col min="7" max="7" width="14" customWidth="1"/>
    <col min="8" max="9" width="12" customWidth="1"/>
    <col min="10" max="10" width="50" style="92" customWidth="1"/>
  </cols>
  <sheetData>
    <row r="1" spans="1:11" ht="15.75" customHeight="1" x14ac:dyDescent="0.25">
      <c r="A1" s="133"/>
      <c r="B1" t="s">
        <v>0</v>
      </c>
      <c r="C1" s="130" t="s">
        <v>48</v>
      </c>
      <c r="E1" t="s">
        <v>540</v>
      </c>
      <c r="F1" t="s">
        <v>1</v>
      </c>
      <c r="G1" s="121">
        <f ca="1">TODAY()</f>
        <v>46233</v>
      </c>
      <c r="J1"/>
    </row>
    <row r="2" spans="1:11" x14ac:dyDescent="0.25">
      <c r="B2" s="128"/>
      <c r="C2" s="129"/>
      <c r="D2" s="5"/>
      <c r="E2" s="5"/>
      <c r="F2" s="5"/>
      <c r="G2" s="5"/>
      <c r="H2" s="5"/>
      <c r="I2" s="5"/>
      <c r="J2" s="5"/>
      <c r="K2" s="5"/>
    </row>
    <row r="4" spans="1:11" ht="19.5" customHeight="1" x14ac:dyDescent="0.3">
      <c r="A4" s="15" t="s">
        <v>205</v>
      </c>
    </row>
    <row r="6" spans="1:11" ht="45.75" customHeight="1" x14ac:dyDescent="0.25">
      <c r="A6" s="24" t="s">
        <v>206</v>
      </c>
      <c r="B6" s="24" t="s">
        <v>207</v>
      </c>
      <c r="C6" s="24" t="s">
        <v>208</v>
      </c>
      <c r="D6" s="24" t="s">
        <v>209</v>
      </c>
      <c r="E6" s="24" t="s">
        <v>210</v>
      </c>
      <c r="F6" s="24" t="s">
        <v>211</v>
      </c>
      <c r="G6" s="24" t="s">
        <v>212</v>
      </c>
      <c r="H6" s="24" t="s">
        <v>213</v>
      </c>
      <c r="I6" s="24" t="s">
        <v>214</v>
      </c>
      <c r="J6" s="24" t="s">
        <v>55</v>
      </c>
    </row>
    <row r="7" spans="1:11" ht="27.75" customHeight="1" x14ac:dyDescent="0.25">
      <c r="A7" s="33">
        <v>1</v>
      </c>
      <c r="B7" s="33" t="s">
        <v>215</v>
      </c>
      <c r="C7" s="52">
        <v>0.85</v>
      </c>
      <c r="D7" s="52">
        <v>1.3</v>
      </c>
      <c r="E7" s="41">
        <v>0</v>
      </c>
      <c r="F7" s="41">
        <v>300</v>
      </c>
      <c r="G7" s="41">
        <v>150</v>
      </c>
      <c r="H7" s="41">
        <v>50</v>
      </c>
      <c r="I7" s="53">
        <f t="shared" ref="I7:I18" si="0">F7+G7+H7</f>
        <v>500</v>
      </c>
      <c r="J7" s="90" t="s">
        <v>216</v>
      </c>
    </row>
    <row r="8" spans="1:11" ht="18.75" customHeight="1" x14ac:dyDescent="0.25">
      <c r="A8" s="33">
        <v>2</v>
      </c>
      <c r="B8" s="33" t="s">
        <v>217</v>
      </c>
      <c r="C8" s="52">
        <v>0.9</v>
      </c>
      <c r="D8" s="52">
        <v>1.2</v>
      </c>
      <c r="E8" s="41">
        <v>0</v>
      </c>
      <c r="F8" s="41">
        <v>200</v>
      </c>
      <c r="G8" s="41">
        <v>150</v>
      </c>
      <c r="H8" s="41">
        <v>50</v>
      </c>
      <c r="I8" s="53">
        <f t="shared" si="0"/>
        <v>400</v>
      </c>
      <c r="J8" s="90" t="s">
        <v>218</v>
      </c>
    </row>
    <row r="9" spans="1:11" ht="15" customHeight="1" x14ac:dyDescent="0.25">
      <c r="A9" s="33">
        <v>3</v>
      </c>
      <c r="B9" s="33" t="s">
        <v>219</v>
      </c>
      <c r="C9" s="52">
        <v>0.95</v>
      </c>
      <c r="D9" s="52">
        <v>1.05</v>
      </c>
      <c r="E9" s="41">
        <v>0</v>
      </c>
      <c r="F9" s="41">
        <v>150</v>
      </c>
      <c r="G9" s="41">
        <v>150</v>
      </c>
      <c r="H9" s="41">
        <v>50</v>
      </c>
      <c r="I9" s="53">
        <f t="shared" si="0"/>
        <v>350</v>
      </c>
      <c r="J9" s="90" t="s">
        <v>220</v>
      </c>
    </row>
    <row r="10" spans="1:11" ht="15" customHeight="1" x14ac:dyDescent="0.25">
      <c r="A10" s="33">
        <v>4</v>
      </c>
      <c r="B10" s="33" t="s">
        <v>221</v>
      </c>
      <c r="C10" s="52">
        <v>1</v>
      </c>
      <c r="D10" s="52">
        <v>1</v>
      </c>
      <c r="E10" s="41">
        <v>0</v>
      </c>
      <c r="F10" s="41">
        <v>150</v>
      </c>
      <c r="G10" s="41">
        <v>150</v>
      </c>
      <c r="H10" s="41">
        <v>75</v>
      </c>
      <c r="I10" s="53">
        <f t="shared" si="0"/>
        <v>375</v>
      </c>
      <c r="J10" s="90" t="s">
        <v>222</v>
      </c>
    </row>
    <row r="11" spans="1:11" ht="18.75" customHeight="1" x14ac:dyDescent="0.25">
      <c r="A11" s="33">
        <v>5</v>
      </c>
      <c r="B11" s="33" t="s">
        <v>223</v>
      </c>
      <c r="C11" s="52">
        <v>1.05</v>
      </c>
      <c r="D11" s="52">
        <v>0.95</v>
      </c>
      <c r="E11" s="41">
        <v>0</v>
      </c>
      <c r="F11" s="41">
        <v>150</v>
      </c>
      <c r="G11" s="41">
        <v>200</v>
      </c>
      <c r="H11" s="41">
        <v>75</v>
      </c>
      <c r="I11" s="53">
        <f t="shared" si="0"/>
        <v>425</v>
      </c>
      <c r="J11" s="90" t="s">
        <v>224</v>
      </c>
    </row>
    <row r="12" spans="1:11" ht="18.75" customHeight="1" x14ac:dyDescent="0.25">
      <c r="A12" s="33">
        <v>6</v>
      </c>
      <c r="B12" s="33" t="s">
        <v>225</v>
      </c>
      <c r="C12" s="52">
        <v>1.1000000000000001</v>
      </c>
      <c r="D12" s="52">
        <v>0.85</v>
      </c>
      <c r="E12" s="41">
        <v>0.75</v>
      </c>
      <c r="F12" s="41">
        <v>250</v>
      </c>
      <c r="G12" s="41">
        <v>150</v>
      </c>
      <c r="H12" s="41">
        <v>75</v>
      </c>
      <c r="I12" s="53">
        <f t="shared" si="0"/>
        <v>475</v>
      </c>
      <c r="J12" s="90" t="s">
        <v>226</v>
      </c>
    </row>
    <row r="13" spans="1:11" ht="18.75" customHeight="1" x14ac:dyDescent="0.25">
      <c r="A13" s="33">
        <v>7</v>
      </c>
      <c r="B13" s="33" t="s">
        <v>227</v>
      </c>
      <c r="C13" s="52">
        <v>1.1499999999999999</v>
      </c>
      <c r="D13" s="52">
        <v>0.8</v>
      </c>
      <c r="E13" s="41">
        <v>0.75</v>
      </c>
      <c r="F13" s="41">
        <v>250</v>
      </c>
      <c r="G13" s="41">
        <v>150</v>
      </c>
      <c r="H13" s="41">
        <v>75</v>
      </c>
      <c r="I13" s="53">
        <f t="shared" si="0"/>
        <v>475</v>
      </c>
      <c r="J13" s="90" t="s">
        <v>228</v>
      </c>
    </row>
    <row r="14" spans="1:11" ht="15" customHeight="1" x14ac:dyDescent="0.25">
      <c r="A14" s="33">
        <v>8</v>
      </c>
      <c r="B14" s="33" t="s">
        <v>229</v>
      </c>
      <c r="C14" s="52">
        <v>1</v>
      </c>
      <c r="D14" s="52">
        <v>0.85</v>
      </c>
      <c r="E14" s="41">
        <v>0.75</v>
      </c>
      <c r="F14" s="41">
        <v>150</v>
      </c>
      <c r="G14" s="41">
        <v>150</v>
      </c>
      <c r="H14" s="41">
        <v>75</v>
      </c>
      <c r="I14" s="53">
        <f t="shared" si="0"/>
        <v>375</v>
      </c>
      <c r="J14" s="90" t="s">
        <v>230</v>
      </c>
    </row>
    <row r="15" spans="1:11" ht="18.75" customHeight="1" x14ac:dyDescent="0.25">
      <c r="A15" s="33">
        <v>9</v>
      </c>
      <c r="B15" s="33" t="s">
        <v>231</v>
      </c>
      <c r="C15" s="52">
        <v>0.95</v>
      </c>
      <c r="D15" s="52">
        <v>1.05</v>
      </c>
      <c r="E15" s="41">
        <v>0</v>
      </c>
      <c r="F15" s="41">
        <v>200</v>
      </c>
      <c r="G15" s="41">
        <v>200</v>
      </c>
      <c r="H15" s="41">
        <v>75</v>
      </c>
      <c r="I15" s="53">
        <f t="shared" si="0"/>
        <v>475</v>
      </c>
      <c r="J15" s="90" t="s">
        <v>232</v>
      </c>
    </row>
    <row r="16" spans="1:11" ht="15" customHeight="1" x14ac:dyDescent="0.25">
      <c r="A16" s="33">
        <v>10</v>
      </c>
      <c r="B16" s="33" t="s">
        <v>233</v>
      </c>
      <c r="C16" s="52">
        <v>1</v>
      </c>
      <c r="D16" s="52">
        <v>1</v>
      </c>
      <c r="E16" s="41">
        <v>0</v>
      </c>
      <c r="F16" s="41">
        <v>150</v>
      </c>
      <c r="G16" s="41">
        <v>150</v>
      </c>
      <c r="H16" s="41">
        <v>50</v>
      </c>
      <c r="I16" s="53">
        <f t="shared" si="0"/>
        <v>350</v>
      </c>
      <c r="J16" s="90" t="s">
        <v>234</v>
      </c>
    </row>
    <row r="17" spans="1:10" ht="18.75" customHeight="1" x14ac:dyDescent="0.25">
      <c r="A17" s="33">
        <v>11</v>
      </c>
      <c r="B17" s="33" t="s">
        <v>235</v>
      </c>
      <c r="C17" s="52">
        <v>1.05</v>
      </c>
      <c r="D17" s="52">
        <v>0.95</v>
      </c>
      <c r="E17" s="41">
        <v>0</v>
      </c>
      <c r="F17" s="41">
        <v>250</v>
      </c>
      <c r="G17" s="41">
        <v>200</v>
      </c>
      <c r="H17" s="41">
        <v>75</v>
      </c>
      <c r="I17" s="53">
        <f t="shared" si="0"/>
        <v>525</v>
      </c>
      <c r="J17" s="90" t="s">
        <v>236</v>
      </c>
    </row>
    <row r="18" spans="1:10" ht="18.75" customHeight="1" x14ac:dyDescent="0.25">
      <c r="A18" s="33">
        <v>12</v>
      </c>
      <c r="B18" s="33" t="s">
        <v>237</v>
      </c>
      <c r="C18" s="52">
        <v>1.2</v>
      </c>
      <c r="D18" s="52">
        <v>0.8</v>
      </c>
      <c r="E18" s="41">
        <v>0</v>
      </c>
      <c r="F18" s="41">
        <v>300</v>
      </c>
      <c r="G18" s="41">
        <v>250</v>
      </c>
      <c r="H18" s="41">
        <v>100</v>
      </c>
      <c r="I18" s="53">
        <f t="shared" si="0"/>
        <v>650</v>
      </c>
      <c r="J18" s="90" t="s">
        <v>238</v>
      </c>
    </row>
    <row r="20" spans="1:10" ht="15" customHeight="1" x14ac:dyDescent="0.25">
      <c r="A20" s="54" t="s">
        <v>239</v>
      </c>
      <c r="C20" s="55">
        <f>AVERAGE(C7:C18)</f>
        <v>1.0166666666666666</v>
      </c>
      <c r="D20" s="55">
        <f>AVERAGE(D7:D18)</f>
        <v>0.98333333333333328</v>
      </c>
    </row>
    <row r="22" spans="1:10" ht="15" customHeight="1" x14ac:dyDescent="0.25">
      <c r="A22" s="16" t="s">
        <v>240</v>
      </c>
    </row>
    <row r="23" spans="1:10" s="97" customFormat="1" ht="34.5" customHeight="1" x14ac:dyDescent="0.25">
      <c r="A23" s="97" t="s">
        <v>525</v>
      </c>
    </row>
    <row r="24" spans="1:10" ht="15" customHeight="1" x14ac:dyDescent="0.25"/>
    <row r="25" spans="1:10" ht="15" customHeight="1" x14ac:dyDescent="0.25"/>
    <row r="26" spans="1:10" ht="15" customHeight="1" x14ac:dyDescent="0.25"/>
  </sheetData>
  <dataValidations count="1">
    <dataValidation type="list" sqref="C1" xr:uid="{D4056563-236E-4E4E-B09E-60E67004AC23}">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8"/>
  </sheetPr>
  <dimension ref="A1:BK50"/>
  <sheetViews>
    <sheetView showGridLines="0" zoomScaleNormal="100" workbookViewId="0">
      <pane xSplit="3" ySplit="5" topLeftCell="D6" activePane="bottomRight" state="frozen"/>
      <selection pane="topRight" activeCell="D1" sqref="D1"/>
      <selection pane="bottomLeft" activeCell="A6" sqref="A6"/>
      <selection pane="bottomRight" activeCell="A2" sqref="A2:J2"/>
    </sheetView>
  </sheetViews>
  <sheetFormatPr defaultColWidth="8.7109375" defaultRowHeight="15" x14ac:dyDescent="0.25"/>
  <cols>
    <col min="1" max="1" width="4" customWidth="1"/>
    <col min="2" max="2" width="24" customWidth="1"/>
    <col min="3" max="3" width="9.7109375" customWidth="1"/>
    <col min="4" max="63" width="10.5703125" customWidth="1"/>
  </cols>
  <sheetData>
    <row r="1" spans="1:63" ht="15.75" customHeight="1" x14ac:dyDescent="0.25">
      <c r="A1" s="133"/>
      <c r="B1" t="s">
        <v>0</v>
      </c>
      <c r="C1" s="130" t="s">
        <v>48</v>
      </c>
      <c r="E1" t="s">
        <v>540</v>
      </c>
      <c r="F1" t="s">
        <v>1</v>
      </c>
      <c r="G1" s="121">
        <f ca="1">TODAY()</f>
        <v>46233</v>
      </c>
    </row>
    <row r="2" spans="1:63" ht="15" customHeight="1" x14ac:dyDescent="0.25">
      <c r="A2" s="128"/>
      <c r="B2" s="129"/>
      <c r="C2" s="5"/>
      <c r="D2" s="5"/>
      <c r="E2" s="5"/>
      <c r="F2" s="5"/>
      <c r="G2" s="5"/>
      <c r="H2" s="5"/>
      <c r="I2" s="5"/>
      <c r="J2" s="5"/>
    </row>
    <row r="3" spans="1:63" ht="19.5" customHeight="1" x14ac:dyDescent="0.3">
      <c r="A3" s="15" t="s">
        <v>526</v>
      </c>
      <c r="J3" s="144"/>
      <c r="K3" s="143"/>
      <c r="L3" s="145"/>
    </row>
    <row r="4" spans="1:63" ht="15" customHeight="1" x14ac:dyDescent="0.25">
      <c r="D4" s="151" t="s">
        <v>10</v>
      </c>
      <c r="E4" s="151"/>
      <c r="F4" s="151"/>
      <c r="G4" s="151"/>
      <c r="H4" s="151"/>
      <c r="I4" s="151"/>
      <c r="J4" s="151"/>
      <c r="K4" s="151"/>
      <c r="L4" s="151"/>
      <c r="M4" s="151"/>
      <c r="N4" s="151"/>
      <c r="O4" s="151"/>
      <c r="P4" s="151" t="s">
        <v>11</v>
      </c>
      <c r="Q4" s="151"/>
      <c r="R4" s="151"/>
      <c r="S4" s="151"/>
      <c r="T4" s="151"/>
      <c r="U4" s="151"/>
      <c r="V4" s="151"/>
      <c r="W4" s="151"/>
      <c r="X4" s="151"/>
      <c r="Y4" s="151"/>
      <c r="Z4" s="151"/>
      <c r="AA4" s="151"/>
      <c r="AB4" s="151" t="s">
        <v>12</v>
      </c>
      <c r="AC4" s="151"/>
      <c r="AD4" s="151"/>
      <c r="AE4" s="151"/>
      <c r="AF4" s="151"/>
      <c r="AG4" s="151"/>
      <c r="AH4" s="151"/>
      <c r="AI4" s="151"/>
      <c r="AJ4" s="151"/>
      <c r="AK4" s="151"/>
      <c r="AL4" s="151"/>
      <c r="AM4" s="151"/>
      <c r="AN4" s="151" t="s">
        <v>13</v>
      </c>
      <c r="AO4" s="151"/>
      <c r="AP4" s="151"/>
      <c r="AQ4" s="151"/>
      <c r="AR4" s="151"/>
      <c r="AS4" s="151"/>
      <c r="AT4" s="151"/>
      <c r="AU4" s="151"/>
      <c r="AV4" s="151"/>
      <c r="AW4" s="151"/>
      <c r="AX4" s="151"/>
      <c r="AY4" s="151"/>
      <c r="AZ4" s="151" t="s">
        <v>14</v>
      </c>
      <c r="BA4" s="151"/>
      <c r="BB4" s="151"/>
      <c r="BC4" s="151"/>
      <c r="BD4" s="151"/>
      <c r="BE4" s="151"/>
      <c r="BF4" s="151"/>
      <c r="BG4" s="151"/>
      <c r="BH4" s="151"/>
      <c r="BI4" s="151"/>
      <c r="BJ4" s="151"/>
      <c r="BK4" s="151"/>
    </row>
    <row r="5" spans="1:63" ht="15" customHeight="1" x14ac:dyDescent="0.25">
      <c r="D5" s="56" t="str">
        <f>'monthly model engine'!D8</f>
        <v>January Y1</v>
      </c>
      <c r="E5" s="56" t="str">
        <f>'monthly model engine'!D9</f>
        <v>February Y1</v>
      </c>
      <c r="F5" s="56" t="str">
        <f>'monthly model engine'!D10</f>
        <v>March Y1</v>
      </c>
      <c r="G5" s="56" t="str">
        <f>'monthly model engine'!D11</f>
        <v>April Y1</v>
      </c>
      <c r="H5" s="56" t="str">
        <f>'monthly model engine'!D12</f>
        <v>May Y1</v>
      </c>
      <c r="I5" s="56" t="str">
        <f>'monthly model engine'!D13</f>
        <v>June Y1</v>
      </c>
      <c r="J5" s="56" t="str">
        <f>'monthly model engine'!D14</f>
        <v>July Y1</v>
      </c>
      <c r="K5" s="56" t="str">
        <f>'monthly model engine'!D15</f>
        <v>August Y1</v>
      </c>
      <c r="L5" s="56" t="str">
        <f>'monthly model engine'!D16</f>
        <v>September Y1</v>
      </c>
      <c r="M5" s="56" t="str">
        <f>'monthly model engine'!D17</f>
        <v>October Y1</v>
      </c>
      <c r="N5" s="56" t="str">
        <f>'monthly model engine'!D18</f>
        <v>November Y1</v>
      </c>
      <c r="O5" s="56" t="str">
        <f>'monthly model engine'!D19</f>
        <v>December Y1</v>
      </c>
      <c r="P5" s="56" t="str">
        <f>'monthly model engine'!D20</f>
        <v>January Y2</v>
      </c>
      <c r="Q5" s="56" t="str">
        <f>'monthly model engine'!D21</f>
        <v>February Y2</v>
      </c>
      <c r="R5" s="56" t="str">
        <f>'monthly model engine'!D22</f>
        <v>March Y2</v>
      </c>
      <c r="S5" s="56" t="str">
        <f>'monthly model engine'!D23</f>
        <v>April Y2</v>
      </c>
      <c r="T5" s="56" t="str">
        <f>'monthly model engine'!D24</f>
        <v>May Y2</v>
      </c>
      <c r="U5" s="56" t="str">
        <f>'monthly model engine'!D25</f>
        <v>June Y2</v>
      </c>
      <c r="V5" s="56" t="str">
        <f>'monthly model engine'!D26</f>
        <v>July Y2</v>
      </c>
      <c r="W5" s="56" t="str">
        <f>'monthly model engine'!D27</f>
        <v>August Y2</v>
      </c>
      <c r="X5" s="56" t="str">
        <f>'monthly model engine'!D28</f>
        <v>September Y2</v>
      </c>
      <c r="Y5" s="56" t="str">
        <f>'monthly model engine'!D29</f>
        <v>October Y2</v>
      </c>
      <c r="Z5" s="56" t="str">
        <f>'monthly model engine'!D30</f>
        <v>November Y2</v>
      </c>
      <c r="AA5" s="56" t="str">
        <f>'monthly model engine'!D31</f>
        <v>December Y2</v>
      </c>
      <c r="AB5" s="56" t="str">
        <f>'monthly model engine'!D32</f>
        <v>January Y3</v>
      </c>
      <c r="AC5" s="56" t="str">
        <f>'monthly model engine'!D33</f>
        <v>February Y3</v>
      </c>
      <c r="AD5" s="56" t="str">
        <f>'monthly model engine'!D34</f>
        <v>March Y3</v>
      </c>
      <c r="AE5" s="56" t="str">
        <f>'monthly model engine'!D35</f>
        <v>April Y3</v>
      </c>
      <c r="AF5" s="56" t="str">
        <f>'monthly model engine'!D36</f>
        <v>May Y3</v>
      </c>
      <c r="AG5" s="56" t="str">
        <f>'monthly model engine'!D37</f>
        <v>June Y3</v>
      </c>
      <c r="AH5" s="56" t="str">
        <f>'monthly model engine'!D38</f>
        <v>July Y3</v>
      </c>
      <c r="AI5" s="56" t="str">
        <f>'monthly model engine'!D39</f>
        <v>August Y3</v>
      </c>
      <c r="AJ5" s="56" t="str">
        <f>'monthly model engine'!D40</f>
        <v>September Y3</v>
      </c>
      <c r="AK5" s="56" t="str">
        <f>'monthly model engine'!D41</f>
        <v>October Y3</v>
      </c>
      <c r="AL5" s="56" t="str">
        <f>'monthly model engine'!D42</f>
        <v>November Y3</v>
      </c>
      <c r="AM5" s="56" t="str">
        <f>'monthly model engine'!D43</f>
        <v>December Y3</v>
      </c>
      <c r="AN5" s="56" t="str">
        <f>'monthly model engine'!D44</f>
        <v>January Y4</v>
      </c>
      <c r="AO5" s="56" t="str">
        <f>'monthly model engine'!D45</f>
        <v>February Y4</v>
      </c>
      <c r="AP5" s="56" t="str">
        <f>'monthly model engine'!D46</f>
        <v>March Y4</v>
      </c>
      <c r="AQ5" s="56" t="str">
        <f>'monthly model engine'!D47</f>
        <v>April Y4</v>
      </c>
      <c r="AR5" s="56" t="str">
        <f>'monthly model engine'!D48</f>
        <v>May Y4</v>
      </c>
      <c r="AS5" s="56" t="str">
        <f>'monthly model engine'!D49</f>
        <v>June Y4</v>
      </c>
      <c r="AT5" s="56" t="str">
        <f>'monthly model engine'!D50</f>
        <v>July Y4</v>
      </c>
      <c r="AU5" s="56" t="str">
        <f>'monthly model engine'!D51</f>
        <v>August Y4</v>
      </c>
      <c r="AV5" s="56" t="str">
        <f>'monthly model engine'!D52</f>
        <v>September Y4</v>
      </c>
      <c r="AW5" s="56" t="str">
        <f>'monthly model engine'!D53</f>
        <v>October Y4</v>
      </c>
      <c r="AX5" s="56" t="str">
        <f>'monthly model engine'!D54</f>
        <v>November Y4</v>
      </c>
      <c r="AY5" s="56" t="str">
        <f>'monthly model engine'!D55</f>
        <v>December Y4</v>
      </c>
      <c r="AZ5" s="56" t="str">
        <f>'monthly model engine'!D56</f>
        <v>January Y5</v>
      </c>
      <c r="BA5" s="56" t="str">
        <f>'monthly model engine'!D57</f>
        <v>February Y5</v>
      </c>
      <c r="BB5" s="56" t="str">
        <f>'monthly model engine'!D58</f>
        <v>March Y5</v>
      </c>
      <c r="BC5" s="56" t="str">
        <f>'monthly model engine'!D59</f>
        <v>April Y5</v>
      </c>
      <c r="BD5" s="56" t="str">
        <f>'monthly model engine'!D60</f>
        <v>May Y5</v>
      </c>
      <c r="BE5" s="56" t="str">
        <f>'monthly model engine'!D61</f>
        <v>June Y5</v>
      </c>
      <c r="BF5" s="56" t="str">
        <f>'monthly model engine'!D62</f>
        <v>July Y5</v>
      </c>
      <c r="BG5" s="56" t="str">
        <f>'monthly model engine'!D63</f>
        <v>August Y5</v>
      </c>
      <c r="BH5" s="56" t="str">
        <f>'monthly model engine'!D64</f>
        <v>September Y5</v>
      </c>
      <c r="BI5" s="56" t="str">
        <f>'monthly model engine'!D65</f>
        <v>October Y5</v>
      </c>
      <c r="BJ5" s="56" t="str">
        <f>'monthly model engine'!D66</f>
        <v>November Y5</v>
      </c>
      <c r="BK5" s="56" t="str">
        <f>'monthly model engine'!D67</f>
        <v>December Y5</v>
      </c>
    </row>
    <row r="7" spans="1:63" ht="15" customHeight="1" x14ac:dyDescent="0.25">
      <c r="A7" s="152" t="s">
        <v>241</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2"/>
      <c r="AI7" s="152"/>
      <c r="AJ7" s="152"/>
      <c r="AK7" s="152"/>
      <c r="AL7" s="152"/>
      <c r="AM7" s="152"/>
      <c r="AN7" s="152"/>
      <c r="AO7" s="152"/>
      <c r="AP7" s="152"/>
      <c r="AQ7" s="152"/>
      <c r="AR7" s="152"/>
      <c r="AS7" s="152"/>
      <c r="AT7" s="152"/>
      <c r="AU7" s="152"/>
      <c r="AV7" s="152"/>
      <c r="AW7" s="152"/>
      <c r="AX7" s="152"/>
      <c r="AY7" s="152"/>
      <c r="AZ7" s="152"/>
      <c r="BA7" s="152"/>
      <c r="BB7" s="152"/>
      <c r="BC7" s="152"/>
      <c r="BD7" s="152"/>
      <c r="BE7" s="152"/>
      <c r="BF7" s="152"/>
      <c r="BG7" s="152"/>
      <c r="BH7" s="152"/>
      <c r="BI7" s="152"/>
      <c r="BJ7" s="152"/>
      <c r="BK7" s="152"/>
    </row>
    <row r="8" spans="1:63" ht="15" customHeight="1" x14ac:dyDescent="0.25">
      <c r="B8" s="57" t="s">
        <v>242</v>
      </c>
      <c r="D8" s="58">
        <f>'monthly model engine'!M8</f>
        <v>6124.692708333333</v>
      </c>
      <c r="E8" s="58">
        <f>'monthly model engine'!M9</f>
        <v>7133.4656250000007</v>
      </c>
      <c r="F8" s="58">
        <f>'monthly model engine'!M10</f>
        <v>8488.1035416666655</v>
      </c>
      <c r="G8" s="58">
        <f>'monthly model engine'!M11</f>
        <v>9799.508333333335</v>
      </c>
      <c r="H8" s="58">
        <f>'monthly model engine'!M12</f>
        <v>11197.379375</v>
      </c>
      <c r="I8" s="58">
        <f>'monthly model engine'!M13</f>
        <v>13800.691666666668</v>
      </c>
      <c r="J8" s="58">
        <f>'monthly model engine'!M14</f>
        <v>15329.745572916663</v>
      </c>
      <c r="K8" s="58">
        <f>'monthly model engine'!M15</f>
        <v>14114.34375</v>
      </c>
      <c r="L8" s="58">
        <f>'monthly model engine'!M16</f>
        <v>12869.060208333332</v>
      </c>
      <c r="M8" s="58">
        <f>'monthly model engine'!M17</f>
        <v>13978.710416666665</v>
      </c>
      <c r="N8" s="58">
        <f>'monthly model engine'!M18</f>
        <v>14980.277812499999</v>
      </c>
      <c r="O8" s="58">
        <f>'monthly model engine'!M19</f>
        <v>17293.25</v>
      </c>
      <c r="P8" s="58">
        <f>'monthly model engine'!M20</f>
        <v>14086.793229166664</v>
      </c>
      <c r="Q8" s="58">
        <f>'monthly model engine'!M21</f>
        <v>14915.428124999997</v>
      </c>
      <c r="R8" s="58">
        <f>'monthly model engine'!M22</f>
        <v>15744.06302083333</v>
      </c>
      <c r="S8" s="58">
        <f>'monthly model engine'!M23</f>
        <v>16572.697916666664</v>
      </c>
      <c r="T8" s="58">
        <f>'monthly model engine'!M24</f>
        <v>17401.332812499997</v>
      </c>
      <c r="U8" s="58">
        <f>'monthly model engine'!M25</f>
        <v>19838.494270833333</v>
      </c>
      <c r="V8" s="58">
        <f>'monthly model engine'!M26</f>
        <v>20740.244010416664</v>
      </c>
      <c r="W8" s="58">
        <f>'monthly model engine'!M27</f>
        <v>18034.994791666664</v>
      </c>
      <c r="X8" s="58">
        <f>'monthly model engine'!M28</f>
        <v>15744.06302083333</v>
      </c>
      <c r="Y8" s="58">
        <f>'monthly model engine'!M29</f>
        <v>16572.697916666664</v>
      </c>
      <c r="Z8" s="58">
        <f>'monthly model engine'!M30</f>
        <v>17401.332812499997</v>
      </c>
      <c r="AA8" s="58">
        <f>'monthly model engine'!M31</f>
        <v>19887.237499999999</v>
      </c>
      <c r="AB8" s="58">
        <f>'monthly model engine'!M32</f>
        <v>15213.736687499997</v>
      </c>
      <c r="AC8" s="58">
        <f>'monthly model engine'!M33</f>
        <v>16108.662375</v>
      </c>
      <c r="AD8" s="58">
        <f>'monthly model engine'!M34</f>
        <v>17003.588062499999</v>
      </c>
      <c r="AE8" s="58">
        <f>'monthly model engine'!M35</f>
        <v>17898.513749999998</v>
      </c>
      <c r="AF8" s="58">
        <f>'monthly model engine'!M36</f>
        <v>18793.439437499997</v>
      </c>
      <c r="AG8" s="58">
        <f>'monthly model engine'!M37</f>
        <v>21425.573812499999</v>
      </c>
      <c r="AH8" s="58">
        <f>'monthly model engine'!M38</f>
        <v>22399.46353125</v>
      </c>
      <c r="AI8" s="58">
        <f>'monthly model engine'!M39</f>
        <v>19477.794375000001</v>
      </c>
      <c r="AJ8" s="58">
        <f>'monthly model engine'!M40</f>
        <v>17003.588062499999</v>
      </c>
      <c r="AK8" s="58">
        <f>'monthly model engine'!M41</f>
        <v>17898.513749999998</v>
      </c>
      <c r="AL8" s="58">
        <f>'monthly model engine'!M42</f>
        <v>18793.439437499997</v>
      </c>
      <c r="AM8" s="58">
        <f>'monthly model engine'!M43</f>
        <v>21478.216500000002</v>
      </c>
      <c r="AN8" s="58">
        <f>'monthly model engine'!M44</f>
        <v>16126.560888750002</v>
      </c>
      <c r="AO8" s="58">
        <f>'monthly model engine'!M45</f>
        <v>17075.1821175</v>
      </c>
      <c r="AP8" s="58">
        <f>'monthly model engine'!M46</f>
        <v>18023.803346249999</v>
      </c>
      <c r="AQ8" s="58">
        <f>'monthly model engine'!M47</f>
        <v>18972.424575000001</v>
      </c>
      <c r="AR8" s="58">
        <f>'monthly model engine'!M48</f>
        <v>19921.045803749999</v>
      </c>
      <c r="AS8" s="58">
        <f>'monthly model engine'!M49</f>
        <v>22711.10824125</v>
      </c>
      <c r="AT8" s="58">
        <f>'monthly model engine'!M50</f>
        <v>23743.431343125001</v>
      </c>
      <c r="AU8" s="58">
        <f>'monthly model engine'!M51</f>
        <v>20646.462037500001</v>
      </c>
      <c r="AV8" s="58">
        <f>'monthly model engine'!M52</f>
        <v>18023.803346249999</v>
      </c>
      <c r="AW8" s="58">
        <f>'monthly model engine'!M53</f>
        <v>18972.424575000001</v>
      </c>
      <c r="AX8" s="58">
        <f>'monthly model engine'!M54</f>
        <v>19921.045803749999</v>
      </c>
      <c r="AY8" s="58">
        <f>'monthly model engine'!M55</f>
        <v>22766.909490000002</v>
      </c>
      <c r="AZ8" s="58">
        <f>'monthly model engine'!M56</f>
        <v>16610.357715412498</v>
      </c>
      <c r="BA8" s="58">
        <f>'monthly model engine'!M57</f>
        <v>17587.437581024999</v>
      </c>
      <c r="BB8" s="58">
        <f>'monthly model engine'!M58</f>
        <v>18564.517446637496</v>
      </c>
      <c r="BC8" s="58">
        <f>'monthly model engine'!M59</f>
        <v>19541.597312250004</v>
      </c>
      <c r="BD8" s="58">
        <f>'monthly model engine'!M60</f>
        <v>20518.677177862501</v>
      </c>
      <c r="BE8" s="58">
        <f>'monthly model engine'!M61</f>
        <v>23392.4414884875</v>
      </c>
      <c r="BF8" s="58">
        <f>'monthly model engine'!M62</f>
        <v>24455.734283418751</v>
      </c>
      <c r="BG8" s="58">
        <f>'monthly model engine'!M63</f>
        <v>21265.855898625003</v>
      </c>
      <c r="BH8" s="58">
        <f>'monthly model engine'!M64</f>
        <v>18564.517446637496</v>
      </c>
      <c r="BI8" s="58">
        <f>'monthly model engine'!M65</f>
        <v>19541.597312250004</v>
      </c>
      <c r="BJ8" s="58">
        <f>'monthly model engine'!M66</f>
        <v>20518.677177862501</v>
      </c>
      <c r="BK8" s="58">
        <f>'monthly model engine'!M67</f>
        <v>23449.916774699999</v>
      </c>
    </row>
    <row r="9" spans="1:63" ht="15" customHeight="1" x14ac:dyDescent="0.25">
      <c r="B9" s="57" t="s">
        <v>243</v>
      </c>
      <c r="D9" s="58">
        <f>'monthly model engine'!W8</f>
        <v>3013.1088000000009</v>
      </c>
      <c r="E9" s="58">
        <f>'monthly model engine'!W9</f>
        <v>3337.5974399999996</v>
      </c>
      <c r="F9" s="58">
        <f>'monthly model engine'!W10</f>
        <v>3346.2891000000009</v>
      </c>
      <c r="G9" s="58">
        <f>'monthly model engine'!W11</f>
        <v>3592.5528000000004</v>
      </c>
      <c r="H9" s="58">
        <f>'monthly model engine'!W12</f>
        <v>3743.2082400000008</v>
      </c>
      <c r="I9" s="58">
        <f>'monthly model engine'!W13</f>
        <v>3644.7027600000001</v>
      </c>
      <c r="J9" s="58">
        <f>'monthly model engine'!W14</f>
        <v>3708.4416000000019</v>
      </c>
      <c r="K9" s="58">
        <f>'monthly model engine'!W15</f>
        <v>4186.4829</v>
      </c>
      <c r="L9" s="58">
        <f>'monthly model engine'!W16</f>
        <v>5475.7458000000006</v>
      </c>
      <c r="M9" s="58">
        <f>'monthly model engine'!W17</f>
        <v>5446.7736000000004</v>
      </c>
      <c r="N9" s="58">
        <f>'monthly model engine'!W18</f>
        <v>5339.576460000002</v>
      </c>
      <c r="O9" s="58">
        <f>'monthly model engine'!W19</f>
        <v>4635.5520000000015</v>
      </c>
      <c r="P9" s="58">
        <f>'monthly model engine'!W20</f>
        <v>8662.6877999999997</v>
      </c>
      <c r="Q9" s="58">
        <f>'monthly model engine'!W21</f>
        <v>7996.3272000000015</v>
      </c>
      <c r="R9" s="58">
        <f>'monthly model engine'!W22</f>
        <v>6996.7863000000016</v>
      </c>
      <c r="S9" s="58">
        <f>'monthly model engine'!W23</f>
        <v>6663.6060000000016</v>
      </c>
      <c r="T9" s="58">
        <f>'monthly model engine'!W24</f>
        <v>6330.4256999999998</v>
      </c>
      <c r="U9" s="58">
        <f>'monthly model engine'!W25</f>
        <v>5664.0650999999998</v>
      </c>
      <c r="V9" s="58">
        <f>'monthly model engine'!W26</f>
        <v>5330.8847999999998</v>
      </c>
      <c r="W9" s="58">
        <f>'monthly model engine'!W27</f>
        <v>5664.0650999999998</v>
      </c>
      <c r="X9" s="58">
        <f>'monthly model engine'!W28</f>
        <v>6996.7863000000016</v>
      </c>
      <c r="Y9" s="58">
        <f>'monthly model engine'!W29</f>
        <v>6663.6060000000016</v>
      </c>
      <c r="Z9" s="58">
        <f>'monthly model engine'!W30</f>
        <v>6330.4256999999998</v>
      </c>
      <c r="AA9" s="58">
        <f>'monthly model engine'!W31</f>
        <v>5330.8847999999998</v>
      </c>
      <c r="AB9" s="58">
        <f>'monthly model engine'!W32</f>
        <v>9355.702824</v>
      </c>
      <c r="AC9" s="58">
        <f>'monthly model engine'!W33</f>
        <v>8636.0333760000012</v>
      </c>
      <c r="AD9" s="58">
        <f>'monthly model engine'!W34</f>
        <v>7556.5292040000031</v>
      </c>
      <c r="AE9" s="58">
        <f>'monthly model engine'!W35</f>
        <v>7196.6944800000019</v>
      </c>
      <c r="AF9" s="58">
        <f>'monthly model engine'!W36</f>
        <v>6836.8597559999998</v>
      </c>
      <c r="AG9" s="58">
        <f>'monthly model engine'!W37</f>
        <v>6117.1903080000011</v>
      </c>
      <c r="AH9" s="58">
        <f>'monthly model engine'!W38</f>
        <v>5757.3555840000008</v>
      </c>
      <c r="AI9" s="58">
        <f>'monthly model engine'!W39</f>
        <v>6117.1903080000011</v>
      </c>
      <c r="AJ9" s="58">
        <f>'monthly model engine'!W40</f>
        <v>7556.5292040000031</v>
      </c>
      <c r="AK9" s="58">
        <f>'monthly model engine'!W41</f>
        <v>7196.6944800000019</v>
      </c>
      <c r="AL9" s="58">
        <f>'monthly model engine'!W42</f>
        <v>6836.8597559999998</v>
      </c>
      <c r="AM9" s="58">
        <f>'monthly model engine'!W43</f>
        <v>5757.3555840000008</v>
      </c>
      <c r="AN9" s="58">
        <f>'monthly model engine'!W44</f>
        <v>9917.0449934400021</v>
      </c>
      <c r="AO9" s="58">
        <f>'monthly model engine'!W45</f>
        <v>9154.1953785600017</v>
      </c>
      <c r="AP9" s="58">
        <f>'monthly model engine'!W46</f>
        <v>8009.920956240001</v>
      </c>
      <c r="AQ9" s="58">
        <f>'monthly model engine'!W47</f>
        <v>7628.4961488000008</v>
      </c>
      <c r="AR9" s="58">
        <f>'monthly model engine'!W48</f>
        <v>7247.0713413600015</v>
      </c>
      <c r="AS9" s="58">
        <f>'monthly model engine'!W49</f>
        <v>6484.221726480002</v>
      </c>
      <c r="AT9" s="58">
        <f>'monthly model engine'!W50</f>
        <v>6102.7969190400036</v>
      </c>
      <c r="AU9" s="58">
        <f>'monthly model engine'!W51</f>
        <v>6484.221726480002</v>
      </c>
      <c r="AV9" s="58">
        <f>'monthly model engine'!W52</f>
        <v>8009.920956240001</v>
      </c>
      <c r="AW9" s="58">
        <f>'monthly model engine'!W53</f>
        <v>7628.4961488000008</v>
      </c>
      <c r="AX9" s="58">
        <f>'monthly model engine'!W54</f>
        <v>7247.0713413600015</v>
      </c>
      <c r="AY9" s="58">
        <f>'monthly model engine'!W55</f>
        <v>6102.7969190400036</v>
      </c>
      <c r="AZ9" s="58">
        <f>'monthly model engine'!W56</f>
        <v>10214.556343243199</v>
      </c>
      <c r="BA9" s="58">
        <f>'monthly model engine'!W57</f>
        <v>9428.8212399168024</v>
      </c>
      <c r="BB9" s="58">
        <f>'monthly model engine'!W58</f>
        <v>8250.2185849272028</v>
      </c>
      <c r="BC9" s="58">
        <f>'monthly model engine'!W59</f>
        <v>7857.3510332640017</v>
      </c>
      <c r="BD9" s="58">
        <f>'monthly model engine'!W60</f>
        <v>7464.4834816008024</v>
      </c>
      <c r="BE9" s="58">
        <f>'monthly model engine'!W61</f>
        <v>6678.7483782744021</v>
      </c>
      <c r="BF9" s="58">
        <f>'monthly model engine'!W62</f>
        <v>6285.880826611201</v>
      </c>
      <c r="BG9" s="58">
        <f>'monthly model engine'!W63</f>
        <v>6678.7483782744021</v>
      </c>
      <c r="BH9" s="58">
        <f>'monthly model engine'!W64</f>
        <v>8250.2185849272028</v>
      </c>
      <c r="BI9" s="58">
        <f>'monthly model engine'!W65</f>
        <v>7857.3510332640017</v>
      </c>
      <c r="BJ9" s="58">
        <f>'monthly model engine'!W66</f>
        <v>7464.4834816008024</v>
      </c>
      <c r="BK9" s="58">
        <f>'monthly model engine'!W67</f>
        <v>6285.880826611201</v>
      </c>
    </row>
    <row r="10" spans="1:63" ht="15" customHeight="1" x14ac:dyDescent="0.25">
      <c r="B10" s="59" t="s">
        <v>244</v>
      </c>
      <c r="D10" s="60">
        <f>'monthly model engine'!X8</f>
        <v>9137.8015083333339</v>
      </c>
      <c r="E10" s="60">
        <f>'monthly model engine'!X9</f>
        <v>10471.063065</v>
      </c>
      <c r="F10" s="60">
        <f>'monthly model engine'!X10</f>
        <v>11834.392641666665</v>
      </c>
      <c r="G10" s="60">
        <f>'monthly model engine'!X11</f>
        <v>13392.061133333336</v>
      </c>
      <c r="H10" s="60">
        <f>'monthly model engine'!X12</f>
        <v>14940.587615</v>
      </c>
      <c r="I10" s="60">
        <f>'monthly model engine'!X13</f>
        <v>17445.394426666666</v>
      </c>
      <c r="J10" s="60">
        <f>'monthly model engine'!X14</f>
        <v>19038.187172916667</v>
      </c>
      <c r="K10" s="60">
        <f>'monthly model engine'!X15</f>
        <v>18300.826649999999</v>
      </c>
      <c r="L10" s="60">
        <f>'monthly model engine'!X16</f>
        <v>18344.806008333333</v>
      </c>
      <c r="M10" s="60">
        <f>'monthly model engine'!X17</f>
        <v>19425.484016666665</v>
      </c>
      <c r="N10" s="60">
        <f>'monthly model engine'!X18</f>
        <v>20319.854272500001</v>
      </c>
      <c r="O10" s="60">
        <f>'monthly model engine'!X19</f>
        <v>21928.802000000003</v>
      </c>
      <c r="P10" s="60">
        <f>'monthly model engine'!X20</f>
        <v>22749.481029166665</v>
      </c>
      <c r="Q10" s="60">
        <f>'monthly model engine'!X21</f>
        <v>22911.755324999998</v>
      </c>
      <c r="R10" s="60">
        <f>'monthly model engine'!X22</f>
        <v>22740.849320833331</v>
      </c>
      <c r="S10" s="60">
        <f>'monthly model engine'!X23</f>
        <v>23236.303916666664</v>
      </c>
      <c r="T10" s="60">
        <f>'monthly model engine'!X24</f>
        <v>23731.758512499997</v>
      </c>
      <c r="U10" s="60">
        <f>'monthly model engine'!X25</f>
        <v>25502.559370833333</v>
      </c>
      <c r="V10" s="60">
        <f>'monthly model engine'!X26</f>
        <v>26071.128810416663</v>
      </c>
      <c r="W10" s="60">
        <f>'monthly model engine'!X27</f>
        <v>23699.059891666664</v>
      </c>
      <c r="X10" s="60">
        <f>'monthly model engine'!X28</f>
        <v>22740.849320833331</v>
      </c>
      <c r="Y10" s="60">
        <f>'monthly model engine'!X29</f>
        <v>23236.303916666664</v>
      </c>
      <c r="Z10" s="60">
        <f>'monthly model engine'!X30</f>
        <v>23731.758512499997</v>
      </c>
      <c r="AA10" s="60">
        <f>'monthly model engine'!X31</f>
        <v>25218.122299999999</v>
      </c>
      <c r="AB10" s="60">
        <f>'monthly model engine'!X32</f>
        <v>24569.439511499997</v>
      </c>
      <c r="AC10" s="60">
        <f>'monthly model engine'!X33</f>
        <v>24744.695750999999</v>
      </c>
      <c r="AD10" s="60">
        <f>'monthly model engine'!X34</f>
        <v>24560.117266500001</v>
      </c>
      <c r="AE10" s="60">
        <f>'monthly model engine'!X35</f>
        <v>25095.20823</v>
      </c>
      <c r="AF10" s="60">
        <f>'monthly model engine'!X36</f>
        <v>25630.299193499995</v>
      </c>
      <c r="AG10" s="60">
        <f>'monthly model engine'!X37</f>
        <v>27542.7641205</v>
      </c>
      <c r="AH10" s="60">
        <f>'monthly model engine'!X38</f>
        <v>28156.81911525</v>
      </c>
      <c r="AI10" s="60">
        <f>'monthly model engine'!X39</f>
        <v>25594.984683000002</v>
      </c>
      <c r="AJ10" s="60">
        <f>'monthly model engine'!X40</f>
        <v>24560.117266500001</v>
      </c>
      <c r="AK10" s="60">
        <f>'monthly model engine'!X41</f>
        <v>25095.20823</v>
      </c>
      <c r="AL10" s="60">
        <f>'monthly model engine'!X42</f>
        <v>25630.299193499995</v>
      </c>
      <c r="AM10" s="60">
        <f>'monthly model engine'!X43</f>
        <v>27235.572084000003</v>
      </c>
      <c r="AN10" s="60">
        <f>'monthly model engine'!X44</f>
        <v>26043.605882190004</v>
      </c>
      <c r="AO10" s="60">
        <f>'monthly model engine'!X45</f>
        <v>26229.377496060002</v>
      </c>
      <c r="AP10" s="60">
        <f>'monthly model engine'!X46</f>
        <v>26033.724302490002</v>
      </c>
      <c r="AQ10" s="60">
        <f>'monthly model engine'!X47</f>
        <v>26600.920723800002</v>
      </c>
      <c r="AR10" s="60">
        <f>'monthly model engine'!X48</f>
        <v>27168.117145110002</v>
      </c>
      <c r="AS10" s="60">
        <f>'monthly model engine'!X49</f>
        <v>29195.329967730002</v>
      </c>
      <c r="AT10" s="60">
        <f>'monthly model engine'!X50</f>
        <v>29846.228262165005</v>
      </c>
      <c r="AU10" s="60">
        <f>'monthly model engine'!X51</f>
        <v>27130.683763980003</v>
      </c>
      <c r="AV10" s="60">
        <f>'monthly model engine'!X52</f>
        <v>26033.724302490002</v>
      </c>
      <c r="AW10" s="60">
        <f>'monthly model engine'!X53</f>
        <v>26600.920723800002</v>
      </c>
      <c r="AX10" s="60">
        <f>'monthly model engine'!X54</f>
        <v>27168.117145110002</v>
      </c>
      <c r="AY10" s="60">
        <f>'monthly model engine'!X55</f>
        <v>28869.706409040005</v>
      </c>
      <c r="AZ10" s="60">
        <f>'monthly model engine'!X56</f>
        <v>26824.914058655697</v>
      </c>
      <c r="BA10" s="60">
        <f>'monthly model engine'!X57</f>
        <v>27016.258820941803</v>
      </c>
      <c r="BB10" s="60">
        <f>'monthly model engine'!X58</f>
        <v>26814.736031564698</v>
      </c>
      <c r="BC10" s="60">
        <f>'monthly model engine'!X59</f>
        <v>27398.948345514007</v>
      </c>
      <c r="BD10" s="60">
        <f>'monthly model engine'!X60</f>
        <v>27983.160659463305</v>
      </c>
      <c r="BE10" s="60">
        <f>'monthly model engine'!X61</f>
        <v>30071.189866761903</v>
      </c>
      <c r="BF10" s="60">
        <f>'monthly model engine'!X62</f>
        <v>30741.615110029954</v>
      </c>
      <c r="BG10" s="60">
        <f>'monthly model engine'!X63</f>
        <v>27944.604276899405</v>
      </c>
      <c r="BH10" s="60">
        <f>'monthly model engine'!X64</f>
        <v>26814.736031564698</v>
      </c>
      <c r="BI10" s="60">
        <f>'monthly model engine'!X65</f>
        <v>27398.948345514007</v>
      </c>
      <c r="BJ10" s="60">
        <f>'monthly model engine'!X66</f>
        <v>27983.160659463305</v>
      </c>
      <c r="BK10" s="60">
        <f>'monthly model engine'!X67</f>
        <v>29735.797601311198</v>
      </c>
    </row>
    <row r="12" spans="1:63" ht="15" customHeight="1" x14ac:dyDescent="0.25">
      <c r="A12" s="152" t="s">
        <v>245</v>
      </c>
      <c r="B12" s="152"/>
      <c r="C12" s="152"/>
      <c r="D12" s="152"/>
      <c r="E12" s="152"/>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c r="AZ12" s="152"/>
      <c r="BA12" s="152"/>
      <c r="BB12" s="152"/>
      <c r="BC12" s="152"/>
      <c r="BD12" s="152"/>
      <c r="BE12" s="152"/>
      <c r="BF12" s="152"/>
      <c r="BG12" s="152"/>
      <c r="BH12" s="152"/>
      <c r="BI12" s="152"/>
      <c r="BJ12" s="152"/>
      <c r="BK12" s="152"/>
    </row>
    <row r="13" spans="1:63" ht="15" customHeight="1" x14ac:dyDescent="0.25">
      <c r="B13" s="57" t="s">
        <v>112</v>
      </c>
      <c r="D13" s="58">
        <f>'monthly model engine'!N8</f>
        <v>1837.4078124999999</v>
      </c>
      <c r="E13" s="58">
        <f>'monthly model engine'!N9</f>
        <v>2140.0396875000001</v>
      </c>
      <c r="F13" s="58">
        <f>'monthly model engine'!N10</f>
        <v>2546.4310624999994</v>
      </c>
      <c r="G13" s="58">
        <f>'monthly model engine'!N11</f>
        <v>2939.8525000000004</v>
      </c>
      <c r="H13" s="58">
        <f>'monthly model engine'!N12</f>
        <v>3359.2138125000001</v>
      </c>
      <c r="I13" s="58">
        <f>'monthly model engine'!N13</f>
        <v>4140.2075000000004</v>
      </c>
      <c r="J13" s="58">
        <f>'monthly model engine'!N14</f>
        <v>4598.9236718749989</v>
      </c>
      <c r="K13" s="58">
        <f>'monthly model engine'!N15</f>
        <v>4234.3031249999995</v>
      </c>
      <c r="L13" s="58">
        <f>'monthly model engine'!N16</f>
        <v>3860.7180624999996</v>
      </c>
      <c r="M13" s="58">
        <f>'monthly model engine'!N17</f>
        <v>4193.6131249999989</v>
      </c>
      <c r="N13" s="58">
        <f>'monthly model engine'!N18</f>
        <v>4494.0833437499996</v>
      </c>
      <c r="O13" s="58">
        <f>'monthly model engine'!N19</f>
        <v>5187.9749999999995</v>
      </c>
      <c r="P13" s="58">
        <f>'monthly model engine'!N20</f>
        <v>4226.037968749999</v>
      </c>
      <c r="Q13" s="58">
        <f>'monthly model engine'!N21</f>
        <v>4474.6284374999987</v>
      </c>
      <c r="R13" s="58">
        <f>'monthly model engine'!N22</f>
        <v>4723.2189062499983</v>
      </c>
      <c r="S13" s="58">
        <f>'monthly model engine'!N23</f>
        <v>4971.8093749999989</v>
      </c>
      <c r="T13" s="58">
        <f>'monthly model engine'!N24</f>
        <v>5220.3998437499986</v>
      </c>
      <c r="U13" s="58">
        <f>'monthly model engine'!N25</f>
        <v>5951.5482812499995</v>
      </c>
      <c r="V13" s="58">
        <f>'monthly model engine'!N26</f>
        <v>6222.0732031249991</v>
      </c>
      <c r="W13" s="58">
        <f>'monthly model engine'!N27</f>
        <v>5410.4984374999995</v>
      </c>
      <c r="X13" s="58">
        <f>'monthly model engine'!N28</f>
        <v>4723.2189062499983</v>
      </c>
      <c r="Y13" s="58">
        <f>'monthly model engine'!N29</f>
        <v>4971.8093749999989</v>
      </c>
      <c r="Z13" s="58">
        <f>'monthly model engine'!N30</f>
        <v>5220.3998437499986</v>
      </c>
      <c r="AA13" s="58">
        <f>'monthly model engine'!N31</f>
        <v>5966.1712499999994</v>
      </c>
      <c r="AB13" s="58">
        <f>'monthly model engine'!N32</f>
        <v>4564.1210062499986</v>
      </c>
      <c r="AC13" s="58">
        <f>'monthly model engine'!N33</f>
        <v>4832.5987125000001</v>
      </c>
      <c r="AD13" s="58">
        <f>'monthly model engine'!N34</f>
        <v>5101.0764187499999</v>
      </c>
      <c r="AE13" s="58">
        <f>'monthly model engine'!N35</f>
        <v>5369.5541249999997</v>
      </c>
      <c r="AF13" s="58">
        <f>'monthly model engine'!N36</f>
        <v>5638.0318312499994</v>
      </c>
      <c r="AG13" s="58">
        <f>'monthly model engine'!N37</f>
        <v>6427.6721437499991</v>
      </c>
      <c r="AH13" s="58">
        <f>'monthly model engine'!N38</f>
        <v>6719.839059375</v>
      </c>
      <c r="AI13" s="58">
        <f>'monthly model engine'!N39</f>
        <v>5843.3383125</v>
      </c>
      <c r="AJ13" s="58">
        <f>'monthly model engine'!N40</f>
        <v>5101.0764187499999</v>
      </c>
      <c r="AK13" s="58">
        <f>'monthly model engine'!N41</f>
        <v>5369.5541249999997</v>
      </c>
      <c r="AL13" s="58">
        <f>'monthly model engine'!N42</f>
        <v>5638.0318312499994</v>
      </c>
      <c r="AM13" s="58">
        <f>'monthly model engine'!N43</f>
        <v>6443.4649500000005</v>
      </c>
      <c r="AN13" s="58">
        <f>'monthly model engine'!N44</f>
        <v>4837.9682666250001</v>
      </c>
      <c r="AO13" s="58">
        <f>'monthly model engine'!N45</f>
        <v>5122.5546352499996</v>
      </c>
      <c r="AP13" s="58">
        <f>'monthly model engine'!N46</f>
        <v>5407.1410038749991</v>
      </c>
      <c r="AQ13" s="58">
        <f>'monthly model engine'!N47</f>
        <v>5691.7273725000005</v>
      </c>
      <c r="AR13" s="58">
        <f>'monthly model engine'!N48</f>
        <v>5976.313741125</v>
      </c>
      <c r="AS13" s="58">
        <f>'monthly model engine'!N49</f>
        <v>6813.3324723750002</v>
      </c>
      <c r="AT13" s="58">
        <f>'monthly model engine'!N50</f>
        <v>7123.0294029375</v>
      </c>
      <c r="AU13" s="58">
        <f>'monthly model engine'!N51</f>
        <v>6193.9386112500006</v>
      </c>
      <c r="AV13" s="58">
        <f>'monthly model engine'!N52</f>
        <v>5407.1410038749991</v>
      </c>
      <c r="AW13" s="58">
        <f>'monthly model engine'!N53</f>
        <v>5691.7273725000005</v>
      </c>
      <c r="AX13" s="58">
        <f>'monthly model engine'!N54</f>
        <v>5976.313741125</v>
      </c>
      <c r="AY13" s="58">
        <f>'monthly model engine'!N55</f>
        <v>6830.0728470000004</v>
      </c>
      <c r="AZ13" s="58">
        <f>'monthly model engine'!N56</f>
        <v>4983.1073146237495</v>
      </c>
      <c r="BA13" s="58">
        <f>'monthly model engine'!N57</f>
        <v>5276.231274307499</v>
      </c>
      <c r="BB13" s="58">
        <f>'monthly model engine'!N58</f>
        <v>5569.3552339912485</v>
      </c>
      <c r="BC13" s="58">
        <f>'monthly model engine'!N59</f>
        <v>5862.4791936750007</v>
      </c>
      <c r="BD13" s="58">
        <f>'monthly model engine'!N60</f>
        <v>6155.6031533587502</v>
      </c>
      <c r="BE13" s="58">
        <f>'monthly model engine'!N61</f>
        <v>7017.7324465462498</v>
      </c>
      <c r="BF13" s="58">
        <f>'monthly model engine'!N62</f>
        <v>7336.7202850256253</v>
      </c>
      <c r="BG13" s="58">
        <f>'monthly model engine'!N63</f>
        <v>6379.7567695875005</v>
      </c>
      <c r="BH13" s="58">
        <f>'monthly model engine'!N64</f>
        <v>5569.3552339912485</v>
      </c>
      <c r="BI13" s="58">
        <f>'monthly model engine'!N65</f>
        <v>5862.4791936750007</v>
      </c>
      <c r="BJ13" s="58">
        <f>'monthly model engine'!N66</f>
        <v>6155.6031533587502</v>
      </c>
      <c r="BK13" s="58">
        <f>'monthly model engine'!N67</f>
        <v>7034.9750324099996</v>
      </c>
    </row>
    <row r="14" spans="1:63" ht="15" customHeight="1" x14ac:dyDescent="0.25">
      <c r="B14" s="57" t="s">
        <v>246</v>
      </c>
      <c r="D14" s="58">
        <f>'monthly model engine'!V8</f>
        <v>946.32720000000018</v>
      </c>
      <c r="E14" s="58">
        <f>'monthly model engine'!V9</f>
        <v>1048.2393599999998</v>
      </c>
      <c r="F14" s="58">
        <f>'monthly model engine'!V10</f>
        <v>1050.9691500000004</v>
      </c>
      <c r="G14" s="58">
        <f>'monthly model engine'!V11</f>
        <v>1128.3132000000001</v>
      </c>
      <c r="H14" s="58">
        <f>'monthly model engine'!V12</f>
        <v>1175.6295600000003</v>
      </c>
      <c r="I14" s="58">
        <f>'monthly model engine'!V13</f>
        <v>1144.6919400000002</v>
      </c>
      <c r="J14" s="58">
        <f>'monthly model engine'!V14</f>
        <v>1164.7104000000004</v>
      </c>
      <c r="K14" s="58">
        <f>'monthly model engine'!V15</f>
        <v>1314.8488500000001</v>
      </c>
      <c r="L14" s="58">
        <f>'monthly model engine'!V16</f>
        <v>1719.7677000000001</v>
      </c>
      <c r="M14" s="58">
        <f>'monthly model engine'!V17</f>
        <v>1710.6684</v>
      </c>
      <c r="N14" s="58">
        <f>'monthly model engine'!V18</f>
        <v>1677.0009900000002</v>
      </c>
      <c r="O14" s="58">
        <f>'monthly model engine'!V19</f>
        <v>1455.8880000000004</v>
      </c>
      <c r="P14" s="58">
        <f>'monthly model engine'!V20</f>
        <v>2720.6907000000001</v>
      </c>
      <c r="Q14" s="58">
        <f>'monthly model engine'!V21</f>
        <v>2511.4068000000002</v>
      </c>
      <c r="R14" s="58">
        <f>'monthly model engine'!V22</f>
        <v>2197.4809500000001</v>
      </c>
      <c r="S14" s="58">
        <f>'monthly model engine'!V23</f>
        <v>2092.8389999999999</v>
      </c>
      <c r="T14" s="58">
        <f>'monthly model engine'!V24</f>
        <v>1988.19705</v>
      </c>
      <c r="U14" s="58">
        <f>'monthly model engine'!V25</f>
        <v>1778.9131500000001</v>
      </c>
      <c r="V14" s="58">
        <f>'monthly model engine'!V26</f>
        <v>1674.2712000000001</v>
      </c>
      <c r="W14" s="58">
        <f>'monthly model engine'!V27</f>
        <v>1778.9131500000001</v>
      </c>
      <c r="X14" s="58">
        <f>'monthly model engine'!V28</f>
        <v>2197.4809500000001</v>
      </c>
      <c r="Y14" s="58">
        <f>'monthly model engine'!V29</f>
        <v>2092.8389999999999</v>
      </c>
      <c r="Z14" s="58">
        <f>'monthly model engine'!V30</f>
        <v>1988.19705</v>
      </c>
      <c r="AA14" s="58">
        <f>'monthly model engine'!V31</f>
        <v>1674.2712000000001</v>
      </c>
      <c r="AB14" s="58">
        <f>'monthly model engine'!V32</f>
        <v>2938.3459560000001</v>
      </c>
      <c r="AC14" s="58">
        <f>'monthly model engine'!V33</f>
        <v>2712.3193440000005</v>
      </c>
      <c r="AD14" s="58">
        <f>'monthly model engine'!V34</f>
        <v>2373.2794260000005</v>
      </c>
      <c r="AE14" s="58">
        <f>'monthly model engine'!V35</f>
        <v>2260.2661200000002</v>
      </c>
      <c r="AF14" s="58">
        <f>'monthly model engine'!V36</f>
        <v>2147.2528139999999</v>
      </c>
      <c r="AG14" s="58">
        <f>'monthly model engine'!V37</f>
        <v>1921.2262020000003</v>
      </c>
      <c r="AH14" s="58">
        <f>'monthly model engine'!V38</f>
        <v>1808.2128960000005</v>
      </c>
      <c r="AI14" s="58">
        <f>'monthly model engine'!V39</f>
        <v>1921.2262020000003</v>
      </c>
      <c r="AJ14" s="58">
        <f>'monthly model engine'!V40</f>
        <v>2373.2794260000005</v>
      </c>
      <c r="AK14" s="58">
        <f>'monthly model engine'!V41</f>
        <v>2260.2661200000002</v>
      </c>
      <c r="AL14" s="58">
        <f>'monthly model engine'!V42</f>
        <v>2147.2528139999999</v>
      </c>
      <c r="AM14" s="58">
        <f>'monthly model engine'!V43</f>
        <v>1808.2128960000005</v>
      </c>
      <c r="AN14" s="58">
        <f>'monthly model engine'!V44</f>
        <v>3114.6467133600008</v>
      </c>
      <c r="AO14" s="58">
        <f>'monthly model engine'!V45</f>
        <v>2875.058504640001</v>
      </c>
      <c r="AP14" s="58">
        <f>'monthly model engine'!V46</f>
        <v>2515.6761915600005</v>
      </c>
      <c r="AQ14" s="58">
        <f>'monthly model engine'!V47</f>
        <v>2395.8820872000006</v>
      </c>
      <c r="AR14" s="58">
        <f>'monthly model engine'!V48</f>
        <v>2276.0879828400002</v>
      </c>
      <c r="AS14" s="58">
        <f>'monthly model engine'!V49</f>
        <v>2036.4997741200002</v>
      </c>
      <c r="AT14" s="58">
        <f>'monthly model engine'!V50</f>
        <v>1916.7056697600005</v>
      </c>
      <c r="AU14" s="58">
        <f>'monthly model engine'!V51</f>
        <v>2036.4997741200002</v>
      </c>
      <c r="AV14" s="58">
        <f>'monthly model engine'!V52</f>
        <v>2515.6761915600005</v>
      </c>
      <c r="AW14" s="58">
        <f>'monthly model engine'!V53</f>
        <v>2395.8820872000006</v>
      </c>
      <c r="AX14" s="58">
        <f>'monthly model engine'!V54</f>
        <v>2276.0879828400002</v>
      </c>
      <c r="AY14" s="58">
        <f>'monthly model engine'!V55</f>
        <v>1916.7056697600005</v>
      </c>
      <c r="AZ14" s="58">
        <f>'monthly model engine'!V56</f>
        <v>3208.0861147608002</v>
      </c>
      <c r="BA14" s="58">
        <f>'monthly model engine'!V57</f>
        <v>2961.3102597792008</v>
      </c>
      <c r="BB14" s="58">
        <f>'monthly model engine'!V58</f>
        <v>2591.146477306801</v>
      </c>
      <c r="BC14" s="58">
        <f>'monthly model engine'!V59</f>
        <v>2467.7585498160001</v>
      </c>
      <c r="BD14" s="58">
        <f>'monthly model engine'!V60</f>
        <v>2344.3706223252002</v>
      </c>
      <c r="BE14" s="58">
        <f>'monthly model engine'!V61</f>
        <v>2097.5947673436003</v>
      </c>
      <c r="BF14" s="58">
        <f>'monthly model engine'!V62</f>
        <v>1974.2068398528004</v>
      </c>
      <c r="BG14" s="58">
        <f>'monthly model engine'!V63</f>
        <v>2097.5947673436003</v>
      </c>
      <c r="BH14" s="58">
        <f>'monthly model engine'!V64</f>
        <v>2591.146477306801</v>
      </c>
      <c r="BI14" s="58">
        <f>'monthly model engine'!V65</f>
        <v>2467.7585498160001</v>
      </c>
      <c r="BJ14" s="58">
        <f>'monthly model engine'!V66</f>
        <v>2344.3706223252002</v>
      </c>
      <c r="BK14" s="58">
        <f>'monthly model engine'!V67</f>
        <v>1974.2068398528004</v>
      </c>
    </row>
    <row r="15" spans="1:63" ht="15" customHeight="1" x14ac:dyDescent="0.25">
      <c r="B15" s="59" t="s">
        <v>247</v>
      </c>
      <c r="D15" s="60">
        <f>'monthly model engine'!Y8</f>
        <v>2783.7350125000003</v>
      </c>
      <c r="E15" s="60">
        <f>'monthly model engine'!Y9</f>
        <v>3188.2790475000002</v>
      </c>
      <c r="F15" s="60">
        <f>'monthly model engine'!Y10</f>
        <v>3597.4002124999997</v>
      </c>
      <c r="G15" s="60">
        <f>'monthly model engine'!Y11</f>
        <v>4068.1657000000005</v>
      </c>
      <c r="H15" s="60">
        <f>'monthly model engine'!Y12</f>
        <v>4534.8433725000004</v>
      </c>
      <c r="I15" s="60">
        <f>'monthly model engine'!Y13</f>
        <v>5284.8994400000011</v>
      </c>
      <c r="J15" s="60">
        <f>'monthly model engine'!Y14</f>
        <v>5763.6340718749998</v>
      </c>
      <c r="K15" s="60">
        <f>'monthly model engine'!Y15</f>
        <v>5549.1519749999998</v>
      </c>
      <c r="L15" s="60">
        <f>'monthly model engine'!Y16</f>
        <v>5580.4857624999995</v>
      </c>
      <c r="M15" s="60">
        <f>'monthly model engine'!Y17</f>
        <v>5904.2815249999985</v>
      </c>
      <c r="N15" s="60">
        <f>'monthly model engine'!Y18</f>
        <v>6171.08433375</v>
      </c>
      <c r="O15" s="60">
        <f>'monthly model engine'!Y19</f>
        <v>6643.8629999999994</v>
      </c>
      <c r="P15" s="60">
        <f>'monthly model engine'!Y20</f>
        <v>6946.7286687499991</v>
      </c>
      <c r="Q15" s="60">
        <f>'monthly model engine'!Y21</f>
        <v>6986.0352374999984</v>
      </c>
      <c r="R15" s="60">
        <f>'monthly model engine'!Y22</f>
        <v>6920.6998562499984</v>
      </c>
      <c r="S15" s="60">
        <f>'monthly model engine'!Y23</f>
        <v>7064.6483749999989</v>
      </c>
      <c r="T15" s="60">
        <f>'monthly model engine'!Y24</f>
        <v>7208.5968937499983</v>
      </c>
      <c r="U15" s="60">
        <f>'monthly model engine'!Y25</f>
        <v>7730.4614312499998</v>
      </c>
      <c r="V15" s="60">
        <f>'monthly model engine'!Y26</f>
        <v>7896.3444031249992</v>
      </c>
      <c r="W15" s="60">
        <f>'monthly model engine'!Y27</f>
        <v>7189.4115874999998</v>
      </c>
      <c r="X15" s="60">
        <f>'monthly model engine'!Y28</f>
        <v>6920.6998562499984</v>
      </c>
      <c r="Y15" s="60">
        <f>'monthly model engine'!Y29</f>
        <v>7064.6483749999989</v>
      </c>
      <c r="Z15" s="60">
        <f>'monthly model engine'!Y30</f>
        <v>7208.5968937499983</v>
      </c>
      <c r="AA15" s="60">
        <f>'monthly model engine'!Y31</f>
        <v>7640.4424499999996</v>
      </c>
      <c r="AB15" s="60">
        <f>'monthly model engine'!Y32</f>
        <v>7502.4669622499987</v>
      </c>
      <c r="AC15" s="60">
        <f>'monthly model engine'!Y33</f>
        <v>7544.9180565000006</v>
      </c>
      <c r="AD15" s="60">
        <f>'monthly model engine'!Y34</f>
        <v>7474.35584475</v>
      </c>
      <c r="AE15" s="60">
        <f>'monthly model engine'!Y35</f>
        <v>7629.8202449999999</v>
      </c>
      <c r="AF15" s="60">
        <f>'monthly model engine'!Y36</f>
        <v>7785.2846452499998</v>
      </c>
      <c r="AG15" s="60">
        <f>'monthly model engine'!Y37</f>
        <v>8348.8983457499999</v>
      </c>
      <c r="AH15" s="60">
        <f>'monthly model engine'!Y38</f>
        <v>8528.051955375</v>
      </c>
      <c r="AI15" s="60">
        <f>'monthly model engine'!Y39</f>
        <v>7764.5645144999999</v>
      </c>
      <c r="AJ15" s="60">
        <f>'monthly model engine'!Y40</f>
        <v>7474.35584475</v>
      </c>
      <c r="AK15" s="60">
        <f>'monthly model engine'!Y41</f>
        <v>7629.8202449999999</v>
      </c>
      <c r="AL15" s="60">
        <f>'monthly model engine'!Y42</f>
        <v>7785.2846452499998</v>
      </c>
      <c r="AM15" s="60">
        <f>'monthly model engine'!Y43</f>
        <v>8251.6778460000005</v>
      </c>
      <c r="AN15" s="60">
        <f>'monthly model engine'!Y44</f>
        <v>7952.6149799850009</v>
      </c>
      <c r="AO15" s="60">
        <f>'monthly model engine'!Y45</f>
        <v>7997.6131398900006</v>
      </c>
      <c r="AP15" s="60">
        <f>'monthly model engine'!Y46</f>
        <v>7922.817195435</v>
      </c>
      <c r="AQ15" s="60">
        <f>'monthly model engine'!Y47</f>
        <v>8087.609459700001</v>
      </c>
      <c r="AR15" s="60">
        <f>'monthly model engine'!Y48</f>
        <v>8252.4017239650002</v>
      </c>
      <c r="AS15" s="60">
        <f>'monthly model engine'!Y49</f>
        <v>8849.8322464949997</v>
      </c>
      <c r="AT15" s="60">
        <f>'monthly model engine'!Y50</f>
        <v>9039.7350726975001</v>
      </c>
      <c r="AU15" s="60">
        <f>'monthly model engine'!Y51</f>
        <v>8230.4383853700001</v>
      </c>
      <c r="AV15" s="60">
        <f>'monthly model engine'!Y52</f>
        <v>7922.817195435</v>
      </c>
      <c r="AW15" s="60">
        <f>'monthly model engine'!Y53</f>
        <v>8087.609459700001</v>
      </c>
      <c r="AX15" s="60">
        <f>'monthly model engine'!Y54</f>
        <v>8252.4017239650002</v>
      </c>
      <c r="AY15" s="60">
        <f>'monthly model engine'!Y55</f>
        <v>8746.7785167600014</v>
      </c>
      <c r="AZ15" s="60">
        <f>'monthly model engine'!Y56</f>
        <v>8191.1934293845497</v>
      </c>
      <c r="BA15" s="60">
        <f>'monthly model engine'!Y57</f>
        <v>8237.5415340867003</v>
      </c>
      <c r="BB15" s="60">
        <f>'monthly model engine'!Y58</f>
        <v>8160.5017112980495</v>
      </c>
      <c r="BC15" s="60">
        <f>'monthly model engine'!Y59</f>
        <v>8330.2377434910013</v>
      </c>
      <c r="BD15" s="60">
        <f>'monthly model engine'!Y60</f>
        <v>8499.9737756839495</v>
      </c>
      <c r="BE15" s="60">
        <f>'monthly model engine'!Y61</f>
        <v>9115.3272138898501</v>
      </c>
      <c r="BF15" s="60">
        <f>'monthly model engine'!Y62</f>
        <v>9310.9271248784262</v>
      </c>
      <c r="BG15" s="60">
        <f>'monthly model engine'!Y63</f>
        <v>8477.3515369311008</v>
      </c>
      <c r="BH15" s="60">
        <f>'monthly model engine'!Y64</f>
        <v>8160.5017112980495</v>
      </c>
      <c r="BI15" s="60">
        <f>'monthly model engine'!Y65</f>
        <v>8330.2377434910013</v>
      </c>
      <c r="BJ15" s="60">
        <f>'monthly model engine'!Y66</f>
        <v>8499.9737756839495</v>
      </c>
      <c r="BK15" s="60">
        <f>'monthly model engine'!Y67</f>
        <v>9009.1818722627995</v>
      </c>
    </row>
    <row r="17" spans="1:63" ht="15" customHeight="1" x14ac:dyDescent="0.25">
      <c r="B17" s="59" t="s">
        <v>248</v>
      </c>
      <c r="D17" s="60">
        <f>'monthly model engine'!Z8</f>
        <v>6354.0664958333336</v>
      </c>
      <c r="E17" s="60">
        <f>'monthly model engine'!Z9</f>
        <v>7282.7840175000001</v>
      </c>
      <c r="F17" s="60">
        <f>'monthly model engine'!Z10</f>
        <v>8236.9924291666648</v>
      </c>
      <c r="G17" s="60">
        <f>'monthly model engine'!Z11</f>
        <v>9323.8954333333349</v>
      </c>
      <c r="H17" s="60">
        <f>'monthly model engine'!Z12</f>
        <v>10405.744242500001</v>
      </c>
      <c r="I17" s="60">
        <f>'monthly model engine'!Z13</f>
        <v>12160.494986666665</v>
      </c>
      <c r="J17" s="60">
        <f>'monthly model engine'!Z14</f>
        <v>13274.553101041667</v>
      </c>
      <c r="K17" s="60">
        <f>'monthly model engine'!Z15</f>
        <v>12751.674674999998</v>
      </c>
      <c r="L17" s="60">
        <f>'monthly model engine'!Z16</f>
        <v>12764.320245833333</v>
      </c>
      <c r="M17" s="60">
        <f>'monthly model engine'!Z17</f>
        <v>13521.202491666667</v>
      </c>
      <c r="N17" s="60">
        <f>'monthly model engine'!Z18</f>
        <v>14148.76993875</v>
      </c>
      <c r="O17" s="60">
        <f>'monthly model engine'!Z19</f>
        <v>15284.939000000004</v>
      </c>
      <c r="P17" s="60">
        <f>'monthly model engine'!Z20</f>
        <v>15802.752360416667</v>
      </c>
      <c r="Q17" s="60">
        <f>'monthly model engine'!Z21</f>
        <v>15925.7200875</v>
      </c>
      <c r="R17" s="60">
        <f>'monthly model engine'!Z22</f>
        <v>15820.149464583334</v>
      </c>
      <c r="S17" s="60">
        <f>'monthly model engine'!Z23</f>
        <v>16171.655541666665</v>
      </c>
      <c r="T17" s="60">
        <f>'monthly model engine'!Z24</f>
        <v>16523.161618749997</v>
      </c>
      <c r="U17" s="60">
        <f>'monthly model engine'!Z25</f>
        <v>17772.097939583335</v>
      </c>
      <c r="V17" s="60">
        <f>'monthly model engine'!Z26</f>
        <v>18174.784407291663</v>
      </c>
      <c r="W17" s="60">
        <f>'monthly model engine'!Z27</f>
        <v>16509.648304166665</v>
      </c>
      <c r="X17" s="60">
        <f>'monthly model engine'!Z28</f>
        <v>15820.149464583334</v>
      </c>
      <c r="Y17" s="60">
        <f>'monthly model engine'!Z29</f>
        <v>16171.655541666665</v>
      </c>
      <c r="Z17" s="60">
        <f>'monthly model engine'!Z30</f>
        <v>16523.161618749997</v>
      </c>
      <c r="AA17" s="60">
        <f>'monthly model engine'!Z31</f>
        <v>17577.67985</v>
      </c>
      <c r="AB17" s="60">
        <f>'monthly model engine'!Z32</f>
        <v>17066.97254925</v>
      </c>
      <c r="AC17" s="60">
        <f>'monthly model engine'!Z33</f>
        <v>17199.777694500001</v>
      </c>
      <c r="AD17" s="60">
        <f>'monthly model engine'!Z34</f>
        <v>17085.761421750001</v>
      </c>
      <c r="AE17" s="60">
        <f>'monthly model engine'!Z35</f>
        <v>17465.387985000001</v>
      </c>
      <c r="AF17" s="60">
        <f>'monthly model engine'!Z36</f>
        <v>17845.014548249994</v>
      </c>
      <c r="AG17" s="60">
        <f>'monthly model engine'!Z37</f>
        <v>19193.86577475</v>
      </c>
      <c r="AH17" s="60">
        <f>'monthly model engine'!Z38</f>
        <v>19628.767159875002</v>
      </c>
      <c r="AI17" s="60">
        <f>'monthly model engine'!Z39</f>
        <v>17830.420168500001</v>
      </c>
      <c r="AJ17" s="60">
        <f>'monthly model engine'!Z40</f>
        <v>17085.761421750001</v>
      </c>
      <c r="AK17" s="60">
        <f>'monthly model engine'!Z41</f>
        <v>17465.387985000001</v>
      </c>
      <c r="AL17" s="60">
        <f>'monthly model engine'!Z42</f>
        <v>17845.014548249994</v>
      </c>
      <c r="AM17" s="60">
        <f>'monthly model engine'!Z43</f>
        <v>18983.894238000001</v>
      </c>
      <c r="AN17" s="60">
        <f>'monthly model engine'!Z44</f>
        <v>18090.990902205005</v>
      </c>
      <c r="AO17" s="60">
        <f>'monthly model engine'!Z45</f>
        <v>18231.764356170002</v>
      </c>
      <c r="AP17" s="60">
        <f>'monthly model engine'!Z46</f>
        <v>18110.907107055002</v>
      </c>
      <c r="AQ17" s="60">
        <f>'monthly model engine'!Z47</f>
        <v>18513.311264100001</v>
      </c>
      <c r="AR17" s="60">
        <f>'monthly model engine'!Z48</f>
        <v>18915.715421145003</v>
      </c>
      <c r="AS17" s="60">
        <f>'monthly model engine'!Z49</f>
        <v>20345.497721235002</v>
      </c>
      <c r="AT17" s="60">
        <f>'monthly model engine'!Z50</f>
        <v>20806.493189467503</v>
      </c>
      <c r="AU17" s="60">
        <f>'monthly model engine'!Z51</f>
        <v>18900.245378610001</v>
      </c>
      <c r="AV17" s="60">
        <f>'monthly model engine'!Z52</f>
        <v>18110.907107055002</v>
      </c>
      <c r="AW17" s="60">
        <f>'monthly model engine'!Z53</f>
        <v>18513.311264100001</v>
      </c>
      <c r="AX17" s="60">
        <f>'monthly model engine'!Z54</f>
        <v>18915.715421145003</v>
      </c>
      <c r="AY17" s="60">
        <f>'monthly model engine'!Z55</f>
        <v>20122.927892280004</v>
      </c>
      <c r="AZ17" s="60">
        <f>'monthly model engine'!Z56</f>
        <v>18633.720629271149</v>
      </c>
      <c r="BA17" s="60">
        <f>'monthly model engine'!Z57</f>
        <v>18778.717286855102</v>
      </c>
      <c r="BB17" s="60">
        <f>'monthly model engine'!Z58</f>
        <v>18654.234320266649</v>
      </c>
      <c r="BC17" s="60">
        <f>'monthly model engine'!Z59</f>
        <v>19068.710602023006</v>
      </c>
      <c r="BD17" s="60">
        <f>'monthly model engine'!Z60</f>
        <v>19483.186883779355</v>
      </c>
      <c r="BE17" s="60">
        <f>'monthly model engine'!Z61</f>
        <v>20955.862652872052</v>
      </c>
      <c r="BF17" s="60">
        <f>'monthly model engine'!Z62</f>
        <v>21430.687985151526</v>
      </c>
      <c r="BG17" s="60">
        <f>'monthly model engine'!Z63</f>
        <v>19467.252739968302</v>
      </c>
      <c r="BH17" s="60">
        <f>'monthly model engine'!Z64</f>
        <v>18654.234320266649</v>
      </c>
      <c r="BI17" s="60">
        <f>'monthly model engine'!Z65</f>
        <v>19068.710602023006</v>
      </c>
      <c r="BJ17" s="60">
        <f>'monthly model engine'!Z66</f>
        <v>19483.186883779355</v>
      </c>
      <c r="BK17" s="60">
        <f>'monthly model engine'!Z67</f>
        <v>20726.615729048397</v>
      </c>
    </row>
    <row r="19" spans="1:63" ht="15" customHeight="1" x14ac:dyDescent="0.25">
      <c r="A19" s="152" t="s">
        <v>249</v>
      </c>
      <c r="B19" s="152"/>
      <c r="C19" s="152"/>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c r="AZ19" s="152"/>
      <c r="BA19" s="152"/>
      <c r="BB19" s="152"/>
      <c r="BC19" s="152"/>
      <c r="BD19" s="152"/>
      <c r="BE19" s="152"/>
      <c r="BF19" s="152"/>
      <c r="BG19" s="152"/>
      <c r="BH19" s="152"/>
      <c r="BI19" s="152"/>
      <c r="BJ19" s="152"/>
      <c r="BK19" s="152"/>
    </row>
    <row r="20" spans="1:63" ht="15" customHeight="1" x14ac:dyDescent="0.25">
      <c r="B20" s="57" t="s">
        <v>39</v>
      </c>
      <c r="D20" s="58">
        <f>'monthly model engine'!AA8</f>
        <v>2000</v>
      </c>
      <c r="E20" s="58">
        <f>'monthly model engine'!AA9</f>
        <v>2000</v>
      </c>
      <c r="F20" s="58">
        <f>'monthly model engine'!AA10</f>
        <v>2000</v>
      </c>
      <c r="G20" s="58">
        <f>'monthly model engine'!AA11</f>
        <v>2000</v>
      </c>
      <c r="H20" s="58">
        <f>'monthly model engine'!AA12</f>
        <v>2000</v>
      </c>
      <c r="I20" s="58">
        <f>'monthly model engine'!AA13</f>
        <v>2000</v>
      </c>
      <c r="J20" s="58">
        <f>'monthly model engine'!AA14</f>
        <v>2000</v>
      </c>
      <c r="K20" s="58">
        <f>'monthly model engine'!AA15</f>
        <v>2000</v>
      </c>
      <c r="L20" s="58">
        <f>'monthly model engine'!AA16</f>
        <v>2000</v>
      </c>
      <c r="M20" s="58">
        <f>'monthly model engine'!AA17</f>
        <v>2000</v>
      </c>
      <c r="N20" s="58">
        <f>'monthly model engine'!AA18</f>
        <v>2000</v>
      </c>
      <c r="O20" s="58">
        <f>'monthly model engine'!AA19</f>
        <v>2000</v>
      </c>
      <c r="P20" s="58">
        <f>'monthly model engine'!AA20</f>
        <v>2000</v>
      </c>
      <c r="Q20" s="58">
        <f>'monthly model engine'!AA21</f>
        <v>2000</v>
      </c>
      <c r="R20" s="58">
        <f>'monthly model engine'!AA22</f>
        <v>2000</v>
      </c>
      <c r="S20" s="58">
        <f>'monthly model engine'!AA23</f>
        <v>2000</v>
      </c>
      <c r="T20" s="58">
        <f>'monthly model engine'!AA24</f>
        <v>2000</v>
      </c>
      <c r="U20" s="58">
        <f>'monthly model engine'!AA25</f>
        <v>2000</v>
      </c>
      <c r="V20" s="58">
        <f>'monthly model engine'!AA26</f>
        <v>2000</v>
      </c>
      <c r="W20" s="58">
        <f>'monthly model engine'!AA27</f>
        <v>2000</v>
      </c>
      <c r="X20" s="58">
        <f>'monthly model engine'!AA28</f>
        <v>2000</v>
      </c>
      <c r="Y20" s="58">
        <f>'monthly model engine'!AA29</f>
        <v>2000</v>
      </c>
      <c r="Z20" s="58">
        <f>'monthly model engine'!AA30</f>
        <v>2000</v>
      </c>
      <c r="AA20" s="58">
        <f>'monthly model engine'!AA31</f>
        <v>2000</v>
      </c>
      <c r="AB20" s="58">
        <f>'monthly model engine'!AA32</f>
        <v>2000</v>
      </c>
      <c r="AC20" s="58">
        <f>'monthly model engine'!AA33</f>
        <v>2000</v>
      </c>
      <c r="AD20" s="58">
        <f>'monthly model engine'!AA34</f>
        <v>2000</v>
      </c>
      <c r="AE20" s="58">
        <f>'monthly model engine'!AA35</f>
        <v>2000</v>
      </c>
      <c r="AF20" s="58">
        <f>'monthly model engine'!AA36</f>
        <v>2000</v>
      </c>
      <c r="AG20" s="58">
        <f>'monthly model engine'!AA37</f>
        <v>2000</v>
      </c>
      <c r="AH20" s="58">
        <f>'monthly model engine'!AA38</f>
        <v>2000</v>
      </c>
      <c r="AI20" s="58">
        <f>'monthly model engine'!AA39</f>
        <v>2000</v>
      </c>
      <c r="AJ20" s="58">
        <f>'monthly model engine'!AA40</f>
        <v>2000</v>
      </c>
      <c r="AK20" s="58">
        <f>'monthly model engine'!AA41</f>
        <v>2000</v>
      </c>
      <c r="AL20" s="58">
        <f>'monthly model engine'!AA42</f>
        <v>2000</v>
      </c>
      <c r="AM20" s="58">
        <f>'monthly model engine'!AA43</f>
        <v>2000</v>
      </c>
      <c r="AN20" s="58">
        <f>'monthly model engine'!AA44</f>
        <v>2000</v>
      </c>
      <c r="AO20" s="58">
        <f>'monthly model engine'!AA45</f>
        <v>2000</v>
      </c>
      <c r="AP20" s="58">
        <f>'monthly model engine'!AA46</f>
        <v>2000</v>
      </c>
      <c r="AQ20" s="58">
        <f>'monthly model engine'!AA47</f>
        <v>2000</v>
      </c>
      <c r="AR20" s="58">
        <f>'monthly model engine'!AA48</f>
        <v>2000</v>
      </c>
      <c r="AS20" s="58">
        <f>'monthly model engine'!AA49</f>
        <v>2000</v>
      </c>
      <c r="AT20" s="58">
        <f>'monthly model engine'!AA50</f>
        <v>2000</v>
      </c>
      <c r="AU20" s="58">
        <f>'monthly model engine'!AA51</f>
        <v>2000</v>
      </c>
      <c r="AV20" s="58">
        <f>'monthly model engine'!AA52</f>
        <v>2000</v>
      </c>
      <c r="AW20" s="58">
        <f>'monthly model engine'!AA53</f>
        <v>2000</v>
      </c>
      <c r="AX20" s="58">
        <f>'monthly model engine'!AA54</f>
        <v>2000</v>
      </c>
      <c r="AY20" s="58">
        <f>'monthly model engine'!AA55</f>
        <v>2000</v>
      </c>
      <c r="AZ20" s="58">
        <f>'monthly model engine'!AA56</f>
        <v>2000</v>
      </c>
      <c r="BA20" s="58">
        <f>'monthly model engine'!AA57</f>
        <v>2000</v>
      </c>
      <c r="BB20" s="58">
        <f>'monthly model engine'!AA58</f>
        <v>2000</v>
      </c>
      <c r="BC20" s="58">
        <f>'monthly model engine'!AA59</f>
        <v>2000</v>
      </c>
      <c r="BD20" s="58">
        <f>'monthly model engine'!AA60</f>
        <v>2000</v>
      </c>
      <c r="BE20" s="58">
        <f>'monthly model engine'!AA61</f>
        <v>2000</v>
      </c>
      <c r="BF20" s="58">
        <f>'monthly model engine'!AA62</f>
        <v>2000</v>
      </c>
      <c r="BG20" s="58">
        <f>'monthly model engine'!AA63</f>
        <v>2000</v>
      </c>
      <c r="BH20" s="58">
        <f>'monthly model engine'!AA64</f>
        <v>2000</v>
      </c>
      <c r="BI20" s="58">
        <f>'monthly model engine'!AA65</f>
        <v>2000</v>
      </c>
      <c r="BJ20" s="58">
        <f>'monthly model engine'!AA66</f>
        <v>2000</v>
      </c>
      <c r="BK20" s="58">
        <f>'monthly model engine'!AA67</f>
        <v>2000</v>
      </c>
    </row>
    <row r="21" spans="1:63" ht="15" customHeight="1" x14ac:dyDescent="0.25">
      <c r="B21" s="57" t="s">
        <v>250</v>
      </c>
      <c r="D21" s="58">
        <f>'monthly model engine'!AB8</f>
        <v>125</v>
      </c>
      <c r="E21" s="58">
        <f>'monthly model engine'!AB9</f>
        <v>125</v>
      </c>
      <c r="F21" s="58">
        <f>'monthly model engine'!AB10</f>
        <v>125</v>
      </c>
      <c r="G21" s="58">
        <f>'monthly model engine'!AB11</f>
        <v>125</v>
      </c>
      <c r="H21" s="58">
        <f>'monthly model engine'!AB12</f>
        <v>125</v>
      </c>
      <c r="I21" s="58">
        <f>'monthly model engine'!AB13</f>
        <v>125</v>
      </c>
      <c r="J21" s="58">
        <f>'monthly model engine'!AB14</f>
        <v>125</v>
      </c>
      <c r="K21" s="58">
        <f>'monthly model engine'!AB15</f>
        <v>125</v>
      </c>
      <c r="L21" s="58">
        <f>'monthly model engine'!AB16</f>
        <v>125</v>
      </c>
      <c r="M21" s="58">
        <f>'monthly model engine'!AB17</f>
        <v>125</v>
      </c>
      <c r="N21" s="58">
        <f>'monthly model engine'!AB18</f>
        <v>125</v>
      </c>
      <c r="O21" s="58">
        <f>'monthly model engine'!AB19</f>
        <v>125</v>
      </c>
      <c r="P21" s="58">
        <f>'monthly model engine'!AB20</f>
        <v>125</v>
      </c>
      <c r="Q21" s="58">
        <f>'monthly model engine'!AB21</f>
        <v>125</v>
      </c>
      <c r="R21" s="58">
        <f>'monthly model engine'!AB22</f>
        <v>125</v>
      </c>
      <c r="S21" s="58">
        <f>'monthly model engine'!AB23</f>
        <v>125</v>
      </c>
      <c r="T21" s="58">
        <f>'monthly model engine'!AB24</f>
        <v>125</v>
      </c>
      <c r="U21" s="58">
        <f>'monthly model engine'!AB25</f>
        <v>125</v>
      </c>
      <c r="V21" s="58">
        <f>'monthly model engine'!AB26</f>
        <v>125</v>
      </c>
      <c r="W21" s="58">
        <f>'monthly model engine'!AB27</f>
        <v>125</v>
      </c>
      <c r="X21" s="58">
        <f>'monthly model engine'!AB28</f>
        <v>125</v>
      </c>
      <c r="Y21" s="58">
        <f>'monthly model engine'!AB29</f>
        <v>125</v>
      </c>
      <c r="Z21" s="58">
        <f>'monthly model engine'!AB30</f>
        <v>125</v>
      </c>
      <c r="AA21" s="58">
        <f>'monthly model engine'!AB31</f>
        <v>125</v>
      </c>
      <c r="AB21" s="58">
        <f>'monthly model engine'!AB32</f>
        <v>125</v>
      </c>
      <c r="AC21" s="58">
        <f>'monthly model engine'!AB33</f>
        <v>125</v>
      </c>
      <c r="AD21" s="58">
        <f>'monthly model engine'!AB34</f>
        <v>125</v>
      </c>
      <c r="AE21" s="58">
        <f>'monthly model engine'!AB35</f>
        <v>125</v>
      </c>
      <c r="AF21" s="58">
        <f>'monthly model engine'!AB36</f>
        <v>125</v>
      </c>
      <c r="AG21" s="58">
        <f>'monthly model engine'!AB37</f>
        <v>125</v>
      </c>
      <c r="AH21" s="58">
        <f>'monthly model engine'!AB38</f>
        <v>125</v>
      </c>
      <c r="AI21" s="58">
        <f>'monthly model engine'!AB39</f>
        <v>125</v>
      </c>
      <c r="AJ21" s="58">
        <f>'monthly model engine'!AB40</f>
        <v>125</v>
      </c>
      <c r="AK21" s="58">
        <f>'monthly model engine'!AB41</f>
        <v>125</v>
      </c>
      <c r="AL21" s="58">
        <f>'monthly model engine'!AB42</f>
        <v>125</v>
      </c>
      <c r="AM21" s="58">
        <f>'monthly model engine'!AB43</f>
        <v>125</v>
      </c>
      <c r="AN21" s="58">
        <f>'monthly model engine'!AB44</f>
        <v>125</v>
      </c>
      <c r="AO21" s="58">
        <f>'monthly model engine'!AB45</f>
        <v>125</v>
      </c>
      <c r="AP21" s="58">
        <f>'monthly model engine'!AB46</f>
        <v>125</v>
      </c>
      <c r="AQ21" s="58">
        <f>'monthly model engine'!AB47</f>
        <v>125</v>
      </c>
      <c r="AR21" s="58">
        <f>'monthly model engine'!AB48</f>
        <v>125</v>
      </c>
      <c r="AS21" s="58">
        <f>'monthly model engine'!AB49</f>
        <v>125</v>
      </c>
      <c r="AT21" s="58">
        <f>'monthly model engine'!AB50</f>
        <v>125</v>
      </c>
      <c r="AU21" s="58">
        <f>'monthly model engine'!AB51</f>
        <v>125</v>
      </c>
      <c r="AV21" s="58">
        <f>'monthly model engine'!AB52</f>
        <v>125</v>
      </c>
      <c r="AW21" s="58">
        <f>'monthly model engine'!AB53</f>
        <v>125</v>
      </c>
      <c r="AX21" s="58">
        <f>'monthly model engine'!AB54</f>
        <v>125</v>
      </c>
      <c r="AY21" s="58">
        <f>'monthly model engine'!AB55</f>
        <v>125</v>
      </c>
      <c r="AZ21" s="58">
        <f>'monthly model engine'!AB56</f>
        <v>125</v>
      </c>
      <c r="BA21" s="58">
        <f>'monthly model engine'!AB57</f>
        <v>125</v>
      </c>
      <c r="BB21" s="58">
        <f>'monthly model engine'!AB58</f>
        <v>125</v>
      </c>
      <c r="BC21" s="58">
        <f>'monthly model engine'!AB59</f>
        <v>125</v>
      </c>
      <c r="BD21" s="58">
        <f>'monthly model engine'!AB60</f>
        <v>125</v>
      </c>
      <c r="BE21" s="58">
        <f>'monthly model engine'!AB61</f>
        <v>125</v>
      </c>
      <c r="BF21" s="58">
        <f>'monthly model engine'!AB62</f>
        <v>125</v>
      </c>
      <c r="BG21" s="58">
        <f>'monthly model engine'!AB63</f>
        <v>125</v>
      </c>
      <c r="BH21" s="58">
        <f>'monthly model engine'!AB64</f>
        <v>125</v>
      </c>
      <c r="BI21" s="58">
        <f>'monthly model engine'!AB65</f>
        <v>125</v>
      </c>
      <c r="BJ21" s="58">
        <f>'monthly model engine'!AB66</f>
        <v>125</v>
      </c>
      <c r="BK21" s="58">
        <f>'monthly model engine'!AB67</f>
        <v>125</v>
      </c>
    </row>
    <row r="22" spans="1:63" ht="15" customHeight="1" x14ac:dyDescent="0.25">
      <c r="B22" s="57" t="s">
        <v>41</v>
      </c>
      <c r="D22" s="58">
        <f>'monthly model engine'!AC8</f>
        <v>150</v>
      </c>
      <c r="E22" s="58">
        <f>'monthly model engine'!AC9</f>
        <v>150</v>
      </c>
      <c r="F22" s="58">
        <f>'monthly model engine'!AC10</f>
        <v>150</v>
      </c>
      <c r="G22" s="58">
        <f>'monthly model engine'!AC11</f>
        <v>150</v>
      </c>
      <c r="H22" s="58">
        <f>'monthly model engine'!AC12</f>
        <v>150</v>
      </c>
      <c r="I22" s="58">
        <f>'monthly model engine'!AC13</f>
        <v>150</v>
      </c>
      <c r="J22" s="58">
        <f>'monthly model engine'!AC14</f>
        <v>150</v>
      </c>
      <c r="K22" s="58">
        <f>'monthly model engine'!AC15</f>
        <v>150</v>
      </c>
      <c r="L22" s="58">
        <f>'monthly model engine'!AC16</f>
        <v>150</v>
      </c>
      <c r="M22" s="58">
        <f>'monthly model engine'!AC17</f>
        <v>150</v>
      </c>
      <c r="N22" s="58">
        <f>'monthly model engine'!AC18</f>
        <v>150</v>
      </c>
      <c r="O22" s="58">
        <f>'monthly model engine'!AC19</f>
        <v>150</v>
      </c>
      <c r="P22" s="58">
        <f>'monthly model engine'!AC20</f>
        <v>150</v>
      </c>
      <c r="Q22" s="58">
        <f>'monthly model engine'!AC21</f>
        <v>150</v>
      </c>
      <c r="R22" s="58">
        <f>'monthly model engine'!AC22</f>
        <v>150</v>
      </c>
      <c r="S22" s="58">
        <f>'monthly model engine'!AC23</f>
        <v>150</v>
      </c>
      <c r="T22" s="58">
        <f>'monthly model engine'!AC24</f>
        <v>150</v>
      </c>
      <c r="U22" s="58">
        <f>'monthly model engine'!AC25</f>
        <v>150</v>
      </c>
      <c r="V22" s="58">
        <f>'monthly model engine'!AC26</f>
        <v>150</v>
      </c>
      <c r="W22" s="58">
        <f>'monthly model engine'!AC27</f>
        <v>150</v>
      </c>
      <c r="X22" s="58">
        <f>'monthly model engine'!AC28</f>
        <v>150</v>
      </c>
      <c r="Y22" s="58">
        <f>'monthly model engine'!AC29</f>
        <v>150</v>
      </c>
      <c r="Z22" s="58">
        <f>'monthly model engine'!AC30</f>
        <v>150</v>
      </c>
      <c r="AA22" s="58">
        <f>'monthly model engine'!AC31</f>
        <v>150</v>
      </c>
      <c r="AB22" s="58">
        <f>'monthly model engine'!AC32</f>
        <v>150</v>
      </c>
      <c r="AC22" s="58">
        <f>'monthly model engine'!AC33</f>
        <v>150</v>
      </c>
      <c r="AD22" s="58">
        <f>'monthly model engine'!AC34</f>
        <v>150</v>
      </c>
      <c r="AE22" s="58">
        <f>'monthly model engine'!AC35</f>
        <v>150</v>
      </c>
      <c r="AF22" s="58">
        <f>'monthly model engine'!AC36</f>
        <v>150</v>
      </c>
      <c r="AG22" s="58">
        <f>'monthly model engine'!AC37</f>
        <v>150</v>
      </c>
      <c r="AH22" s="58">
        <f>'monthly model engine'!AC38</f>
        <v>150</v>
      </c>
      <c r="AI22" s="58">
        <f>'monthly model engine'!AC39</f>
        <v>150</v>
      </c>
      <c r="AJ22" s="58">
        <f>'monthly model engine'!AC40</f>
        <v>150</v>
      </c>
      <c r="AK22" s="58">
        <f>'monthly model engine'!AC41</f>
        <v>150</v>
      </c>
      <c r="AL22" s="58">
        <f>'monthly model engine'!AC42</f>
        <v>150</v>
      </c>
      <c r="AM22" s="58">
        <f>'monthly model engine'!AC43</f>
        <v>150</v>
      </c>
      <c r="AN22" s="58">
        <f>'monthly model engine'!AC44</f>
        <v>150</v>
      </c>
      <c r="AO22" s="58">
        <f>'monthly model engine'!AC45</f>
        <v>150</v>
      </c>
      <c r="AP22" s="58">
        <f>'monthly model engine'!AC46</f>
        <v>150</v>
      </c>
      <c r="AQ22" s="58">
        <f>'monthly model engine'!AC47</f>
        <v>150</v>
      </c>
      <c r="AR22" s="58">
        <f>'monthly model engine'!AC48</f>
        <v>150</v>
      </c>
      <c r="AS22" s="58">
        <f>'monthly model engine'!AC49</f>
        <v>150</v>
      </c>
      <c r="AT22" s="58">
        <f>'monthly model engine'!AC50</f>
        <v>150</v>
      </c>
      <c r="AU22" s="58">
        <f>'monthly model engine'!AC51</f>
        <v>150</v>
      </c>
      <c r="AV22" s="58">
        <f>'monthly model engine'!AC52</f>
        <v>150</v>
      </c>
      <c r="AW22" s="58">
        <f>'monthly model engine'!AC53</f>
        <v>150</v>
      </c>
      <c r="AX22" s="58">
        <f>'monthly model engine'!AC54</f>
        <v>150</v>
      </c>
      <c r="AY22" s="58">
        <f>'monthly model engine'!AC55</f>
        <v>150</v>
      </c>
      <c r="AZ22" s="58">
        <f>'monthly model engine'!AC56</f>
        <v>150</v>
      </c>
      <c r="BA22" s="58">
        <f>'monthly model engine'!AC57</f>
        <v>150</v>
      </c>
      <c r="BB22" s="58">
        <f>'monthly model engine'!AC58</f>
        <v>150</v>
      </c>
      <c r="BC22" s="58">
        <f>'monthly model engine'!AC59</f>
        <v>150</v>
      </c>
      <c r="BD22" s="58">
        <f>'monthly model engine'!AC60</f>
        <v>150</v>
      </c>
      <c r="BE22" s="58">
        <f>'monthly model engine'!AC61</f>
        <v>150</v>
      </c>
      <c r="BF22" s="58">
        <f>'monthly model engine'!AC62</f>
        <v>150</v>
      </c>
      <c r="BG22" s="58">
        <f>'monthly model engine'!AC63</f>
        <v>150</v>
      </c>
      <c r="BH22" s="58">
        <f>'monthly model engine'!AC64</f>
        <v>150</v>
      </c>
      <c r="BI22" s="58">
        <f>'monthly model engine'!AC65</f>
        <v>150</v>
      </c>
      <c r="BJ22" s="58">
        <f>'monthly model engine'!AC66</f>
        <v>150</v>
      </c>
      <c r="BK22" s="58">
        <f>'monthly model engine'!AC67</f>
        <v>150</v>
      </c>
    </row>
    <row r="23" spans="1:63" ht="15" customHeight="1" x14ac:dyDescent="0.25">
      <c r="B23" s="57" t="s">
        <v>251</v>
      </c>
      <c r="D23" s="58">
        <f>'monthly model engine'!AD8</f>
        <v>6783.2323541666665</v>
      </c>
      <c r="E23" s="58">
        <f>'monthly model engine'!AD9</f>
        <v>6783.2323541666665</v>
      </c>
      <c r="F23" s="58">
        <f>'monthly model engine'!AD10</f>
        <v>6783.2323541666665</v>
      </c>
      <c r="G23" s="58">
        <f>'monthly model engine'!AD11</f>
        <v>6783.2323541666665</v>
      </c>
      <c r="H23" s="58">
        <f>'monthly model engine'!AD12</f>
        <v>6783.2323541666665</v>
      </c>
      <c r="I23" s="58">
        <f>'monthly model engine'!AD13</f>
        <v>6783.2323541666665</v>
      </c>
      <c r="J23" s="58">
        <f>'monthly model engine'!AD14</f>
        <v>6783.2323541666665</v>
      </c>
      <c r="K23" s="58">
        <f>'monthly model engine'!AD15</f>
        <v>6783.2323541666665</v>
      </c>
      <c r="L23" s="58">
        <f>'monthly model engine'!AD16</f>
        <v>6783.2323541666665</v>
      </c>
      <c r="M23" s="58">
        <f>'monthly model engine'!AD17</f>
        <v>6783.2323541666665</v>
      </c>
      <c r="N23" s="58">
        <f>'monthly model engine'!AD18</f>
        <v>6783.2323541666665</v>
      </c>
      <c r="O23" s="58">
        <f>'monthly model engine'!AD19</f>
        <v>6783.2323541666665</v>
      </c>
      <c r="P23" s="58">
        <f>'monthly model engine'!AD20</f>
        <v>6783.2323541666665</v>
      </c>
      <c r="Q23" s="58">
        <f>'monthly model engine'!AD21</f>
        <v>6783.2323541666665</v>
      </c>
      <c r="R23" s="58">
        <f>'monthly model engine'!AD22</f>
        <v>6783.2323541666665</v>
      </c>
      <c r="S23" s="58">
        <f>'monthly model engine'!AD23</f>
        <v>6783.2323541666665</v>
      </c>
      <c r="T23" s="58">
        <f>'monthly model engine'!AD24</f>
        <v>6783.2323541666665</v>
      </c>
      <c r="U23" s="58">
        <f>'monthly model engine'!AD25</f>
        <v>6783.2323541666665</v>
      </c>
      <c r="V23" s="58">
        <f>'monthly model engine'!AD26</f>
        <v>6783.2323541666665</v>
      </c>
      <c r="W23" s="58">
        <f>'monthly model engine'!AD27</f>
        <v>6783.2323541666665</v>
      </c>
      <c r="X23" s="58">
        <f>'monthly model engine'!AD28</f>
        <v>6783.2323541666665</v>
      </c>
      <c r="Y23" s="58">
        <f>'monthly model engine'!AD29</f>
        <v>6783.2323541666665</v>
      </c>
      <c r="Z23" s="58">
        <f>'monthly model engine'!AD30</f>
        <v>6783.2323541666665</v>
      </c>
      <c r="AA23" s="58">
        <f>'monthly model engine'!AD31</f>
        <v>6783.2323541666665</v>
      </c>
      <c r="AB23" s="58">
        <f>'monthly model engine'!AD32</f>
        <v>6783.2323541666665</v>
      </c>
      <c r="AC23" s="58">
        <f>'monthly model engine'!AD33</f>
        <v>6783.2323541666665</v>
      </c>
      <c r="AD23" s="58">
        <f>'monthly model engine'!AD34</f>
        <v>6783.2323541666665</v>
      </c>
      <c r="AE23" s="58">
        <f>'monthly model engine'!AD35</f>
        <v>6783.2323541666665</v>
      </c>
      <c r="AF23" s="58">
        <f>'monthly model engine'!AD36</f>
        <v>6783.2323541666665</v>
      </c>
      <c r="AG23" s="58">
        <f>'monthly model engine'!AD37</f>
        <v>6783.2323541666665</v>
      </c>
      <c r="AH23" s="58">
        <f>'monthly model engine'!AD38</f>
        <v>6783.2323541666665</v>
      </c>
      <c r="AI23" s="58">
        <f>'monthly model engine'!AD39</f>
        <v>6783.2323541666665</v>
      </c>
      <c r="AJ23" s="58">
        <f>'monthly model engine'!AD40</f>
        <v>6783.2323541666665</v>
      </c>
      <c r="AK23" s="58">
        <f>'monthly model engine'!AD41</f>
        <v>6783.2323541666665</v>
      </c>
      <c r="AL23" s="58">
        <f>'monthly model engine'!AD42</f>
        <v>6783.2323541666665</v>
      </c>
      <c r="AM23" s="58">
        <f>'monthly model engine'!AD43</f>
        <v>6783.2323541666665</v>
      </c>
      <c r="AN23" s="58">
        <f>'monthly model engine'!AD44</f>
        <v>6783.2323541666665</v>
      </c>
      <c r="AO23" s="58">
        <f>'monthly model engine'!AD45</f>
        <v>6783.2323541666665</v>
      </c>
      <c r="AP23" s="58">
        <f>'monthly model engine'!AD46</f>
        <v>6783.2323541666665</v>
      </c>
      <c r="AQ23" s="58">
        <f>'monthly model engine'!AD47</f>
        <v>6783.2323541666665</v>
      </c>
      <c r="AR23" s="58">
        <f>'monthly model engine'!AD48</f>
        <v>6783.2323541666665</v>
      </c>
      <c r="AS23" s="58">
        <f>'monthly model engine'!AD49</f>
        <v>6783.2323541666665</v>
      </c>
      <c r="AT23" s="58">
        <f>'monthly model engine'!AD50</f>
        <v>6783.2323541666665</v>
      </c>
      <c r="AU23" s="58">
        <f>'monthly model engine'!AD51</f>
        <v>6783.2323541666665</v>
      </c>
      <c r="AV23" s="58">
        <f>'monthly model engine'!AD52</f>
        <v>6783.2323541666665</v>
      </c>
      <c r="AW23" s="58">
        <f>'monthly model engine'!AD53</f>
        <v>6783.2323541666665</v>
      </c>
      <c r="AX23" s="58">
        <f>'monthly model engine'!AD54</f>
        <v>6783.2323541666665</v>
      </c>
      <c r="AY23" s="58">
        <f>'monthly model engine'!AD55</f>
        <v>6783.2323541666665</v>
      </c>
      <c r="AZ23" s="58">
        <f>'monthly model engine'!AD56</f>
        <v>6783.2323541666665</v>
      </c>
      <c r="BA23" s="58">
        <f>'monthly model engine'!AD57</f>
        <v>6783.2323541666665</v>
      </c>
      <c r="BB23" s="58">
        <f>'monthly model engine'!AD58</f>
        <v>6783.2323541666665</v>
      </c>
      <c r="BC23" s="58">
        <f>'monthly model engine'!AD59</f>
        <v>6783.2323541666665</v>
      </c>
      <c r="BD23" s="58">
        <f>'monthly model engine'!AD60</f>
        <v>6783.2323541666665</v>
      </c>
      <c r="BE23" s="58">
        <f>'monthly model engine'!AD61</f>
        <v>6783.2323541666665</v>
      </c>
      <c r="BF23" s="58">
        <f>'monthly model engine'!AD62</f>
        <v>6783.2323541666665</v>
      </c>
      <c r="BG23" s="58">
        <f>'monthly model engine'!AD63</f>
        <v>6783.2323541666665</v>
      </c>
      <c r="BH23" s="58">
        <f>'monthly model engine'!AD64</f>
        <v>6783.2323541666665</v>
      </c>
      <c r="BI23" s="58">
        <f>'monthly model engine'!AD65</f>
        <v>6783.2323541666665</v>
      </c>
      <c r="BJ23" s="58">
        <f>'monthly model engine'!AD66</f>
        <v>6783.2323541666665</v>
      </c>
      <c r="BK23" s="58">
        <f>'monthly model engine'!AD67</f>
        <v>6783.2323541666665</v>
      </c>
    </row>
    <row r="24" spans="1:63" ht="15" customHeight="1" x14ac:dyDescent="0.25">
      <c r="B24" s="57" t="s">
        <v>252</v>
      </c>
      <c r="D24" s="58">
        <f>'monthly model engine'!AE8</f>
        <v>300</v>
      </c>
      <c r="E24" s="58">
        <f>'monthly model engine'!AE9</f>
        <v>200</v>
      </c>
      <c r="F24" s="58">
        <f>'monthly model engine'!AE10</f>
        <v>150</v>
      </c>
      <c r="G24" s="58">
        <f>'monthly model engine'!AE11</f>
        <v>150</v>
      </c>
      <c r="H24" s="58">
        <f>'monthly model engine'!AE12</f>
        <v>150</v>
      </c>
      <c r="I24" s="58">
        <f>'monthly model engine'!AE13</f>
        <v>250</v>
      </c>
      <c r="J24" s="58">
        <f>'monthly model engine'!AE14</f>
        <v>250</v>
      </c>
      <c r="K24" s="58">
        <f>'monthly model engine'!AE15</f>
        <v>150</v>
      </c>
      <c r="L24" s="58">
        <f>'monthly model engine'!AE16</f>
        <v>200</v>
      </c>
      <c r="M24" s="58">
        <f>'monthly model engine'!AE17</f>
        <v>150</v>
      </c>
      <c r="N24" s="58">
        <f>'monthly model engine'!AE18</f>
        <v>250</v>
      </c>
      <c r="O24" s="58">
        <f>'monthly model engine'!AE19</f>
        <v>300</v>
      </c>
      <c r="P24" s="58">
        <f>'monthly model engine'!AE20</f>
        <v>345</v>
      </c>
      <c r="Q24" s="58">
        <f>'monthly model engine'!AE21</f>
        <v>229.99999999999997</v>
      </c>
      <c r="R24" s="58">
        <f>'monthly model engine'!AE22</f>
        <v>172.5</v>
      </c>
      <c r="S24" s="58">
        <f>'monthly model engine'!AE23</f>
        <v>172.5</v>
      </c>
      <c r="T24" s="58">
        <f>'monthly model engine'!AE24</f>
        <v>172.5</v>
      </c>
      <c r="U24" s="58">
        <f>'monthly model engine'!AE25</f>
        <v>287.5</v>
      </c>
      <c r="V24" s="58">
        <f>'monthly model engine'!AE26</f>
        <v>287.5</v>
      </c>
      <c r="W24" s="58">
        <f>'monthly model engine'!AE27</f>
        <v>172.5</v>
      </c>
      <c r="X24" s="58">
        <f>'monthly model engine'!AE28</f>
        <v>229.99999999999997</v>
      </c>
      <c r="Y24" s="58">
        <f>'monthly model engine'!AE29</f>
        <v>172.5</v>
      </c>
      <c r="Z24" s="58">
        <f>'monthly model engine'!AE30</f>
        <v>287.5</v>
      </c>
      <c r="AA24" s="58">
        <f>'monthly model engine'!AE31</f>
        <v>345</v>
      </c>
      <c r="AB24" s="58">
        <f>'monthly model engine'!AE32</f>
        <v>372.6</v>
      </c>
      <c r="AC24" s="58">
        <f>'monthly model engine'!AE33</f>
        <v>248.4</v>
      </c>
      <c r="AD24" s="58">
        <f>'monthly model engine'!AE34</f>
        <v>186.3</v>
      </c>
      <c r="AE24" s="58">
        <f>'monthly model engine'!AE35</f>
        <v>186.3</v>
      </c>
      <c r="AF24" s="58">
        <f>'monthly model engine'!AE36</f>
        <v>186.3</v>
      </c>
      <c r="AG24" s="58">
        <f>'monthly model engine'!AE37</f>
        <v>310.5</v>
      </c>
      <c r="AH24" s="58">
        <f>'monthly model engine'!AE38</f>
        <v>310.5</v>
      </c>
      <c r="AI24" s="58">
        <f>'monthly model engine'!AE39</f>
        <v>186.3</v>
      </c>
      <c r="AJ24" s="58">
        <f>'monthly model engine'!AE40</f>
        <v>248.4</v>
      </c>
      <c r="AK24" s="58">
        <f>'monthly model engine'!AE41</f>
        <v>186.3</v>
      </c>
      <c r="AL24" s="58">
        <f>'monthly model engine'!AE42</f>
        <v>310.5</v>
      </c>
      <c r="AM24" s="58">
        <f>'monthly model engine'!AE43</f>
        <v>372.6</v>
      </c>
      <c r="AN24" s="58">
        <f>'monthly model engine'!AE44</f>
        <v>394.95600000000002</v>
      </c>
      <c r="AO24" s="58">
        <f>'monthly model engine'!AE45</f>
        <v>263.30400000000003</v>
      </c>
      <c r="AP24" s="58">
        <f>'monthly model engine'!AE46</f>
        <v>197.47800000000001</v>
      </c>
      <c r="AQ24" s="58">
        <f>'monthly model engine'!AE47</f>
        <v>197.47800000000001</v>
      </c>
      <c r="AR24" s="58">
        <f>'monthly model engine'!AE48</f>
        <v>197.47800000000001</v>
      </c>
      <c r="AS24" s="58">
        <f>'monthly model engine'!AE49</f>
        <v>329.13000000000005</v>
      </c>
      <c r="AT24" s="58">
        <f>'monthly model engine'!AE50</f>
        <v>329.13000000000005</v>
      </c>
      <c r="AU24" s="58">
        <f>'monthly model engine'!AE51</f>
        <v>197.47800000000001</v>
      </c>
      <c r="AV24" s="58">
        <f>'monthly model engine'!AE52</f>
        <v>263.30400000000003</v>
      </c>
      <c r="AW24" s="58">
        <f>'monthly model engine'!AE53</f>
        <v>197.47800000000001</v>
      </c>
      <c r="AX24" s="58">
        <f>'monthly model engine'!AE54</f>
        <v>329.13000000000005</v>
      </c>
      <c r="AY24" s="58">
        <f>'monthly model engine'!AE55</f>
        <v>394.95600000000002</v>
      </c>
      <c r="AZ24" s="58">
        <f>'monthly model engine'!AE56</f>
        <v>406.80468000000002</v>
      </c>
      <c r="BA24" s="58">
        <f>'monthly model engine'!AE57</f>
        <v>271.20312000000001</v>
      </c>
      <c r="BB24" s="58">
        <f>'monthly model engine'!AE58</f>
        <v>203.40234000000001</v>
      </c>
      <c r="BC24" s="58">
        <f>'monthly model engine'!AE59</f>
        <v>203.40234000000001</v>
      </c>
      <c r="BD24" s="58">
        <f>'monthly model engine'!AE60</f>
        <v>203.40234000000001</v>
      </c>
      <c r="BE24" s="58">
        <f>'monthly model engine'!AE61</f>
        <v>339.00390000000004</v>
      </c>
      <c r="BF24" s="58">
        <f>'monthly model engine'!AE62</f>
        <v>339.00390000000004</v>
      </c>
      <c r="BG24" s="58">
        <f>'monthly model engine'!AE63</f>
        <v>203.40234000000001</v>
      </c>
      <c r="BH24" s="58">
        <f>'monthly model engine'!AE64</f>
        <v>271.20312000000001</v>
      </c>
      <c r="BI24" s="58">
        <f>'monthly model engine'!AE65</f>
        <v>203.40234000000001</v>
      </c>
      <c r="BJ24" s="58">
        <f>'monthly model engine'!AE66</f>
        <v>339.00390000000004</v>
      </c>
      <c r="BK24" s="58">
        <f>'monthly model engine'!AE67</f>
        <v>406.80468000000002</v>
      </c>
    </row>
    <row r="25" spans="1:63" ht="15" customHeight="1" x14ac:dyDescent="0.25">
      <c r="B25" s="57" t="s">
        <v>253</v>
      </c>
      <c r="D25" s="58">
        <f>'monthly model engine'!AF8</f>
        <v>150</v>
      </c>
      <c r="E25" s="58">
        <f>'monthly model engine'!AF9</f>
        <v>150</v>
      </c>
      <c r="F25" s="58">
        <f>'monthly model engine'!AF10</f>
        <v>150</v>
      </c>
      <c r="G25" s="58">
        <f>'monthly model engine'!AF11</f>
        <v>150</v>
      </c>
      <c r="H25" s="58">
        <f>'monthly model engine'!AF12</f>
        <v>200</v>
      </c>
      <c r="I25" s="58">
        <f>'monthly model engine'!AF13</f>
        <v>150</v>
      </c>
      <c r="J25" s="58">
        <f>'monthly model engine'!AF14</f>
        <v>150</v>
      </c>
      <c r="K25" s="58">
        <f>'monthly model engine'!AF15</f>
        <v>150</v>
      </c>
      <c r="L25" s="58">
        <f>'monthly model engine'!AF16</f>
        <v>200</v>
      </c>
      <c r="M25" s="58">
        <f>'monthly model engine'!AF17</f>
        <v>150</v>
      </c>
      <c r="N25" s="58">
        <f>'monthly model engine'!AF18</f>
        <v>200</v>
      </c>
      <c r="O25" s="58">
        <f>'monthly model engine'!AF19</f>
        <v>250</v>
      </c>
      <c r="P25" s="58">
        <f>'monthly model engine'!AF20</f>
        <v>172.5</v>
      </c>
      <c r="Q25" s="58">
        <f>'monthly model engine'!AF21</f>
        <v>172.5</v>
      </c>
      <c r="R25" s="58">
        <f>'monthly model engine'!AF22</f>
        <v>172.5</v>
      </c>
      <c r="S25" s="58">
        <f>'monthly model engine'!AF23</f>
        <v>172.5</v>
      </c>
      <c r="T25" s="58">
        <f>'monthly model engine'!AF24</f>
        <v>229.99999999999997</v>
      </c>
      <c r="U25" s="58">
        <f>'monthly model engine'!AF25</f>
        <v>172.5</v>
      </c>
      <c r="V25" s="58">
        <f>'monthly model engine'!AF26</f>
        <v>172.5</v>
      </c>
      <c r="W25" s="58">
        <f>'monthly model engine'!AF27</f>
        <v>172.5</v>
      </c>
      <c r="X25" s="58">
        <f>'monthly model engine'!AF28</f>
        <v>229.99999999999997</v>
      </c>
      <c r="Y25" s="58">
        <f>'monthly model engine'!AF29</f>
        <v>172.5</v>
      </c>
      <c r="Z25" s="58">
        <f>'monthly model engine'!AF30</f>
        <v>229.99999999999997</v>
      </c>
      <c r="AA25" s="58">
        <f>'monthly model engine'!AF31</f>
        <v>287.5</v>
      </c>
      <c r="AB25" s="58">
        <f>'monthly model engine'!AF32</f>
        <v>186.3</v>
      </c>
      <c r="AC25" s="58">
        <f>'monthly model engine'!AF33</f>
        <v>186.3</v>
      </c>
      <c r="AD25" s="58">
        <f>'monthly model engine'!AF34</f>
        <v>186.3</v>
      </c>
      <c r="AE25" s="58">
        <f>'monthly model engine'!AF35</f>
        <v>186.3</v>
      </c>
      <c r="AF25" s="58">
        <f>'monthly model engine'!AF36</f>
        <v>248.4</v>
      </c>
      <c r="AG25" s="58">
        <f>'monthly model engine'!AF37</f>
        <v>186.3</v>
      </c>
      <c r="AH25" s="58">
        <f>'monthly model engine'!AF38</f>
        <v>186.3</v>
      </c>
      <c r="AI25" s="58">
        <f>'monthly model engine'!AF39</f>
        <v>186.3</v>
      </c>
      <c r="AJ25" s="58">
        <f>'monthly model engine'!AF40</f>
        <v>248.4</v>
      </c>
      <c r="AK25" s="58">
        <f>'monthly model engine'!AF41</f>
        <v>186.3</v>
      </c>
      <c r="AL25" s="58">
        <f>'monthly model engine'!AF42</f>
        <v>248.4</v>
      </c>
      <c r="AM25" s="58">
        <f>'monthly model engine'!AF43</f>
        <v>310.5</v>
      </c>
      <c r="AN25" s="58">
        <f>'monthly model engine'!AF44</f>
        <v>197.47800000000001</v>
      </c>
      <c r="AO25" s="58">
        <f>'monthly model engine'!AF45</f>
        <v>197.47800000000001</v>
      </c>
      <c r="AP25" s="58">
        <f>'monthly model engine'!AF46</f>
        <v>197.47800000000001</v>
      </c>
      <c r="AQ25" s="58">
        <f>'monthly model engine'!AF47</f>
        <v>197.47800000000001</v>
      </c>
      <c r="AR25" s="58">
        <f>'monthly model engine'!AF48</f>
        <v>263.30400000000003</v>
      </c>
      <c r="AS25" s="58">
        <f>'monthly model engine'!AF49</f>
        <v>197.47800000000001</v>
      </c>
      <c r="AT25" s="58">
        <f>'monthly model engine'!AF50</f>
        <v>197.47800000000001</v>
      </c>
      <c r="AU25" s="58">
        <f>'monthly model engine'!AF51</f>
        <v>197.47800000000001</v>
      </c>
      <c r="AV25" s="58">
        <f>'monthly model engine'!AF52</f>
        <v>263.30400000000003</v>
      </c>
      <c r="AW25" s="58">
        <f>'monthly model engine'!AF53</f>
        <v>197.47800000000001</v>
      </c>
      <c r="AX25" s="58">
        <f>'monthly model engine'!AF54</f>
        <v>263.30400000000003</v>
      </c>
      <c r="AY25" s="58">
        <f>'monthly model engine'!AF55</f>
        <v>329.13000000000005</v>
      </c>
      <c r="AZ25" s="58">
        <f>'monthly model engine'!AF56</f>
        <v>203.40234000000001</v>
      </c>
      <c r="BA25" s="58">
        <f>'monthly model engine'!AF57</f>
        <v>203.40234000000001</v>
      </c>
      <c r="BB25" s="58">
        <f>'monthly model engine'!AF58</f>
        <v>203.40234000000001</v>
      </c>
      <c r="BC25" s="58">
        <f>'monthly model engine'!AF59</f>
        <v>203.40234000000001</v>
      </c>
      <c r="BD25" s="58">
        <f>'monthly model engine'!AF60</f>
        <v>271.20312000000001</v>
      </c>
      <c r="BE25" s="58">
        <f>'monthly model engine'!AF61</f>
        <v>203.40234000000001</v>
      </c>
      <c r="BF25" s="58">
        <f>'monthly model engine'!AF62</f>
        <v>203.40234000000001</v>
      </c>
      <c r="BG25" s="58">
        <f>'monthly model engine'!AF63</f>
        <v>203.40234000000001</v>
      </c>
      <c r="BH25" s="58">
        <f>'monthly model engine'!AF64</f>
        <v>271.20312000000001</v>
      </c>
      <c r="BI25" s="58">
        <f>'monthly model engine'!AF65</f>
        <v>203.40234000000001</v>
      </c>
      <c r="BJ25" s="58">
        <f>'monthly model engine'!AF66</f>
        <v>271.20312000000001</v>
      </c>
      <c r="BK25" s="58">
        <f>'monthly model engine'!AF67</f>
        <v>339.00390000000004</v>
      </c>
    </row>
    <row r="26" spans="1:63" ht="15" customHeight="1" x14ac:dyDescent="0.25">
      <c r="B26" s="57" t="s">
        <v>254</v>
      </c>
      <c r="D26" s="58">
        <f>'monthly model engine'!AG8</f>
        <v>50</v>
      </c>
      <c r="E26" s="58">
        <f>'monthly model engine'!AG9</f>
        <v>50</v>
      </c>
      <c r="F26" s="58">
        <f>'monthly model engine'!AG10</f>
        <v>50</v>
      </c>
      <c r="G26" s="58">
        <f>'monthly model engine'!AG11</f>
        <v>75</v>
      </c>
      <c r="H26" s="58">
        <f>'monthly model engine'!AG12</f>
        <v>75</v>
      </c>
      <c r="I26" s="58">
        <f>'monthly model engine'!AG13</f>
        <v>75</v>
      </c>
      <c r="J26" s="58">
        <f>'monthly model engine'!AG14</f>
        <v>75</v>
      </c>
      <c r="K26" s="58">
        <f>'monthly model engine'!AG15</f>
        <v>75</v>
      </c>
      <c r="L26" s="58">
        <f>'monthly model engine'!AG16</f>
        <v>75</v>
      </c>
      <c r="M26" s="58">
        <f>'monthly model engine'!AG17</f>
        <v>50</v>
      </c>
      <c r="N26" s="58">
        <f>'monthly model engine'!AG18</f>
        <v>75</v>
      </c>
      <c r="O26" s="58">
        <f>'monthly model engine'!AG19</f>
        <v>100</v>
      </c>
      <c r="P26" s="58">
        <f>'monthly model engine'!AG20</f>
        <v>57.499999999999993</v>
      </c>
      <c r="Q26" s="58">
        <f>'monthly model engine'!AG21</f>
        <v>57.499999999999993</v>
      </c>
      <c r="R26" s="58">
        <f>'monthly model engine'!AG22</f>
        <v>57.499999999999993</v>
      </c>
      <c r="S26" s="58">
        <f>'monthly model engine'!AG23</f>
        <v>86.25</v>
      </c>
      <c r="T26" s="58">
        <f>'monthly model engine'!AG24</f>
        <v>86.25</v>
      </c>
      <c r="U26" s="58">
        <f>'monthly model engine'!AG25</f>
        <v>86.25</v>
      </c>
      <c r="V26" s="58">
        <f>'monthly model engine'!AG26</f>
        <v>86.25</v>
      </c>
      <c r="W26" s="58">
        <f>'monthly model engine'!AG27</f>
        <v>86.25</v>
      </c>
      <c r="X26" s="58">
        <f>'monthly model engine'!AG28</f>
        <v>86.25</v>
      </c>
      <c r="Y26" s="58">
        <f>'monthly model engine'!AG29</f>
        <v>57.499999999999993</v>
      </c>
      <c r="Z26" s="58">
        <f>'monthly model engine'!AG30</f>
        <v>86.25</v>
      </c>
      <c r="AA26" s="58">
        <f>'monthly model engine'!AG31</f>
        <v>114.99999999999999</v>
      </c>
      <c r="AB26" s="58">
        <f>'monthly model engine'!AG32</f>
        <v>62.1</v>
      </c>
      <c r="AC26" s="58">
        <f>'monthly model engine'!AG33</f>
        <v>62.1</v>
      </c>
      <c r="AD26" s="58">
        <f>'monthly model engine'!AG34</f>
        <v>62.1</v>
      </c>
      <c r="AE26" s="58">
        <f>'monthly model engine'!AG35</f>
        <v>93.15</v>
      </c>
      <c r="AF26" s="58">
        <f>'monthly model engine'!AG36</f>
        <v>93.15</v>
      </c>
      <c r="AG26" s="58">
        <f>'monthly model engine'!AG37</f>
        <v>93.15</v>
      </c>
      <c r="AH26" s="58">
        <f>'monthly model engine'!AG38</f>
        <v>93.15</v>
      </c>
      <c r="AI26" s="58">
        <f>'monthly model engine'!AG39</f>
        <v>93.15</v>
      </c>
      <c r="AJ26" s="58">
        <f>'monthly model engine'!AG40</f>
        <v>93.15</v>
      </c>
      <c r="AK26" s="58">
        <f>'monthly model engine'!AG41</f>
        <v>62.1</v>
      </c>
      <c r="AL26" s="58">
        <f>'monthly model engine'!AG42</f>
        <v>93.15</v>
      </c>
      <c r="AM26" s="58">
        <f>'monthly model engine'!AG43</f>
        <v>124.2</v>
      </c>
      <c r="AN26" s="58">
        <f>'monthly model engine'!AG44</f>
        <v>65.826000000000008</v>
      </c>
      <c r="AO26" s="58">
        <f>'monthly model engine'!AG45</f>
        <v>65.826000000000008</v>
      </c>
      <c r="AP26" s="58">
        <f>'monthly model engine'!AG46</f>
        <v>65.826000000000008</v>
      </c>
      <c r="AQ26" s="58">
        <f>'monthly model engine'!AG47</f>
        <v>98.739000000000004</v>
      </c>
      <c r="AR26" s="58">
        <f>'monthly model engine'!AG48</f>
        <v>98.739000000000004</v>
      </c>
      <c r="AS26" s="58">
        <f>'monthly model engine'!AG49</f>
        <v>98.739000000000004</v>
      </c>
      <c r="AT26" s="58">
        <f>'monthly model engine'!AG50</f>
        <v>98.739000000000004</v>
      </c>
      <c r="AU26" s="58">
        <f>'monthly model engine'!AG51</f>
        <v>98.739000000000004</v>
      </c>
      <c r="AV26" s="58">
        <f>'monthly model engine'!AG52</f>
        <v>98.739000000000004</v>
      </c>
      <c r="AW26" s="58">
        <f>'monthly model engine'!AG53</f>
        <v>65.826000000000008</v>
      </c>
      <c r="AX26" s="58">
        <f>'monthly model engine'!AG54</f>
        <v>98.739000000000004</v>
      </c>
      <c r="AY26" s="58">
        <f>'monthly model engine'!AG55</f>
        <v>131.65200000000002</v>
      </c>
      <c r="AZ26" s="58">
        <f>'monthly model engine'!AG56</f>
        <v>67.800780000000003</v>
      </c>
      <c r="BA26" s="58">
        <f>'monthly model engine'!AG57</f>
        <v>67.800780000000003</v>
      </c>
      <c r="BB26" s="58">
        <f>'monthly model engine'!AG58</f>
        <v>67.800780000000003</v>
      </c>
      <c r="BC26" s="58">
        <f>'monthly model engine'!AG59</f>
        <v>101.70117</v>
      </c>
      <c r="BD26" s="58">
        <f>'monthly model engine'!AG60</f>
        <v>101.70117</v>
      </c>
      <c r="BE26" s="58">
        <f>'monthly model engine'!AG61</f>
        <v>101.70117</v>
      </c>
      <c r="BF26" s="58">
        <f>'monthly model engine'!AG62</f>
        <v>101.70117</v>
      </c>
      <c r="BG26" s="58">
        <f>'monthly model engine'!AG63</f>
        <v>101.70117</v>
      </c>
      <c r="BH26" s="58">
        <f>'monthly model engine'!AG64</f>
        <v>101.70117</v>
      </c>
      <c r="BI26" s="58">
        <f>'monthly model engine'!AG65</f>
        <v>67.800780000000003</v>
      </c>
      <c r="BJ26" s="58">
        <f>'monthly model engine'!AG66</f>
        <v>101.70117</v>
      </c>
      <c r="BK26" s="58">
        <f>'monthly model engine'!AG67</f>
        <v>135.60156000000001</v>
      </c>
    </row>
    <row r="27" spans="1:63" ht="15" customHeight="1" x14ac:dyDescent="0.25">
      <c r="B27" s="57" t="s">
        <v>44</v>
      </c>
      <c r="D27" s="58">
        <f>'monthly model engine'!AI8</f>
        <v>150</v>
      </c>
      <c r="E27" s="58">
        <f>'monthly model engine'!AI9</f>
        <v>150</v>
      </c>
      <c r="F27" s="58">
        <f>'monthly model engine'!AI10</f>
        <v>150</v>
      </c>
      <c r="G27" s="58">
        <f>'monthly model engine'!AI11</f>
        <v>150</v>
      </c>
      <c r="H27" s="58">
        <f>'monthly model engine'!AI12</f>
        <v>150</v>
      </c>
      <c r="I27" s="58">
        <f>'monthly model engine'!AI13</f>
        <v>150</v>
      </c>
      <c r="J27" s="58">
        <f>'monthly model engine'!AI14</f>
        <v>150</v>
      </c>
      <c r="K27" s="58">
        <f>'monthly model engine'!AI15</f>
        <v>150</v>
      </c>
      <c r="L27" s="58">
        <f>'monthly model engine'!AI16</f>
        <v>150</v>
      </c>
      <c r="M27" s="58">
        <f>'monthly model engine'!AI17</f>
        <v>150</v>
      </c>
      <c r="N27" s="58">
        <f>'monthly model engine'!AI18</f>
        <v>150</v>
      </c>
      <c r="O27" s="58">
        <f>'monthly model engine'!AI19</f>
        <v>150</v>
      </c>
      <c r="P27" s="58">
        <f>'monthly model engine'!AI20</f>
        <v>150</v>
      </c>
      <c r="Q27" s="58">
        <f>'monthly model engine'!AI21</f>
        <v>150</v>
      </c>
      <c r="R27" s="58">
        <f>'monthly model engine'!AI22</f>
        <v>150</v>
      </c>
      <c r="S27" s="58">
        <f>'monthly model engine'!AI23</f>
        <v>150</v>
      </c>
      <c r="T27" s="58">
        <f>'monthly model engine'!AI24</f>
        <v>150</v>
      </c>
      <c r="U27" s="58">
        <f>'monthly model engine'!AI25</f>
        <v>150</v>
      </c>
      <c r="V27" s="58">
        <f>'monthly model engine'!AI26</f>
        <v>150</v>
      </c>
      <c r="W27" s="58">
        <f>'monthly model engine'!AI27</f>
        <v>150</v>
      </c>
      <c r="X27" s="58">
        <f>'monthly model engine'!AI28</f>
        <v>150</v>
      </c>
      <c r="Y27" s="58">
        <f>'monthly model engine'!AI29</f>
        <v>150</v>
      </c>
      <c r="Z27" s="58">
        <f>'monthly model engine'!AI30</f>
        <v>150</v>
      </c>
      <c r="AA27" s="58">
        <f>'monthly model engine'!AI31</f>
        <v>150</v>
      </c>
      <c r="AB27" s="58">
        <f>'monthly model engine'!AI32</f>
        <v>150</v>
      </c>
      <c r="AC27" s="58">
        <f>'monthly model engine'!AI33</f>
        <v>150</v>
      </c>
      <c r="AD27" s="58">
        <f>'monthly model engine'!AI34</f>
        <v>150</v>
      </c>
      <c r="AE27" s="58">
        <f>'monthly model engine'!AI35</f>
        <v>150</v>
      </c>
      <c r="AF27" s="58">
        <f>'monthly model engine'!AI36</f>
        <v>150</v>
      </c>
      <c r="AG27" s="58">
        <f>'monthly model engine'!AI37</f>
        <v>150</v>
      </c>
      <c r="AH27" s="58">
        <f>'monthly model engine'!AI38</f>
        <v>150</v>
      </c>
      <c r="AI27" s="58">
        <f>'monthly model engine'!AI39</f>
        <v>150</v>
      </c>
      <c r="AJ27" s="58">
        <f>'monthly model engine'!AI40</f>
        <v>150</v>
      </c>
      <c r="AK27" s="58">
        <f>'monthly model engine'!AI41</f>
        <v>150</v>
      </c>
      <c r="AL27" s="58">
        <f>'monthly model engine'!AI42</f>
        <v>150</v>
      </c>
      <c r="AM27" s="58">
        <f>'monthly model engine'!AI43</f>
        <v>150</v>
      </c>
      <c r="AN27" s="58">
        <f>'monthly model engine'!AI44</f>
        <v>150</v>
      </c>
      <c r="AO27" s="58">
        <f>'monthly model engine'!AI45</f>
        <v>150</v>
      </c>
      <c r="AP27" s="58">
        <f>'monthly model engine'!AI46</f>
        <v>150</v>
      </c>
      <c r="AQ27" s="58">
        <f>'monthly model engine'!AI47</f>
        <v>150</v>
      </c>
      <c r="AR27" s="58">
        <f>'monthly model engine'!AI48</f>
        <v>150</v>
      </c>
      <c r="AS27" s="58">
        <f>'monthly model engine'!AI49</f>
        <v>150</v>
      </c>
      <c r="AT27" s="58">
        <f>'monthly model engine'!AI50</f>
        <v>150</v>
      </c>
      <c r="AU27" s="58">
        <f>'monthly model engine'!AI51</f>
        <v>150</v>
      </c>
      <c r="AV27" s="58">
        <f>'monthly model engine'!AI52</f>
        <v>150</v>
      </c>
      <c r="AW27" s="58">
        <f>'monthly model engine'!AI53</f>
        <v>150</v>
      </c>
      <c r="AX27" s="58">
        <f>'monthly model engine'!AI54</f>
        <v>150</v>
      </c>
      <c r="AY27" s="58">
        <f>'monthly model engine'!AI55</f>
        <v>150</v>
      </c>
      <c r="AZ27" s="58">
        <f>'monthly model engine'!AI56</f>
        <v>150</v>
      </c>
      <c r="BA27" s="58">
        <f>'monthly model engine'!AI57</f>
        <v>150</v>
      </c>
      <c r="BB27" s="58">
        <f>'monthly model engine'!AI58</f>
        <v>150</v>
      </c>
      <c r="BC27" s="58">
        <f>'monthly model engine'!AI59</f>
        <v>150</v>
      </c>
      <c r="BD27" s="58">
        <f>'monthly model engine'!AI60</f>
        <v>150</v>
      </c>
      <c r="BE27" s="58">
        <f>'monthly model engine'!AI61</f>
        <v>150</v>
      </c>
      <c r="BF27" s="58">
        <f>'monthly model engine'!AI62</f>
        <v>150</v>
      </c>
      <c r="BG27" s="58">
        <f>'monthly model engine'!AI63</f>
        <v>150</v>
      </c>
      <c r="BH27" s="58">
        <f>'monthly model engine'!AI64</f>
        <v>150</v>
      </c>
      <c r="BI27" s="58">
        <f>'monthly model engine'!AI65</f>
        <v>150</v>
      </c>
      <c r="BJ27" s="58">
        <f>'monthly model engine'!AI66</f>
        <v>150</v>
      </c>
      <c r="BK27" s="58">
        <f>'monthly model engine'!AI67</f>
        <v>150</v>
      </c>
    </row>
    <row r="28" spans="1:63" ht="15" customHeight="1" x14ac:dyDescent="0.25">
      <c r="B28" s="57" t="s">
        <v>45</v>
      </c>
      <c r="D28" s="58">
        <f>'monthly model engine'!AJ8</f>
        <v>500</v>
      </c>
      <c r="E28" s="58">
        <f>'monthly model engine'!AJ9</f>
        <v>500</v>
      </c>
      <c r="F28" s="58">
        <f>'monthly model engine'!AJ10</f>
        <v>500</v>
      </c>
      <c r="G28" s="58">
        <f>'monthly model engine'!AJ11</f>
        <v>500</v>
      </c>
      <c r="H28" s="58">
        <f>'monthly model engine'!AJ12</f>
        <v>500</v>
      </c>
      <c r="I28" s="58">
        <f>'monthly model engine'!AJ13</f>
        <v>500</v>
      </c>
      <c r="J28" s="58">
        <f>'monthly model engine'!AJ14</f>
        <v>500</v>
      </c>
      <c r="K28" s="58">
        <f>'monthly model engine'!AJ15</f>
        <v>500</v>
      </c>
      <c r="L28" s="58">
        <f>'monthly model engine'!AJ16</f>
        <v>500</v>
      </c>
      <c r="M28" s="58">
        <f>'monthly model engine'!AJ17</f>
        <v>500</v>
      </c>
      <c r="N28" s="58">
        <f>'monthly model engine'!AJ18</f>
        <v>500</v>
      </c>
      <c r="O28" s="58">
        <f>'monthly model engine'!AJ19</f>
        <v>500</v>
      </c>
      <c r="P28" s="58">
        <f>'monthly model engine'!AJ20</f>
        <v>500</v>
      </c>
      <c r="Q28" s="58">
        <f>'monthly model engine'!AJ21</f>
        <v>500</v>
      </c>
      <c r="R28" s="58">
        <f>'monthly model engine'!AJ22</f>
        <v>500</v>
      </c>
      <c r="S28" s="58">
        <f>'monthly model engine'!AJ23</f>
        <v>500</v>
      </c>
      <c r="T28" s="58">
        <f>'monthly model engine'!AJ24</f>
        <v>500</v>
      </c>
      <c r="U28" s="58">
        <f>'monthly model engine'!AJ25</f>
        <v>500</v>
      </c>
      <c r="V28" s="58">
        <f>'monthly model engine'!AJ26</f>
        <v>500</v>
      </c>
      <c r="W28" s="58">
        <f>'monthly model engine'!AJ27</f>
        <v>500</v>
      </c>
      <c r="X28" s="58">
        <f>'monthly model engine'!AJ28</f>
        <v>500</v>
      </c>
      <c r="Y28" s="58">
        <f>'monthly model engine'!AJ29</f>
        <v>500</v>
      </c>
      <c r="Z28" s="58">
        <f>'monthly model engine'!AJ30</f>
        <v>500</v>
      </c>
      <c r="AA28" s="58">
        <f>'monthly model engine'!AJ31</f>
        <v>500</v>
      </c>
      <c r="AB28" s="58">
        <f>'monthly model engine'!AJ32</f>
        <v>500</v>
      </c>
      <c r="AC28" s="58">
        <f>'monthly model engine'!AJ33</f>
        <v>500</v>
      </c>
      <c r="AD28" s="58">
        <f>'monthly model engine'!AJ34</f>
        <v>500</v>
      </c>
      <c r="AE28" s="58">
        <f>'monthly model engine'!AJ35</f>
        <v>500</v>
      </c>
      <c r="AF28" s="58">
        <f>'monthly model engine'!AJ36</f>
        <v>500</v>
      </c>
      <c r="AG28" s="58">
        <f>'monthly model engine'!AJ37</f>
        <v>500</v>
      </c>
      <c r="AH28" s="58">
        <f>'monthly model engine'!AJ38</f>
        <v>500</v>
      </c>
      <c r="AI28" s="58">
        <f>'monthly model engine'!AJ39</f>
        <v>500</v>
      </c>
      <c r="AJ28" s="58">
        <f>'monthly model engine'!AJ40</f>
        <v>500</v>
      </c>
      <c r="AK28" s="58">
        <f>'monthly model engine'!AJ41</f>
        <v>500</v>
      </c>
      <c r="AL28" s="58">
        <f>'monthly model engine'!AJ42</f>
        <v>500</v>
      </c>
      <c r="AM28" s="58">
        <f>'monthly model engine'!AJ43</f>
        <v>500</v>
      </c>
      <c r="AN28" s="58">
        <f>'monthly model engine'!AJ44</f>
        <v>500</v>
      </c>
      <c r="AO28" s="58">
        <f>'monthly model engine'!AJ45</f>
        <v>500</v>
      </c>
      <c r="AP28" s="58">
        <f>'monthly model engine'!AJ46</f>
        <v>500</v>
      </c>
      <c r="AQ28" s="58">
        <f>'monthly model engine'!AJ47</f>
        <v>500</v>
      </c>
      <c r="AR28" s="58">
        <f>'monthly model engine'!AJ48</f>
        <v>500</v>
      </c>
      <c r="AS28" s="58">
        <f>'monthly model engine'!AJ49</f>
        <v>500</v>
      </c>
      <c r="AT28" s="58">
        <f>'monthly model engine'!AJ50</f>
        <v>500</v>
      </c>
      <c r="AU28" s="58">
        <f>'monthly model engine'!AJ51</f>
        <v>500</v>
      </c>
      <c r="AV28" s="58">
        <f>'monthly model engine'!AJ52</f>
        <v>500</v>
      </c>
      <c r="AW28" s="58">
        <f>'monthly model engine'!AJ53</f>
        <v>500</v>
      </c>
      <c r="AX28" s="58">
        <f>'monthly model engine'!AJ54</f>
        <v>500</v>
      </c>
      <c r="AY28" s="58">
        <f>'monthly model engine'!AJ55</f>
        <v>500</v>
      </c>
      <c r="AZ28" s="58">
        <f>'monthly model engine'!AJ56</f>
        <v>500</v>
      </c>
      <c r="BA28" s="58">
        <f>'monthly model engine'!AJ57</f>
        <v>500</v>
      </c>
      <c r="BB28" s="58">
        <f>'monthly model engine'!AJ58</f>
        <v>500</v>
      </c>
      <c r="BC28" s="58">
        <f>'monthly model engine'!AJ59</f>
        <v>500</v>
      </c>
      <c r="BD28" s="58">
        <f>'monthly model engine'!AJ60</f>
        <v>500</v>
      </c>
      <c r="BE28" s="58">
        <f>'monthly model engine'!AJ61</f>
        <v>500</v>
      </c>
      <c r="BF28" s="58">
        <f>'monthly model engine'!AJ62</f>
        <v>500</v>
      </c>
      <c r="BG28" s="58">
        <f>'monthly model engine'!AJ63</f>
        <v>500</v>
      </c>
      <c r="BH28" s="58">
        <f>'monthly model engine'!AJ64</f>
        <v>500</v>
      </c>
      <c r="BI28" s="58">
        <f>'monthly model engine'!AJ65</f>
        <v>500</v>
      </c>
      <c r="BJ28" s="58">
        <f>'monthly model engine'!AJ66</f>
        <v>500</v>
      </c>
      <c r="BK28" s="58">
        <f>'monthly model engine'!AJ67</f>
        <v>500</v>
      </c>
    </row>
    <row r="29" spans="1:63" ht="15" customHeight="1" x14ac:dyDescent="0.25">
      <c r="B29" s="59" t="s">
        <v>255</v>
      </c>
      <c r="D29" s="60">
        <f>'monthly model engine'!AK8</f>
        <v>10208.232354166666</v>
      </c>
      <c r="E29" s="60">
        <f>'monthly model engine'!AK9</f>
        <v>10108.232354166666</v>
      </c>
      <c r="F29" s="60">
        <f>'monthly model engine'!AK10</f>
        <v>10058.232354166666</v>
      </c>
      <c r="G29" s="60">
        <f>'monthly model engine'!AK11</f>
        <v>10083.232354166666</v>
      </c>
      <c r="H29" s="60">
        <f>'monthly model engine'!AK12</f>
        <v>10133.232354166666</v>
      </c>
      <c r="I29" s="60">
        <f>'monthly model engine'!AK13</f>
        <v>10183.232354166666</v>
      </c>
      <c r="J29" s="60">
        <f>'monthly model engine'!AK14</f>
        <v>10183.232354166666</v>
      </c>
      <c r="K29" s="60">
        <f>'monthly model engine'!AK15</f>
        <v>10083.232354166666</v>
      </c>
      <c r="L29" s="60">
        <f>'monthly model engine'!AK16</f>
        <v>10183.232354166666</v>
      </c>
      <c r="M29" s="60">
        <f>'monthly model engine'!AK17</f>
        <v>10058.232354166666</v>
      </c>
      <c r="N29" s="60">
        <f>'monthly model engine'!AK18</f>
        <v>10233.232354166666</v>
      </c>
      <c r="O29" s="60">
        <f>'monthly model engine'!AK19</f>
        <v>10358.232354166666</v>
      </c>
      <c r="P29" s="60">
        <f>'monthly model engine'!AK20</f>
        <v>10283.232354166666</v>
      </c>
      <c r="Q29" s="60">
        <f>'monthly model engine'!AK21</f>
        <v>10168.232354166666</v>
      </c>
      <c r="R29" s="60">
        <f>'monthly model engine'!AK22</f>
        <v>10110.732354166666</v>
      </c>
      <c r="S29" s="60">
        <f>'monthly model engine'!AK23</f>
        <v>10139.482354166666</v>
      </c>
      <c r="T29" s="60">
        <f>'monthly model engine'!AK24</f>
        <v>10196.982354166666</v>
      </c>
      <c r="U29" s="60">
        <f>'monthly model engine'!AK25</f>
        <v>10254.482354166666</v>
      </c>
      <c r="V29" s="60">
        <f>'monthly model engine'!AK26</f>
        <v>10254.482354166666</v>
      </c>
      <c r="W29" s="60">
        <f>'monthly model engine'!AK27</f>
        <v>10139.482354166666</v>
      </c>
      <c r="X29" s="60">
        <f>'monthly model engine'!AK28</f>
        <v>10254.482354166666</v>
      </c>
      <c r="Y29" s="60">
        <f>'monthly model engine'!AK29</f>
        <v>10110.732354166666</v>
      </c>
      <c r="Z29" s="60">
        <f>'monthly model engine'!AK30</f>
        <v>10311.982354166666</v>
      </c>
      <c r="AA29" s="60">
        <f>'monthly model engine'!AK31</f>
        <v>10455.732354166666</v>
      </c>
      <c r="AB29" s="60">
        <f>'monthly model engine'!AK32</f>
        <v>10329.232354166666</v>
      </c>
      <c r="AC29" s="60">
        <f>'monthly model engine'!AK33</f>
        <v>10205.032354166666</v>
      </c>
      <c r="AD29" s="60">
        <f>'monthly model engine'!AK34</f>
        <v>10142.932354166667</v>
      </c>
      <c r="AE29" s="60">
        <f>'monthly model engine'!AK35</f>
        <v>10173.982354166666</v>
      </c>
      <c r="AF29" s="60">
        <f>'monthly model engine'!AK36</f>
        <v>10236.082354166667</v>
      </c>
      <c r="AG29" s="60">
        <f>'monthly model engine'!AK37</f>
        <v>10298.182354166667</v>
      </c>
      <c r="AH29" s="60">
        <f>'monthly model engine'!AK38</f>
        <v>10298.182354166667</v>
      </c>
      <c r="AI29" s="60">
        <f>'monthly model engine'!AK39</f>
        <v>10173.982354166666</v>
      </c>
      <c r="AJ29" s="60">
        <f>'monthly model engine'!AK40</f>
        <v>10298.182354166667</v>
      </c>
      <c r="AK29" s="60">
        <f>'monthly model engine'!AK41</f>
        <v>10142.932354166667</v>
      </c>
      <c r="AL29" s="60">
        <f>'monthly model engine'!AK42</f>
        <v>10360.282354166666</v>
      </c>
      <c r="AM29" s="60">
        <f>'monthly model engine'!AK43</f>
        <v>10515.532354166666</v>
      </c>
      <c r="AN29" s="60">
        <f>'monthly model engine'!AK44</f>
        <v>10366.492354166667</v>
      </c>
      <c r="AO29" s="60">
        <f>'monthly model engine'!AK45</f>
        <v>10234.840354166667</v>
      </c>
      <c r="AP29" s="60">
        <f>'monthly model engine'!AK46</f>
        <v>10169.014354166666</v>
      </c>
      <c r="AQ29" s="60">
        <f>'monthly model engine'!AK47</f>
        <v>10201.927354166666</v>
      </c>
      <c r="AR29" s="60">
        <f>'monthly model engine'!AK48</f>
        <v>10267.753354166667</v>
      </c>
      <c r="AS29" s="60">
        <f>'monthly model engine'!AK49</f>
        <v>10333.579354166666</v>
      </c>
      <c r="AT29" s="60">
        <f>'monthly model engine'!AK50</f>
        <v>10333.579354166666</v>
      </c>
      <c r="AU29" s="60">
        <f>'monthly model engine'!AK51</f>
        <v>10201.927354166666</v>
      </c>
      <c r="AV29" s="60">
        <f>'monthly model engine'!AK52</f>
        <v>10333.579354166666</v>
      </c>
      <c r="AW29" s="60">
        <f>'monthly model engine'!AK53</f>
        <v>10169.014354166666</v>
      </c>
      <c r="AX29" s="60">
        <f>'monthly model engine'!AK54</f>
        <v>10399.405354166667</v>
      </c>
      <c r="AY29" s="60">
        <f>'monthly model engine'!AK55</f>
        <v>10563.970354166666</v>
      </c>
      <c r="AZ29" s="60">
        <f>'monthly model engine'!AK56</f>
        <v>10386.240154166666</v>
      </c>
      <c r="BA29" s="60">
        <f>'monthly model engine'!AK57</f>
        <v>10250.638594166667</v>
      </c>
      <c r="BB29" s="60">
        <f>'monthly model engine'!AK58</f>
        <v>10182.837814166667</v>
      </c>
      <c r="BC29" s="60">
        <f>'monthly model engine'!AK59</f>
        <v>10216.738204166666</v>
      </c>
      <c r="BD29" s="60">
        <f>'monthly model engine'!AK60</f>
        <v>10284.538984166666</v>
      </c>
      <c r="BE29" s="60">
        <f>'monthly model engine'!AK61</f>
        <v>10352.339764166667</v>
      </c>
      <c r="BF29" s="60">
        <f>'monthly model engine'!AK62</f>
        <v>10352.339764166667</v>
      </c>
      <c r="BG29" s="60">
        <f>'monthly model engine'!AK63</f>
        <v>10216.738204166666</v>
      </c>
      <c r="BH29" s="60">
        <f>'monthly model engine'!AK64</f>
        <v>10352.339764166667</v>
      </c>
      <c r="BI29" s="60">
        <f>'monthly model engine'!AK65</f>
        <v>10182.837814166667</v>
      </c>
      <c r="BJ29" s="60">
        <f>'monthly model engine'!AK66</f>
        <v>10420.140544166667</v>
      </c>
      <c r="BK29" s="60">
        <f>'monthly model engine'!AK67</f>
        <v>10589.642494166666</v>
      </c>
    </row>
    <row r="31" spans="1:63" ht="15" customHeight="1" x14ac:dyDescent="0.25">
      <c r="A31" s="152" t="s">
        <v>256</v>
      </c>
      <c r="B31" s="152"/>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c r="AA31" s="152"/>
      <c r="AB31" s="152"/>
      <c r="AC31" s="152"/>
      <c r="AD31" s="152"/>
      <c r="AE31" s="152"/>
      <c r="AF31" s="152"/>
      <c r="AG31" s="152"/>
      <c r="AH31" s="152"/>
      <c r="AI31" s="152"/>
      <c r="AJ31" s="152"/>
      <c r="AK31" s="152"/>
      <c r="AL31" s="152"/>
      <c r="AM31" s="152"/>
      <c r="AN31" s="152"/>
      <c r="AO31" s="152"/>
      <c r="AP31" s="152"/>
      <c r="AQ31" s="152"/>
      <c r="AR31" s="152"/>
      <c r="AS31" s="152"/>
      <c r="AT31" s="152"/>
      <c r="AU31" s="152"/>
      <c r="AV31" s="152"/>
      <c r="AW31" s="152"/>
      <c r="AX31" s="152"/>
      <c r="AY31" s="152"/>
      <c r="AZ31" s="152"/>
      <c r="BA31" s="152"/>
      <c r="BB31" s="152"/>
      <c r="BC31" s="152"/>
      <c r="BD31" s="152"/>
      <c r="BE31" s="152"/>
      <c r="BF31" s="152"/>
      <c r="BG31" s="152"/>
      <c r="BH31" s="152"/>
      <c r="BI31" s="152"/>
      <c r="BJ31" s="152"/>
      <c r="BK31" s="152"/>
    </row>
    <row r="32" spans="1:63" ht="15" customHeight="1" x14ac:dyDescent="0.25">
      <c r="B32" s="57" t="s">
        <v>257</v>
      </c>
      <c r="D32" s="58">
        <f>'monthly model engine'!AL8</f>
        <v>274.13404524999999</v>
      </c>
      <c r="E32" s="58">
        <f>'monthly model engine'!AL9</f>
        <v>314.13189195000001</v>
      </c>
      <c r="F32" s="58">
        <f>'monthly model engine'!AL10</f>
        <v>355.03177924999994</v>
      </c>
      <c r="G32" s="58">
        <f>'monthly model engine'!AL11</f>
        <v>401.76183400000008</v>
      </c>
      <c r="H32" s="58">
        <f>'monthly model engine'!AL12</f>
        <v>448.21762845000001</v>
      </c>
      <c r="I32" s="58">
        <f>'monthly model engine'!AL13</f>
        <v>523.3618328</v>
      </c>
      <c r="J32" s="58">
        <f>'monthly model engine'!AL14</f>
        <v>571.14561518749997</v>
      </c>
      <c r="K32" s="58">
        <f>'monthly model engine'!AL15</f>
        <v>549.02479949999997</v>
      </c>
      <c r="L32" s="58">
        <f>'monthly model engine'!AL16</f>
        <v>550.34418025000002</v>
      </c>
      <c r="M32" s="58">
        <f>'monthly model engine'!AL17</f>
        <v>582.76452049999989</v>
      </c>
      <c r="N32" s="58">
        <f>'monthly model engine'!AL18</f>
        <v>609.595628175</v>
      </c>
      <c r="O32" s="58">
        <f>'monthly model engine'!AL19</f>
        <v>657.86406000000011</v>
      </c>
      <c r="P32" s="58">
        <f>'monthly model engine'!AL20</f>
        <v>682.48443087499993</v>
      </c>
      <c r="Q32" s="58">
        <f>'monthly model engine'!AL21</f>
        <v>687.35265974999993</v>
      </c>
      <c r="R32" s="58">
        <f>'monthly model engine'!AL22</f>
        <v>682.22547962499993</v>
      </c>
      <c r="S32" s="58">
        <f>'monthly model engine'!AL23</f>
        <v>697.08911749999993</v>
      </c>
      <c r="T32" s="58">
        <f>'monthly model engine'!AL24</f>
        <v>711.95275537499992</v>
      </c>
      <c r="U32" s="58">
        <f>'monthly model engine'!AL25</f>
        <v>765.07678112499991</v>
      </c>
      <c r="V32" s="58">
        <f>'monthly model engine'!AL26</f>
        <v>782.1338643124999</v>
      </c>
      <c r="W32" s="58">
        <f>'monthly model engine'!AL27</f>
        <v>710.97179674999984</v>
      </c>
      <c r="X32" s="58">
        <f>'monthly model engine'!AL28</f>
        <v>682.22547962499993</v>
      </c>
      <c r="Y32" s="58">
        <f>'monthly model engine'!AL29</f>
        <v>697.08911749999993</v>
      </c>
      <c r="Z32" s="58">
        <f>'monthly model engine'!AL30</f>
        <v>711.95275537499992</v>
      </c>
      <c r="AA32" s="58">
        <f>'monthly model engine'!AL31</f>
        <v>756.54366899999991</v>
      </c>
      <c r="AB32" s="58">
        <f>'monthly model engine'!AL32</f>
        <v>737.08318534499983</v>
      </c>
      <c r="AC32" s="58">
        <f>'monthly model engine'!AL33</f>
        <v>742.34087252999996</v>
      </c>
      <c r="AD32" s="58">
        <f>'monthly model engine'!AL34</f>
        <v>736.80351799499999</v>
      </c>
      <c r="AE32" s="58">
        <f>'monthly model engine'!AL35</f>
        <v>752.85624689999997</v>
      </c>
      <c r="AF32" s="58">
        <f>'monthly model engine'!AL36</f>
        <v>768.90897580499984</v>
      </c>
      <c r="AG32" s="58">
        <f>'monthly model engine'!AL37</f>
        <v>826.28292361499996</v>
      </c>
      <c r="AH32" s="58">
        <f>'monthly model engine'!AL38</f>
        <v>844.70457345750003</v>
      </c>
      <c r="AI32" s="58">
        <f>'monthly model engine'!AL39</f>
        <v>767.84954049000009</v>
      </c>
      <c r="AJ32" s="58">
        <f>'monthly model engine'!AL40</f>
        <v>736.80351799499999</v>
      </c>
      <c r="AK32" s="58">
        <f>'monthly model engine'!AL41</f>
        <v>752.85624689999997</v>
      </c>
      <c r="AL32" s="58">
        <f>'monthly model engine'!AL42</f>
        <v>768.90897580499984</v>
      </c>
      <c r="AM32" s="58">
        <f>'monthly model engine'!AL43</f>
        <v>817.06716252000001</v>
      </c>
      <c r="AN32" s="58">
        <f>'monthly model engine'!AL44</f>
        <v>781.30817646570006</v>
      </c>
      <c r="AO32" s="58">
        <f>'monthly model engine'!AL45</f>
        <v>786.88132488180008</v>
      </c>
      <c r="AP32" s="58">
        <f>'monthly model engine'!AL46</f>
        <v>781.01172907470004</v>
      </c>
      <c r="AQ32" s="58">
        <f>'monthly model engine'!AL47</f>
        <v>798.02762171400002</v>
      </c>
      <c r="AR32" s="58">
        <f>'monthly model engine'!AL48</f>
        <v>815.0435143533</v>
      </c>
      <c r="AS32" s="58">
        <f>'monthly model engine'!AL49</f>
        <v>875.8598990319</v>
      </c>
      <c r="AT32" s="58">
        <f>'monthly model engine'!AL50</f>
        <v>895.38684786495014</v>
      </c>
      <c r="AU32" s="58">
        <f>'monthly model engine'!AL51</f>
        <v>813.92051291940004</v>
      </c>
      <c r="AV32" s="58">
        <f>'monthly model engine'!AL52</f>
        <v>781.01172907470004</v>
      </c>
      <c r="AW32" s="58">
        <f>'monthly model engine'!AL53</f>
        <v>798.02762171400002</v>
      </c>
      <c r="AX32" s="58">
        <f>'monthly model engine'!AL54</f>
        <v>815.0435143533</v>
      </c>
      <c r="AY32" s="58">
        <f>'monthly model engine'!AL55</f>
        <v>866.09119227120016</v>
      </c>
      <c r="AZ32" s="58">
        <f>'monthly model engine'!AL56</f>
        <v>804.74742175967083</v>
      </c>
      <c r="BA32" s="58">
        <f>'monthly model engine'!AL57</f>
        <v>810.48776462825401</v>
      </c>
      <c r="BB32" s="58">
        <f>'monthly model engine'!AL58</f>
        <v>804.44208094694091</v>
      </c>
      <c r="BC32" s="58">
        <f>'monthly model engine'!AL59</f>
        <v>821.96845036542015</v>
      </c>
      <c r="BD32" s="58">
        <f>'monthly model engine'!AL60</f>
        <v>839.49481978389906</v>
      </c>
      <c r="BE32" s="58">
        <f>'monthly model engine'!AL61</f>
        <v>902.135696002857</v>
      </c>
      <c r="BF32" s="58">
        <f>'monthly model engine'!AL62</f>
        <v>922.24845330089863</v>
      </c>
      <c r="BG32" s="58">
        <f>'monthly model engine'!AL63</f>
        <v>838.33812830698207</v>
      </c>
      <c r="BH32" s="58">
        <f>'monthly model engine'!AL64</f>
        <v>804.44208094694091</v>
      </c>
      <c r="BI32" s="58">
        <f>'monthly model engine'!AL65</f>
        <v>821.96845036542015</v>
      </c>
      <c r="BJ32" s="58">
        <f>'monthly model engine'!AL66</f>
        <v>839.49481978389906</v>
      </c>
      <c r="BK32" s="58">
        <f>'monthly model engine'!AL67</f>
        <v>892.0739280393359</v>
      </c>
    </row>
    <row r="33" spans="1:63" ht="15" customHeight="1" x14ac:dyDescent="0.25">
      <c r="B33" s="57" t="s">
        <v>99</v>
      </c>
      <c r="D33" s="58">
        <f>'monthly model engine'!AM8</f>
        <v>159.91152639583336</v>
      </c>
      <c r="E33" s="58">
        <f>'monthly model engine'!AM9</f>
        <v>183.24360363750003</v>
      </c>
      <c r="F33" s="58">
        <f>'monthly model engine'!AM10</f>
        <v>207.10187122916668</v>
      </c>
      <c r="G33" s="58">
        <f>'monthly model engine'!AM11</f>
        <v>234.3610698333334</v>
      </c>
      <c r="H33" s="58">
        <f>'monthly model engine'!AM12</f>
        <v>261.46028326250001</v>
      </c>
      <c r="I33" s="58">
        <f>'monthly model engine'!AM13</f>
        <v>305.29440246666667</v>
      </c>
      <c r="J33" s="58">
        <f>'monthly model engine'!AM14</f>
        <v>333.16827552604173</v>
      </c>
      <c r="K33" s="58">
        <f>'monthly model engine'!AM15</f>
        <v>320.26446637500004</v>
      </c>
      <c r="L33" s="58">
        <f>'monthly model engine'!AM16</f>
        <v>321.03410514583334</v>
      </c>
      <c r="M33" s="58">
        <f>'monthly model engine'!AM17</f>
        <v>339.9459702916667</v>
      </c>
      <c r="N33" s="58">
        <f>'monthly model engine'!AM18</f>
        <v>355.59744976875004</v>
      </c>
      <c r="O33" s="58">
        <f>'monthly model engine'!AM19</f>
        <v>383.7540350000001</v>
      </c>
      <c r="P33" s="58">
        <f>'monthly model engine'!AM20</f>
        <v>398.11591801041669</v>
      </c>
      <c r="Q33" s="58">
        <f>'monthly model engine'!AM21</f>
        <v>400.9557181875</v>
      </c>
      <c r="R33" s="58">
        <f>'monthly model engine'!AM22</f>
        <v>397.96486311458335</v>
      </c>
      <c r="S33" s="58">
        <f>'monthly model engine'!AM23</f>
        <v>406.63531854166666</v>
      </c>
      <c r="T33" s="58">
        <f>'monthly model engine'!AM24</f>
        <v>415.30577396874997</v>
      </c>
      <c r="U33" s="58">
        <f>'monthly model engine'!AM25</f>
        <v>446.29478898958337</v>
      </c>
      <c r="V33" s="58">
        <f>'monthly model engine'!AM26</f>
        <v>456.24475418229167</v>
      </c>
      <c r="W33" s="58">
        <f>'monthly model engine'!AM27</f>
        <v>414.73354810416669</v>
      </c>
      <c r="X33" s="58">
        <f>'monthly model engine'!AM28</f>
        <v>397.96486311458335</v>
      </c>
      <c r="Y33" s="58">
        <f>'monthly model engine'!AM29</f>
        <v>406.63531854166666</v>
      </c>
      <c r="Z33" s="58">
        <f>'monthly model engine'!AM30</f>
        <v>415.30577396874997</v>
      </c>
      <c r="AA33" s="58">
        <f>'monthly model engine'!AM31</f>
        <v>441.31714025000002</v>
      </c>
      <c r="AB33" s="58">
        <f>'monthly model engine'!AM32</f>
        <v>429.96519145125001</v>
      </c>
      <c r="AC33" s="58">
        <f>'monthly model engine'!AM33</f>
        <v>433.03217564250002</v>
      </c>
      <c r="AD33" s="58">
        <f>'monthly model engine'!AM34</f>
        <v>429.80205216375009</v>
      </c>
      <c r="AE33" s="58">
        <f>'monthly model engine'!AM35</f>
        <v>439.16614402500005</v>
      </c>
      <c r="AF33" s="58">
        <f>'monthly model engine'!AM36</f>
        <v>448.53023588624995</v>
      </c>
      <c r="AG33" s="58">
        <f>'monthly model engine'!AM37</f>
        <v>481.99837210875006</v>
      </c>
      <c r="AH33" s="58">
        <f>'monthly model engine'!AM38</f>
        <v>492.74433451687503</v>
      </c>
      <c r="AI33" s="58">
        <f>'monthly model engine'!AM39</f>
        <v>447.91223195250006</v>
      </c>
      <c r="AJ33" s="58">
        <f>'monthly model engine'!AM40</f>
        <v>429.80205216375009</v>
      </c>
      <c r="AK33" s="58">
        <f>'monthly model engine'!AM41</f>
        <v>439.16614402500005</v>
      </c>
      <c r="AL33" s="58">
        <f>'monthly model engine'!AM42</f>
        <v>448.53023588624995</v>
      </c>
      <c r="AM33" s="58">
        <f>'monthly model engine'!AM43</f>
        <v>476.62251147000012</v>
      </c>
      <c r="AN33" s="58">
        <f>'monthly model engine'!AM44</f>
        <v>455.76310293832512</v>
      </c>
      <c r="AO33" s="58">
        <f>'monthly model engine'!AM45</f>
        <v>459.01410618105007</v>
      </c>
      <c r="AP33" s="58">
        <f>'monthly model engine'!AM46</f>
        <v>455.5901752935751</v>
      </c>
      <c r="AQ33" s="58">
        <f>'monthly model engine'!AM47</f>
        <v>465.51611266650008</v>
      </c>
      <c r="AR33" s="58">
        <f>'monthly model engine'!AM48</f>
        <v>475.44205003942506</v>
      </c>
      <c r="AS33" s="58">
        <f>'monthly model engine'!AM49</f>
        <v>510.91827443527507</v>
      </c>
      <c r="AT33" s="58">
        <f>'monthly model engine'!AM50</f>
        <v>522.30899458788758</v>
      </c>
      <c r="AU33" s="58">
        <f>'monthly model engine'!AM51</f>
        <v>474.78696586965009</v>
      </c>
      <c r="AV33" s="58">
        <f>'monthly model engine'!AM52</f>
        <v>455.5901752935751</v>
      </c>
      <c r="AW33" s="58">
        <f>'monthly model engine'!AM53</f>
        <v>465.51611266650008</v>
      </c>
      <c r="AX33" s="58">
        <f>'monthly model engine'!AM54</f>
        <v>475.44205003942506</v>
      </c>
      <c r="AY33" s="58">
        <f>'monthly model engine'!AM55</f>
        <v>505.21986215820016</v>
      </c>
      <c r="AZ33" s="58">
        <f>'monthly model engine'!AM56</f>
        <v>469.43599602647475</v>
      </c>
      <c r="BA33" s="58">
        <f>'monthly model engine'!AM57</f>
        <v>472.78452936648159</v>
      </c>
      <c r="BB33" s="58">
        <f>'monthly model engine'!AM58</f>
        <v>469.25788055238229</v>
      </c>
      <c r="BC33" s="58">
        <f>'monthly model engine'!AM59</f>
        <v>479.48159604649516</v>
      </c>
      <c r="BD33" s="58">
        <f>'monthly model engine'!AM60</f>
        <v>489.70531154060791</v>
      </c>
      <c r="BE33" s="58">
        <f>'monthly model engine'!AM61</f>
        <v>526.24582266833329</v>
      </c>
      <c r="BF33" s="58">
        <f>'monthly model engine'!AM62</f>
        <v>537.97826442552423</v>
      </c>
      <c r="BG33" s="58">
        <f>'monthly model engine'!AM63</f>
        <v>489.03057484573964</v>
      </c>
      <c r="BH33" s="58">
        <f>'monthly model engine'!AM64</f>
        <v>469.25788055238229</v>
      </c>
      <c r="BI33" s="58">
        <f>'monthly model engine'!AM65</f>
        <v>479.48159604649516</v>
      </c>
      <c r="BJ33" s="58">
        <f>'monthly model engine'!AM66</f>
        <v>489.70531154060791</v>
      </c>
      <c r="BK33" s="58">
        <f>'monthly model engine'!AM67</f>
        <v>520.37645802294605</v>
      </c>
    </row>
    <row r="34" spans="1:63" ht="15" customHeight="1" x14ac:dyDescent="0.25">
      <c r="B34" s="59" t="s">
        <v>258</v>
      </c>
      <c r="D34" s="60">
        <f>'monthly model engine'!AN8</f>
        <v>434.04557164583332</v>
      </c>
      <c r="E34" s="60">
        <f>'monthly model engine'!AN9</f>
        <v>497.37549558750004</v>
      </c>
      <c r="F34" s="60">
        <f>'monthly model engine'!AN10</f>
        <v>562.13365047916659</v>
      </c>
      <c r="G34" s="60">
        <f>'monthly model engine'!AN11</f>
        <v>636.12290383333345</v>
      </c>
      <c r="H34" s="60">
        <f>'monthly model engine'!AN12</f>
        <v>709.67791171249996</v>
      </c>
      <c r="I34" s="60">
        <f>'monthly model engine'!AN13</f>
        <v>828.65623526666673</v>
      </c>
      <c r="J34" s="60">
        <f>'monthly model engine'!AN14</f>
        <v>904.3138907135417</v>
      </c>
      <c r="K34" s="60">
        <f>'monthly model engine'!AN15</f>
        <v>869.28926587499996</v>
      </c>
      <c r="L34" s="60">
        <f>'monthly model engine'!AN16</f>
        <v>871.37828539583336</v>
      </c>
      <c r="M34" s="60">
        <f>'monthly model engine'!AN17</f>
        <v>922.71049079166664</v>
      </c>
      <c r="N34" s="60">
        <f>'monthly model engine'!AN18</f>
        <v>965.19307794375004</v>
      </c>
      <c r="O34" s="60">
        <f>'monthly model engine'!AN19</f>
        <v>1041.6180950000003</v>
      </c>
      <c r="P34" s="60">
        <f>'monthly model engine'!AN20</f>
        <v>1080.6003488854167</v>
      </c>
      <c r="Q34" s="60">
        <f>'monthly model engine'!AN21</f>
        <v>1088.3083779374999</v>
      </c>
      <c r="R34" s="60">
        <f>'monthly model engine'!AN22</f>
        <v>1080.1903427395832</v>
      </c>
      <c r="S34" s="60">
        <f>'monthly model engine'!AN23</f>
        <v>1103.7244360416666</v>
      </c>
      <c r="T34" s="60">
        <f>'monthly model engine'!AN24</f>
        <v>1127.2585293437498</v>
      </c>
      <c r="U34" s="60">
        <f>'monthly model engine'!AN25</f>
        <v>1211.3715701145834</v>
      </c>
      <c r="V34" s="60">
        <f>'monthly model engine'!AN26</f>
        <v>1238.3786184947917</v>
      </c>
      <c r="W34" s="60">
        <f>'monthly model engine'!AN27</f>
        <v>1125.7053448541665</v>
      </c>
      <c r="X34" s="60">
        <f>'monthly model engine'!AN28</f>
        <v>1080.1903427395832</v>
      </c>
      <c r="Y34" s="60">
        <f>'monthly model engine'!AN29</f>
        <v>1103.7244360416666</v>
      </c>
      <c r="Z34" s="60">
        <f>'monthly model engine'!AN30</f>
        <v>1127.2585293437498</v>
      </c>
      <c r="AA34" s="60">
        <f>'monthly model engine'!AN31</f>
        <v>1197.8608092499999</v>
      </c>
      <c r="AB34" s="60">
        <f>'monthly model engine'!AN32</f>
        <v>1167.0483767962498</v>
      </c>
      <c r="AC34" s="60">
        <f>'monthly model engine'!AN33</f>
        <v>1175.3730481724999</v>
      </c>
      <c r="AD34" s="60">
        <f>'monthly model engine'!AN34</f>
        <v>1166.6055701587502</v>
      </c>
      <c r="AE34" s="60">
        <f>'monthly model engine'!AN35</f>
        <v>1192.0223909250001</v>
      </c>
      <c r="AF34" s="60">
        <f>'monthly model engine'!AN36</f>
        <v>1217.4392116912497</v>
      </c>
      <c r="AG34" s="60">
        <f>'monthly model engine'!AN37</f>
        <v>1308.28129572375</v>
      </c>
      <c r="AH34" s="60">
        <f>'monthly model engine'!AN38</f>
        <v>1337.4489079743751</v>
      </c>
      <c r="AI34" s="60">
        <f>'monthly model engine'!AN39</f>
        <v>1215.7617724425002</v>
      </c>
      <c r="AJ34" s="60">
        <f>'monthly model engine'!AN40</f>
        <v>1166.6055701587502</v>
      </c>
      <c r="AK34" s="60">
        <f>'monthly model engine'!AN41</f>
        <v>1192.0223909250001</v>
      </c>
      <c r="AL34" s="60">
        <f>'monthly model engine'!AN42</f>
        <v>1217.4392116912497</v>
      </c>
      <c r="AM34" s="60">
        <f>'monthly model engine'!AN43</f>
        <v>1293.6896739900001</v>
      </c>
      <c r="AN34" s="60">
        <f>'monthly model engine'!AN44</f>
        <v>1237.0712794040251</v>
      </c>
      <c r="AO34" s="60">
        <f>'monthly model engine'!AN45</f>
        <v>1245.8954310628501</v>
      </c>
      <c r="AP34" s="60">
        <f>'monthly model engine'!AN46</f>
        <v>1236.6019043682752</v>
      </c>
      <c r="AQ34" s="60">
        <f>'monthly model engine'!AN47</f>
        <v>1263.5437343805002</v>
      </c>
      <c r="AR34" s="60">
        <f>'monthly model engine'!AN48</f>
        <v>1290.4855643927251</v>
      </c>
      <c r="AS34" s="60">
        <f>'monthly model engine'!AN49</f>
        <v>1386.7781734671751</v>
      </c>
      <c r="AT34" s="60">
        <f>'monthly model engine'!AN50</f>
        <v>1417.6958424528377</v>
      </c>
      <c r="AU34" s="60">
        <f>'monthly model engine'!AN51</f>
        <v>1288.7074787890501</v>
      </c>
      <c r="AV34" s="60">
        <f>'monthly model engine'!AN52</f>
        <v>1236.6019043682752</v>
      </c>
      <c r="AW34" s="60">
        <f>'monthly model engine'!AN53</f>
        <v>1263.5437343805002</v>
      </c>
      <c r="AX34" s="60">
        <f>'monthly model engine'!AN54</f>
        <v>1290.4855643927251</v>
      </c>
      <c r="AY34" s="60">
        <f>'monthly model engine'!AN55</f>
        <v>1371.3110544294004</v>
      </c>
      <c r="AZ34" s="60">
        <f>'monthly model engine'!AN56</f>
        <v>1274.1834177861456</v>
      </c>
      <c r="BA34" s="60">
        <f>'monthly model engine'!AN57</f>
        <v>1283.2722939947357</v>
      </c>
      <c r="BB34" s="60">
        <f>'monthly model engine'!AN58</f>
        <v>1273.6999614993233</v>
      </c>
      <c r="BC34" s="60">
        <f>'monthly model engine'!AN59</f>
        <v>1301.4500464119153</v>
      </c>
      <c r="BD34" s="60">
        <f>'monthly model engine'!AN60</f>
        <v>1329.2001313245069</v>
      </c>
      <c r="BE34" s="60">
        <f>'monthly model engine'!AN61</f>
        <v>1428.3815186711904</v>
      </c>
      <c r="BF34" s="60">
        <f>'monthly model engine'!AN62</f>
        <v>1460.226717726423</v>
      </c>
      <c r="BG34" s="60">
        <f>'monthly model engine'!AN63</f>
        <v>1327.3687031527218</v>
      </c>
      <c r="BH34" s="60">
        <f>'monthly model engine'!AN64</f>
        <v>1273.6999614993233</v>
      </c>
      <c r="BI34" s="60">
        <f>'monthly model engine'!AN65</f>
        <v>1301.4500464119153</v>
      </c>
      <c r="BJ34" s="60">
        <f>'monthly model engine'!AN66</f>
        <v>1329.2001313245069</v>
      </c>
      <c r="BK34" s="60">
        <f>'monthly model engine'!AN67</f>
        <v>1412.450386062282</v>
      </c>
    </row>
    <row r="36" spans="1:63" ht="15" customHeight="1" x14ac:dyDescent="0.25">
      <c r="B36" s="59" t="s">
        <v>259</v>
      </c>
      <c r="D36" s="60">
        <f>'monthly model engine'!AO8</f>
        <v>10642.277925812499</v>
      </c>
      <c r="E36" s="60">
        <f>'monthly model engine'!AO9</f>
        <v>10605.607849754166</v>
      </c>
      <c r="F36" s="60">
        <f>'monthly model engine'!AO10</f>
        <v>10620.366004645834</v>
      </c>
      <c r="G36" s="60">
        <f>'monthly model engine'!AO11</f>
        <v>10719.355258</v>
      </c>
      <c r="H36" s="60">
        <f>'monthly model engine'!AO12</f>
        <v>10842.910265879167</v>
      </c>
      <c r="I36" s="60">
        <f>'monthly model engine'!AO13</f>
        <v>11011.888589433333</v>
      </c>
      <c r="J36" s="60">
        <f>'monthly model engine'!AO14</f>
        <v>11087.546244880208</v>
      </c>
      <c r="K36" s="60">
        <f>'monthly model engine'!AO15</f>
        <v>10952.521620041667</v>
      </c>
      <c r="L36" s="60">
        <f>'monthly model engine'!AO16</f>
        <v>11054.610639562499</v>
      </c>
      <c r="M36" s="60">
        <f>'monthly model engine'!AO17</f>
        <v>10980.942844958334</v>
      </c>
      <c r="N36" s="60">
        <f>'monthly model engine'!AO18</f>
        <v>11198.425432110416</v>
      </c>
      <c r="O36" s="60">
        <f>'monthly model engine'!AO19</f>
        <v>11399.850449166666</v>
      </c>
      <c r="P36" s="60">
        <f>'monthly model engine'!AO20</f>
        <v>11363.832703052083</v>
      </c>
      <c r="Q36" s="60">
        <f>'monthly model engine'!AO21</f>
        <v>11256.540732104166</v>
      </c>
      <c r="R36" s="60">
        <f>'monthly model engine'!AO22</f>
        <v>11190.922696906249</v>
      </c>
      <c r="S36" s="60">
        <f>'monthly model engine'!AO23</f>
        <v>11243.206790208333</v>
      </c>
      <c r="T36" s="60">
        <f>'monthly model engine'!AO24</f>
        <v>11324.240883510416</v>
      </c>
      <c r="U36" s="60">
        <f>'monthly model engine'!AO25</f>
        <v>11465.853924281249</v>
      </c>
      <c r="V36" s="60">
        <f>'monthly model engine'!AO26</f>
        <v>11492.860972661458</v>
      </c>
      <c r="W36" s="60">
        <f>'monthly model engine'!AO27</f>
        <v>11265.187699020833</v>
      </c>
      <c r="X36" s="60">
        <f>'monthly model engine'!AO28</f>
        <v>11334.672696906249</v>
      </c>
      <c r="Y36" s="60">
        <f>'monthly model engine'!AO29</f>
        <v>11214.456790208333</v>
      </c>
      <c r="Z36" s="60">
        <f>'monthly model engine'!AO30</f>
        <v>11439.240883510416</v>
      </c>
      <c r="AA36" s="60">
        <f>'monthly model engine'!AO31</f>
        <v>11653.593163416666</v>
      </c>
      <c r="AB36" s="60">
        <f>'monthly model engine'!AO32</f>
        <v>11496.280730962917</v>
      </c>
      <c r="AC36" s="60">
        <f>'monthly model engine'!AO33</f>
        <v>11380.405402339165</v>
      </c>
      <c r="AD36" s="60">
        <f>'monthly model engine'!AO34</f>
        <v>11309.537924325417</v>
      </c>
      <c r="AE36" s="60">
        <f>'monthly model engine'!AO35</f>
        <v>11366.004745091666</v>
      </c>
      <c r="AF36" s="60">
        <f>'monthly model engine'!AO36</f>
        <v>11453.521565857916</v>
      </c>
      <c r="AG36" s="60">
        <f>'monthly model engine'!AO37</f>
        <v>11606.463649890416</v>
      </c>
      <c r="AH36" s="60">
        <f>'monthly model engine'!AO38</f>
        <v>11635.631262141042</v>
      </c>
      <c r="AI36" s="60">
        <f>'monthly model engine'!AO39</f>
        <v>11389.744126609166</v>
      </c>
      <c r="AJ36" s="60">
        <f>'monthly model engine'!AO40</f>
        <v>11464.787924325417</v>
      </c>
      <c r="AK36" s="60">
        <f>'monthly model engine'!AO41</f>
        <v>11334.954745091667</v>
      </c>
      <c r="AL36" s="60">
        <f>'monthly model engine'!AO42</f>
        <v>11577.721565857915</v>
      </c>
      <c r="AM36" s="60">
        <f>'monthly model engine'!AO43</f>
        <v>11809.222028156666</v>
      </c>
      <c r="AN36" s="60">
        <f>'monthly model engine'!AO44</f>
        <v>11603.563633570691</v>
      </c>
      <c r="AO36" s="60">
        <f>'monthly model engine'!AO45</f>
        <v>11480.735785229517</v>
      </c>
      <c r="AP36" s="60">
        <f>'monthly model engine'!AO46</f>
        <v>11405.616258534941</v>
      </c>
      <c r="AQ36" s="60">
        <f>'monthly model engine'!AO47</f>
        <v>11465.471088547167</v>
      </c>
      <c r="AR36" s="60">
        <f>'monthly model engine'!AO48</f>
        <v>11558.238918559393</v>
      </c>
      <c r="AS36" s="60">
        <f>'monthly model engine'!AO49</f>
        <v>11720.357527633842</v>
      </c>
      <c r="AT36" s="60">
        <f>'monthly model engine'!AO50</f>
        <v>11751.275196619505</v>
      </c>
      <c r="AU36" s="60">
        <f>'monthly model engine'!AO51</f>
        <v>11490.634832955717</v>
      </c>
      <c r="AV36" s="60">
        <f>'monthly model engine'!AO52</f>
        <v>11570.181258534942</v>
      </c>
      <c r="AW36" s="60">
        <f>'monthly model engine'!AO53</f>
        <v>11432.558088547166</v>
      </c>
      <c r="AX36" s="60">
        <f>'monthly model engine'!AO54</f>
        <v>11689.890918559393</v>
      </c>
      <c r="AY36" s="60">
        <f>'monthly model engine'!AO55</f>
        <v>11935.281408596067</v>
      </c>
      <c r="AZ36" s="60">
        <f>'monthly model engine'!AO56</f>
        <v>11660.423571952811</v>
      </c>
      <c r="BA36" s="60">
        <f>'monthly model engine'!AO57</f>
        <v>11533.910888161403</v>
      </c>
      <c r="BB36" s="60">
        <f>'monthly model engine'!AO58</f>
        <v>11456.537775665991</v>
      </c>
      <c r="BC36" s="60">
        <f>'monthly model engine'!AO59</f>
        <v>11518.188250578582</v>
      </c>
      <c r="BD36" s="60">
        <f>'monthly model engine'!AO60</f>
        <v>11613.739115491173</v>
      </c>
      <c r="BE36" s="60">
        <f>'monthly model engine'!AO61</f>
        <v>11780.721282837858</v>
      </c>
      <c r="BF36" s="60">
        <f>'monthly model engine'!AO62</f>
        <v>11812.566481893089</v>
      </c>
      <c r="BG36" s="60">
        <f>'monthly model engine'!AO63</f>
        <v>11544.106907319388</v>
      </c>
      <c r="BH36" s="60">
        <f>'monthly model engine'!AO64</f>
        <v>11626.039725665991</v>
      </c>
      <c r="BI36" s="60">
        <f>'monthly model engine'!AO65</f>
        <v>11484.287860578583</v>
      </c>
      <c r="BJ36" s="60">
        <f>'monthly model engine'!AO66</f>
        <v>11749.340675491174</v>
      </c>
      <c r="BK36" s="60">
        <f>'monthly model engine'!AO67</f>
        <v>12002.092880228949</v>
      </c>
    </row>
    <row r="38" spans="1:63" ht="15" customHeight="1" x14ac:dyDescent="0.25">
      <c r="B38" s="59" t="s">
        <v>20</v>
      </c>
      <c r="D38" s="60">
        <f>'monthly model engine'!AP8</f>
        <v>-4288.2114299791656</v>
      </c>
      <c r="E38" s="60">
        <f>'monthly model engine'!AP9</f>
        <v>-3322.8238322541656</v>
      </c>
      <c r="F38" s="60">
        <f>'monthly model engine'!AP10</f>
        <v>-2383.3735754791687</v>
      </c>
      <c r="G38" s="60">
        <f>'monthly model engine'!AP11</f>
        <v>-1395.4598246666646</v>
      </c>
      <c r="H38" s="60">
        <f>'monthly model engine'!AP12</f>
        <v>-437.16602337916629</v>
      </c>
      <c r="I38" s="60">
        <f>'monthly model engine'!AP13</f>
        <v>1148.6063972333322</v>
      </c>
      <c r="J38" s="60">
        <f>'monthly model engine'!AP14</f>
        <v>2187.0068561614589</v>
      </c>
      <c r="K38" s="60">
        <f>'monthly model engine'!AP15</f>
        <v>1799.1530549583313</v>
      </c>
      <c r="L38" s="60">
        <f>'monthly model engine'!AP16</f>
        <v>1709.7096062708333</v>
      </c>
      <c r="M38" s="60">
        <f>'monthly model engine'!AP17</f>
        <v>2540.2596467083331</v>
      </c>
      <c r="N38" s="60">
        <f>'monthly model engine'!AP18</f>
        <v>2950.3445066395834</v>
      </c>
      <c r="O38" s="60">
        <f>'monthly model engine'!AP19</f>
        <v>3885.0885508333376</v>
      </c>
      <c r="P38" s="60">
        <f>'monthly model engine'!AP20</f>
        <v>4438.9196573645841</v>
      </c>
      <c r="Q38" s="60">
        <f>'monthly model engine'!AP21</f>
        <v>4669.1793553958341</v>
      </c>
      <c r="R38" s="60">
        <f>'monthly model engine'!AP22</f>
        <v>4629.2267676770844</v>
      </c>
      <c r="S38" s="60">
        <f>'monthly model engine'!AP23</f>
        <v>4928.4487514583325</v>
      </c>
      <c r="T38" s="60">
        <f>'monthly model engine'!AP24</f>
        <v>5198.9207352395806</v>
      </c>
      <c r="U38" s="60">
        <f>'monthly model engine'!AP25</f>
        <v>6306.2440153020852</v>
      </c>
      <c r="V38" s="60">
        <f>'monthly model engine'!AP26</f>
        <v>6681.9234346302055</v>
      </c>
      <c r="W38" s="60">
        <f>'monthly model engine'!AP27</f>
        <v>5244.4606051458322</v>
      </c>
      <c r="X38" s="60">
        <f>'monthly model engine'!AP28</f>
        <v>4485.4767676770844</v>
      </c>
      <c r="Y38" s="60">
        <f>'monthly model engine'!AP29</f>
        <v>4957.1987514583325</v>
      </c>
      <c r="Z38" s="60">
        <f>'monthly model engine'!AP30</f>
        <v>5083.9207352395806</v>
      </c>
      <c r="AA38" s="60">
        <f>'monthly model engine'!AP31</f>
        <v>5924.0866865833341</v>
      </c>
      <c r="AB38" s="60">
        <f>'monthly model engine'!AP32</f>
        <v>5570.6918182870832</v>
      </c>
      <c r="AC38" s="60">
        <f>'monthly model engine'!AP33</f>
        <v>5819.3722921608351</v>
      </c>
      <c r="AD38" s="60">
        <f>'monthly model engine'!AP34</f>
        <v>5776.2234974245839</v>
      </c>
      <c r="AE38" s="60">
        <f>'monthly model engine'!AP35</f>
        <v>6099.3832399083349</v>
      </c>
      <c r="AF38" s="60">
        <f>'monthly model engine'!AP36</f>
        <v>6391.4929823920775</v>
      </c>
      <c r="AG38" s="60">
        <f>'monthly model engine'!AP37</f>
        <v>7587.4021248595836</v>
      </c>
      <c r="AH38" s="60">
        <f>'monthly model engine'!AP38</f>
        <v>7993.1358977339605</v>
      </c>
      <c r="AI38" s="60">
        <f>'monthly model engine'!AP39</f>
        <v>6440.6760418908343</v>
      </c>
      <c r="AJ38" s="60">
        <f>'monthly model engine'!AP40</f>
        <v>5620.9734974245839</v>
      </c>
      <c r="AK38" s="60">
        <f>'monthly model engine'!AP41</f>
        <v>6130.4332399083341</v>
      </c>
      <c r="AL38" s="60">
        <f>'monthly model engine'!AP42</f>
        <v>6267.2929823920786</v>
      </c>
      <c r="AM38" s="60">
        <f>'monthly model engine'!AP43</f>
        <v>7174.6722098433347</v>
      </c>
      <c r="AN38" s="60">
        <f>'monthly model engine'!AP44</f>
        <v>6487.4272686343138</v>
      </c>
      <c r="AO38" s="60">
        <f>'monthly model engine'!AP45</f>
        <v>6751.0285709404852</v>
      </c>
      <c r="AP38" s="60">
        <f>'monthly model engine'!AP46</f>
        <v>6705.2908485200605</v>
      </c>
      <c r="AQ38" s="60">
        <f>'monthly model engine'!AP47</f>
        <v>7047.8401755528339</v>
      </c>
      <c r="AR38" s="60">
        <f>'monthly model engine'!AP48</f>
        <v>7357.4765025856104</v>
      </c>
      <c r="AS38" s="60">
        <f>'monthly model engine'!AP49</f>
        <v>8625.1401936011607</v>
      </c>
      <c r="AT38" s="60">
        <f>'monthly model engine'!AP50</f>
        <v>9055.2179928479982</v>
      </c>
      <c r="AU38" s="60">
        <f>'monthly model engine'!AP51</f>
        <v>7409.6105456542846</v>
      </c>
      <c r="AV38" s="60">
        <f>'monthly model engine'!AP52</f>
        <v>6540.72584852006</v>
      </c>
      <c r="AW38" s="60">
        <f>'monthly model engine'!AP53</f>
        <v>7080.7531755528344</v>
      </c>
      <c r="AX38" s="60">
        <f>'monthly model engine'!AP54</f>
        <v>7225.8245025856104</v>
      </c>
      <c r="AY38" s="60">
        <f>'monthly model engine'!AP55</f>
        <v>8187.6464836839368</v>
      </c>
      <c r="AZ38" s="60">
        <f>'monthly model engine'!AP56</f>
        <v>6973.2970573183375</v>
      </c>
      <c r="BA38" s="60">
        <f>'monthly model engine'!AP57</f>
        <v>7244.8063986936995</v>
      </c>
      <c r="BB38" s="60">
        <f>'monthly model engine'!AP58</f>
        <v>7197.6965446006579</v>
      </c>
      <c r="BC38" s="60">
        <f>'monthly model engine'!AP59</f>
        <v>7550.5223514444242</v>
      </c>
      <c r="BD38" s="60">
        <f>'monthly model engine'!AP60</f>
        <v>7869.4477682881825</v>
      </c>
      <c r="BE38" s="60">
        <f>'monthly model engine'!AP61</f>
        <v>9175.1413700341946</v>
      </c>
      <c r="BF38" s="60">
        <f>'monthly model engine'!AP62</f>
        <v>9618.1215032584369</v>
      </c>
      <c r="BG38" s="60">
        <f>'monthly model engine'!AP63</f>
        <v>7923.1458326489137</v>
      </c>
      <c r="BH38" s="60">
        <f>'monthly model engine'!AP64</f>
        <v>7028.1945946006581</v>
      </c>
      <c r="BI38" s="60">
        <f>'monthly model engine'!AP65</f>
        <v>7584.4227414444231</v>
      </c>
      <c r="BJ38" s="60">
        <f>'monthly model engine'!AP66</f>
        <v>7733.8462082881815</v>
      </c>
      <c r="BK38" s="60">
        <f>'monthly model engine'!AP67</f>
        <v>8724.522848819448</v>
      </c>
    </row>
    <row r="40" spans="1:63" ht="15" customHeight="1" x14ac:dyDescent="0.25">
      <c r="A40" s="152" t="s">
        <v>260</v>
      </c>
      <c r="B40" s="152"/>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row>
    <row r="41" spans="1:63" ht="15" customHeight="1" x14ac:dyDescent="0.25">
      <c r="B41" s="57" t="s">
        <v>261</v>
      </c>
      <c r="D41" s="58">
        <f>'monthly model engine'!AQ8</f>
        <v>916.66666666666663</v>
      </c>
      <c r="E41" s="58">
        <f>'monthly model engine'!AQ9</f>
        <v>916.66666666666663</v>
      </c>
      <c r="F41" s="58">
        <f>'monthly model engine'!AQ10</f>
        <v>916.66666666666663</v>
      </c>
      <c r="G41" s="58">
        <f>'monthly model engine'!AQ11</f>
        <v>916.66666666666663</v>
      </c>
      <c r="H41" s="58">
        <f>'monthly model engine'!AQ12</f>
        <v>916.66666666666663</v>
      </c>
      <c r="I41" s="58">
        <f>'monthly model engine'!AQ13</f>
        <v>916.66666666666663</v>
      </c>
      <c r="J41" s="58">
        <f>'monthly model engine'!AQ14</f>
        <v>916.66666666666663</v>
      </c>
      <c r="K41" s="58">
        <f>'monthly model engine'!AQ15</f>
        <v>916.66666666666663</v>
      </c>
      <c r="L41" s="58">
        <f>'monthly model engine'!AQ16</f>
        <v>916.66666666666663</v>
      </c>
      <c r="M41" s="58">
        <f>'monthly model engine'!AQ17</f>
        <v>916.66666666666663</v>
      </c>
      <c r="N41" s="58">
        <f>'monthly model engine'!AQ18</f>
        <v>916.66666666666663</v>
      </c>
      <c r="O41" s="58">
        <f>'monthly model engine'!AQ19</f>
        <v>916.66666666666663</v>
      </c>
      <c r="P41" s="58">
        <f>'monthly model engine'!AQ20</f>
        <v>916.66666666666663</v>
      </c>
      <c r="Q41" s="58">
        <f>'monthly model engine'!AQ21</f>
        <v>916.66666666666663</v>
      </c>
      <c r="R41" s="58">
        <f>'monthly model engine'!AQ22</f>
        <v>916.66666666666663</v>
      </c>
      <c r="S41" s="58">
        <f>'monthly model engine'!AQ23</f>
        <v>916.66666666666663</v>
      </c>
      <c r="T41" s="58">
        <f>'monthly model engine'!AQ24</f>
        <v>916.66666666666663</v>
      </c>
      <c r="U41" s="58">
        <f>'monthly model engine'!AQ25</f>
        <v>916.66666666666663</v>
      </c>
      <c r="V41" s="58">
        <f>'monthly model engine'!AQ26</f>
        <v>916.66666666666663</v>
      </c>
      <c r="W41" s="58">
        <f>'monthly model engine'!AQ27</f>
        <v>916.66666666666663</v>
      </c>
      <c r="X41" s="58">
        <f>'monthly model engine'!AQ28</f>
        <v>916.66666666666663</v>
      </c>
      <c r="Y41" s="58">
        <f>'monthly model engine'!AQ29</f>
        <v>916.66666666666663</v>
      </c>
      <c r="Z41" s="58">
        <f>'monthly model engine'!AQ30</f>
        <v>916.66666666666663</v>
      </c>
      <c r="AA41" s="58">
        <f>'monthly model engine'!AQ31</f>
        <v>916.66666666666663</v>
      </c>
      <c r="AB41" s="58">
        <f>'monthly model engine'!AQ32</f>
        <v>916.66666666666663</v>
      </c>
      <c r="AC41" s="58">
        <f>'monthly model engine'!AQ33</f>
        <v>916.66666666666663</v>
      </c>
      <c r="AD41" s="58">
        <f>'monthly model engine'!AQ34</f>
        <v>916.66666666666663</v>
      </c>
      <c r="AE41" s="58">
        <f>'monthly model engine'!AQ35</f>
        <v>916.66666666666663</v>
      </c>
      <c r="AF41" s="58">
        <f>'monthly model engine'!AQ36</f>
        <v>916.66666666666663</v>
      </c>
      <c r="AG41" s="58">
        <f>'monthly model engine'!AQ37</f>
        <v>916.66666666666663</v>
      </c>
      <c r="AH41" s="58">
        <f>'monthly model engine'!AQ38</f>
        <v>916.66666666666663</v>
      </c>
      <c r="AI41" s="58">
        <f>'monthly model engine'!AQ39</f>
        <v>916.66666666666663</v>
      </c>
      <c r="AJ41" s="58">
        <f>'monthly model engine'!AQ40</f>
        <v>916.66666666666663</v>
      </c>
      <c r="AK41" s="58">
        <f>'monthly model engine'!AQ41</f>
        <v>916.66666666666663</v>
      </c>
      <c r="AL41" s="58">
        <f>'monthly model engine'!AQ42</f>
        <v>916.66666666666663</v>
      </c>
      <c r="AM41" s="58">
        <f>'monthly model engine'!AQ43</f>
        <v>916.66666666666663</v>
      </c>
      <c r="AN41" s="58">
        <f>'monthly model engine'!AQ44</f>
        <v>916.66666666666663</v>
      </c>
      <c r="AO41" s="58">
        <f>'monthly model engine'!AQ45</f>
        <v>916.66666666666663</v>
      </c>
      <c r="AP41" s="58">
        <f>'monthly model engine'!AQ46</f>
        <v>916.66666666666663</v>
      </c>
      <c r="AQ41" s="58">
        <f>'monthly model engine'!AQ47</f>
        <v>916.66666666666663</v>
      </c>
      <c r="AR41" s="58">
        <f>'monthly model engine'!AQ48</f>
        <v>916.66666666666663</v>
      </c>
      <c r="AS41" s="58">
        <f>'monthly model engine'!AQ49</f>
        <v>916.66666666666663</v>
      </c>
      <c r="AT41" s="58">
        <f>'monthly model engine'!AQ50</f>
        <v>916.66666666666663</v>
      </c>
      <c r="AU41" s="58">
        <f>'monthly model engine'!AQ51</f>
        <v>916.66666666666663</v>
      </c>
      <c r="AV41" s="58">
        <f>'monthly model engine'!AQ52</f>
        <v>916.66666666666663</v>
      </c>
      <c r="AW41" s="58">
        <f>'monthly model engine'!AQ53</f>
        <v>916.66666666666663</v>
      </c>
      <c r="AX41" s="58">
        <f>'monthly model engine'!AQ54</f>
        <v>916.66666666666663</v>
      </c>
      <c r="AY41" s="58">
        <f>'monthly model engine'!AQ55</f>
        <v>916.66666666666663</v>
      </c>
      <c r="AZ41" s="58">
        <f>'monthly model engine'!AQ56</f>
        <v>916.66666666666663</v>
      </c>
      <c r="BA41" s="58">
        <f>'monthly model engine'!AQ57</f>
        <v>916.66666666666663</v>
      </c>
      <c r="BB41" s="58">
        <f>'monthly model engine'!AQ58</f>
        <v>916.66666666666663</v>
      </c>
      <c r="BC41" s="58">
        <f>'monthly model engine'!AQ59</f>
        <v>916.66666666666663</v>
      </c>
      <c r="BD41" s="58">
        <f>'monthly model engine'!AQ60</f>
        <v>916.66666666666663</v>
      </c>
      <c r="BE41" s="58">
        <f>'monthly model engine'!AQ61</f>
        <v>916.66666666666663</v>
      </c>
      <c r="BF41" s="58">
        <f>'monthly model engine'!AQ62</f>
        <v>916.66666666666663</v>
      </c>
      <c r="BG41" s="58">
        <f>'monthly model engine'!AQ63</f>
        <v>916.66666666666663</v>
      </c>
      <c r="BH41" s="58">
        <f>'monthly model engine'!AQ64</f>
        <v>916.66666666666663</v>
      </c>
      <c r="BI41" s="58">
        <f>'monthly model engine'!AQ65</f>
        <v>916.66666666666663</v>
      </c>
      <c r="BJ41" s="58">
        <f>'monthly model engine'!AQ66</f>
        <v>916.66666666666663</v>
      </c>
      <c r="BK41" s="58">
        <f>'monthly model engine'!AQ67</f>
        <v>916.66666666666663</v>
      </c>
    </row>
    <row r="42" spans="1:63" ht="15" customHeight="1" x14ac:dyDescent="0.25">
      <c r="B42" s="57" t="s">
        <v>262</v>
      </c>
      <c r="D42" s="58">
        <f>'monthly model engine'!AR8</f>
        <v>-436.56060664062494</v>
      </c>
      <c r="E42" s="58">
        <f>'monthly model engine'!AR9</f>
        <v>-430.54133143738972</v>
      </c>
      <c r="F42" s="58">
        <f>'monthly model engine'!AR10</f>
        <v>-424.48443576413428</v>
      </c>
      <c r="G42" s="58">
        <f>'monthly model engine'!AR11</f>
        <v>-418.38968449292094</v>
      </c>
      <c r="H42" s="58">
        <f>'monthly model engine'!AR12</f>
        <v>-412.25684102626252</v>
      </c>
      <c r="I42" s="58">
        <f>'monthly model engine'!AR13</f>
        <v>-406.0856672879375</v>
      </c>
      <c r="J42" s="58">
        <f>'monthly model engine'!AR14</f>
        <v>-399.87592371374802</v>
      </c>
      <c r="K42" s="58">
        <f>'monthly model engine'!AR15</f>
        <v>-393.6273692422198</v>
      </c>
      <c r="L42" s="58">
        <f>'monthly model engine'!AR16</f>
        <v>-387.33976130524451</v>
      </c>
      <c r="M42" s="58">
        <f>'monthly model engine'!AR17</f>
        <v>-381.01285581866313</v>
      </c>
      <c r="N42" s="58">
        <f>'monthly model engine'!AR18</f>
        <v>-374.64640717279053</v>
      </c>
      <c r="O42" s="58">
        <f>'monthly model engine'!AR19</f>
        <v>-368.24016822288132</v>
      </c>
      <c r="P42" s="58">
        <f>'monthly model engine'!AR20</f>
        <v>-361.79389027953516</v>
      </c>
      <c r="Q42" s="58">
        <f>'monthly model engine'!AR21</f>
        <v>-355.30732309904312</v>
      </c>
      <c r="R42" s="58">
        <f>'monthly model engine'!AR22</f>
        <v>-348.780214873673</v>
      </c>
      <c r="S42" s="58">
        <f>'monthly model engine'!AR23</f>
        <v>-342.21231222189431</v>
      </c>
      <c r="T42" s="58">
        <f>'monthly model engine'!AR24</f>
        <v>-335.60336017854195</v>
      </c>
      <c r="U42" s="58">
        <f>'monthly model engine'!AR25</f>
        <v>-328.95310218491869</v>
      </c>
      <c r="V42" s="58">
        <f>'monthly model engine'!AR26</f>
        <v>-322.26128007883523</v>
      </c>
      <c r="W42" s="58">
        <f>'monthly model engine'!AR27</f>
        <v>-315.52763408458878</v>
      </c>
      <c r="X42" s="58">
        <f>'monthly model engine'!AR28</f>
        <v>-308.75190280287831</v>
      </c>
      <c r="Y42" s="58">
        <f>'monthly model engine'!AR29</f>
        <v>-301.93382320065717</v>
      </c>
      <c r="Z42" s="58">
        <f>'monthly model engine'!AR30</f>
        <v>-295.07313060092207</v>
      </c>
      <c r="AA42" s="58">
        <f>'monthly model engine'!AR31</f>
        <v>-288.16955867243865</v>
      </c>
      <c r="AB42" s="58">
        <f>'monthly model engine'!AR32</f>
        <v>-281.22283941940225</v>
      </c>
      <c r="AC42" s="58">
        <f>'monthly model engine'!AR33</f>
        <v>-274.23270317103436</v>
      </c>
      <c r="AD42" s="58">
        <f>'monthly model engine'!AR34</f>
        <v>-267.19887857111416</v>
      </c>
      <c r="AE42" s="58">
        <f>'monthly model engine'!AR35</f>
        <v>-260.12109256744446</v>
      </c>
      <c r="AF42" s="58">
        <f>'monthly model engine'!AR36</f>
        <v>-252.99907040125183</v>
      </c>
      <c r="AG42" s="58">
        <f>'monthly model engine'!AR37</f>
        <v>-245.8325355965205</v>
      </c>
      <c r="AH42" s="58">
        <f>'monthly model engine'!AR38</f>
        <v>-238.62120994925957</v>
      </c>
      <c r="AI42" s="58">
        <f>'monthly model engine'!AR39</f>
        <v>-231.36481351670326</v>
      </c>
      <c r="AJ42" s="58">
        <f>'monthly model engine'!AR40</f>
        <v>-224.0630646064435</v>
      </c>
      <c r="AK42" s="58">
        <f>'monthly model engine'!AR41</f>
        <v>-216.71567976549457</v>
      </c>
      <c r="AL42" s="58">
        <f>'monthly model engine'!AR42</f>
        <v>-209.32237376928973</v>
      </c>
      <c r="AM42" s="58">
        <f>'monthly model engine'!AR43</f>
        <v>-201.88285961060862</v>
      </c>
      <c r="AN42" s="58">
        <f>'monthly model engine'!AR44</f>
        <v>-194.39684848843578</v>
      </c>
      <c r="AO42" s="58">
        <f>'monthly model engine'!AR45</f>
        <v>-186.8640497967493</v>
      </c>
      <c r="AP42" s="58">
        <f>'monthly model engine'!AR46</f>
        <v>-179.28417111323981</v>
      </c>
      <c r="AQ42" s="58">
        <f>'monthly model engine'!AR47</f>
        <v>-171.65691818795838</v>
      </c>
      <c r="AR42" s="58">
        <f>'monthly model engine'!AR48</f>
        <v>-163.98199493189398</v>
      </c>
      <c r="AS42" s="58">
        <f>'monthly model engine'!AR49</f>
        <v>-156.25910340547912</v>
      </c>
      <c r="AT42" s="58">
        <f>'monthly model engine'!AR50</f>
        <v>-148.48794380702421</v>
      </c>
      <c r="AU42" s="58">
        <f>'monthly model engine'!AR51</f>
        <v>-140.66821446107897</v>
      </c>
      <c r="AV42" s="58">
        <f>'monthly model engine'!AR52</f>
        <v>-132.79961180672151</v>
      </c>
      <c r="AW42" s="58">
        <f>'monthly model engine'!AR53</f>
        <v>-124.88183038577438</v>
      </c>
      <c r="AX42" s="58">
        <f>'monthly model engine'!AR54</f>
        <v>-116.91456283094629</v>
      </c>
      <c r="AY42" s="58">
        <f>'monthly model engine'!AR55</f>
        <v>-108.89749985390056</v>
      </c>
      <c r="AZ42" s="58">
        <f>'monthly model engine'!AR56</f>
        <v>-100.83033023324826</v>
      </c>
      <c r="BA42" s="58">
        <f>'monthly model engine'!AR57</f>
        <v>-92.712740802466897</v>
      </c>
      <c r="BB42" s="58">
        <f>'monthly model engine'!AR58</f>
        <v>-84.544416437743138</v>
      </c>
      <c r="BC42" s="58">
        <f>'monthly model engine'!AR59</f>
        <v>-76.325040045739868</v>
      </c>
      <c r="BD42" s="58">
        <f>'monthly model engine'!AR60</f>
        <v>-68.054292551286565</v>
      </c>
      <c r="BE42" s="58">
        <f>'monthly model engine'!AR61</f>
        <v>-59.731852884992939</v>
      </c>
      <c r="BF42" s="58">
        <f>'monthly model engine'!AR62</f>
        <v>-51.357397970784973</v>
      </c>
      <c r="BG42" s="58">
        <f>'monthly model engine'!AR63</f>
        <v>-42.930602713363207</v>
      </c>
      <c r="BH42" s="58">
        <f>'monthly model engine'!AR64</f>
        <v>-34.451139985582557</v>
      </c>
      <c r="BI42" s="58">
        <f>'monthly model engine'!AR65</f>
        <v>-25.918680615753274</v>
      </c>
      <c r="BJ42" s="58">
        <f>'monthly model engine'!AR66</f>
        <v>-17.332893374862568</v>
      </c>
      <c r="BK42" s="58">
        <f>'monthly model engine'!AR67</f>
        <v>-8.6934449637162885</v>
      </c>
    </row>
    <row r="43" spans="1:63" ht="15" customHeight="1" x14ac:dyDescent="0.25">
      <c r="B43" s="57" t="s">
        <v>263</v>
      </c>
      <c r="D43" s="58">
        <f>'monthly model engine'!AS8</f>
        <v>-5641.4387032864579</v>
      </c>
      <c r="E43" s="58">
        <f>'monthly model engine'!AS9</f>
        <v>-4670.0318303582226</v>
      </c>
      <c r="F43" s="58">
        <f>'monthly model engine'!AS10</f>
        <v>-3724.5246779099693</v>
      </c>
      <c r="G43" s="58">
        <f>'monthly model engine'!AS11</f>
        <v>-2730.516175826252</v>
      </c>
      <c r="H43" s="58">
        <f>'monthly model engine'!AS12</f>
        <v>-1766.0895310720953</v>
      </c>
      <c r="I43" s="58">
        <f>'monthly model engine'!AS13</f>
        <v>-174.14593672127188</v>
      </c>
      <c r="J43" s="58">
        <f>'monthly model engine'!AS14</f>
        <v>870.46426578104433</v>
      </c>
      <c r="K43" s="58">
        <f>'monthly model engine'!AS15</f>
        <v>488.85901904944484</v>
      </c>
      <c r="L43" s="58">
        <f>'monthly model engine'!AS16</f>
        <v>405.70317829892218</v>
      </c>
      <c r="M43" s="58">
        <f>'monthly model engine'!AS17</f>
        <v>1242.5801242230034</v>
      </c>
      <c r="N43" s="58">
        <f>'monthly model engine'!AS18</f>
        <v>1659.0314328001264</v>
      </c>
      <c r="O43" s="58">
        <f>'monthly model engine'!AS19</f>
        <v>2600.1817159437896</v>
      </c>
      <c r="P43" s="58">
        <f>'monthly model engine'!AS20</f>
        <v>3160.4591004183821</v>
      </c>
      <c r="Q43" s="58">
        <f>'monthly model engine'!AS21</f>
        <v>3397.2053656301246</v>
      </c>
      <c r="R43" s="58">
        <f>'monthly model engine'!AS22</f>
        <v>3363.7798861367446</v>
      </c>
      <c r="S43" s="58">
        <f>'monthly model engine'!AS23</f>
        <v>3669.5697725697719</v>
      </c>
      <c r="T43" s="58">
        <f>'monthly model engine'!AS24</f>
        <v>3946.6507083943716</v>
      </c>
      <c r="U43" s="58">
        <f>'monthly model engine'!AS25</f>
        <v>5060.6242464504994</v>
      </c>
      <c r="V43" s="58">
        <f>'monthly model engine'!AS26</f>
        <v>5442.9954878847029</v>
      </c>
      <c r="W43" s="58">
        <f>'monthly model engine'!AS27</f>
        <v>4012.2663043945763</v>
      </c>
      <c r="X43" s="58">
        <f>'monthly model engine'!AS28</f>
        <v>3260.0581982075396</v>
      </c>
      <c r="Y43" s="58">
        <f>'monthly model engine'!AS29</f>
        <v>3738.5982615910088</v>
      </c>
      <c r="Z43" s="58">
        <f>'monthly model engine'!AS30</f>
        <v>3872.1809379719916</v>
      </c>
      <c r="AA43" s="58">
        <f>'monthly model engine'!AS31</f>
        <v>4719.2504612442281</v>
      </c>
      <c r="AB43" s="58">
        <f>'monthly model engine'!AS32</f>
        <v>4372.8023122010136</v>
      </c>
      <c r="AC43" s="58">
        <f>'monthly model engine'!AS33</f>
        <v>4628.4729223231334</v>
      </c>
      <c r="AD43" s="58">
        <f>'monthly model engine'!AS34</f>
        <v>4592.3579521868032</v>
      </c>
      <c r="AE43" s="58">
        <f>'monthly model engine'!AS35</f>
        <v>4922.5954806742238</v>
      </c>
      <c r="AF43" s="58">
        <f>'monthly model engine'!AS36</f>
        <v>5221.8272453241589</v>
      </c>
      <c r="AG43" s="58">
        <f>'monthly model engine'!AS37</f>
        <v>6424.9029225963959</v>
      </c>
      <c r="AH43" s="58">
        <f>'monthly model engine'!AS38</f>
        <v>6837.848021118034</v>
      </c>
      <c r="AI43" s="58">
        <f>'monthly model engine'!AS39</f>
        <v>5292.6445617074642</v>
      </c>
      <c r="AJ43" s="58">
        <f>'monthly model engine'!AS40</f>
        <v>4480.2437661514732</v>
      </c>
      <c r="AK43" s="58">
        <f>'monthly model engine'!AS41</f>
        <v>4997.0508934761729</v>
      </c>
      <c r="AL43" s="58">
        <f>'monthly model engine'!AS42</f>
        <v>5141.3039419561219</v>
      </c>
      <c r="AM43" s="58">
        <f>'monthly model engine'!AS43</f>
        <v>6056.1226835660591</v>
      </c>
      <c r="AN43" s="58">
        <f>'monthly model engine'!AS44</f>
        <v>5376.3637534792115</v>
      </c>
      <c r="AO43" s="58">
        <f>'monthly model engine'!AS45</f>
        <v>5647.4978544770693</v>
      </c>
      <c r="AP43" s="58">
        <f>'monthly model engine'!AS46</f>
        <v>5609.340010740154</v>
      </c>
      <c r="AQ43" s="58">
        <f>'monthly model engine'!AS47</f>
        <v>5959.5165906982083</v>
      </c>
      <c r="AR43" s="58">
        <f>'monthly model engine'!AS48</f>
        <v>6276.8278409870491</v>
      </c>
      <c r="AS43" s="58">
        <f>'monthly model engine'!AS49</f>
        <v>7552.2144235290143</v>
      </c>
      <c r="AT43" s="58">
        <f>'monthly model engine'!AS50</f>
        <v>7990.0633823743074</v>
      </c>
      <c r="AU43" s="58">
        <f>'monthly model engine'!AS51</f>
        <v>6352.275664526539</v>
      </c>
      <c r="AV43" s="58">
        <f>'monthly model engine'!AS52</f>
        <v>5491.2595700466718</v>
      </c>
      <c r="AW43" s="58">
        <f>'monthly model engine'!AS53</f>
        <v>6039.2046785003931</v>
      </c>
      <c r="AX43" s="58">
        <f>'monthly model engine'!AS54</f>
        <v>6192.2432730879973</v>
      </c>
      <c r="AY43" s="58">
        <f>'monthly model engine'!AS55</f>
        <v>7162.0823171633692</v>
      </c>
      <c r="AZ43" s="58">
        <f>'monthly model engine'!AS56</f>
        <v>5955.8000604184226</v>
      </c>
      <c r="BA43" s="58">
        <f>'monthly model engine'!AS57</f>
        <v>6235.4269912245654</v>
      </c>
      <c r="BB43" s="58">
        <f>'monthly model engine'!AS58</f>
        <v>6196.4854614962478</v>
      </c>
      <c r="BC43" s="58">
        <f>'monthly model engine'!AS59</f>
        <v>6557.5306447320172</v>
      </c>
      <c r="BD43" s="58">
        <f>'monthly model engine'!AS60</f>
        <v>6884.7268090702291</v>
      </c>
      <c r="BE43" s="58">
        <f>'monthly model engine'!AS61</f>
        <v>8198.7428504825348</v>
      </c>
      <c r="BF43" s="58">
        <f>'monthly model engine'!AS62</f>
        <v>8650.0974386209855</v>
      </c>
      <c r="BG43" s="58">
        <f>'monthly model engine'!AS63</f>
        <v>6963.5485632688833</v>
      </c>
      <c r="BH43" s="58">
        <f>'monthly model engine'!AS64</f>
        <v>6077.0767879484083</v>
      </c>
      <c r="BI43" s="58">
        <f>'monthly model engine'!AS65</f>
        <v>6641.837394162003</v>
      </c>
      <c r="BJ43" s="58">
        <f>'monthly model engine'!AS66</f>
        <v>6799.846648246652</v>
      </c>
      <c r="BK43" s="58">
        <f>'monthly model engine'!AS67</f>
        <v>7799.1627371890645</v>
      </c>
    </row>
    <row r="44" spans="1:63" ht="15" customHeight="1" x14ac:dyDescent="0.25">
      <c r="B44" s="57" t="s">
        <v>264</v>
      </c>
      <c r="D44" s="58">
        <f>'monthly model engine'!AT8</f>
        <v>0</v>
      </c>
      <c r="E44" s="58">
        <f>'monthly model engine'!AT9</f>
        <v>0</v>
      </c>
      <c r="F44" s="58">
        <f>'monthly model engine'!AT10</f>
        <v>0</v>
      </c>
      <c r="G44" s="58">
        <f>'monthly model engine'!AT11</f>
        <v>0</v>
      </c>
      <c r="H44" s="58">
        <f>'monthly model engine'!AT12</f>
        <v>0</v>
      </c>
      <c r="I44" s="58">
        <f>'monthly model engine'!AT13</f>
        <v>0</v>
      </c>
      <c r="J44" s="58">
        <f>'monthly model engine'!AT14</f>
        <v>-217.61606644526108</v>
      </c>
      <c r="K44" s="58">
        <f>'monthly model engine'!AT15</f>
        <v>-122.21475476236121</v>
      </c>
      <c r="L44" s="58">
        <f>'monthly model engine'!AT16</f>
        <v>-101.42579457473055</v>
      </c>
      <c r="M44" s="58">
        <f>'monthly model engine'!AT17</f>
        <v>-310.64503105575085</v>
      </c>
      <c r="N44" s="58">
        <f>'monthly model engine'!AT18</f>
        <v>-414.75785820003159</v>
      </c>
      <c r="O44" s="58">
        <f>'monthly model engine'!AT19</f>
        <v>-650.04542898594741</v>
      </c>
      <c r="P44" s="58">
        <f>'monthly model engine'!AT20</f>
        <v>-790.11477510459554</v>
      </c>
      <c r="Q44" s="58">
        <f>'monthly model engine'!AT21</f>
        <v>-849.30134140753114</v>
      </c>
      <c r="R44" s="58">
        <f>'monthly model engine'!AT22</f>
        <v>-840.94497153418615</v>
      </c>
      <c r="S44" s="58">
        <f>'monthly model engine'!AT23</f>
        <v>-917.39244314244297</v>
      </c>
      <c r="T44" s="58">
        <f>'monthly model engine'!AT24</f>
        <v>-986.66267709859289</v>
      </c>
      <c r="U44" s="58">
        <f>'monthly model engine'!AT25</f>
        <v>-1265.1560616126249</v>
      </c>
      <c r="V44" s="58">
        <f>'monthly model engine'!AT26</f>
        <v>-1360.7488719711757</v>
      </c>
      <c r="W44" s="58">
        <f>'monthly model engine'!AT27</f>
        <v>-1003.0665760986441</v>
      </c>
      <c r="X44" s="58">
        <f>'monthly model engine'!AT28</f>
        <v>-815.0145495518849</v>
      </c>
      <c r="Y44" s="58">
        <f>'monthly model engine'!AT29</f>
        <v>-934.64956539775221</v>
      </c>
      <c r="Z44" s="58">
        <f>'monthly model engine'!AT30</f>
        <v>-968.04523449299791</v>
      </c>
      <c r="AA44" s="58">
        <f>'monthly model engine'!AT31</f>
        <v>-1179.812615311057</v>
      </c>
      <c r="AB44" s="58">
        <f>'monthly model engine'!AT32</f>
        <v>-1093.2005780502534</v>
      </c>
      <c r="AC44" s="58">
        <f>'monthly model engine'!AT33</f>
        <v>-1157.1182305807833</v>
      </c>
      <c r="AD44" s="58">
        <f>'monthly model engine'!AT34</f>
        <v>-1148.0894880467008</v>
      </c>
      <c r="AE44" s="58">
        <f>'monthly model engine'!AT35</f>
        <v>-1230.648870168556</v>
      </c>
      <c r="AF44" s="58">
        <f>'monthly model engine'!AT36</f>
        <v>-1305.4568113310397</v>
      </c>
      <c r="AG44" s="58">
        <f>'monthly model engine'!AT37</f>
        <v>-1606.225730649099</v>
      </c>
      <c r="AH44" s="58">
        <f>'monthly model engine'!AT38</f>
        <v>-1709.4620052795085</v>
      </c>
      <c r="AI44" s="58">
        <f>'monthly model engine'!AT39</f>
        <v>-1323.161140426866</v>
      </c>
      <c r="AJ44" s="58">
        <f>'monthly model engine'!AT40</f>
        <v>-1120.0609415378683</v>
      </c>
      <c r="AK44" s="58">
        <f>'monthly model engine'!AT41</f>
        <v>-1249.2627233690432</v>
      </c>
      <c r="AL44" s="58">
        <f>'monthly model engine'!AT42</f>
        <v>-1285.3259854890305</v>
      </c>
      <c r="AM44" s="58">
        <f>'monthly model engine'!AT43</f>
        <v>-1514.0306708915148</v>
      </c>
      <c r="AN44" s="58">
        <f>'monthly model engine'!AT44</f>
        <v>-1344.0909383698029</v>
      </c>
      <c r="AO44" s="58">
        <f>'monthly model engine'!AT45</f>
        <v>-1411.8744636192673</v>
      </c>
      <c r="AP44" s="58">
        <f>'monthly model engine'!AT46</f>
        <v>-1402.3350026850385</v>
      </c>
      <c r="AQ44" s="58">
        <f>'monthly model engine'!AT47</f>
        <v>-1489.8791476745521</v>
      </c>
      <c r="AR44" s="58">
        <f>'monthly model engine'!AT48</f>
        <v>-1569.2069602467623</v>
      </c>
      <c r="AS44" s="58">
        <f>'monthly model engine'!AT49</f>
        <v>-1888.0536058822536</v>
      </c>
      <c r="AT44" s="58">
        <f>'monthly model engine'!AT50</f>
        <v>-1997.5158455935768</v>
      </c>
      <c r="AU44" s="58">
        <f>'monthly model engine'!AT51</f>
        <v>-1588.0689161316348</v>
      </c>
      <c r="AV44" s="58">
        <f>'monthly model engine'!AT52</f>
        <v>-1372.8148925116679</v>
      </c>
      <c r="AW44" s="58">
        <f>'monthly model engine'!AT53</f>
        <v>-1509.8011696250983</v>
      </c>
      <c r="AX44" s="58">
        <f>'monthly model engine'!AT54</f>
        <v>-1548.0608182719993</v>
      </c>
      <c r="AY44" s="58">
        <f>'monthly model engine'!AT55</f>
        <v>-1790.5205792908423</v>
      </c>
      <c r="AZ44" s="58">
        <f>'monthly model engine'!AT56</f>
        <v>-1488.9500151046057</v>
      </c>
      <c r="BA44" s="58">
        <f>'monthly model engine'!AT57</f>
        <v>-1558.8567478061414</v>
      </c>
      <c r="BB44" s="58">
        <f>'monthly model engine'!AT58</f>
        <v>-1549.121365374062</v>
      </c>
      <c r="BC44" s="58">
        <f>'monthly model engine'!AT59</f>
        <v>-1639.3826611830043</v>
      </c>
      <c r="BD44" s="58">
        <f>'monthly model engine'!AT60</f>
        <v>-1721.1817022675573</v>
      </c>
      <c r="BE44" s="58">
        <f>'monthly model engine'!AT61</f>
        <v>-2049.6857126206337</v>
      </c>
      <c r="BF44" s="58">
        <f>'monthly model engine'!AT62</f>
        <v>-2162.5243596552464</v>
      </c>
      <c r="BG44" s="58">
        <f>'monthly model engine'!AT63</f>
        <v>-1740.8871408172208</v>
      </c>
      <c r="BH44" s="58">
        <f>'monthly model engine'!AT64</f>
        <v>-1519.2691969871021</v>
      </c>
      <c r="BI44" s="58">
        <f>'monthly model engine'!AT65</f>
        <v>-1660.4593485405007</v>
      </c>
      <c r="BJ44" s="58">
        <f>'monthly model engine'!AT66</f>
        <v>-1699.961662061663</v>
      </c>
      <c r="BK44" s="58">
        <f>'monthly model engine'!AT67</f>
        <v>-1949.7906842972661</v>
      </c>
    </row>
    <row r="45" spans="1:63" ht="15" customHeight="1" x14ac:dyDescent="0.25">
      <c r="B45" s="59" t="s">
        <v>265</v>
      </c>
      <c r="D45" s="60">
        <f>'monthly model engine'!AU8</f>
        <v>-5641.4387032864579</v>
      </c>
      <c r="E45" s="60">
        <f>'monthly model engine'!AU9</f>
        <v>-4670.0318303582226</v>
      </c>
      <c r="F45" s="60">
        <f>'monthly model engine'!AU10</f>
        <v>-3724.5246779099693</v>
      </c>
      <c r="G45" s="60">
        <f>'monthly model engine'!AU11</f>
        <v>-2730.516175826252</v>
      </c>
      <c r="H45" s="60">
        <f>'monthly model engine'!AU12</f>
        <v>-1766.0895310720953</v>
      </c>
      <c r="I45" s="60">
        <f>'monthly model engine'!AU13</f>
        <v>-174.14593672127188</v>
      </c>
      <c r="J45" s="60">
        <f>'monthly model engine'!AU14</f>
        <v>652.84819933578319</v>
      </c>
      <c r="K45" s="60">
        <f>'monthly model engine'!AU15</f>
        <v>366.64426428708362</v>
      </c>
      <c r="L45" s="60">
        <f>'monthly model engine'!AU16</f>
        <v>304.27738372419162</v>
      </c>
      <c r="M45" s="60">
        <f>'monthly model engine'!AU17</f>
        <v>931.93509316725249</v>
      </c>
      <c r="N45" s="60">
        <f>'monthly model engine'!AU18</f>
        <v>1244.2735746000949</v>
      </c>
      <c r="O45" s="60">
        <f>'monthly model engine'!AU19</f>
        <v>1950.1362869578422</v>
      </c>
      <c r="P45" s="60">
        <f>'monthly model engine'!AU20</f>
        <v>2370.3443253137866</v>
      </c>
      <c r="Q45" s="60">
        <f>'monthly model engine'!AU21</f>
        <v>2547.9040242225933</v>
      </c>
      <c r="R45" s="60">
        <f>'monthly model engine'!AU22</f>
        <v>2522.8349146025585</v>
      </c>
      <c r="S45" s="60">
        <f>'monthly model engine'!AU23</f>
        <v>2752.1773294273289</v>
      </c>
      <c r="T45" s="60">
        <f>'monthly model engine'!AU24</f>
        <v>2959.9880312957785</v>
      </c>
      <c r="U45" s="60">
        <f>'monthly model engine'!AU25</f>
        <v>3795.4681848378746</v>
      </c>
      <c r="V45" s="60">
        <f>'monthly model engine'!AU26</f>
        <v>4082.2466159135274</v>
      </c>
      <c r="W45" s="60">
        <f>'monthly model engine'!AU27</f>
        <v>3009.1997282959323</v>
      </c>
      <c r="X45" s="60">
        <f>'monthly model engine'!AU28</f>
        <v>2445.0436486556546</v>
      </c>
      <c r="Y45" s="60">
        <f>'monthly model engine'!AU29</f>
        <v>2803.9486961932566</v>
      </c>
      <c r="Z45" s="60">
        <f>'monthly model engine'!AU30</f>
        <v>2904.1357034789935</v>
      </c>
      <c r="AA45" s="60">
        <f>'monthly model engine'!AU31</f>
        <v>3539.437845933171</v>
      </c>
      <c r="AB45" s="60">
        <f>'monthly model engine'!AU32</f>
        <v>3279.6017341507604</v>
      </c>
      <c r="AC45" s="60">
        <f>'monthly model engine'!AU33</f>
        <v>3471.35469174235</v>
      </c>
      <c r="AD45" s="60">
        <f>'monthly model engine'!AU34</f>
        <v>3444.2684641401024</v>
      </c>
      <c r="AE45" s="60">
        <f>'monthly model engine'!AU35</f>
        <v>3691.9466105056681</v>
      </c>
      <c r="AF45" s="60">
        <f>'monthly model engine'!AU36</f>
        <v>3916.3704339931191</v>
      </c>
      <c r="AG45" s="60">
        <f>'monthly model engine'!AU37</f>
        <v>4818.6771919472967</v>
      </c>
      <c r="AH45" s="60">
        <f>'monthly model engine'!AU38</f>
        <v>5128.3860158385251</v>
      </c>
      <c r="AI45" s="60">
        <f>'monthly model engine'!AU39</f>
        <v>3969.4834212805981</v>
      </c>
      <c r="AJ45" s="60">
        <f>'monthly model engine'!AU40</f>
        <v>3360.1828246136047</v>
      </c>
      <c r="AK45" s="60">
        <f>'monthly model engine'!AU41</f>
        <v>3747.7881701071296</v>
      </c>
      <c r="AL45" s="60">
        <f>'monthly model engine'!AU42</f>
        <v>3855.9779564670916</v>
      </c>
      <c r="AM45" s="60">
        <f>'monthly model engine'!AU43</f>
        <v>4542.0920126745441</v>
      </c>
      <c r="AN45" s="60">
        <f>'monthly model engine'!AU44</f>
        <v>4032.2728151094088</v>
      </c>
      <c r="AO45" s="60">
        <f>'monthly model engine'!AU45</f>
        <v>4235.6233908578015</v>
      </c>
      <c r="AP45" s="60">
        <f>'monthly model engine'!AU46</f>
        <v>4207.0050080551155</v>
      </c>
      <c r="AQ45" s="60">
        <f>'monthly model engine'!AU47</f>
        <v>4469.6374430236565</v>
      </c>
      <c r="AR45" s="60">
        <f>'monthly model engine'!AU48</f>
        <v>4707.6208807402872</v>
      </c>
      <c r="AS45" s="60">
        <f>'monthly model engine'!AU49</f>
        <v>5664.1608176467607</v>
      </c>
      <c r="AT45" s="60">
        <f>'monthly model engine'!AU50</f>
        <v>5992.5475367807303</v>
      </c>
      <c r="AU45" s="60">
        <f>'monthly model engine'!AU51</f>
        <v>4764.206748394904</v>
      </c>
      <c r="AV45" s="60">
        <f>'monthly model engine'!AU52</f>
        <v>4118.4446775350043</v>
      </c>
      <c r="AW45" s="60">
        <f>'monthly model engine'!AU53</f>
        <v>4529.4035088752953</v>
      </c>
      <c r="AX45" s="60">
        <f>'monthly model engine'!AU54</f>
        <v>4644.1824548159984</v>
      </c>
      <c r="AY45" s="60">
        <f>'monthly model engine'!AU55</f>
        <v>5371.5617378725274</v>
      </c>
      <c r="AZ45" s="60">
        <f>'monthly model engine'!AU56</f>
        <v>4466.8500453138167</v>
      </c>
      <c r="BA45" s="60">
        <f>'monthly model engine'!AU57</f>
        <v>4676.5702434184241</v>
      </c>
      <c r="BB45" s="60">
        <f>'monthly model engine'!AU58</f>
        <v>4647.3640961221863</v>
      </c>
      <c r="BC45" s="60">
        <f>'monthly model engine'!AU59</f>
        <v>4918.1479835490127</v>
      </c>
      <c r="BD45" s="60">
        <f>'monthly model engine'!AU60</f>
        <v>5163.5451068026723</v>
      </c>
      <c r="BE45" s="60">
        <f>'monthly model engine'!AU61</f>
        <v>6149.0571378619006</v>
      </c>
      <c r="BF45" s="60">
        <f>'monthly model engine'!AU62</f>
        <v>6487.5730789657391</v>
      </c>
      <c r="BG45" s="60">
        <f>'monthly model engine'!AU63</f>
        <v>5222.6614224516625</v>
      </c>
      <c r="BH45" s="60">
        <f>'monthly model engine'!AU64</f>
        <v>4557.8075909613062</v>
      </c>
      <c r="BI45" s="60">
        <f>'monthly model engine'!AU65</f>
        <v>4981.3780456215027</v>
      </c>
      <c r="BJ45" s="60">
        <f>'monthly model engine'!AU66</f>
        <v>5099.8849861849885</v>
      </c>
      <c r="BK45" s="60">
        <f>'monthly model engine'!AU67</f>
        <v>5849.3720528917984</v>
      </c>
    </row>
    <row r="47" spans="1:63" ht="15" customHeight="1" x14ac:dyDescent="0.25">
      <c r="A47" s="152" t="s">
        <v>266</v>
      </c>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2"/>
      <c r="AB47" s="152"/>
      <c r="AC47" s="152"/>
      <c r="AD47" s="152"/>
      <c r="AE47" s="152"/>
      <c r="AF47" s="152"/>
      <c r="AG47" s="152"/>
      <c r="AH47" s="152"/>
      <c r="AI47" s="152"/>
      <c r="AJ47" s="152"/>
      <c r="AK47" s="152"/>
      <c r="AL47" s="152"/>
      <c r="AM47" s="152"/>
      <c r="AN47" s="152"/>
      <c r="AO47" s="152"/>
      <c r="AP47" s="152"/>
      <c r="AQ47" s="152"/>
      <c r="AR47" s="152"/>
      <c r="AS47" s="152"/>
      <c r="AT47" s="152"/>
      <c r="AU47" s="152"/>
      <c r="AV47" s="152"/>
      <c r="AW47" s="152"/>
      <c r="AX47" s="152"/>
      <c r="AY47" s="152"/>
      <c r="AZ47" s="152"/>
      <c r="BA47" s="152"/>
      <c r="BB47" s="152"/>
      <c r="BC47" s="152"/>
      <c r="BD47" s="152"/>
      <c r="BE47" s="152"/>
      <c r="BF47" s="152"/>
      <c r="BG47" s="152"/>
      <c r="BH47" s="152"/>
      <c r="BI47" s="152"/>
      <c r="BJ47" s="152"/>
      <c r="BK47" s="152"/>
    </row>
    <row r="48" spans="1:63" ht="15" customHeight="1" x14ac:dyDescent="0.25">
      <c r="B48" s="57" t="s">
        <v>267</v>
      </c>
      <c r="D48" s="61">
        <f>'monthly model engine'!AZ8</f>
        <v>0.69536052955830374</v>
      </c>
      <c r="E48" s="61">
        <f>'monthly model engine'!AZ9</f>
        <v>0.69551524733367653</v>
      </c>
      <c r="F48" s="61">
        <f>'monthly model engine'!AZ10</f>
        <v>0.6960215600896803</v>
      </c>
      <c r="G48" s="61">
        <f>'monthly model engine'!AZ11</f>
        <v>0.69622557278549257</v>
      </c>
      <c r="H48" s="61">
        <f>'monthly model engine'!AZ12</f>
        <v>0.69647489848745148</v>
      </c>
      <c r="I48" s="61">
        <f>'monthly model engine'!AZ13</f>
        <v>0.69706047849960828</v>
      </c>
      <c r="J48" s="61">
        <f>'monthly model engine'!AZ14</f>
        <v>0.69725930207923226</v>
      </c>
      <c r="K48" s="61">
        <f>'monthly model engine'!AZ15</f>
        <v>0.69678134867202834</v>
      </c>
      <c r="L48" s="61">
        <f>'monthly model engine'!AZ16</f>
        <v>0.69580023032323146</v>
      </c>
      <c r="M48" s="61">
        <f>'monthly model engine'!AZ17</f>
        <v>0.69605485660309696</v>
      </c>
      <c r="N48" s="61">
        <f>'monthly model engine'!AZ18</f>
        <v>0.69630272683098537</v>
      </c>
      <c r="O48" s="61">
        <f>'monthly model engine'!AZ19</f>
        <v>0.69702571987288686</v>
      </c>
      <c r="P48" s="61">
        <f>'monthly model engine'!AZ20</f>
        <v>0.69464232349547961</v>
      </c>
      <c r="Q48" s="61">
        <f>'monthly model engine'!AZ21</f>
        <v>0.69508947968394041</v>
      </c>
      <c r="R48" s="61">
        <f>'monthly model engine'!AZ22</f>
        <v>0.69567100337322008</v>
      </c>
      <c r="S48" s="61">
        <f>'monthly model engine'!AZ23</f>
        <v>0.69596505535750242</v>
      </c>
      <c r="T48" s="61">
        <f>'monthly model engine'!AZ24</f>
        <v>0.69624682932985826</v>
      </c>
      <c r="U48" s="61">
        <f>'monthly model engine'!AZ25</f>
        <v>0.69687507364099532</v>
      </c>
      <c r="V48" s="61">
        <f>'monthly model engine'!AZ26</f>
        <v>0.69712303366128003</v>
      </c>
      <c r="W48" s="61">
        <f>'monthly model engine'!AZ27</f>
        <v>0.69663726661039316</v>
      </c>
      <c r="X48" s="61">
        <f>'monthly model engine'!AZ28</f>
        <v>0.69567100337322008</v>
      </c>
      <c r="Y48" s="61">
        <f>'monthly model engine'!AZ29</f>
        <v>0.69596505535750242</v>
      </c>
      <c r="Z48" s="61">
        <f>'monthly model engine'!AZ30</f>
        <v>0.69624682932985826</v>
      </c>
      <c r="AA48" s="61">
        <f>'monthly model engine'!AZ31</f>
        <v>0.69702571987288686</v>
      </c>
      <c r="AB48" s="61">
        <f>'monthly model engine'!AZ32</f>
        <v>0.69464232349547961</v>
      </c>
      <c r="AC48" s="61">
        <f>'monthly model engine'!AZ33</f>
        <v>0.69508947968394041</v>
      </c>
      <c r="AD48" s="61">
        <f>'monthly model engine'!AZ34</f>
        <v>0.69567100337321996</v>
      </c>
      <c r="AE48" s="61">
        <f>'monthly model engine'!AZ35</f>
        <v>0.69596505535750242</v>
      </c>
      <c r="AF48" s="61">
        <f>'monthly model engine'!AZ36</f>
        <v>0.69624682932985826</v>
      </c>
      <c r="AG48" s="61">
        <f>'monthly model engine'!AZ37</f>
        <v>0.69687507364099532</v>
      </c>
      <c r="AH48" s="61">
        <f>'monthly model engine'!AZ38</f>
        <v>0.69712303366128014</v>
      </c>
      <c r="AI48" s="61">
        <f>'monthly model engine'!AZ39</f>
        <v>0.69663726661039316</v>
      </c>
      <c r="AJ48" s="61">
        <f>'monthly model engine'!AZ40</f>
        <v>0.69567100337321996</v>
      </c>
      <c r="AK48" s="61">
        <f>'monthly model engine'!AZ41</f>
        <v>0.69596505535750242</v>
      </c>
      <c r="AL48" s="61">
        <f>'monthly model engine'!AZ42</f>
        <v>0.69624682932985826</v>
      </c>
      <c r="AM48" s="61">
        <f>'monthly model engine'!AZ43</f>
        <v>0.69702571987288675</v>
      </c>
      <c r="AN48" s="61">
        <f>'monthly model engine'!AZ44</f>
        <v>0.69464232349547961</v>
      </c>
      <c r="AO48" s="61">
        <f>'monthly model engine'!AZ45</f>
        <v>0.69508947968394041</v>
      </c>
      <c r="AP48" s="61">
        <f>'monthly model engine'!AZ46</f>
        <v>0.69567100337321996</v>
      </c>
      <c r="AQ48" s="61">
        <f>'monthly model engine'!AZ47</f>
        <v>0.69596505535750242</v>
      </c>
      <c r="AR48" s="61">
        <f>'monthly model engine'!AZ48</f>
        <v>0.69624682932985837</v>
      </c>
      <c r="AS48" s="61">
        <f>'monthly model engine'!AZ49</f>
        <v>0.69687507364099532</v>
      </c>
      <c r="AT48" s="61">
        <f>'monthly model engine'!AZ50</f>
        <v>0.69712303366128003</v>
      </c>
      <c r="AU48" s="61">
        <f>'monthly model engine'!AZ51</f>
        <v>0.69663726661039316</v>
      </c>
      <c r="AV48" s="61">
        <f>'monthly model engine'!AZ52</f>
        <v>0.69567100337321996</v>
      </c>
      <c r="AW48" s="61">
        <f>'monthly model engine'!AZ53</f>
        <v>0.69596505535750242</v>
      </c>
      <c r="AX48" s="61">
        <f>'monthly model engine'!AZ54</f>
        <v>0.69624682932985837</v>
      </c>
      <c r="AY48" s="61">
        <f>'monthly model engine'!AZ55</f>
        <v>0.69702571987288686</v>
      </c>
      <c r="AZ48" s="61">
        <f>'monthly model engine'!AZ56</f>
        <v>0.69464232349547961</v>
      </c>
      <c r="BA48" s="61">
        <f>'monthly model engine'!AZ57</f>
        <v>0.69508947968394041</v>
      </c>
      <c r="BB48" s="61">
        <f>'monthly model engine'!AZ58</f>
        <v>0.69567100337321996</v>
      </c>
      <c r="BC48" s="61">
        <f>'monthly model engine'!AZ59</f>
        <v>0.69596505535750242</v>
      </c>
      <c r="BD48" s="61">
        <f>'monthly model engine'!AZ60</f>
        <v>0.69624682932985837</v>
      </c>
      <c r="BE48" s="61">
        <f>'monthly model engine'!AZ61</f>
        <v>0.69687507364099532</v>
      </c>
      <c r="BF48" s="61">
        <f>'monthly model engine'!AZ62</f>
        <v>0.69712303366128003</v>
      </c>
      <c r="BG48" s="61">
        <f>'monthly model engine'!AZ63</f>
        <v>0.69663726661039316</v>
      </c>
      <c r="BH48" s="61">
        <f>'monthly model engine'!AZ64</f>
        <v>0.69567100337321996</v>
      </c>
      <c r="BI48" s="61">
        <f>'monthly model engine'!AZ65</f>
        <v>0.69596505535750242</v>
      </c>
      <c r="BJ48" s="61">
        <f>'monthly model engine'!AZ66</f>
        <v>0.69624682932985837</v>
      </c>
      <c r="BK48" s="61">
        <f>'monthly model engine'!AZ67</f>
        <v>0.69702571987288675</v>
      </c>
    </row>
    <row r="49" spans="2:63" ht="15" customHeight="1" x14ac:dyDescent="0.25">
      <c r="B49" s="57" t="s">
        <v>268</v>
      </c>
      <c r="D49" s="61">
        <f>'monthly model engine'!BA8</f>
        <v>-0.46928261968357232</v>
      </c>
      <c r="E49" s="61">
        <f>'monthly model engine'!BA9</f>
        <v>-0.31733395278277465</v>
      </c>
      <c r="F49" s="61">
        <f>'monthly model engine'!BA10</f>
        <v>-0.20139382287247759</v>
      </c>
      <c r="G49" s="61">
        <f>'monthly model engine'!BA11</f>
        <v>-0.10420052677278432</v>
      </c>
      <c r="H49" s="61">
        <f>'monthly model engine'!BA12</f>
        <v>-2.9260296491970761E-2</v>
      </c>
      <c r="I49" s="61">
        <f>'monthly model engine'!BA13</f>
        <v>6.5840093330168367E-2</v>
      </c>
      <c r="J49" s="61">
        <f>'monthly model engine'!BA14</f>
        <v>0.11487474286798954</v>
      </c>
      <c r="K49" s="61">
        <f>'monthly model engine'!BA15</f>
        <v>9.8309933718667919E-2</v>
      </c>
      <c r="L49" s="61">
        <f>'monthly model engine'!BA16</f>
        <v>9.3198565604573777E-2</v>
      </c>
      <c r="M49" s="61">
        <f>'monthly model engine'!BA17</f>
        <v>0.13076943897659604</v>
      </c>
      <c r="N49" s="61">
        <f>'monthly model engine'!BA18</f>
        <v>0.14519516070705538</v>
      </c>
      <c r="O49" s="61">
        <f>'monthly model engine'!BA19</f>
        <v>0.17716829906318352</v>
      </c>
      <c r="P49" s="61">
        <f>'monthly model engine'!BA20</f>
        <v>0.19512179867635362</v>
      </c>
      <c r="Q49" s="61">
        <f>'monthly model engine'!BA21</f>
        <v>0.20378968303232065</v>
      </c>
      <c r="R49" s="61">
        <f>'monthly model engine'!BA22</f>
        <v>0.20356437450364531</v>
      </c>
      <c r="S49" s="61">
        <f>'monthly model engine'!BA23</f>
        <v>0.21210123473739351</v>
      </c>
      <c r="T49" s="61">
        <f>'monthly model engine'!BA24</f>
        <v>0.21907018531733347</v>
      </c>
      <c r="U49" s="61">
        <f>'monthly model engine'!BA25</f>
        <v>0.24727886811683636</v>
      </c>
      <c r="V49" s="61">
        <f>'monthly model engine'!BA26</f>
        <v>0.25629590046597667</v>
      </c>
      <c r="W49" s="61">
        <f>'monthly model engine'!BA27</f>
        <v>0.22129403567564931</v>
      </c>
      <c r="X49" s="61">
        <f>'monthly model engine'!BA28</f>
        <v>0.1972431506138978</v>
      </c>
      <c r="Y49" s="61">
        <f>'monthly model engine'!BA29</f>
        <v>0.21333852273737439</v>
      </c>
      <c r="Z49" s="61">
        <f>'monthly model engine'!BA30</f>
        <v>0.21422435815541344</v>
      </c>
      <c r="AA49" s="61">
        <f>'monthly model engine'!BA31</f>
        <v>0.23491386932417782</v>
      </c>
      <c r="AB49" s="61">
        <f>'monthly model engine'!BA32</f>
        <v>0.2267325559331404</v>
      </c>
      <c r="AC49" s="61">
        <f>'monthly model engine'!BA33</f>
        <v>0.23517655463295234</v>
      </c>
      <c r="AD49" s="61">
        <f>'monthly model engine'!BA34</f>
        <v>0.2351871302057402</v>
      </c>
      <c r="AE49" s="61">
        <f>'monthly model engine'!BA35</f>
        <v>0.24304971626483032</v>
      </c>
      <c r="AF49" s="61">
        <f>'monthly model engine'!BA36</f>
        <v>0.24937254669321224</v>
      </c>
      <c r="AG49" s="61">
        <f>'monthly model engine'!BA37</f>
        <v>0.27547714861386413</v>
      </c>
      <c r="AH49" s="61">
        <f>'monthly model engine'!BA38</f>
        <v>0.28387922176212022</v>
      </c>
      <c r="AI49" s="61">
        <f>'monthly model engine'!BA39</f>
        <v>0.25163820653382468</v>
      </c>
      <c r="AJ49" s="61">
        <f>'monthly model engine'!BA40</f>
        <v>0.22886590631599268</v>
      </c>
      <c r="AK49" s="61">
        <f>'monthly model engine'!BA41</f>
        <v>0.24428700426481115</v>
      </c>
      <c r="AL49" s="61">
        <f>'monthly model engine'!BA42</f>
        <v>0.24452671953129221</v>
      </c>
      <c r="AM49" s="61">
        <f>'monthly model engine'!BA43</f>
        <v>0.26343020031726144</v>
      </c>
      <c r="AN49" s="61">
        <f>'monthly model engine'!BA44</f>
        <v>0.24909865776577275</v>
      </c>
      <c r="AO49" s="61">
        <f>'monthly model engine'!BA45</f>
        <v>0.25738424680321059</v>
      </c>
      <c r="AP49" s="61">
        <f>'monthly model engine'!BA46</f>
        <v>0.25756172150439233</v>
      </c>
      <c r="AQ49" s="61">
        <f>'monthly model engine'!BA47</f>
        <v>0.26494722677952609</v>
      </c>
      <c r="AR49" s="61">
        <f>'monthly model engine'!BA48</f>
        <v>0.27081289672331543</v>
      </c>
      <c r="AS49" s="61">
        <f>'monthly model engine'!BA49</f>
        <v>0.295428762173082</v>
      </c>
      <c r="AT49" s="61">
        <f>'monthly model engine'!BA50</f>
        <v>0.30339572267920278</v>
      </c>
      <c r="AU49" s="61">
        <f>'monthly model engine'!BA51</f>
        <v>0.27310813874479783</v>
      </c>
      <c r="AV49" s="61">
        <f>'monthly model engine'!BA52</f>
        <v>0.25124049761464484</v>
      </c>
      <c r="AW49" s="61">
        <f>'monthly model engine'!BA53</f>
        <v>0.26618451477950694</v>
      </c>
      <c r="AX49" s="61">
        <f>'monthly model engine'!BA54</f>
        <v>0.26596706956139538</v>
      </c>
      <c r="AY49" s="61">
        <f>'monthly model engine'!BA55</f>
        <v>0.28360684960482069</v>
      </c>
      <c r="AZ49" s="61">
        <f>'monthly model engine'!BA56</f>
        <v>0.25995598875248727</v>
      </c>
      <c r="BA49" s="61">
        <f>'monthly model engine'!BA57</f>
        <v>0.26816467989556897</v>
      </c>
      <c r="BB49" s="61">
        <f>'monthly model engine'!BA58</f>
        <v>0.2684231735911165</v>
      </c>
      <c r="BC49" s="61">
        <f>'monthly model engine'!BA59</f>
        <v>0.27557708625267952</v>
      </c>
      <c r="BD49" s="61">
        <f>'monthly model engine'!BA60</f>
        <v>0.28122083363113254</v>
      </c>
      <c r="BE49" s="61">
        <f>'monthly model engine'!BA61</f>
        <v>0.30511401147367312</v>
      </c>
      <c r="BF49" s="61">
        <f>'monthly model engine'!BA62</f>
        <v>0.3128697522506021</v>
      </c>
      <c r="BG49" s="61">
        <f>'monthly model engine'!BA63</f>
        <v>0.2835304359345906</v>
      </c>
      <c r="BH49" s="61">
        <f>'monthly model engine'!BA64</f>
        <v>0.26210194970136902</v>
      </c>
      <c r="BI49" s="61">
        <f>'monthly model engine'!BA65</f>
        <v>0.27681437425266031</v>
      </c>
      <c r="BJ49" s="61">
        <f>'monthly model engine'!BA66</f>
        <v>0.27637500646921243</v>
      </c>
      <c r="BK49" s="61">
        <f>'monthly model engine'!BA67</f>
        <v>0.29340133955023762</v>
      </c>
    </row>
    <row r="50" spans="2:63" ht="15" customHeight="1" x14ac:dyDescent="0.25">
      <c r="B50" s="57" t="s">
        <v>269</v>
      </c>
      <c r="D50" s="61">
        <f>'monthly model engine'!BB8</f>
        <v>-0.61737374117195221</v>
      </c>
      <c r="E50" s="61">
        <f>'monthly model engine'!BB9</f>
        <v>-0.44599405059148334</v>
      </c>
      <c r="F50" s="61">
        <f>'monthly model engine'!BB10</f>
        <v>-0.31472039087131687</v>
      </c>
      <c r="G50" s="61">
        <f>'monthly model engine'!BB11</f>
        <v>-0.20389065944672968</v>
      </c>
      <c r="H50" s="61">
        <f>'monthly model engine'!BB12</f>
        <v>-0.11820750137691925</v>
      </c>
      <c r="I50" s="61">
        <f>'monthly model engine'!BB13</f>
        <v>-9.9823444779830271E-3</v>
      </c>
      <c r="J50" s="61">
        <f>'monthly model engine'!BB14</f>
        <v>3.4291510709828069E-2</v>
      </c>
      <c r="K50" s="61">
        <f>'monthly model engine'!BB15</f>
        <v>2.0034300706688768E-2</v>
      </c>
      <c r="L50" s="61">
        <f>'monthly model engine'!BB16</f>
        <v>1.6586568622528372E-2</v>
      </c>
      <c r="M50" s="61">
        <f>'monthly model engine'!BB17</f>
        <v>4.7974871172716795E-2</v>
      </c>
      <c r="N50" s="61">
        <f>'monthly model engine'!BB18</f>
        <v>6.1234374908093712E-2</v>
      </c>
      <c r="O50" s="61">
        <f>'monthly model engine'!BB19</f>
        <v>8.8930361401313301E-2</v>
      </c>
      <c r="P50" s="61">
        <f>'monthly model engine'!BB20</f>
        <v>0.10419333620291445</v>
      </c>
      <c r="Q50" s="61">
        <f>'monthly model engine'!BB21</f>
        <v>0.11120509922007006</v>
      </c>
      <c r="R50" s="61">
        <f>'monthly model engine'!BB22</f>
        <v>0.11093846491878123</v>
      </c>
      <c r="S50" s="61">
        <f>'monthly model engine'!BB23</f>
        <v>0.11844299073112395</v>
      </c>
      <c r="T50" s="61">
        <f>'monthly model engine'!BB24</f>
        <v>0.12472687305227267</v>
      </c>
      <c r="U50" s="61">
        <f>'monthly model engine'!BB25</f>
        <v>0.14882695221479067</v>
      </c>
      <c r="V50" s="61">
        <f>'monthly model engine'!BB26</f>
        <v>0.15658112257427359</v>
      </c>
      <c r="W50" s="61">
        <f>'monthly model engine'!BB27</f>
        <v>0.12697548940977452</v>
      </c>
      <c r="X50" s="61">
        <f>'monthly model engine'!BB28</f>
        <v>0.1075176926842263</v>
      </c>
      <c r="Y50" s="61">
        <f>'monthly model engine'!BB29</f>
        <v>0.12067102867345754</v>
      </c>
      <c r="Z50" s="61">
        <f>'monthly model engine'!BB30</f>
        <v>0.12237338846800276</v>
      </c>
      <c r="AA50" s="61">
        <f>'monthly model engine'!BB31</f>
        <v>0.14035294951096225</v>
      </c>
      <c r="AB50" s="61">
        <f>'monthly model engine'!BB32</f>
        <v>0.13348296906063759</v>
      </c>
      <c r="AC50" s="61">
        <f>'monthly model engine'!BB33</f>
        <v>0.14028682052403346</v>
      </c>
      <c r="AD50" s="61">
        <f>'monthly model engine'!BB34</f>
        <v>0.14023827438471087</v>
      </c>
      <c r="AE50" s="61">
        <f>'monthly model engine'!BB35</f>
        <v>0.14711759219802528</v>
      </c>
      <c r="AF50" s="61">
        <f>'monthly model engine'!BB36</f>
        <v>0.15280236896283814</v>
      </c>
      <c r="AG50" s="61">
        <f>'monthly model engine'!BB37</f>
        <v>0.17495256361581984</v>
      </c>
      <c r="AH50" s="61">
        <f>'monthly model engine'!BB38</f>
        <v>0.18213655437595017</v>
      </c>
      <c r="AI50" s="61">
        <f>'monthly model engine'!BB39</f>
        <v>0.15508832962565119</v>
      </c>
      <c r="AJ50" s="61">
        <f>'monthly model engine'!BB40</f>
        <v>0.13681460834052669</v>
      </c>
      <c r="AK50" s="61">
        <f>'monthly model engine'!BB41</f>
        <v>0.14934278033313333</v>
      </c>
      <c r="AL50" s="61">
        <f>'monthly model engine'!BB42</f>
        <v>0.15044607662812581</v>
      </c>
      <c r="AM50" s="61">
        <f>'monthly model engine'!BB43</f>
        <v>0.16677057484475874</v>
      </c>
      <c r="AN50" s="61">
        <f>'monthly model engine'!BB44</f>
        <v>0.15482774671639807</v>
      </c>
      <c r="AO50" s="61">
        <f>'monthly model engine'!BB45</f>
        <v>0.16148394644493747</v>
      </c>
      <c r="AP50" s="61">
        <f>'monthly model engine'!BB46</f>
        <v>0.16159827764837839</v>
      </c>
      <c r="AQ50" s="61">
        <f>'monthly model engine'!BB47</f>
        <v>0.16802566683433048</v>
      </c>
      <c r="AR50" s="61">
        <f>'monthly model engine'!BB48</f>
        <v>0.17327740658640428</v>
      </c>
      <c r="AS50" s="61">
        <f>'monthly model engine'!BB49</f>
        <v>0.19400913858166477</v>
      </c>
      <c r="AT50" s="61">
        <f>'monthly model engine'!BB50</f>
        <v>0.20078073129184193</v>
      </c>
      <c r="AU50" s="61">
        <f>'monthly model engine'!BB51</f>
        <v>0.17560216284412608</v>
      </c>
      <c r="AV50" s="61">
        <f>'monthly model engine'!BB52</f>
        <v>0.15819652346633689</v>
      </c>
      <c r="AW50" s="61">
        <f>'monthly model engine'!BB53</f>
        <v>0.17027243364635913</v>
      </c>
      <c r="AX50" s="61">
        <f>'monthly model engine'!BB54</f>
        <v>0.17094237447558658</v>
      </c>
      <c r="AY50" s="61">
        <f>'monthly model engine'!BB55</f>
        <v>0.18606222251676671</v>
      </c>
      <c r="AZ50" s="61">
        <f>'monthly model engine'!BB56</f>
        <v>0.16651870852396938</v>
      </c>
      <c r="BA50" s="61">
        <f>'monthly model engine'!BB57</f>
        <v>0.17310206695952124</v>
      </c>
      <c r="BB50" s="61">
        <f>'monthly model engine'!BB58</f>
        <v>0.17331381113174443</v>
      </c>
      <c r="BC50" s="61">
        <f>'monthly model engine'!BB59</f>
        <v>0.17950134149416191</v>
      </c>
      <c r="BD50" s="61">
        <f>'monthly model engine'!BB60</f>
        <v>0.18452329848081231</v>
      </c>
      <c r="BE50" s="61">
        <f>'monthly model engine'!BB61</f>
        <v>0.2044833332204968</v>
      </c>
      <c r="BF50" s="61">
        <f>'monthly model engine'!BB62</f>
        <v>0.21103553133904998</v>
      </c>
      <c r="BG50" s="61">
        <f>'monthly model engine'!BB63</f>
        <v>0.18689337557622923</v>
      </c>
      <c r="BH50" s="61">
        <f>'monthly model engine'!BB64</f>
        <v>0.1699739869001928</v>
      </c>
      <c r="BI50" s="61">
        <f>'monthly model engine'!BB65</f>
        <v>0.18180909656837602</v>
      </c>
      <c r="BJ50" s="61">
        <f>'monthly model engine'!BB66</f>
        <v>0.18224835458178726</v>
      </c>
      <c r="BK50" s="61">
        <f>'monthly model engine'!BB67</f>
        <v>0.19671145638393336</v>
      </c>
    </row>
  </sheetData>
  <mergeCells count="11">
    <mergeCell ref="A47:BK47"/>
    <mergeCell ref="AZ4:BK4"/>
    <mergeCell ref="A7:BK7"/>
    <mergeCell ref="A12:BK12"/>
    <mergeCell ref="A19:BK19"/>
    <mergeCell ref="A31:BK31"/>
    <mergeCell ref="D4:O4"/>
    <mergeCell ref="P4:AA4"/>
    <mergeCell ref="AB4:AM4"/>
    <mergeCell ref="AN4:AY4"/>
    <mergeCell ref="A40:BK40"/>
  </mergeCells>
  <dataValidations count="1">
    <dataValidation type="list" sqref="C1" xr:uid="{C3E8F50A-3F0F-487B-AED1-27CC9AF1FDAF}">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5783-9953-4D89-BEBE-789D8D897288}">
  <dimension ref="A1:K13"/>
  <sheetViews>
    <sheetView workbookViewId="0">
      <selection activeCell="B2" sqref="B2:K2"/>
    </sheetView>
  </sheetViews>
  <sheetFormatPr defaultRowHeight="15" x14ac:dyDescent="0.25"/>
  <cols>
    <col min="1" max="1" width="9.28515625" customWidth="1"/>
    <col min="2" max="2" width="20.140625" bestFit="1" customWidth="1"/>
    <col min="3" max="3" width="17.85546875" bestFit="1" customWidth="1"/>
    <col min="4" max="4" width="14" bestFit="1" customWidth="1"/>
    <col min="5" max="5" width="31.42578125" bestFit="1" customWidth="1"/>
    <col min="7" max="7" width="10.7109375" bestFit="1" customWidth="1"/>
  </cols>
  <sheetData>
    <row r="1" spans="1:11" ht="15.75" customHeight="1" x14ac:dyDescent="0.25">
      <c r="A1" s="133"/>
      <c r="B1" t="s">
        <v>0</v>
      </c>
      <c r="C1" s="130" t="s">
        <v>48</v>
      </c>
      <c r="E1" t="s">
        <v>540</v>
      </c>
      <c r="F1" t="s">
        <v>1</v>
      </c>
      <c r="G1" s="121">
        <f ca="1">TODAY()</f>
        <v>46233</v>
      </c>
    </row>
    <row r="2" spans="1:11" x14ac:dyDescent="0.25">
      <c r="B2" s="128"/>
      <c r="C2" s="129"/>
      <c r="D2" s="5"/>
      <c r="E2" s="5"/>
      <c r="F2" s="5"/>
      <c r="G2" s="5"/>
      <c r="H2" s="5"/>
      <c r="I2" s="5"/>
      <c r="J2" s="5"/>
      <c r="K2" s="5"/>
    </row>
    <row r="5" spans="1:11" ht="20.25" x14ac:dyDescent="0.3">
      <c r="A5" s="15" t="s">
        <v>541</v>
      </c>
    </row>
    <row r="7" spans="1:11" x14ac:dyDescent="0.25">
      <c r="A7" s="117" t="s">
        <v>529</v>
      </c>
      <c r="B7" t="s">
        <v>532</v>
      </c>
      <c r="C7" t="s">
        <v>531</v>
      </c>
      <c r="D7" t="s">
        <v>533</v>
      </c>
    </row>
    <row r="8" spans="1:11" x14ac:dyDescent="0.25">
      <c r="A8" s="118">
        <v>1</v>
      </c>
      <c r="B8" s="119">
        <v>194579.26051041667</v>
      </c>
      <c r="C8" s="119">
        <v>135509.43705729168</v>
      </c>
      <c r="D8" s="119">
        <v>4393.1339330468782</v>
      </c>
    </row>
    <row r="9" spans="1:11" x14ac:dyDescent="0.25">
      <c r="A9" s="118">
        <v>2</v>
      </c>
      <c r="B9" s="119">
        <v>285569.93022708333</v>
      </c>
      <c r="C9" s="119">
        <v>198792.61619895831</v>
      </c>
      <c r="D9" s="119">
        <v>62548.006263171876</v>
      </c>
    </row>
    <row r="10" spans="1:11" x14ac:dyDescent="0.25">
      <c r="A10" s="118">
        <v>3</v>
      </c>
      <c r="B10" s="119">
        <v>308415.52464524994</v>
      </c>
      <c r="C10" s="119">
        <v>214696.02549487501</v>
      </c>
      <c r="D10" s="119">
        <v>76871.749824225626</v>
      </c>
    </row>
    <row r="11" spans="1:11" x14ac:dyDescent="0.25">
      <c r="A11" s="118">
        <v>4</v>
      </c>
      <c r="B11" s="119">
        <v>326920.45612396504</v>
      </c>
      <c r="C11" s="119">
        <v>227577.78702456754</v>
      </c>
      <c r="D11" s="119">
        <v>88473.982108679193</v>
      </c>
    </row>
    <row r="12" spans="1:11" x14ac:dyDescent="0.25">
      <c r="A12" s="118">
        <v>5</v>
      </c>
      <c r="B12" s="119">
        <v>336728.06980768399</v>
      </c>
      <c r="C12" s="119">
        <v>234405.12063530454</v>
      </c>
      <c r="D12" s="119">
        <v>94623.165219439543</v>
      </c>
    </row>
    <row r="13" spans="1:11" x14ac:dyDescent="0.25">
      <c r="A13" s="118" t="s">
        <v>530</v>
      </c>
      <c r="B13" s="119">
        <v>1452213.2413143991</v>
      </c>
      <c r="C13" s="119">
        <v>1010980.9864109971</v>
      </c>
      <c r="D13" s="119">
        <v>326910.03734856308</v>
      </c>
    </row>
  </sheetData>
  <dataValidations count="1">
    <dataValidation type="list" sqref="C1" xr:uid="{4D262C70-47C7-4541-A91C-8391690F42DE}">
      <formula1>"Worst,Base,Best"</formula1>
      <formula2>0</formula2>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BE67"/>
  <sheetViews>
    <sheetView zoomScaleNormal="100" workbookViewId="0">
      <pane xSplit="4" ySplit="7" topLeftCell="E8" activePane="bottomRight" state="frozen"/>
      <selection pane="topRight" activeCell="E1" sqref="E1"/>
      <selection pane="bottomLeft" activeCell="A21" sqref="A21"/>
      <selection pane="bottomRight" activeCell="B2" sqref="B2:K2"/>
    </sheetView>
  </sheetViews>
  <sheetFormatPr defaultColWidth="8.7109375" defaultRowHeight="15" x14ac:dyDescent="0.25"/>
  <cols>
    <col min="1" max="1" width="8.42578125" customWidth="1"/>
    <col min="2" max="2" width="8" customWidth="1"/>
    <col min="3" max="3" width="11.28515625" customWidth="1"/>
    <col min="4" max="4" width="12.5703125" customWidth="1"/>
    <col min="5" max="5" width="31.42578125" bestFit="1" customWidth="1"/>
    <col min="6" max="6" width="13.140625" bestFit="1" customWidth="1"/>
    <col min="7" max="7" width="14.140625" customWidth="1"/>
    <col min="8" max="8" width="13" customWidth="1"/>
    <col min="9" max="9" width="11.140625" customWidth="1"/>
    <col min="10" max="10" width="13.28515625" customWidth="1"/>
    <col min="11" max="11" width="16.85546875" customWidth="1"/>
    <col min="12" max="13" width="13.85546875" customWidth="1"/>
    <col min="14" max="14" width="11.7109375" customWidth="1"/>
    <col min="15" max="15" width="10.85546875" customWidth="1"/>
    <col min="16" max="16" width="16.28515625" customWidth="1"/>
    <col min="17" max="17" width="12.85546875" customWidth="1"/>
    <col min="18" max="18" width="12.42578125" customWidth="1"/>
    <col min="19" max="19" width="18.140625" customWidth="1"/>
    <col min="20" max="20" width="13.7109375" customWidth="1"/>
    <col min="21" max="21" width="11.42578125" customWidth="1"/>
    <col min="22" max="22" width="14.85546875" customWidth="1"/>
    <col min="23" max="23" width="16" customWidth="1"/>
    <col min="24" max="24" width="14.140625" customWidth="1"/>
    <col min="25" max="25" width="11.85546875" customWidth="1"/>
    <col min="26" max="26" width="12.42578125" customWidth="1"/>
    <col min="27" max="28" width="8" customWidth="1"/>
    <col min="29" max="29" width="11.28515625" customWidth="1"/>
    <col min="30" max="30" width="12.85546875" customWidth="1"/>
    <col min="31" max="31" width="11.140625" customWidth="1"/>
    <col min="32" max="32" width="10.5703125" customWidth="1"/>
    <col min="33" max="33" width="12.7109375" customWidth="1"/>
    <col min="34" max="34" width="10.140625" customWidth="1"/>
    <col min="35" max="35" width="10.5703125" customWidth="1"/>
    <col min="36" max="36" width="8.28515625" customWidth="1"/>
    <col min="37" max="37" width="15.7109375" customWidth="1"/>
    <col min="38" max="38" width="9.140625" customWidth="1"/>
    <col min="39" max="39" width="10.85546875" customWidth="1"/>
    <col min="40" max="40" width="14.28515625" customWidth="1"/>
    <col min="41" max="41" width="11.42578125" customWidth="1"/>
    <col min="42" max="42" width="9" customWidth="1"/>
    <col min="43" max="44" width="13.42578125" customWidth="1"/>
    <col min="45" max="47" width="8" customWidth="1"/>
    <col min="48" max="48" width="14.28515625" customWidth="1"/>
    <col min="49" max="49" width="13.7109375" customWidth="1"/>
    <col min="50" max="50" width="14" customWidth="1"/>
    <col min="51" max="51" width="13.28515625" customWidth="1"/>
    <col min="52" max="52" width="16.28515625" customWidth="1"/>
    <col min="53" max="53" width="17.28515625" customWidth="1"/>
    <col min="54" max="54" width="14.140625" customWidth="1"/>
    <col min="55" max="55" width="3" customWidth="1"/>
    <col min="56" max="56" width="24" customWidth="1"/>
    <col min="57" max="57" width="62" customWidth="1"/>
  </cols>
  <sheetData>
    <row r="1" spans="1:57" ht="15.75" customHeight="1" x14ac:dyDescent="0.25">
      <c r="A1" s="133"/>
      <c r="B1" t="s">
        <v>0</v>
      </c>
      <c r="C1" s="130" t="s">
        <v>48</v>
      </c>
      <c r="E1" t="s">
        <v>540</v>
      </c>
      <c r="F1" t="s">
        <v>1</v>
      </c>
      <c r="G1" s="121">
        <f ca="1">TODAY()</f>
        <v>46233</v>
      </c>
    </row>
    <row r="2" spans="1:57" x14ac:dyDescent="0.25">
      <c r="B2" s="128"/>
      <c r="C2" s="129"/>
      <c r="D2" s="5"/>
      <c r="E2" s="5"/>
      <c r="F2" s="5"/>
      <c r="G2" s="5"/>
      <c r="H2" s="5"/>
      <c r="I2" s="5"/>
      <c r="J2" s="5"/>
      <c r="K2" s="5"/>
    </row>
    <row r="5" spans="1:57" ht="20.25" x14ac:dyDescent="0.3">
      <c r="A5" s="15" t="s">
        <v>270</v>
      </c>
    </row>
    <row r="6" spans="1:57" ht="4.5" customHeight="1" x14ac:dyDescent="0.25">
      <c r="BD6" s="153" t="s">
        <v>271</v>
      </c>
      <c r="BE6" s="153"/>
    </row>
    <row r="7" spans="1:57" ht="32.25" customHeight="1" x14ac:dyDescent="0.25">
      <c r="A7" s="103" t="s">
        <v>272</v>
      </c>
      <c r="B7" s="104" t="s">
        <v>29</v>
      </c>
      <c r="C7" s="104" t="s">
        <v>273</v>
      </c>
      <c r="D7" s="104" t="s">
        <v>274</v>
      </c>
      <c r="E7" s="104" t="s">
        <v>275</v>
      </c>
      <c r="F7" s="104" t="s">
        <v>276</v>
      </c>
      <c r="G7" s="104" t="s">
        <v>277</v>
      </c>
      <c r="H7" s="104" t="s">
        <v>278</v>
      </c>
      <c r="I7" s="104" t="s">
        <v>279</v>
      </c>
      <c r="J7" s="104" t="s">
        <v>280</v>
      </c>
      <c r="K7" s="104" t="s">
        <v>281</v>
      </c>
      <c r="L7" s="104" t="s">
        <v>282</v>
      </c>
      <c r="M7" s="104" t="s">
        <v>283</v>
      </c>
      <c r="N7" s="104" t="s">
        <v>284</v>
      </c>
      <c r="O7" s="104" t="s">
        <v>285</v>
      </c>
      <c r="P7" s="104" t="s">
        <v>286</v>
      </c>
      <c r="Q7" s="104" t="s">
        <v>287</v>
      </c>
      <c r="R7" s="104" t="s">
        <v>288</v>
      </c>
      <c r="S7" s="104" t="s">
        <v>289</v>
      </c>
      <c r="T7" s="104" t="s">
        <v>290</v>
      </c>
      <c r="U7" s="104" t="s">
        <v>291</v>
      </c>
      <c r="V7" s="104" t="s">
        <v>292</v>
      </c>
      <c r="W7" s="104" t="s">
        <v>293</v>
      </c>
      <c r="X7" s="104" t="s">
        <v>294</v>
      </c>
      <c r="Y7" s="104" t="s">
        <v>295</v>
      </c>
      <c r="Z7" s="104" t="s">
        <v>296</v>
      </c>
      <c r="AA7" s="104" t="s">
        <v>39</v>
      </c>
      <c r="AB7" s="104" t="s">
        <v>297</v>
      </c>
      <c r="AC7" s="104" t="s">
        <v>41</v>
      </c>
      <c r="AD7" s="104" t="s">
        <v>298</v>
      </c>
      <c r="AE7" s="104" t="s">
        <v>299</v>
      </c>
      <c r="AF7" s="104" t="s">
        <v>300</v>
      </c>
      <c r="AG7" s="104" t="s">
        <v>301</v>
      </c>
      <c r="AH7" s="104" t="s">
        <v>302</v>
      </c>
      <c r="AI7" s="104" t="s">
        <v>44</v>
      </c>
      <c r="AJ7" s="104" t="s">
        <v>45</v>
      </c>
      <c r="AK7" s="104" t="s">
        <v>303</v>
      </c>
      <c r="AL7" s="104" t="s">
        <v>257</v>
      </c>
      <c r="AM7" s="104" t="s">
        <v>304</v>
      </c>
      <c r="AN7" s="104" t="s">
        <v>305</v>
      </c>
      <c r="AO7" s="104" t="s">
        <v>306</v>
      </c>
      <c r="AP7" s="104" t="s">
        <v>20</v>
      </c>
      <c r="AQ7" s="104" t="s">
        <v>261</v>
      </c>
      <c r="AR7" s="104" t="s">
        <v>307</v>
      </c>
      <c r="AS7" s="104" t="s">
        <v>308</v>
      </c>
      <c r="AT7" s="104" t="s">
        <v>148</v>
      </c>
      <c r="AU7" s="104" t="s">
        <v>309</v>
      </c>
      <c r="AV7" s="104" t="s">
        <v>310</v>
      </c>
      <c r="AW7" s="104" t="s">
        <v>311</v>
      </c>
      <c r="AX7" s="104" t="s">
        <v>312</v>
      </c>
      <c r="AY7" s="104" t="s">
        <v>313</v>
      </c>
      <c r="AZ7" s="104" t="s">
        <v>314</v>
      </c>
      <c r="BA7" s="104" t="s">
        <v>315</v>
      </c>
      <c r="BB7" s="105" t="s">
        <v>316</v>
      </c>
      <c r="BD7" s="18" t="s">
        <v>317</v>
      </c>
      <c r="BE7" s="18" t="s">
        <v>318</v>
      </c>
    </row>
    <row r="8" spans="1:57" ht="15" customHeight="1" x14ac:dyDescent="0.25">
      <c r="A8" s="101">
        <v>1</v>
      </c>
      <c r="B8" s="19">
        <v>1</v>
      </c>
      <c r="C8" s="19">
        <v>1</v>
      </c>
      <c r="D8" s="62" t="str">
        <f>'Seasonality Data Break down'!$B$7&amp;" Y"&amp;B8</f>
        <v>January Y1</v>
      </c>
      <c r="E8" s="63">
        <f>IF(B8=1,INDEX(Workings!$B$27:$B$38,C8),1)</f>
        <v>0.5</v>
      </c>
      <c r="F8" s="63">
        <f>IF(B8=1,INDEX(Workings!$C$27:$C$38,C8),1)</f>
        <v>0.4</v>
      </c>
      <c r="G8" s="64">
        <f>INDEX(Workings!$C$19:$C$23,B8)</f>
        <v>1</v>
      </c>
      <c r="H8" s="65">
        <f>INDEX('Seasonality Data Break down'!$C$7:$C$18,C8)</f>
        <v>0.85</v>
      </c>
      <c r="I8" s="65">
        <f>INDEX('Seasonality Data Break down'!$D$7:$D$18,C8)</f>
        <v>1.3</v>
      </c>
      <c r="J8" s="66">
        <f>Assumptions!$C$18/12</f>
        <v>26.083333333333332</v>
      </c>
      <c r="K8" s="64">
        <f>Assumptions!$C$19*E8*H8*G8</f>
        <v>27.625</v>
      </c>
      <c r="L8" s="67">
        <f>Assumptions!$C$20+INDEX('Seasonality Data Break down'!$E$7:$E$18,C8)</f>
        <v>8.5</v>
      </c>
      <c r="M8" s="68">
        <f t="shared" ref="M8:M39" si="0">K8*J8*L8</f>
        <v>6124.692708333333</v>
      </c>
      <c r="N8" s="68">
        <f>M8*Assumptions!$C$21</f>
        <v>1837.4078124999999</v>
      </c>
      <c r="O8" s="64">
        <f>Assumptions!$C$27*F8*I8*G8</f>
        <v>28.6</v>
      </c>
      <c r="P8" s="68">
        <f>O8*Assumptions!$C$28</f>
        <v>1287</v>
      </c>
      <c r="Q8" s="64">
        <f>Assumptions!$C$24*4.333*F8*I8*G8</f>
        <v>31.544240000000006</v>
      </c>
      <c r="R8" s="64">
        <f>Q8*Assumptions!$C$25</f>
        <v>315.44240000000008</v>
      </c>
      <c r="S8" s="64">
        <f>MIN(O8*Assumptions!$C$48,R8)</f>
        <v>171.60000000000002</v>
      </c>
      <c r="T8" s="64">
        <f t="shared" ref="T8:T39" si="1">MAX(R8-S8,0)</f>
        <v>143.84240000000005</v>
      </c>
      <c r="U8" s="68">
        <f>T8*Assumptions!$C$26</f>
        <v>1726.1088000000007</v>
      </c>
      <c r="V8" s="68">
        <f>Q8*Assumptions!$C$29</f>
        <v>946.32720000000018</v>
      </c>
      <c r="W8" s="68">
        <f t="shared" ref="W8:W39" si="2">P8+U8</f>
        <v>3013.1088000000009</v>
      </c>
      <c r="X8" s="69">
        <f t="shared" ref="X8:X39" si="3">M8+W8</f>
        <v>9137.8015083333339</v>
      </c>
      <c r="Y8" s="68">
        <f t="shared" ref="Y8:Y39" si="4">N8+V8</f>
        <v>2783.7350125000003</v>
      </c>
      <c r="Z8" s="69">
        <f t="shared" ref="Z8:Z39" si="5">X8-Y8</f>
        <v>6354.0664958333336</v>
      </c>
      <c r="AA8" s="67">
        <f>Assumptions!$C$10*Assumptions!$C$9/12</f>
        <v>2000</v>
      </c>
      <c r="AB8" s="67">
        <f>Assumptions!$C$12/12</f>
        <v>125</v>
      </c>
      <c r="AC8" s="67">
        <f>Assumptions!$C$14/12</f>
        <v>150</v>
      </c>
      <c r="AD8" s="68">
        <f>(Assumptions!$C$32*4.333*Assumptions!$C$33+Assumptions!$C$34/12)*(1+(Assumptions!$C$35))</f>
        <v>6783.2323541666665</v>
      </c>
      <c r="AE8" s="67">
        <f>INDEX('Seasonality Data Break down'!$F$7:$F$18,C8)*G8</f>
        <v>300</v>
      </c>
      <c r="AF8" s="67">
        <f>INDEX('Seasonality Data Break down'!$G$7:$G$18,C8)*G8</f>
        <v>150</v>
      </c>
      <c r="AG8" s="67">
        <f>INDEX('Seasonality Data Break down'!$H$7:$H$18,C8)*G8</f>
        <v>50</v>
      </c>
      <c r="AH8" s="69">
        <f t="shared" ref="AH8:AH39" si="6">AE8+AF8+AG8</f>
        <v>500</v>
      </c>
      <c r="AI8" s="67">
        <f>Assumptions!$C$39</f>
        <v>150</v>
      </c>
      <c r="AJ8" s="67">
        <f>Assumptions!$C$40</f>
        <v>500</v>
      </c>
      <c r="AK8" s="69">
        <f t="shared" ref="AK8:AK39" si="7">AA8+AB8+AC8+AD8+AH8+AI8+AJ8</f>
        <v>10208.232354166666</v>
      </c>
      <c r="AL8" s="68">
        <f>X8*Assumptions!$C$13</f>
        <v>274.13404524999999</v>
      </c>
      <c r="AM8" s="68">
        <f>X8*Assumptions!$C$15</f>
        <v>159.91152639583336</v>
      </c>
      <c r="AN8" s="69">
        <f t="shared" ref="AN8:AN39" si="8">AL8+AM8</f>
        <v>434.04557164583332</v>
      </c>
      <c r="AO8" s="69">
        <f t="shared" ref="AO8:AO39" si="9">AK8+AN8</f>
        <v>10642.277925812499</v>
      </c>
      <c r="AP8" s="69">
        <f t="shared" ref="AP8:AP39" si="10">Z8-AO8</f>
        <v>-4288.2114299791656</v>
      </c>
      <c r="AQ8" s="67">
        <f>'Startup Costs'!$D$24/(Assumptions!$C$54*12)</f>
        <v>916.66666666666663</v>
      </c>
      <c r="AR8" s="67">
        <f>-'Loan schedule'!$D$12</f>
        <v>-436.56060664062494</v>
      </c>
      <c r="AS8" s="68">
        <f t="shared" ref="AS8:AS39" si="11">AP8-AQ8+AR8</f>
        <v>-5641.4387032864579</v>
      </c>
      <c r="AT8" s="68">
        <f>-MAX(AS8,0)*Assumptions!$C$41</f>
        <v>0</v>
      </c>
      <c r="AU8" s="69">
        <f t="shared" ref="AU8:AU39" si="12">AS8+AT8</f>
        <v>-5641.4387032864579</v>
      </c>
      <c r="AV8" s="67">
        <f>-'Loan schedule'!$E$12</f>
        <v>-963.0840325176423</v>
      </c>
      <c r="AW8" s="69">
        <f t="shared" ref="AW8:AW39" si="13">AU8+AQ8+AV8</f>
        <v>-5687.8560691374332</v>
      </c>
      <c r="AX8" s="68">
        <f>Workings!$B$46</f>
        <v>31074.697062499996</v>
      </c>
      <c r="AY8" s="69">
        <f t="shared" ref="AY8:AY39" si="14">AX8+AW8</f>
        <v>25386.840993362563</v>
      </c>
      <c r="AZ8" s="63">
        <f t="shared" ref="AZ8:AZ39" si="15">IFERROR(Z8/X8,0)</f>
        <v>0.69536052955830374</v>
      </c>
      <c r="BA8" s="63">
        <f t="shared" ref="BA8:BA39" si="16">IFERROR(AP8/X8,0)</f>
        <v>-0.46928261968357232</v>
      </c>
      <c r="BB8" s="102">
        <f t="shared" ref="BB8:BB39" si="17">IFERROR(AU8/X8,0)</f>
        <v>-0.61737374117195221</v>
      </c>
      <c r="BD8" s="70" t="s">
        <v>319</v>
      </c>
      <c r="BE8" s="71" t="s">
        <v>320</v>
      </c>
    </row>
    <row r="9" spans="1:57" ht="15" customHeight="1" x14ac:dyDescent="0.25">
      <c r="A9" s="101">
        <v>2</v>
      </c>
      <c r="B9" s="19">
        <v>1</v>
      </c>
      <c r="C9" s="19">
        <v>2</v>
      </c>
      <c r="D9" s="62" t="str">
        <f>'Seasonality Data Break down'!$B$8&amp;" Y"&amp;B9</f>
        <v>February Y1</v>
      </c>
      <c r="E9" s="63">
        <f>IF(B9=1,INDEX(Workings!$B$27:$B$38,C9),1)</f>
        <v>0.55000000000000004</v>
      </c>
      <c r="F9" s="63">
        <f>IF(B9=1,INDEX(Workings!$C$27:$C$38,C9),1)</f>
        <v>0.48</v>
      </c>
      <c r="G9" s="64">
        <f>INDEX(Workings!$C$19:$C$23,B9)</f>
        <v>1</v>
      </c>
      <c r="H9" s="65">
        <f>INDEX('Seasonality Data Break down'!$C$7:$C$18,C9)</f>
        <v>0.9</v>
      </c>
      <c r="I9" s="65">
        <f>INDEX('Seasonality Data Break down'!$D$7:$D$18,C9)</f>
        <v>1.2</v>
      </c>
      <c r="J9" s="66">
        <f>Assumptions!$C$18/12</f>
        <v>26.083333333333332</v>
      </c>
      <c r="K9" s="64">
        <f>Assumptions!$C$19*E9*H9*G9</f>
        <v>32.175000000000004</v>
      </c>
      <c r="L9" s="67">
        <f>Assumptions!$C$20+INDEX('Seasonality Data Break down'!$E$7:$E$18,C9)</f>
        <v>8.5</v>
      </c>
      <c r="M9" s="68">
        <f t="shared" si="0"/>
        <v>7133.4656250000007</v>
      </c>
      <c r="N9" s="68">
        <f>M9*Assumptions!$C$21</f>
        <v>2140.0396875000001</v>
      </c>
      <c r="O9" s="64">
        <f>Assumptions!$C$27*F9*I9*G9</f>
        <v>31.679999999999996</v>
      </c>
      <c r="P9" s="68">
        <f>O9*Assumptions!$C$28</f>
        <v>1425.6</v>
      </c>
      <c r="Q9" s="64">
        <f>Assumptions!$C$24*4.333*F9*I9*G9</f>
        <v>34.941311999999996</v>
      </c>
      <c r="R9" s="64">
        <f>Q9*Assumptions!$C$25</f>
        <v>349.41311999999994</v>
      </c>
      <c r="S9" s="64">
        <f>MIN(O9*Assumptions!$C$48,R9)</f>
        <v>190.07999999999998</v>
      </c>
      <c r="T9" s="64">
        <f t="shared" si="1"/>
        <v>159.33311999999995</v>
      </c>
      <c r="U9" s="68">
        <f>T9*Assumptions!$C$26</f>
        <v>1911.9974399999994</v>
      </c>
      <c r="V9" s="68">
        <f>Q9*Assumptions!$C$29</f>
        <v>1048.2393599999998</v>
      </c>
      <c r="W9" s="68">
        <f t="shared" si="2"/>
        <v>3337.5974399999996</v>
      </c>
      <c r="X9" s="69">
        <f t="shared" si="3"/>
        <v>10471.063065</v>
      </c>
      <c r="Y9" s="68">
        <f t="shared" si="4"/>
        <v>3188.2790475000002</v>
      </c>
      <c r="Z9" s="69">
        <f t="shared" si="5"/>
        <v>7282.7840175000001</v>
      </c>
      <c r="AA9" s="67">
        <f>Assumptions!$C$10*Assumptions!$C$9/12</f>
        <v>2000</v>
      </c>
      <c r="AB9" s="67">
        <f>Assumptions!$C$12/12</f>
        <v>125</v>
      </c>
      <c r="AC9" s="67">
        <f>Assumptions!$C$14/12</f>
        <v>150</v>
      </c>
      <c r="AD9" s="68">
        <f>(Assumptions!$C$32*4.333*Assumptions!$C$33+Assumptions!$C$34/12)*(1+(Assumptions!$C$35))</f>
        <v>6783.2323541666665</v>
      </c>
      <c r="AE9" s="67">
        <f>INDEX('Seasonality Data Break down'!$F$7:$F$18,C9)*G9</f>
        <v>200</v>
      </c>
      <c r="AF9" s="67">
        <f>INDEX('Seasonality Data Break down'!$G$7:$G$18,C9)*G9</f>
        <v>150</v>
      </c>
      <c r="AG9" s="67">
        <f>INDEX('Seasonality Data Break down'!$H$7:$H$18,C9)*G9</f>
        <v>50</v>
      </c>
      <c r="AH9" s="69">
        <f t="shared" si="6"/>
        <v>400</v>
      </c>
      <c r="AI9" s="67">
        <f>Assumptions!$C$39</f>
        <v>150</v>
      </c>
      <c r="AJ9" s="67">
        <f>Assumptions!$C$40</f>
        <v>500</v>
      </c>
      <c r="AK9" s="69">
        <f t="shared" si="7"/>
        <v>10108.232354166666</v>
      </c>
      <c r="AL9" s="68">
        <f>X9*Assumptions!$C$13</f>
        <v>314.13189195000001</v>
      </c>
      <c r="AM9" s="68">
        <f>X9*Assumptions!$C$15</f>
        <v>183.24360363750003</v>
      </c>
      <c r="AN9" s="69">
        <f t="shared" si="8"/>
        <v>497.37549558750004</v>
      </c>
      <c r="AO9" s="69">
        <f t="shared" si="9"/>
        <v>10605.607849754166</v>
      </c>
      <c r="AP9" s="69">
        <f t="shared" si="10"/>
        <v>-3322.8238322541656</v>
      </c>
      <c r="AQ9" s="67">
        <f>'Startup Costs'!$D$24/(Assumptions!$C$54*12)</f>
        <v>916.66666666666663</v>
      </c>
      <c r="AR9" s="67">
        <f>-'Loan schedule'!$D$13</f>
        <v>-430.54133143738972</v>
      </c>
      <c r="AS9" s="68">
        <f t="shared" si="11"/>
        <v>-4670.0318303582226</v>
      </c>
      <c r="AT9" s="68">
        <f>-MAX(AS9,0)*Assumptions!$C$41</f>
        <v>0</v>
      </c>
      <c r="AU9" s="69">
        <f t="shared" si="12"/>
        <v>-4670.0318303582226</v>
      </c>
      <c r="AV9" s="67">
        <f>-'Loan schedule'!$E$13</f>
        <v>-969.10330772087741</v>
      </c>
      <c r="AW9" s="69">
        <f t="shared" si="13"/>
        <v>-4722.4684714124332</v>
      </c>
      <c r="AX9" s="68">
        <f t="shared" ref="AX9:AX40" si="18">AY8</f>
        <v>25386.840993362563</v>
      </c>
      <c r="AY9" s="69">
        <f t="shared" si="14"/>
        <v>20664.372521950128</v>
      </c>
      <c r="AZ9" s="63">
        <f t="shared" si="15"/>
        <v>0.69551524733367653</v>
      </c>
      <c r="BA9" s="63">
        <f t="shared" si="16"/>
        <v>-0.31733395278277465</v>
      </c>
      <c r="BB9" s="102">
        <f t="shared" si="17"/>
        <v>-0.44599405059148334</v>
      </c>
      <c r="BD9" s="70" t="s">
        <v>321</v>
      </c>
      <c r="BE9" s="71" t="s">
        <v>322</v>
      </c>
    </row>
    <row r="10" spans="1:57" ht="15" customHeight="1" x14ac:dyDescent="0.25">
      <c r="A10" s="101">
        <v>3</v>
      </c>
      <c r="B10" s="19">
        <v>1</v>
      </c>
      <c r="C10" s="19">
        <v>3</v>
      </c>
      <c r="D10" s="62" t="str">
        <f>'Seasonality Data Break down'!$B$9&amp;" Y"&amp;B10</f>
        <v>March Y1</v>
      </c>
      <c r="E10" s="63">
        <f>IF(B10=1,INDEX(Workings!$B$27:$B$38,C10),1)</f>
        <v>0.62</v>
      </c>
      <c r="F10" s="63">
        <f>IF(B10=1,INDEX(Workings!$C$27:$C$38,C10),1)</f>
        <v>0.55000000000000004</v>
      </c>
      <c r="G10" s="64">
        <f>INDEX(Workings!$C$19:$C$23,B10)</f>
        <v>1</v>
      </c>
      <c r="H10" s="65">
        <f>INDEX('Seasonality Data Break down'!$C$7:$C$18,C10)</f>
        <v>0.95</v>
      </c>
      <c r="I10" s="65">
        <f>INDEX('Seasonality Data Break down'!$D$7:$D$18,C10)</f>
        <v>1.05</v>
      </c>
      <c r="J10" s="66">
        <f>Assumptions!$C$18/12</f>
        <v>26.083333333333332</v>
      </c>
      <c r="K10" s="64">
        <f>Assumptions!$C$19*E10*H10*G10</f>
        <v>38.284999999999997</v>
      </c>
      <c r="L10" s="67">
        <f>Assumptions!$C$20+INDEX('Seasonality Data Break down'!$E$7:$E$18,C10)</f>
        <v>8.5</v>
      </c>
      <c r="M10" s="68">
        <f t="shared" si="0"/>
        <v>8488.1035416666655</v>
      </c>
      <c r="N10" s="68">
        <f>M10*Assumptions!$C$21</f>
        <v>2546.4310624999994</v>
      </c>
      <c r="O10" s="64">
        <f>Assumptions!$C$27*F10*I10*G10</f>
        <v>31.762500000000006</v>
      </c>
      <c r="P10" s="68">
        <f>O10*Assumptions!$C$28</f>
        <v>1429.3125000000002</v>
      </c>
      <c r="Q10" s="64">
        <f>Assumptions!$C$24*4.333*F10*I10*G10</f>
        <v>35.032305000000008</v>
      </c>
      <c r="R10" s="64">
        <f>Q10*Assumptions!$C$25</f>
        <v>350.32305000000008</v>
      </c>
      <c r="S10" s="64">
        <f>MIN(O10*Assumptions!$C$48,R10)</f>
        <v>190.57500000000005</v>
      </c>
      <c r="T10" s="64">
        <f t="shared" si="1"/>
        <v>159.74805000000003</v>
      </c>
      <c r="U10" s="68">
        <f>T10*Assumptions!$C$26</f>
        <v>1916.9766000000004</v>
      </c>
      <c r="V10" s="68">
        <f>Q10*Assumptions!$C$29</f>
        <v>1050.9691500000004</v>
      </c>
      <c r="W10" s="68">
        <f t="shared" si="2"/>
        <v>3346.2891000000009</v>
      </c>
      <c r="X10" s="69">
        <f t="shared" si="3"/>
        <v>11834.392641666665</v>
      </c>
      <c r="Y10" s="68">
        <f t="shared" si="4"/>
        <v>3597.4002124999997</v>
      </c>
      <c r="Z10" s="69">
        <f t="shared" si="5"/>
        <v>8236.9924291666648</v>
      </c>
      <c r="AA10" s="67">
        <f>Assumptions!$C$10*Assumptions!$C$9/12</f>
        <v>2000</v>
      </c>
      <c r="AB10" s="67">
        <f>Assumptions!$C$12/12</f>
        <v>125</v>
      </c>
      <c r="AC10" s="67">
        <f>Assumptions!$C$14/12</f>
        <v>150</v>
      </c>
      <c r="AD10" s="68">
        <f>(Assumptions!$C$32*4.333*Assumptions!$C$33+Assumptions!$C$34/12)*(1+(Assumptions!$C$35))</f>
        <v>6783.2323541666665</v>
      </c>
      <c r="AE10" s="67">
        <f>INDEX('Seasonality Data Break down'!$F$7:$F$18,C10)*G10</f>
        <v>150</v>
      </c>
      <c r="AF10" s="67">
        <f>INDEX('Seasonality Data Break down'!$G$7:$G$18,C10)*G10</f>
        <v>150</v>
      </c>
      <c r="AG10" s="67">
        <f>INDEX('Seasonality Data Break down'!$H$7:$H$18,C10)*G10</f>
        <v>50</v>
      </c>
      <c r="AH10" s="69">
        <f t="shared" si="6"/>
        <v>350</v>
      </c>
      <c r="AI10" s="67">
        <f>Assumptions!$C$39</f>
        <v>150</v>
      </c>
      <c r="AJ10" s="67">
        <f>Assumptions!$C$40</f>
        <v>500</v>
      </c>
      <c r="AK10" s="69">
        <f t="shared" si="7"/>
        <v>10058.232354166666</v>
      </c>
      <c r="AL10" s="68">
        <f>X10*Assumptions!$C$13</f>
        <v>355.03177924999994</v>
      </c>
      <c r="AM10" s="68">
        <f>X10*Assumptions!$C$15</f>
        <v>207.10187122916668</v>
      </c>
      <c r="AN10" s="69">
        <f t="shared" si="8"/>
        <v>562.13365047916659</v>
      </c>
      <c r="AO10" s="69">
        <f t="shared" si="9"/>
        <v>10620.366004645834</v>
      </c>
      <c r="AP10" s="69">
        <f t="shared" si="10"/>
        <v>-2383.3735754791687</v>
      </c>
      <c r="AQ10" s="67">
        <f>'Startup Costs'!$D$24/(Assumptions!$C$54*12)</f>
        <v>916.66666666666663</v>
      </c>
      <c r="AR10" s="67">
        <f>-'Loan schedule'!$D$14</f>
        <v>-424.48443576413428</v>
      </c>
      <c r="AS10" s="68">
        <f t="shared" si="11"/>
        <v>-3724.5246779099693</v>
      </c>
      <c r="AT10" s="68">
        <f>-MAX(AS10,0)*Assumptions!$C$41</f>
        <v>0</v>
      </c>
      <c r="AU10" s="69">
        <f t="shared" si="12"/>
        <v>-3724.5246779099693</v>
      </c>
      <c r="AV10" s="67">
        <f>-'Loan schedule'!$E$14</f>
        <v>-975.16020339413285</v>
      </c>
      <c r="AW10" s="69">
        <f t="shared" si="13"/>
        <v>-3783.0182146374354</v>
      </c>
      <c r="AX10" s="68">
        <f t="shared" si="18"/>
        <v>20664.372521950128</v>
      </c>
      <c r="AY10" s="69">
        <f t="shared" si="14"/>
        <v>16881.354307312693</v>
      </c>
      <c r="AZ10" s="63">
        <f t="shared" si="15"/>
        <v>0.6960215600896803</v>
      </c>
      <c r="BA10" s="63">
        <f t="shared" si="16"/>
        <v>-0.20139382287247759</v>
      </c>
      <c r="BB10" s="102">
        <f t="shared" si="17"/>
        <v>-0.31472039087131687</v>
      </c>
      <c r="BD10" s="70" t="s">
        <v>323</v>
      </c>
      <c r="BE10" s="71" t="s">
        <v>324</v>
      </c>
    </row>
    <row r="11" spans="1:57" ht="15" customHeight="1" x14ac:dyDescent="0.25">
      <c r="A11" s="101">
        <v>4</v>
      </c>
      <c r="B11" s="19">
        <v>1</v>
      </c>
      <c r="C11" s="19">
        <v>4</v>
      </c>
      <c r="D11" s="62" t="str">
        <f>'Seasonality Data Break down'!$B$10&amp;" Y"&amp;B11</f>
        <v>April Y1</v>
      </c>
      <c r="E11" s="63">
        <f>IF(B11=1,INDEX(Workings!$B$27:$B$38,C11),1)</f>
        <v>0.68</v>
      </c>
      <c r="F11" s="63">
        <f>IF(B11=1,INDEX(Workings!$C$27:$C$38,C11),1)</f>
        <v>0.62</v>
      </c>
      <c r="G11" s="64">
        <f>INDEX(Workings!$C$19:$C$23,B11)</f>
        <v>1</v>
      </c>
      <c r="H11" s="65">
        <f>INDEX('Seasonality Data Break down'!$C$7:$C$18,C11)</f>
        <v>1</v>
      </c>
      <c r="I11" s="65">
        <f>INDEX('Seasonality Data Break down'!$D$7:$D$18,C11)</f>
        <v>1</v>
      </c>
      <c r="J11" s="66">
        <f>Assumptions!$C$18/12</f>
        <v>26.083333333333332</v>
      </c>
      <c r="K11" s="64">
        <f>Assumptions!$C$19*E11*H11*G11</f>
        <v>44.2</v>
      </c>
      <c r="L11" s="67">
        <f>Assumptions!$C$20+INDEX('Seasonality Data Break down'!$E$7:$E$18,C11)</f>
        <v>8.5</v>
      </c>
      <c r="M11" s="68">
        <f t="shared" si="0"/>
        <v>9799.508333333335</v>
      </c>
      <c r="N11" s="68">
        <f>M11*Assumptions!$C$21</f>
        <v>2939.8525000000004</v>
      </c>
      <c r="O11" s="64">
        <f>Assumptions!$C$27*F11*I11*G11</f>
        <v>34.1</v>
      </c>
      <c r="P11" s="68">
        <f>O11*Assumptions!$C$28</f>
        <v>1534.5</v>
      </c>
      <c r="Q11" s="64">
        <f>Assumptions!$C$24*4.333*F11*I11*G11</f>
        <v>37.610440000000004</v>
      </c>
      <c r="R11" s="64">
        <f>Q11*Assumptions!$C$25</f>
        <v>376.10440000000006</v>
      </c>
      <c r="S11" s="64">
        <f>MIN(O11*Assumptions!$C$48,R11)</f>
        <v>204.60000000000002</v>
      </c>
      <c r="T11" s="64">
        <f t="shared" si="1"/>
        <v>171.50440000000003</v>
      </c>
      <c r="U11" s="68">
        <f>T11*Assumptions!$C$26</f>
        <v>2058.0528000000004</v>
      </c>
      <c r="V11" s="68">
        <f>Q11*Assumptions!$C$29</f>
        <v>1128.3132000000001</v>
      </c>
      <c r="W11" s="68">
        <f t="shared" si="2"/>
        <v>3592.5528000000004</v>
      </c>
      <c r="X11" s="69">
        <f t="shared" si="3"/>
        <v>13392.061133333336</v>
      </c>
      <c r="Y11" s="68">
        <f t="shared" si="4"/>
        <v>4068.1657000000005</v>
      </c>
      <c r="Z11" s="69">
        <f t="shared" si="5"/>
        <v>9323.8954333333349</v>
      </c>
      <c r="AA11" s="67">
        <f>Assumptions!$C$10*Assumptions!$C$9/12</f>
        <v>2000</v>
      </c>
      <c r="AB11" s="67">
        <f>Assumptions!$C$12/12</f>
        <v>125</v>
      </c>
      <c r="AC11" s="67">
        <f>Assumptions!$C$14/12</f>
        <v>150</v>
      </c>
      <c r="AD11" s="68">
        <f>(Assumptions!$C$32*4.333*Assumptions!$C$33+Assumptions!$C$34/12)*(1+(Assumptions!$C$35))</f>
        <v>6783.2323541666665</v>
      </c>
      <c r="AE11" s="67">
        <f>INDEX('Seasonality Data Break down'!$F$7:$F$18,C11)*G11</f>
        <v>150</v>
      </c>
      <c r="AF11" s="67">
        <f>INDEX('Seasonality Data Break down'!$G$7:$G$18,C11)*G11</f>
        <v>150</v>
      </c>
      <c r="AG11" s="67">
        <f>INDEX('Seasonality Data Break down'!$H$7:$H$18,C11)*G11</f>
        <v>75</v>
      </c>
      <c r="AH11" s="69">
        <f t="shared" si="6"/>
        <v>375</v>
      </c>
      <c r="AI11" s="67">
        <f>Assumptions!$C$39</f>
        <v>150</v>
      </c>
      <c r="AJ11" s="67">
        <f>Assumptions!$C$40</f>
        <v>500</v>
      </c>
      <c r="AK11" s="69">
        <f t="shared" si="7"/>
        <v>10083.232354166666</v>
      </c>
      <c r="AL11" s="68">
        <f>X11*Assumptions!$C$13</f>
        <v>401.76183400000008</v>
      </c>
      <c r="AM11" s="68">
        <f>X11*Assumptions!$C$15</f>
        <v>234.3610698333334</v>
      </c>
      <c r="AN11" s="69">
        <f t="shared" si="8"/>
        <v>636.12290383333345</v>
      </c>
      <c r="AO11" s="69">
        <f t="shared" si="9"/>
        <v>10719.355258</v>
      </c>
      <c r="AP11" s="69">
        <f t="shared" si="10"/>
        <v>-1395.4598246666646</v>
      </c>
      <c r="AQ11" s="67">
        <f>'Startup Costs'!$D$24/(Assumptions!$C$54*12)</f>
        <v>916.66666666666663</v>
      </c>
      <c r="AR11" s="67">
        <f>-'Loan schedule'!$D$15</f>
        <v>-418.38968449292094</v>
      </c>
      <c r="AS11" s="68">
        <f t="shared" si="11"/>
        <v>-2730.516175826252</v>
      </c>
      <c r="AT11" s="68">
        <f>-MAX(AS11,0)*Assumptions!$C$41</f>
        <v>0</v>
      </c>
      <c r="AU11" s="69">
        <f t="shared" si="12"/>
        <v>-2730.516175826252</v>
      </c>
      <c r="AV11" s="67">
        <f>-'Loan schedule'!$E$15</f>
        <v>-981.2549546653463</v>
      </c>
      <c r="AW11" s="69">
        <f t="shared" si="13"/>
        <v>-2795.1044638249318</v>
      </c>
      <c r="AX11" s="68">
        <f t="shared" si="18"/>
        <v>16881.354307312693</v>
      </c>
      <c r="AY11" s="69">
        <f t="shared" si="14"/>
        <v>14086.249843487762</v>
      </c>
      <c r="AZ11" s="63">
        <f t="shared" si="15"/>
        <v>0.69622557278549257</v>
      </c>
      <c r="BA11" s="63">
        <f t="shared" si="16"/>
        <v>-0.10420052677278432</v>
      </c>
      <c r="BB11" s="102">
        <f t="shared" si="17"/>
        <v>-0.20389065944672968</v>
      </c>
      <c r="BD11" s="70" t="s">
        <v>325</v>
      </c>
      <c r="BE11" s="71" t="s">
        <v>326</v>
      </c>
    </row>
    <row r="12" spans="1:57" ht="15" customHeight="1" x14ac:dyDescent="0.25">
      <c r="A12" s="101">
        <v>5</v>
      </c>
      <c r="B12" s="19">
        <v>1</v>
      </c>
      <c r="C12" s="19">
        <v>5</v>
      </c>
      <c r="D12" s="62" t="str">
        <f>'Seasonality Data Break down'!$B$11&amp;" Y"&amp;B12</f>
        <v>May Y1</v>
      </c>
      <c r="E12" s="63">
        <f>IF(B12=1,INDEX(Workings!$B$27:$B$38,C12),1)</f>
        <v>0.74</v>
      </c>
      <c r="F12" s="63">
        <f>IF(B12=1,INDEX(Workings!$C$27:$C$38,C12),1)</f>
        <v>0.68</v>
      </c>
      <c r="G12" s="64">
        <f>INDEX(Workings!$C$19:$C$23,B12)</f>
        <v>1</v>
      </c>
      <c r="H12" s="65">
        <f>INDEX('Seasonality Data Break down'!$C$7:$C$18,C12)</f>
        <v>1.05</v>
      </c>
      <c r="I12" s="65">
        <f>INDEX('Seasonality Data Break down'!$D$7:$D$18,C12)</f>
        <v>0.95</v>
      </c>
      <c r="J12" s="66">
        <f>Assumptions!$C$18/12</f>
        <v>26.083333333333332</v>
      </c>
      <c r="K12" s="64">
        <f>Assumptions!$C$19*E12*H12*G12</f>
        <v>50.505000000000003</v>
      </c>
      <c r="L12" s="67">
        <f>Assumptions!$C$20+INDEX('Seasonality Data Break down'!$E$7:$E$18,C12)</f>
        <v>8.5</v>
      </c>
      <c r="M12" s="68">
        <f t="shared" si="0"/>
        <v>11197.379375</v>
      </c>
      <c r="N12" s="68">
        <f>M12*Assumptions!$C$21</f>
        <v>3359.2138125000001</v>
      </c>
      <c r="O12" s="64">
        <f>Assumptions!$C$27*F12*I12*G12</f>
        <v>35.53</v>
      </c>
      <c r="P12" s="68">
        <f>O12*Assumptions!$C$28</f>
        <v>1598.8500000000001</v>
      </c>
      <c r="Q12" s="64">
        <f>Assumptions!$C$24*4.333*F12*I12*G12</f>
        <v>39.187652000000007</v>
      </c>
      <c r="R12" s="64">
        <f>Q12*Assumptions!$C$25</f>
        <v>391.87652000000008</v>
      </c>
      <c r="S12" s="64">
        <f>MIN(O12*Assumptions!$C$48,R12)</f>
        <v>213.18</v>
      </c>
      <c r="T12" s="64">
        <f t="shared" si="1"/>
        <v>178.69652000000008</v>
      </c>
      <c r="U12" s="68">
        <f>T12*Assumptions!$C$26</f>
        <v>2144.3582400000009</v>
      </c>
      <c r="V12" s="68">
        <f>Q12*Assumptions!$C$29</f>
        <v>1175.6295600000003</v>
      </c>
      <c r="W12" s="68">
        <f t="shared" si="2"/>
        <v>3743.2082400000008</v>
      </c>
      <c r="X12" s="69">
        <f t="shared" si="3"/>
        <v>14940.587615</v>
      </c>
      <c r="Y12" s="68">
        <f t="shared" si="4"/>
        <v>4534.8433725000004</v>
      </c>
      <c r="Z12" s="69">
        <f t="shared" si="5"/>
        <v>10405.744242500001</v>
      </c>
      <c r="AA12" s="67">
        <f>Assumptions!$C$10*Assumptions!$C$9/12</f>
        <v>2000</v>
      </c>
      <c r="AB12" s="67">
        <f>Assumptions!$C$12/12</f>
        <v>125</v>
      </c>
      <c r="AC12" s="67">
        <f>Assumptions!$C$14/12</f>
        <v>150</v>
      </c>
      <c r="AD12" s="68">
        <f>(Assumptions!$C$32*4.333*Assumptions!$C$33+Assumptions!$C$34/12)*(1+(Assumptions!$C$35))</f>
        <v>6783.2323541666665</v>
      </c>
      <c r="AE12" s="67">
        <f>INDEX('Seasonality Data Break down'!$F$7:$F$18,C12)*G12</f>
        <v>150</v>
      </c>
      <c r="AF12" s="67">
        <f>INDEX('Seasonality Data Break down'!$G$7:$G$18,C12)*G12</f>
        <v>200</v>
      </c>
      <c r="AG12" s="67">
        <f>INDEX('Seasonality Data Break down'!$H$7:$H$18,C12)*G12</f>
        <v>75</v>
      </c>
      <c r="AH12" s="69">
        <f t="shared" si="6"/>
        <v>425</v>
      </c>
      <c r="AI12" s="67">
        <f>Assumptions!$C$39</f>
        <v>150</v>
      </c>
      <c r="AJ12" s="67">
        <f>Assumptions!$C$40</f>
        <v>500</v>
      </c>
      <c r="AK12" s="69">
        <f t="shared" si="7"/>
        <v>10133.232354166666</v>
      </c>
      <c r="AL12" s="68">
        <f>X12*Assumptions!$C$13</f>
        <v>448.21762845000001</v>
      </c>
      <c r="AM12" s="68">
        <f>X12*Assumptions!$C$15</f>
        <v>261.46028326250001</v>
      </c>
      <c r="AN12" s="69">
        <f t="shared" si="8"/>
        <v>709.67791171249996</v>
      </c>
      <c r="AO12" s="69">
        <f t="shared" si="9"/>
        <v>10842.910265879167</v>
      </c>
      <c r="AP12" s="69">
        <f t="shared" si="10"/>
        <v>-437.16602337916629</v>
      </c>
      <c r="AQ12" s="67">
        <f>'Startup Costs'!$D$24/(Assumptions!$C$54*12)</f>
        <v>916.66666666666663</v>
      </c>
      <c r="AR12" s="67">
        <f>-'Loan schedule'!$D$16</f>
        <v>-412.25684102626252</v>
      </c>
      <c r="AS12" s="68">
        <f t="shared" si="11"/>
        <v>-1766.0895310720953</v>
      </c>
      <c r="AT12" s="68">
        <f>-MAX(AS12,0)*Assumptions!$C$41</f>
        <v>0</v>
      </c>
      <c r="AU12" s="69">
        <f t="shared" si="12"/>
        <v>-1766.0895310720953</v>
      </c>
      <c r="AV12" s="67">
        <f>-'Loan schedule'!$E$16</f>
        <v>-987.38779813200472</v>
      </c>
      <c r="AW12" s="69">
        <f t="shared" si="13"/>
        <v>-1836.8106625374335</v>
      </c>
      <c r="AX12" s="68">
        <f t="shared" si="18"/>
        <v>14086.249843487762</v>
      </c>
      <c r="AY12" s="69">
        <f t="shared" si="14"/>
        <v>12249.439180950329</v>
      </c>
      <c r="AZ12" s="63">
        <f t="shared" si="15"/>
        <v>0.69647489848745148</v>
      </c>
      <c r="BA12" s="63">
        <f t="shared" si="16"/>
        <v>-2.9260296491970761E-2</v>
      </c>
      <c r="BB12" s="102">
        <f t="shared" si="17"/>
        <v>-0.11820750137691925</v>
      </c>
      <c r="BD12" s="70" t="s">
        <v>327</v>
      </c>
      <c r="BE12" s="71" t="s">
        <v>328</v>
      </c>
    </row>
    <row r="13" spans="1:57" ht="15" customHeight="1" x14ac:dyDescent="0.25">
      <c r="A13" s="101">
        <v>6</v>
      </c>
      <c r="B13" s="19">
        <v>1</v>
      </c>
      <c r="C13" s="19">
        <v>6</v>
      </c>
      <c r="D13" s="62" t="str">
        <f>'Seasonality Data Break down'!$B$12&amp;" Y"&amp;B13</f>
        <v>June Y1</v>
      </c>
      <c r="E13" s="63">
        <f>IF(B13=1,INDEX(Workings!$B$27:$B$38,C13),1)</f>
        <v>0.8</v>
      </c>
      <c r="F13" s="63">
        <f>IF(B13=1,INDEX(Workings!$C$27:$C$38,C13),1)</f>
        <v>0.74</v>
      </c>
      <c r="G13" s="64">
        <f>INDEX(Workings!$C$19:$C$23,B13)</f>
        <v>1</v>
      </c>
      <c r="H13" s="65">
        <f>INDEX('Seasonality Data Break down'!$C$7:$C$18,C13)</f>
        <v>1.1000000000000001</v>
      </c>
      <c r="I13" s="65">
        <f>INDEX('Seasonality Data Break down'!$D$7:$D$18,C13)</f>
        <v>0.85</v>
      </c>
      <c r="J13" s="66">
        <f>Assumptions!$C$18/12</f>
        <v>26.083333333333332</v>
      </c>
      <c r="K13" s="64">
        <f>Assumptions!$C$19*E13*H13*G13</f>
        <v>57.2</v>
      </c>
      <c r="L13" s="67">
        <f>Assumptions!$C$20+INDEX('Seasonality Data Break down'!$E$7:$E$18,C13)</f>
        <v>9.25</v>
      </c>
      <c r="M13" s="68">
        <f t="shared" si="0"/>
        <v>13800.691666666668</v>
      </c>
      <c r="N13" s="68">
        <f>M13*Assumptions!$C$21</f>
        <v>4140.2075000000004</v>
      </c>
      <c r="O13" s="64">
        <f>Assumptions!$C$27*F13*I13*G13</f>
        <v>34.594999999999999</v>
      </c>
      <c r="P13" s="68">
        <f>O13*Assumptions!$C$28</f>
        <v>1556.7749999999999</v>
      </c>
      <c r="Q13" s="64">
        <f>Assumptions!$C$24*4.333*F13*I13*G13</f>
        <v>38.156398000000003</v>
      </c>
      <c r="R13" s="64">
        <f>Q13*Assumptions!$C$25</f>
        <v>381.56398000000002</v>
      </c>
      <c r="S13" s="64">
        <f>MIN(O13*Assumptions!$C$48,R13)</f>
        <v>207.57</v>
      </c>
      <c r="T13" s="64">
        <f t="shared" si="1"/>
        <v>173.99398000000002</v>
      </c>
      <c r="U13" s="68">
        <f>T13*Assumptions!$C$26</f>
        <v>2087.9277600000005</v>
      </c>
      <c r="V13" s="68">
        <f>Q13*Assumptions!$C$29</f>
        <v>1144.6919400000002</v>
      </c>
      <c r="W13" s="68">
        <f t="shared" si="2"/>
        <v>3644.7027600000001</v>
      </c>
      <c r="X13" s="69">
        <f t="shared" si="3"/>
        <v>17445.394426666666</v>
      </c>
      <c r="Y13" s="68">
        <f t="shared" si="4"/>
        <v>5284.8994400000011</v>
      </c>
      <c r="Z13" s="69">
        <f t="shared" si="5"/>
        <v>12160.494986666665</v>
      </c>
      <c r="AA13" s="67">
        <f>Assumptions!$C$10*Assumptions!$C$9/12</f>
        <v>2000</v>
      </c>
      <c r="AB13" s="67">
        <f>Assumptions!$C$12/12</f>
        <v>125</v>
      </c>
      <c r="AC13" s="67">
        <f>Assumptions!$C$14/12</f>
        <v>150</v>
      </c>
      <c r="AD13" s="68">
        <f>(Assumptions!$C$32*4.333*Assumptions!$C$33+Assumptions!$C$34/12)*(1+(Assumptions!$C$35))</f>
        <v>6783.2323541666665</v>
      </c>
      <c r="AE13" s="67">
        <f>INDEX('Seasonality Data Break down'!$F$7:$F$18,C13)*G13</f>
        <v>250</v>
      </c>
      <c r="AF13" s="67">
        <f>INDEX('Seasonality Data Break down'!$G$7:$G$18,C13)*G13</f>
        <v>150</v>
      </c>
      <c r="AG13" s="67">
        <f>INDEX('Seasonality Data Break down'!$H$7:$H$18,C13)*G13</f>
        <v>75</v>
      </c>
      <c r="AH13" s="69">
        <f t="shared" si="6"/>
        <v>475</v>
      </c>
      <c r="AI13" s="67">
        <f>Assumptions!$C$39</f>
        <v>150</v>
      </c>
      <c r="AJ13" s="67">
        <f>Assumptions!$C$40</f>
        <v>500</v>
      </c>
      <c r="AK13" s="69">
        <f t="shared" si="7"/>
        <v>10183.232354166666</v>
      </c>
      <c r="AL13" s="68">
        <f>X13*Assumptions!$C$13</f>
        <v>523.3618328</v>
      </c>
      <c r="AM13" s="68">
        <f>X13*Assumptions!$C$15</f>
        <v>305.29440246666667</v>
      </c>
      <c r="AN13" s="69">
        <f t="shared" si="8"/>
        <v>828.65623526666673</v>
      </c>
      <c r="AO13" s="69">
        <f t="shared" si="9"/>
        <v>11011.888589433333</v>
      </c>
      <c r="AP13" s="69">
        <f t="shared" si="10"/>
        <v>1148.6063972333322</v>
      </c>
      <c r="AQ13" s="67">
        <f>'Startup Costs'!$D$24/(Assumptions!$C$54*12)</f>
        <v>916.66666666666663</v>
      </c>
      <c r="AR13" s="67">
        <f>-'Loan schedule'!$D$17</f>
        <v>-406.0856672879375</v>
      </c>
      <c r="AS13" s="68">
        <f t="shared" si="11"/>
        <v>-174.14593672127188</v>
      </c>
      <c r="AT13" s="68">
        <f>-MAX(AS13,0)*Assumptions!$C$41</f>
        <v>0</v>
      </c>
      <c r="AU13" s="69">
        <f t="shared" si="12"/>
        <v>-174.14593672127188</v>
      </c>
      <c r="AV13" s="67">
        <f>-'Loan schedule'!$E$17</f>
        <v>-993.55897187032974</v>
      </c>
      <c r="AW13" s="69">
        <f t="shared" si="13"/>
        <v>-251.03824192493494</v>
      </c>
      <c r="AX13" s="68">
        <f t="shared" si="18"/>
        <v>12249.439180950329</v>
      </c>
      <c r="AY13" s="69">
        <f t="shared" si="14"/>
        <v>11998.400939025394</v>
      </c>
      <c r="AZ13" s="63">
        <f t="shared" si="15"/>
        <v>0.69706047849960828</v>
      </c>
      <c r="BA13" s="63">
        <f t="shared" si="16"/>
        <v>6.5840093330168367E-2</v>
      </c>
      <c r="BB13" s="102">
        <f t="shared" si="17"/>
        <v>-9.9823444779830271E-3</v>
      </c>
      <c r="BD13" s="70" t="s">
        <v>329</v>
      </c>
      <c r="BE13" s="71" t="s">
        <v>330</v>
      </c>
    </row>
    <row r="14" spans="1:57" ht="15" customHeight="1" x14ac:dyDescent="0.25">
      <c r="A14" s="101">
        <v>7</v>
      </c>
      <c r="B14" s="19">
        <v>1</v>
      </c>
      <c r="C14" s="19">
        <v>7</v>
      </c>
      <c r="D14" s="62" t="str">
        <f>'Seasonality Data Break down'!$B$13&amp;" Y"&amp;B14</f>
        <v>July Y1</v>
      </c>
      <c r="E14" s="63">
        <f>IF(B14=1,INDEX(Workings!$B$27:$B$38,C14),1)</f>
        <v>0.85</v>
      </c>
      <c r="F14" s="63">
        <f>IF(B14=1,INDEX(Workings!$C$27:$C$38,C14),1)</f>
        <v>0.8</v>
      </c>
      <c r="G14" s="64">
        <f>INDEX(Workings!$C$19:$C$23,B14)</f>
        <v>1</v>
      </c>
      <c r="H14" s="65">
        <f>INDEX('Seasonality Data Break down'!$C$7:$C$18,C14)</f>
        <v>1.1499999999999999</v>
      </c>
      <c r="I14" s="65">
        <f>INDEX('Seasonality Data Break down'!$D$7:$D$18,C14)</f>
        <v>0.8</v>
      </c>
      <c r="J14" s="66">
        <f>Assumptions!$C$18/12</f>
        <v>26.083333333333332</v>
      </c>
      <c r="K14" s="64">
        <f>Assumptions!$C$19*E14*H14*G14</f>
        <v>63.537499999999994</v>
      </c>
      <c r="L14" s="67">
        <f>Assumptions!$C$20+INDEX('Seasonality Data Break down'!$E$7:$E$18,C14)</f>
        <v>9.25</v>
      </c>
      <c r="M14" s="68">
        <f t="shared" si="0"/>
        <v>15329.745572916663</v>
      </c>
      <c r="N14" s="68">
        <f>M14*Assumptions!$C$21</f>
        <v>4598.9236718749989</v>
      </c>
      <c r="O14" s="64">
        <f>Assumptions!$C$27*F14*I14*G14</f>
        <v>35.200000000000003</v>
      </c>
      <c r="P14" s="68">
        <f>O14*Assumptions!$C$28</f>
        <v>1584.0000000000002</v>
      </c>
      <c r="Q14" s="64">
        <f>Assumptions!$C$24*4.333*F14*I14*G14</f>
        <v>38.82368000000001</v>
      </c>
      <c r="R14" s="64">
        <f>Q14*Assumptions!$C$25</f>
        <v>388.23680000000013</v>
      </c>
      <c r="S14" s="64">
        <f>MIN(O14*Assumptions!$C$48,R14)</f>
        <v>211.20000000000002</v>
      </c>
      <c r="T14" s="64">
        <f t="shared" si="1"/>
        <v>177.03680000000011</v>
      </c>
      <c r="U14" s="68">
        <f>T14*Assumptions!$C$26</f>
        <v>2124.4416000000015</v>
      </c>
      <c r="V14" s="68">
        <f>Q14*Assumptions!$C$29</f>
        <v>1164.7104000000004</v>
      </c>
      <c r="W14" s="68">
        <f t="shared" si="2"/>
        <v>3708.4416000000019</v>
      </c>
      <c r="X14" s="69">
        <f t="shared" si="3"/>
        <v>19038.187172916667</v>
      </c>
      <c r="Y14" s="68">
        <f t="shared" si="4"/>
        <v>5763.6340718749998</v>
      </c>
      <c r="Z14" s="69">
        <f t="shared" si="5"/>
        <v>13274.553101041667</v>
      </c>
      <c r="AA14" s="67">
        <f>Assumptions!$C$10*Assumptions!$C$9/12</f>
        <v>2000</v>
      </c>
      <c r="AB14" s="67">
        <f>Assumptions!$C$12/12</f>
        <v>125</v>
      </c>
      <c r="AC14" s="67">
        <f>Assumptions!$C$14/12</f>
        <v>150</v>
      </c>
      <c r="AD14" s="68">
        <f>(Assumptions!$C$32*4.333*Assumptions!$C$33+Assumptions!$C$34/12)*(1+(Assumptions!$C$35))</f>
        <v>6783.2323541666665</v>
      </c>
      <c r="AE14" s="67">
        <f>INDEX('Seasonality Data Break down'!$F$7:$F$18,C14)*G14</f>
        <v>250</v>
      </c>
      <c r="AF14" s="67">
        <f>INDEX('Seasonality Data Break down'!$G$7:$G$18,C14)*G14</f>
        <v>150</v>
      </c>
      <c r="AG14" s="67">
        <f>INDEX('Seasonality Data Break down'!$H$7:$H$18,C14)*G14</f>
        <v>75</v>
      </c>
      <c r="AH14" s="69">
        <f t="shared" si="6"/>
        <v>475</v>
      </c>
      <c r="AI14" s="67">
        <f>Assumptions!$C$39</f>
        <v>150</v>
      </c>
      <c r="AJ14" s="67">
        <f>Assumptions!$C$40</f>
        <v>500</v>
      </c>
      <c r="AK14" s="69">
        <f t="shared" si="7"/>
        <v>10183.232354166666</v>
      </c>
      <c r="AL14" s="68">
        <f>X14*Assumptions!$C$13</f>
        <v>571.14561518749997</v>
      </c>
      <c r="AM14" s="68">
        <f>X14*Assumptions!$C$15</f>
        <v>333.16827552604173</v>
      </c>
      <c r="AN14" s="69">
        <f t="shared" si="8"/>
        <v>904.3138907135417</v>
      </c>
      <c r="AO14" s="69">
        <f t="shared" si="9"/>
        <v>11087.546244880208</v>
      </c>
      <c r="AP14" s="69">
        <f t="shared" si="10"/>
        <v>2187.0068561614589</v>
      </c>
      <c r="AQ14" s="67">
        <f>'Startup Costs'!$D$24/(Assumptions!$C$54*12)</f>
        <v>916.66666666666663</v>
      </c>
      <c r="AR14" s="67">
        <f>-'Loan schedule'!$D$18</f>
        <v>-399.87592371374802</v>
      </c>
      <c r="AS14" s="68">
        <f t="shared" si="11"/>
        <v>870.46426578104433</v>
      </c>
      <c r="AT14" s="68">
        <f>-MAX(AS14,0)*Assumptions!$C$41</f>
        <v>-217.61606644526108</v>
      </c>
      <c r="AU14" s="69">
        <f t="shared" si="12"/>
        <v>652.84819933578319</v>
      </c>
      <c r="AV14" s="67">
        <f>-'Loan schedule'!$E$18</f>
        <v>-999.7687154445191</v>
      </c>
      <c r="AW14" s="69">
        <f t="shared" si="13"/>
        <v>569.7461505579306</v>
      </c>
      <c r="AX14" s="68">
        <f t="shared" si="18"/>
        <v>11998.400939025394</v>
      </c>
      <c r="AY14" s="69">
        <f t="shared" si="14"/>
        <v>12568.147089583324</v>
      </c>
      <c r="AZ14" s="63">
        <f t="shared" si="15"/>
        <v>0.69725930207923226</v>
      </c>
      <c r="BA14" s="63">
        <f t="shared" si="16"/>
        <v>0.11487474286798954</v>
      </c>
      <c r="BB14" s="102">
        <f t="shared" si="17"/>
        <v>3.4291510709828069E-2</v>
      </c>
      <c r="BD14" s="70" t="s">
        <v>285</v>
      </c>
      <c r="BE14" s="71" t="s">
        <v>331</v>
      </c>
    </row>
    <row r="15" spans="1:57" ht="15" customHeight="1" x14ac:dyDescent="0.25">
      <c r="A15" s="101">
        <v>8</v>
      </c>
      <c r="B15" s="19">
        <v>1</v>
      </c>
      <c r="C15" s="19">
        <v>8</v>
      </c>
      <c r="D15" s="62" t="str">
        <f>'Seasonality Data Break down'!$B$14&amp;" Y"&amp;B15</f>
        <v>August Y1</v>
      </c>
      <c r="E15" s="63">
        <f>IF(B15=1,INDEX(Workings!$B$27:$B$38,C15),1)</f>
        <v>0.9</v>
      </c>
      <c r="F15" s="63">
        <f>IF(B15=1,INDEX(Workings!$C$27:$C$38,C15),1)</f>
        <v>0.85</v>
      </c>
      <c r="G15" s="64">
        <f>INDEX(Workings!$C$19:$C$23,B15)</f>
        <v>1</v>
      </c>
      <c r="H15" s="65">
        <f>INDEX('Seasonality Data Break down'!$C$7:$C$18,C15)</f>
        <v>1</v>
      </c>
      <c r="I15" s="65">
        <f>INDEX('Seasonality Data Break down'!$D$7:$D$18,C15)</f>
        <v>0.85</v>
      </c>
      <c r="J15" s="66">
        <f>Assumptions!$C$18/12</f>
        <v>26.083333333333332</v>
      </c>
      <c r="K15" s="64">
        <f>Assumptions!$C$19*E15*H15*G15</f>
        <v>58.5</v>
      </c>
      <c r="L15" s="67">
        <f>Assumptions!$C$20+INDEX('Seasonality Data Break down'!$E$7:$E$18,C15)</f>
        <v>9.25</v>
      </c>
      <c r="M15" s="68">
        <f t="shared" si="0"/>
        <v>14114.34375</v>
      </c>
      <c r="N15" s="68">
        <f>M15*Assumptions!$C$21</f>
        <v>4234.3031249999995</v>
      </c>
      <c r="O15" s="64">
        <f>Assumptions!$C$27*F15*I15*G15</f>
        <v>39.737499999999997</v>
      </c>
      <c r="P15" s="68">
        <f>O15*Assumptions!$C$28</f>
        <v>1788.1874999999998</v>
      </c>
      <c r="Q15" s="64">
        <f>Assumptions!$C$24*4.333*F15*I15*G15</f>
        <v>43.828295000000004</v>
      </c>
      <c r="R15" s="64">
        <f>Q15*Assumptions!$C$25</f>
        <v>438.28295000000003</v>
      </c>
      <c r="S15" s="64">
        <f>MIN(O15*Assumptions!$C$48,R15)</f>
        <v>238.42499999999998</v>
      </c>
      <c r="T15" s="64">
        <f t="shared" si="1"/>
        <v>199.85795000000005</v>
      </c>
      <c r="U15" s="68">
        <f>T15*Assumptions!$C$26</f>
        <v>2398.2954000000004</v>
      </c>
      <c r="V15" s="68">
        <f>Q15*Assumptions!$C$29</f>
        <v>1314.8488500000001</v>
      </c>
      <c r="W15" s="68">
        <f t="shared" si="2"/>
        <v>4186.4829</v>
      </c>
      <c r="X15" s="69">
        <f t="shared" si="3"/>
        <v>18300.826649999999</v>
      </c>
      <c r="Y15" s="68">
        <f t="shared" si="4"/>
        <v>5549.1519749999998</v>
      </c>
      <c r="Z15" s="69">
        <f t="shared" si="5"/>
        <v>12751.674674999998</v>
      </c>
      <c r="AA15" s="67">
        <f>Assumptions!$C$10*Assumptions!$C$9/12</f>
        <v>2000</v>
      </c>
      <c r="AB15" s="67">
        <f>Assumptions!$C$12/12</f>
        <v>125</v>
      </c>
      <c r="AC15" s="67">
        <f>Assumptions!$C$14/12</f>
        <v>150</v>
      </c>
      <c r="AD15" s="68">
        <f>(Assumptions!$C$32*4.333*Assumptions!$C$33+Assumptions!$C$34/12)*(1+(Assumptions!$C$35))</f>
        <v>6783.2323541666665</v>
      </c>
      <c r="AE15" s="67">
        <f>INDEX('Seasonality Data Break down'!$F$7:$F$18,C15)*G15</f>
        <v>150</v>
      </c>
      <c r="AF15" s="67">
        <f>INDEX('Seasonality Data Break down'!$G$7:$G$18,C15)*G15</f>
        <v>150</v>
      </c>
      <c r="AG15" s="67">
        <f>INDEX('Seasonality Data Break down'!$H$7:$H$18,C15)*G15</f>
        <v>75</v>
      </c>
      <c r="AH15" s="69">
        <f t="shared" si="6"/>
        <v>375</v>
      </c>
      <c r="AI15" s="67">
        <f>Assumptions!$C$39</f>
        <v>150</v>
      </c>
      <c r="AJ15" s="67">
        <f>Assumptions!$C$40</f>
        <v>500</v>
      </c>
      <c r="AK15" s="69">
        <f t="shared" si="7"/>
        <v>10083.232354166666</v>
      </c>
      <c r="AL15" s="68">
        <f>X15*Assumptions!$C$13</f>
        <v>549.02479949999997</v>
      </c>
      <c r="AM15" s="68">
        <f>X15*Assumptions!$C$15</f>
        <v>320.26446637500004</v>
      </c>
      <c r="AN15" s="69">
        <f t="shared" si="8"/>
        <v>869.28926587499996</v>
      </c>
      <c r="AO15" s="69">
        <f t="shared" si="9"/>
        <v>10952.521620041667</v>
      </c>
      <c r="AP15" s="69">
        <f t="shared" si="10"/>
        <v>1799.1530549583313</v>
      </c>
      <c r="AQ15" s="67">
        <f>'Startup Costs'!$D$24/(Assumptions!$C$54*12)</f>
        <v>916.66666666666663</v>
      </c>
      <c r="AR15" s="67">
        <f>-'Loan schedule'!$D$19</f>
        <v>-393.6273692422198</v>
      </c>
      <c r="AS15" s="68">
        <f t="shared" si="11"/>
        <v>488.85901904944484</v>
      </c>
      <c r="AT15" s="68">
        <f>-MAX(AS15,0)*Assumptions!$C$41</f>
        <v>-122.21475476236121</v>
      </c>
      <c r="AU15" s="69">
        <f t="shared" si="12"/>
        <v>366.64426428708362</v>
      </c>
      <c r="AV15" s="67">
        <f>-'Loan schedule'!$E$19</f>
        <v>-1006.0172699160473</v>
      </c>
      <c r="AW15" s="69">
        <f t="shared" si="13"/>
        <v>277.29366103770303</v>
      </c>
      <c r="AX15" s="68">
        <f t="shared" si="18"/>
        <v>12568.147089583324</v>
      </c>
      <c r="AY15" s="69">
        <f t="shared" si="14"/>
        <v>12845.440750621028</v>
      </c>
      <c r="AZ15" s="63">
        <f t="shared" si="15"/>
        <v>0.69678134867202834</v>
      </c>
      <c r="BA15" s="63">
        <f t="shared" si="16"/>
        <v>9.8309933718667919E-2</v>
      </c>
      <c r="BB15" s="102">
        <f t="shared" si="17"/>
        <v>2.0034300706688768E-2</v>
      </c>
      <c r="BD15" s="70" t="s">
        <v>332</v>
      </c>
      <c r="BE15" s="71" t="s">
        <v>333</v>
      </c>
    </row>
    <row r="16" spans="1:57" ht="15" customHeight="1" x14ac:dyDescent="0.25">
      <c r="A16" s="101">
        <v>9</v>
      </c>
      <c r="B16" s="19">
        <v>1</v>
      </c>
      <c r="C16" s="19">
        <v>9</v>
      </c>
      <c r="D16" s="62" t="str">
        <f>'Seasonality Data Break down'!$B$15&amp;" Y"&amp;B16</f>
        <v>September Y1</v>
      </c>
      <c r="E16" s="63">
        <f>IF(B16=1,INDEX(Workings!$B$27:$B$38,C16),1)</f>
        <v>0.94</v>
      </c>
      <c r="F16" s="63">
        <f>IF(B16=1,INDEX(Workings!$C$27:$C$38,C16),1)</f>
        <v>0.9</v>
      </c>
      <c r="G16" s="64">
        <f>INDEX(Workings!$C$19:$C$23,B16)</f>
        <v>1</v>
      </c>
      <c r="H16" s="65">
        <f>INDEX('Seasonality Data Break down'!$C$7:$C$18,C16)</f>
        <v>0.95</v>
      </c>
      <c r="I16" s="65">
        <f>INDEX('Seasonality Data Break down'!$D$7:$D$18,C16)</f>
        <v>1.05</v>
      </c>
      <c r="J16" s="66">
        <f>Assumptions!$C$18/12</f>
        <v>26.083333333333332</v>
      </c>
      <c r="K16" s="64">
        <f>Assumptions!$C$19*E16*H16*G16</f>
        <v>58.044999999999995</v>
      </c>
      <c r="L16" s="67">
        <f>Assumptions!$C$20+INDEX('Seasonality Data Break down'!$E$7:$E$18,C16)</f>
        <v>8.5</v>
      </c>
      <c r="M16" s="68">
        <f t="shared" si="0"/>
        <v>12869.060208333332</v>
      </c>
      <c r="N16" s="68">
        <f>M16*Assumptions!$C$21</f>
        <v>3860.7180624999996</v>
      </c>
      <c r="O16" s="64">
        <f>Assumptions!$C$27*F16*I16*G16</f>
        <v>51.975000000000001</v>
      </c>
      <c r="P16" s="68">
        <f>O16*Assumptions!$C$28</f>
        <v>2338.875</v>
      </c>
      <c r="Q16" s="64">
        <f>Assumptions!$C$24*4.333*F16*I16*G16</f>
        <v>57.325590000000005</v>
      </c>
      <c r="R16" s="64">
        <f>Q16*Assumptions!$C$25</f>
        <v>573.25590000000011</v>
      </c>
      <c r="S16" s="64">
        <f>MIN(O16*Assumptions!$C$48,R16)</f>
        <v>311.85000000000002</v>
      </c>
      <c r="T16" s="64">
        <f t="shared" si="1"/>
        <v>261.40590000000009</v>
      </c>
      <c r="U16" s="68">
        <f>T16*Assumptions!$C$26</f>
        <v>3136.8708000000011</v>
      </c>
      <c r="V16" s="68">
        <f>Q16*Assumptions!$C$29</f>
        <v>1719.7677000000001</v>
      </c>
      <c r="W16" s="68">
        <f t="shared" si="2"/>
        <v>5475.7458000000006</v>
      </c>
      <c r="X16" s="69">
        <f t="shared" si="3"/>
        <v>18344.806008333333</v>
      </c>
      <c r="Y16" s="68">
        <f t="shared" si="4"/>
        <v>5580.4857624999995</v>
      </c>
      <c r="Z16" s="69">
        <f t="shared" si="5"/>
        <v>12764.320245833333</v>
      </c>
      <c r="AA16" s="67">
        <f>Assumptions!$C$10*Assumptions!$C$9/12</f>
        <v>2000</v>
      </c>
      <c r="AB16" s="67">
        <f>Assumptions!$C$12/12</f>
        <v>125</v>
      </c>
      <c r="AC16" s="67">
        <f>Assumptions!$C$14/12</f>
        <v>150</v>
      </c>
      <c r="AD16" s="68">
        <f>(Assumptions!$C$32*4.333*Assumptions!$C$33+Assumptions!$C$34/12)*(1+(Assumptions!$C$35))</f>
        <v>6783.2323541666665</v>
      </c>
      <c r="AE16" s="67">
        <f>INDEX('Seasonality Data Break down'!$F$7:$F$18,C16)*G16</f>
        <v>200</v>
      </c>
      <c r="AF16" s="67">
        <f>INDEX('Seasonality Data Break down'!$G$7:$G$18,C16)*G16</f>
        <v>200</v>
      </c>
      <c r="AG16" s="67">
        <f>INDEX('Seasonality Data Break down'!$H$7:$H$18,C16)*G16</f>
        <v>75</v>
      </c>
      <c r="AH16" s="69">
        <f t="shared" si="6"/>
        <v>475</v>
      </c>
      <c r="AI16" s="67">
        <f>Assumptions!$C$39</f>
        <v>150</v>
      </c>
      <c r="AJ16" s="67">
        <f>Assumptions!$C$40</f>
        <v>500</v>
      </c>
      <c r="AK16" s="69">
        <f t="shared" si="7"/>
        <v>10183.232354166666</v>
      </c>
      <c r="AL16" s="68">
        <f>X16*Assumptions!$C$13</f>
        <v>550.34418025000002</v>
      </c>
      <c r="AM16" s="68">
        <f>X16*Assumptions!$C$15</f>
        <v>321.03410514583334</v>
      </c>
      <c r="AN16" s="69">
        <f t="shared" si="8"/>
        <v>871.37828539583336</v>
      </c>
      <c r="AO16" s="69">
        <f t="shared" si="9"/>
        <v>11054.610639562499</v>
      </c>
      <c r="AP16" s="69">
        <f t="shared" si="10"/>
        <v>1709.7096062708333</v>
      </c>
      <c r="AQ16" s="67">
        <f>'Startup Costs'!$D$24/(Assumptions!$C$54*12)</f>
        <v>916.66666666666663</v>
      </c>
      <c r="AR16" s="67">
        <f>-'Loan schedule'!$D$20</f>
        <v>-387.33976130524451</v>
      </c>
      <c r="AS16" s="68">
        <f t="shared" si="11"/>
        <v>405.70317829892218</v>
      </c>
      <c r="AT16" s="68">
        <f>-MAX(AS16,0)*Assumptions!$C$41</f>
        <v>-101.42579457473055</v>
      </c>
      <c r="AU16" s="69">
        <f t="shared" si="12"/>
        <v>304.27738372419162</v>
      </c>
      <c r="AV16" s="67">
        <f>-'Loan schedule'!$E$20</f>
        <v>-1012.3048778530226</v>
      </c>
      <c r="AW16" s="69">
        <f t="shared" si="13"/>
        <v>208.63917253783552</v>
      </c>
      <c r="AX16" s="68">
        <f t="shared" si="18"/>
        <v>12845.440750621028</v>
      </c>
      <c r="AY16" s="69">
        <f t="shared" si="14"/>
        <v>13054.079923158864</v>
      </c>
      <c r="AZ16" s="63">
        <f t="shared" si="15"/>
        <v>0.69580023032323146</v>
      </c>
      <c r="BA16" s="63">
        <f t="shared" si="16"/>
        <v>9.3198565604573777E-2</v>
      </c>
      <c r="BB16" s="102">
        <f t="shared" si="17"/>
        <v>1.6586568622528372E-2</v>
      </c>
      <c r="BD16" s="70" t="s">
        <v>334</v>
      </c>
      <c r="BE16" s="71" t="s">
        <v>335</v>
      </c>
    </row>
    <row r="17" spans="1:57" ht="15" customHeight="1" x14ac:dyDescent="0.25">
      <c r="A17" s="101">
        <v>10</v>
      </c>
      <c r="B17" s="19">
        <v>1</v>
      </c>
      <c r="C17" s="19">
        <v>10</v>
      </c>
      <c r="D17" s="62" t="str">
        <f>'Seasonality Data Break down'!$B$16&amp;" Y"&amp;B17</f>
        <v>October Y1</v>
      </c>
      <c r="E17" s="63">
        <f>IF(B17=1,INDEX(Workings!$B$27:$B$38,C17),1)</f>
        <v>0.97</v>
      </c>
      <c r="F17" s="63">
        <f>IF(B17=1,INDEX(Workings!$C$27:$C$38,C17),1)</f>
        <v>0.94</v>
      </c>
      <c r="G17" s="64">
        <f>INDEX(Workings!$C$19:$C$23,B17)</f>
        <v>1</v>
      </c>
      <c r="H17" s="65">
        <f>INDEX('Seasonality Data Break down'!$C$7:$C$18,C17)</f>
        <v>1</v>
      </c>
      <c r="I17" s="65">
        <f>INDEX('Seasonality Data Break down'!$D$7:$D$18,C17)</f>
        <v>1</v>
      </c>
      <c r="J17" s="66">
        <f>Assumptions!$C$18/12</f>
        <v>26.083333333333332</v>
      </c>
      <c r="K17" s="64">
        <f>Assumptions!$C$19*E17*H17*G17</f>
        <v>63.05</v>
      </c>
      <c r="L17" s="67">
        <f>Assumptions!$C$20+INDEX('Seasonality Data Break down'!$E$7:$E$18,C17)</f>
        <v>8.5</v>
      </c>
      <c r="M17" s="68">
        <f t="shared" si="0"/>
        <v>13978.710416666665</v>
      </c>
      <c r="N17" s="68">
        <f>M17*Assumptions!$C$21</f>
        <v>4193.6131249999989</v>
      </c>
      <c r="O17" s="64">
        <f>Assumptions!$C$27*F17*I17*G17</f>
        <v>51.699999999999996</v>
      </c>
      <c r="P17" s="68">
        <f>O17*Assumptions!$C$28</f>
        <v>2326.5</v>
      </c>
      <c r="Q17" s="64">
        <f>Assumptions!$C$24*4.333*F17*I17*G17</f>
        <v>57.022280000000002</v>
      </c>
      <c r="R17" s="64">
        <f>Q17*Assumptions!$C$25</f>
        <v>570.22280000000001</v>
      </c>
      <c r="S17" s="64">
        <f>MIN(O17*Assumptions!$C$48,R17)</f>
        <v>310.2</v>
      </c>
      <c r="T17" s="64">
        <f t="shared" si="1"/>
        <v>260.02280000000002</v>
      </c>
      <c r="U17" s="68">
        <f>T17*Assumptions!$C$26</f>
        <v>3120.2736000000004</v>
      </c>
      <c r="V17" s="68">
        <f>Q17*Assumptions!$C$29</f>
        <v>1710.6684</v>
      </c>
      <c r="W17" s="68">
        <f t="shared" si="2"/>
        <v>5446.7736000000004</v>
      </c>
      <c r="X17" s="69">
        <f t="shared" si="3"/>
        <v>19425.484016666665</v>
      </c>
      <c r="Y17" s="68">
        <f t="shared" si="4"/>
        <v>5904.2815249999985</v>
      </c>
      <c r="Z17" s="69">
        <f t="shared" si="5"/>
        <v>13521.202491666667</v>
      </c>
      <c r="AA17" s="67">
        <f>Assumptions!$C$10*Assumptions!$C$9/12</f>
        <v>2000</v>
      </c>
      <c r="AB17" s="67">
        <f>Assumptions!$C$12/12</f>
        <v>125</v>
      </c>
      <c r="AC17" s="67">
        <f>Assumptions!$C$14/12</f>
        <v>150</v>
      </c>
      <c r="AD17" s="68">
        <f>(Assumptions!$C$32*4.333*Assumptions!$C$33+Assumptions!$C$34/12)*(1+(Assumptions!$C$35))</f>
        <v>6783.2323541666665</v>
      </c>
      <c r="AE17" s="67">
        <f>INDEX('Seasonality Data Break down'!$F$7:$F$18,C17)*G17</f>
        <v>150</v>
      </c>
      <c r="AF17" s="67">
        <f>INDEX('Seasonality Data Break down'!$G$7:$G$18,C17)*G17</f>
        <v>150</v>
      </c>
      <c r="AG17" s="67">
        <f>INDEX('Seasonality Data Break down'!$H$7:$H$18,C17)*G17</f>
        <v>50</v>
      </c>
      <c r="AH17" s="69">
        <f t="shared" si="6"/>
        <v>350</v>
      </c>
      <c r="AI17" s="67">
        <f>Assumptions!$C$39</f>
        <v>150</v>
      </c>
      <c r="AJ17" s="67">
        <f>Assumptions!$C$40</f>
        <v>500</v>
      </c>
      <c r="AK17" s="69">
        <f t="shared" si="7"/>
        <v>10058.232354166666</v>
      </c>
      <c r="AL17" s="68">
        <f>X17*Assumptions!$C$13</f>
        <v>582.76452049999989</v>
      </c>
      <c r="AM17" s="68">
        <f>X17*Assumptions!$C$15</f>
        <v>339.9459702916667</v>
      </c>
      <c r="AN17" s="69">
        <f t="shared" si="8"/>
        <v>922.71049079166664</v>
      </c>
      <c r="AO17" s="69">
        <f t="shared" si="9"/>
        <v>10980.942844958334</v>
      </c>
      <c r="AP17" s="69">
        <f t="shared" si="10"/>
        <v>2540.2596467083331</v>
      </c>
      <c r="AQ17" s="67">
        <f>'Startup Costs'!$D$24/(Assumptions!$C$54*12)</f>
        <v>916.66666666666663</v>
      </c>
      <c r="AR17" s="67">
        <f>-'Loan schedule'!$D$21</f>
        <v>-381.01285581866313</v>
      </c>
      <c r="AS17" s="68">
        <f t="shared" si="11"/>
        <v>1242.5801242230034</v>
      </c>
      <c r="AT17" s="68">
        <f>-MAX(AS17,0)*Assumptions!$C$41</f>
        <v>-310.64503105575085</v>
      </c>
      <c r="AU17" s="69">
        <f t="shared" si="12"/>
        <v>931.93509316725249</v>
      </c>
      <c r="AV17" s="67">
        <f>-'Loan schedule'!$E$21</f>
        <v>-1018.631783339604</v>
      </c>
      <c r="AW17" s="69">
        <f t="shared" si="13"/>
        <v>829.96997649431501</v>
      </c>
      <c r="AX17" s="68">
        <f t="shared" si="18"/>
        <v>13054.079923158864</v>
      </c>
      <c r="AY17" s="69">
        <f t="shared" si="14"/>
        <v>13884.049899653179</v>
      </c>
      <c r="AZ17" s="63">
        <f t="shared" si="15"/>
        <v>0.69605485660309696</v>
      </c>
      <c r="BA17" s="63">
        <f t="shared" si="16"/>
        <v>0.13076943897659604</v>
      </c>
      <c r="BB17" s="102">
        <f t="shared" si="17"/>
        <v>4.7974871172716795E-2</v>
      </c>
      <c r="BD17" s="70" t="s">
        <v>336</v>
      </c>
      <c r="BE17" s="71" t="s">
        <v>337</v>
      </c>
    </row>
    <row r="18" spans="1:57" ht="15" customHeight="1" x14ac:dyDescent="0.25">
      <c r="A18" s="101">
        <v>11</v>
      </c>
      <c r="B18" s="19">
        <v>1</v>
      </c>
      <c r="C18" s="19">
        <v>11</v>
      </c>
      <c r="D18" s="62" t="str">
        <f>'Seasonality Data Break down'!$B$17&amp;" Y"&amp;B18</f>
        <v>November Y1</v>
      </c>
      <c r="E18" s="63">
        <f>IF(B18=1,INDEX(Workings!$B$27:$B$38,C18),1)</f>
        <v>0.99</v>
      </c>
      <c r="F18" s="63">
        <f>IF(B18=1,INDEX(Workings!$C$27:$C$38,C18),1)</f>
        <v>0.97</v>
      </c>
      <c r="G18" s="64">
        <f>INDEX(Workings!$C$19:$C$23,B18)</f>
        <v>1</v>
      </c>
      <c r="H18" s="65">
        <f>INDEX('Seasonality Data Break down'!$C$7:$C$18,C18)</f>
        <v>1.05</v>
      </c>
      <c r="I18" s="65">
        <f>INDEX('Seasonality Data Break down'!$D$7:$D$18,C18)</f>
        <v>0.95</v>
      </c>
      <c r="J18" s="66">
        <f>Assumptions!$C$18/12</f>
        <v>26.083333333333332</v>
      </c>
      <c r="K18" s="64">
        <f>Assumptions!$C$19*E18*H18*G18</f>
        <v>67.567499999999995</v>
      </c>
      <c r="L18" s="67">
        <f>Assumptions!$C$20+INDEX('Seasonality Data Break down'!$E$7:$E$18,C18)</f>
        <v>8.5</v>
      </c>
      <c r="M18" s="68">
        <f t="shared" si="0"/>
        <v>14980.277812499999</v>
      </c>
      <c r="N18" s="68">
        <f>M18*Assumptions!$C$21</f>
        <v>4494.0833437499996</v>
      </c>
      <c r="O18" s="64">
        <f>Assumptions!$C$27*F18*I18*G18</f>
        <v>50.682499999999997</v>
      </c>
      <c r="P18" s="68">
        <f>O18*Assumptions!$C$28</f>
        <v>2280.7125000000001</v>
      </c>
      <c r="Q18" s="64">
        <f>Assumptions!$C$24*4.333*F18*I18*G18</f>
        <v>55.900033000000008</v>
      </c>
      <c r="R18" s="64">
        <f>Q18*Assumptions!$C$25</f>
        <v>559.00033000000008</v>
      </c>
      <c r="S18" s="64">
        <f>MIN(O18*Assumptions!$C$48,R18)</f>
        <v>304.09499999999997</v>
      </c>
      <c r="T18" s="64">
        <f t="shared" si="1"/>
        <v>254.90533000000011</v>
      </c>
      <c r="U18" s="68">
        <f>T18*Assumptions!$C$26</f>
        <v>3058.8639600000015</v>
      </c>
      <c r="V18" s="68">
        <f>Q18*Assumptions!$C$29</f>
        <v>1677.0009900000002</v>
      </c>
      <c r="W18" s="68">
        <f t="shared" si="2"/>
        <v>5339.576460000002</v>
      </c>
      <c r="X18" s="69">
        <f t="shared" si="3"/>
        <v>20319.854272500001</v>
      </c>
      <c r="Y18" s="68">
        <f t="shared" si="4"/>
        <v>6171.08433375</v>
      </c>
      <c r="Z18" s="69">
        <f t="shared" si="5"/>
        <v>14148.76993875</v>
      </c>
      <c r="AA18" s="67">
        <f>Assumptions!$C$10*Assumptions!$C$9/12</f>
        <v>2000</v>
      </c>
      <c r="AB18" s="67">
        <f>Assumptions!$C$12/12</f>
        <v>125</v>
      </c>
      <c r="AC18" s="67">
        <f>Assumptions!$C$14/12</f>
        <v>150</v>
      </c>
      <c r="AD18" s="68">
        <f>(Assumptions!$C$32*4.333*Assumptions!$C$33+Assumptions!$C$34/12)*(1+(Assumptions!$C$35))</f>
        <v>6783.2323541666665</v>
      </c>
      <c r="AE18" s="67">
        <f>INDEX('Seasonality Data Break down'!$F$7:$F$18,C18)*G18</f>
        <v>250</v>
      </c>
      <c r="AF18" s="67">
        <f>INDEX('Seasonality Data Break down'!$G$7:$G$18,C18)*G18</f>
        <v>200</v>
      </c>
      <c r="AG18" s="67">
        <f>INDEX('Seasonality Data Break down'!$H$7:$H$18,C18)*G18</f>
        <v>75</v>
      </c>
      <c r="AH18" s="69">
        <f t="shared" si="6"/>
        <v>525</v>
      </c>
      <c r="AI18" s="67">
        <f>Assumptions!$C$39</f>
        <v>150</v>
      </c>
      <c r="AJ18" s="67">
        <f>Assumptions!$C$40</f>
        <v>500</v>
      </c>
      <c r="AK18" s="69">
        <f t="shared" si="7"/>
        <v>10233.232354166666</v>
      </c>
      <c r="AL18" s="68">
        <f>X18*Assumptions!$C$13</f>
        <v>609.595628175</v>
      </c>
      <c r="AM18" s="68">
        <f>X18*Assumptions!$C$15</f>
        <v>355.59744976875004</v>
      </c>
      <c r="AN18" s="69">
        <f t="shared" si="8"/>
        <v>965.19307794375004</v>
      </c>
      <c r="AO18" s="69">
        <f t="shared" si="9"/>
        <v>11198.425432110416</v>
      </c>
      <c r="AP18" s="69">
        <f t="shared" si="10"/>
        <v>2950.3445066395834</v>
      </c>
      <c r="AQ18" s="67">
        <f>'Startup Costs'!$D$24/(Assumptions!$C$54*12)</f>
        <v>916.66666666666663</v>
      </c>
      <c r="AR18" s="67">
        <f>-'Loan schedule'!$D$22</f>
        <v>-374.64640717279053</v>
      </c>
      <c r="AS18" s="68">
        <f t="shared" si="11"/>
        <v>1659.0314328001264</v>
      </c>
      <c r="AT18" s="68">
        <f>-MAX(AS18,0)*Assumptions!$C$41</f>
        <v>-414.75785820003159</v>
      </c>
      <c r="AU18" s="69">
        <f t="shared" si="12"/>
        <v>1244.2735746000949</v>
      </c>
      <c r="AV18" s="67">
        <f>-'Loan schedule'!$E$22</f>
        <v>-1024.9982319854767</v>
      </c>
      <c r="AW18" s="69">
        <f t="shared" si="13"/>
        <v>1135.9420092812848</v>
      </c>
      <c r="AX18" s="68">
        <f t="shared" si="18"/>
        <v>13884.049899653179</v>
      </c>
      <c r="AY18" s="69">
        <f t="shared" si="14"/>
        <v>15019.991908934464</v>
      </c>
      <c r="AZ18" s="63">
        <f t="shared" si="15"/>
        <v>0.69630272683098537</v>
      </c>
      <c r="BA18" s="63">
        <f t="shared" si="16"/>
        <v>0.14519516070705538</v>
      </c>
      <c r="BB18" s="102">
        <f t="shared" si="17"/>
        <v>6.1234374908093712E-2</v>
      </c>
      <c r="BD18" s="70" t="s">
        <v>338</v>
      </c>
      <c r="BE18" s="71" t="s">
        <v>339</v>
      </c>
    </row>
    <row r="19" spans="1:57" ht="15" customHeight="1" x14ac:dyDescent="0.25">
      <c r="A19" s="101">
        <v>12</v>
      </c>
      <c r="B19" s="19">
        <v>1</v>
      </c>
      <c r="C19" s="19">
        <v>12</v>
      </c>
      <c r="D19" s="62" t="str">
        <f>'Seasonality Data Break down'!$B$18&amp;" Y"&amp;B19</f>
        <v>December Y1</v>
      </c>
      <c r="E19" s="63">
        <f>IF(B19=1,INDEX(Workings!$B$27:$B$38,C19),1)</f>
        <v>1</v>
      </c>
      <c r="F19" s="63">
        <f>IF(B19=1,INDEX(Workings!$C$27:$C$38,C19),1)</f>
        <v>1</v>
      </c>
      <c r="G19" s="64">
        <f>INDEX(Workings!$C$19:$C$23,B19)</f>
        <v>1</v>
      </c>
      <c r="H19" s="65">
        <f>INDEX('Seasonality Data Break down'!$C$7:$C$18,C19)</f>
        <v>1.2</v>
      </c>
      <c r="I19" s="65">
        <f>INDEX('Seasonality Data Break down'!$D$7:$D$18,C19)</f>
        <v>0.8</v>
      </c>
      <c r="J19" s="66">
        <f>Assumptions!$C$18/12</f>
        <v>26.083333333333332</v>
      </c>
      <c r="K19" s="64">
        <f>Assumptions!$C$19*E19*H19*G19</f>
        <v>78</v>
      </c>
      <c r="L19" s="67">
        <f>Assumptions!$C$20+INDEX('Seasonality Data Break down'!$E$7:$E$18,C19)</f>
        <v>8.5</v>
      </c>
      <c r="M19" s="68">
        <f t="shared" si="0"/>
        <v>17293.25</v>
      </c>
      <c r="N19" s="68">
        <f>M19*Assumptions!$C$21</f>
        <v>5187.9749999999995</v>
      </c>
      <c r="O19" s="64">
        <f>Assumptions!$C$27*F19*I19*G19</f>
        <v>44</v>
      </c>
      <c r="P19" s="68">
        <f>O19*Assumptions!$C$28</f>
        <v>1980</v>
      </c>
      <c r="Q19" s="64">
        <f>Assumptions!$C$24*4.333*F19*I19*G19</f>
        <v>48.529600000000009</v>
      </c>
      <c r="R19" s="64">
        <f>Q19*Assumptions!$C$25</f>
        <v>485.29600000000011</v>
      </c>
      <c r="S19" s="64">
        <f>MIN(O19*Assumptions!$C$48,R19)</f>
        <v>264</v>
      </c>
      <c r="T19" s="64">
        <f t="shared" si="1"/>
        <v>221.29600000000011</v>
      </c>
      <c r="U19" s="68">
        <f>T19*Assumptions!$C$26</f>
        <v>2655.5520000000015</v>
      </c>
      <c r="V19" s="68">
        <f>Q19*Assumptions!$C$29</f>
        <v>1455.8880000000004</v>
      </c>
      <c r="W19" s="68">
        <f t="shared" si="2"/>
        <v>4635.5520000000015</v>
      </c>
      <c r="X19" s="69">
        <f t="shared" si="3"/>
        <v>21928.802000000003</v>
      </c>
      <c r="Y19" s="68">
        <f t="shared" si="4"/>
        <v>6643.8629999999994</v>
      </c>
      <c r="Z19" s="69">
        <f t="shared" si="5"/>
        <v>15284.939000000004</v>
      </c>
      <c r="AA19" s="67">
        <f>Assumptions!$C$10*Assumptions!$C$9/12</f>
        <v>2000</v>
      </c>
      <c r="AB19" s="67">
        <f>Assumptions!$C$12/12</f>
        <v>125</v>
      </c>
      <c r="AC19" s="67">
        <f>Assumptions!$C$14/12</f>
        <v>150</v>
      </c>
      <c r="AD19" s="68">
        <f>(Assumptions!$C$32*4.333*Assumptions!$C$33+Assumptions!$C$34/12)*(1+(Assumptions!$C$35))</f>
        <v>6783.2323541666665</v>
      </c>
      <c r="AE19" s="67">
        <f>INDEX('Seasonality Data Break down'!$F$7:$F$18,C19)*G19</f>
        <v>300</v>
      </c>
      <c r="AF19" s="67">
        <f>INDEX('Seasonality Data Break down'!$G$7:$G$18,C19)*G19</f>
        <v>250</v>
      </c>
      <c r="AG19" s="67">
        <f>INDEX('Seasonality Data Break down'!$H$7:$H$18,C19)*G19</f>
        <v>100</v>
      </c>
      <c r="AH19" s="69">
        <f t="shared" si="6"/>
        <v>650</v>
      </c>
      <c r="AI19" s="67">
        <f>Assumptions!$C$39</f>
        <v>150</v>
      </c>
      <c r="AJ19" s="67">
        <f>Assumptions!$C$40</f>
        <v>500</v>
      </c>
      <c r="AK19" s="69">
        <f t="shared" si="7"/>
        <v>10358.232354166666</v>
      </c>
      <c r="AL19" s="68">
        <f>X19*Assumptions!$C$13</f>
        <v>657.86406000000011</v>
      </c>
      <c r="AM19" s="68">
        <f>X19*Assumptions!$C$15</f>
        <v>383.7540350000001</v>
      </c>
      <c r="AN19" s="69">
        <f t="shared" si="8"/>
        <v>1041.6180950000003</v>
      </c>
      <c r="AO19" s="69">
        <f t="shared" si="9"/>
        <v>11399.850449166666</v>
      </c>
      <c r="AP19" s="69">
        <f t="shared" si="10"/>
        <v>3885.0885508333376</v>
      </c>
      <c r="AQ19" s="67">
        <f>'Startup Costs'!$D$24/(Assumptions!$C$54*12)</f>
        <v>916.66666666666663</v>
      </c>
      <c r="AR19" s="67">
        <f>-'Loan schedule'!$D$23</f>
        <v>-368.24016822288132</v>
      </c>
      <c r="AS19" s="68">
        <f t="shared" si="11"/>
        <v>2600.1817159437896</v>
      </c>
      <c r="AT19" s="68">
        <f>-MAX(AS19,0)*Assumptions!$C$41</f>
        <v>-650.04542898594741</v>
      </c>
      <c r="AU19" s="69">
        <f t="shared" si="12"/>
        <v>1950.1362869578422</v>
      </c>
      <c r="AV19" s="67">
        <f>-'Loan schedule'!$E$23</f>
        <v>-1031.4044709353859</v>
      </c>
      <c r="AW19" s="69">
        <f t="shared" si="13"/>
        <v>1835.3984826891231</v>
      </c>
      <c r="AX19" s="68">
        <f t="shared" si="18"/>
        <v>15019.991908934464</v>
      </c>
      <c r="AY19" s="69">
        <f t="shared" si="14"/>
        <v>16855.390391623587</v>
      </c>
      <c r="AZ19" s="63">
        <f t="shared" si="15"/>
        <v>0.69702571987288686</v>
      </c>
      <c r="BA19" s="63">
        <f t="shared" si="16"/>
        <v>0.17716829906318352</v>
      </c>
      <c r="BB19" s="102">
        <f t="shared" si="17"/>
        <v>8.8930361401313301E-2</v>
      </c>
      <c r="BD19" s="70" t="s">
        <v>244</v>
      </c>
      <c r="BE19" s="71" t="s">
        <v>340</v>
      </c>
    </row>
    <row r="20" spans="1:57" ht="15" customHeight="1" x14ac:dyDescent="0.25">
      <c r="A20" s="101">
        <v>13</v>
      </c>
      <c r="B20" s="19">
        <v>2</v>
      </c>
      <c r="C20" s="19">
        <v>1</v>
      </c>
      <c r="D20" s="62" t="str">
        <f>'Seasonality Data Break down'!$B$7&amp;" Y"&amp;B20</f>
        <v>January Y2</v>
      </c>
      <c r="E20" s="63">
        <f>IF(B20=1,INDEX(Workings!$B$27:$B$38,C20),1)</f>
        <v>1</v>
      </c>
      <c r="F20" s="63">
        <f>IF(B20=1,INDEX(Workings!$C$27:$C$38,C20),1)</f>
        <v>1</v>
      </c>
      <c r="G20" s="64">
        <f>INDEX(Workings!$C$19:$C$23,B20)</f>
        <v>1.1499999999999999</v>
      </c>
      <c r="H20" s="65">
        <f>INDEX('Seasonality Data Break down'!$C$7:$C$18,C20)</f>
        <v>0.85</v>
      </c>
      <c r="I20" s="65">
        <f>INDEX('Seasonality Data Break down'!$D$7:$D$18,C20)</f>
        <v>1.3</v>
      </c>
      <c r="J20" s="66">
        <f>Assumptions!$C$18/12</f>
        <v>26.083333333333332</v>
      </c>
      <c r="K20" s="64">
        <f>Assumptions!$C$19*E20*H20*G20</f>
        <v>63.537499999999994</v>
      </c>
      <c r="L20" s="67">
        <f>Assumptions!$C$20+INDEX('Seasonality Data Break down'!$E$7:$E$18,C20)</f>
        <v>8.5</v>
      </c>
      <c r="M20" s="68">
        <f t="shared" si="0"/>
        <v>14086.793229166664</v>
      </c>
      <c r="N20" s="68">
        <f>M20*Assumptions!$C$21</f>
        <v>4226.037968749999</v>
      </c>
      <c r="O20" s="64">
        <f>Assumptions!$C$27*F20*I20*G20</f>
        <v>82.224999999999994</v>
      </c>
      <c r="P20" s="68">
        <f>O20*Assumptions!$C$28</f>
        <v>3700.1249999999995</v>
      </c>
      <c r="Q20" s="64">
        <f>Assumptions!$C$24*4.333*F20*I20*G20</f>
        <v>90.689689999999999</v>
      </c>
      <c r="R20" s="64">
        <f>Q20*Assumptions!$C$25</f>
        <v>906.89689999999996</v>
      </c>
      <c r="S20" s="64">
        <f>MIN(O20*Assumptions!$C$48,R20)</f>
        <v>493.34999999999997</v>
      </c>
      <c r="T20" s="64">
        <f t="shared" si="1"/>
        <v>413.54689999999999</v>
      </c>
      <c r="U20" s="68">
        <f>T20*Assumptions!$C$26</f>
        <v>4962.5627999999997</v>
      </c>
      <c r="V20" s="68">
        <f>Q20*Assumptions!$C$29</f>
        <v>2720.6907000000001</v>
      </c>
      <c r="W20" s="68">
        <f t="shared" si="2"/>
        <v>8662.6877999999997</v>
      </c>
      <c r="X20" s="69">
        <f t="shared" si="3"/>
        <v>22749.481029166665</v>
      </c>
      <c r="Y20" s="68">
        <f t="shared" si="4"/>
        <v>6946.7286687499991</v>
      </c>
      <c r="Z20" s="69">
        <f t="shared" si="5"/>
        <v>15802.752360416667</v>
      </c>
      <c r="AA20" s="67">
        <f>Assumptions!$C$10*Assumptions!$C$9/12</f>
        <v>2000</v>
      </c>
      <c r="AB20" s="67">
        <f>Assumptions!$C$12/12</f>
        <v>125</v>
      </c>
      <c r="AC20" s="67">
        <f>Assumptions!$C$14/12</f>
        <v>150</v>
      </c>
      <c r="AD20" s="68">
        <f>(Assumptions!$C$32*4.333*Assumptions!$C$33+Assumptions!$C$34/12)*(1+(Assumptions!$C$35))</f>
        <v>6783.2323541666665</v>
      </c>
      <c r="AE20" s="67">
        <f>INDEX('Seasonality Data Break down'!$F$7:$F$18,C20)*G20</f>
        <v>345</v>
      </c>
      <c r="AF20" s="67">
        <f>INDEX('Seasonality Data Break down'!$G$7:$G$18,C20)*G20</f>
        <v>172.5</v>
      </c>
      <c r="AG20" s="67">
        <f>INDEX('Seasonality Data Break down'!$H$7:$H$18,C20)*G20</f>
        <v>57.499999999999993</v>
      </c>
      <c r="AH20" s="69">
        <f t="shared" si="6"/>
        <v>575</v>
      </c>
      <c r="AI20" s="67">
        <f>Assumptions!$C$39</f>
        <v>150</v>
      </c>
      <c r="AJ20" s="67">
        <f>Assumptions!$C$40</f>
        <v>500</v>
      </c>
      <c r="AK20" s="69">
        <f t="shared" si="7"/>
        <v>10283.232354166666</v>
      </c>
      <c r="AL20" s="68">
        <f>X20*Assumptions!$C$13</f>
        <v>682.48443087499993</v>
      </c>
      <c r="AM20" s="68">
        <f>X20*Assumptions!$C$15</f>
        <v>398.11591801041669</v>
      </c>
      <c r="AN20" s="69">
        <f t="shared" si="8"/>
        <v>1080.6003488854167</v>
      </c>
      <c r="AO20" s="69">
        <f t="shared" si="9"/>
        <v>11363.832703052083</v>
      </c>
      <c r="AP20" s="69">
        <f t="shared" si="10"/>
        <v>4438.9196573645841</v>
      </c>
      <c r="AQ20" s="67">
        <f>'Startup Costs'!$D$24/(Assumptions!$C$54*12)</f>
        <v>916.66666666666663</v>
      </c>
      <c r="AR20" s="67">
        <f>-'Loan schedule'!$D$24</f>
        <v>-361.79389027953516</v>
      </c>
      <c r="AS20" s="68">
        <f t="shared" si="11"/>
        <v>3160.4591004183821</v>
      </c>
      <c r="AT20" s="68">
        <f>-MAX(AS20,0)*Assumptions!$C$41</f>
        <v>-790.11477510459554</v>
      </c>
      <c r="AU20" s="69">
        <f t="shared" si="12"/>
        <v>2370.3443253137866</v>
      </c>
      <c r="AV20" s="67">
        <f>-'Loan schedule'!$E$24</f>
        <v>-1037.850748878732</v>
      </c>
      <c r="AW20" s="69">
        <f t="shared" si="13"/>
        <v>2249.1602431017209</v>
      </c>
      <c r="AX20" s="68">
        <f t="shared" si="18"/>
        <v>16855.390391623587</v>
      </c>
      <c r="AY20" s="69">
        <f t="shared" si="14"/>
        <v>19104.550634725307</v>
      </c>
      <c r="AZ20" s="63">
        <f t="shared" si="15"/>
        <v>0.69464232349547961</v>
      </c>
      <c r="BA20" s="63">
        <f t="shared" si="16"/>
        <v>0.19512179867635362</v>
      </c>
      <c r="BB20" s="102">
        <f t="shared" si="17"/>
        <v>0.10419333620291445</v>
      </c>
      <c r="BD20" s="70" t="s">
        <v>341</v>
      </c>
      <c r="BE20" s="71" t="s">
        <v>342</v>
      </c>
    </row>
    <row r="21" spans="1:57" ht="15" customHeight="1" x14ac:dyDescent="0.25">
      <c r="A21" s="101">
        <v>14</v>
      </c>
      <c r="B21" s="19">
        <v>2</v>
      </c>
      <c r="C21" s="19">
        <v>2</v>
      </c>
      <c r="D21" s="62" t="str">
        <f>'Seasonality Data Break down'!$B$8&amp;" Y"&amp;B21</f>
        <v>February Y2</v>
      </c>
      <c r="E21" s="63">
        <f>IF(B21=1,INDEX(Workings!$B$27:$B$38,C21),1)</f>
        <v>1</v>
      </c>
      <c r="F21" s="63">
        <f>IF(B21=1,INDEX(Workings!$C$27:$C$38,C21),1)</f>
        <v>1</v>
      </c>
      <c r="G21" s="64">
        <f>INDEX(Workings!$C$19:$C$23,B21)</f>
        <v>1.1499999999999999</v>
      </c>
      <c r="H21" s="65">
        <f>INDEX('Seasonality Data Break down'!$C$7:$C$18,C21)</f>
        <v>0.9</v>
      </c>
      <c r="I21" s="65">
        <f>INDEX('Seasonality Data Break down'!$D$7:$D$18,C21)</f>
        <v>1.2</v>
      </c>
      <c r="J21" s="66">
        <f>Assumptions!$C$18/12</f>
        <v>26.083333333333332</v>
      </c>
      <c r="K21" s="64">
        <f>Assumptions!$C$19*E21*H21*G21</f>
        <v>67.274999999999991</v>
      </c>
      <c r="L21" s="67">
        <f>Assumptions!$C$20+INDEX('Seasonality Data Break down'!$E$7:$E$18,C21)</f>
        <v>8.5</v>
      </c>
      <c r="M21" s="68">
        <f t="shared" si="0"/>
        <v>14915.428124999997</v>
      </c>
      <c r="N21" s="68">
        <f>M21*Assumptions!$C$21</f>
        <v>4474.6284374999987</v>
      </c>
      <c r="O21" s="64">
        <f>Assumptions!$C$27*F21*I21*G21</f>
        <v>75.899999999999991</v>
      </c>
      <c r="P21" s="68">
        <f>O21*Assumptions!$C$28</f>
        <v>3415.4999999999995</v>
      </c>
      <c r="Q21" s="64">
        <f>Assumptions!$C$24*4.333*F21*I21*G21</f>
        <v>83.713560000000001</v>
      </c>
      <c r="R21" s="64">
        <f>Q21*Assumptions!$C$25</f>
        <v>837.13560000000007</v>
      </c>
      <c r="S21" s="64">
        <f>MIN(O21*Assumptions!$C$48,R21)</f>
        <v>455.4</v>
      </c>
      <c r="T21" s="64">
        <f t="shared" si="1"/>
        <v>381.73560000000009</v>
      </c>
      <c r="U21" s="68">
        <f>T21*Assumptions!$C$26</f>
        <v>4580.8272000000015</v>
      </c>
      <c r="V21" s="68">
        <f>Q21*Assumptions!$C$29</f>
        <v>2511.4068000000002</v>
      </c>
      <c r="W21" s="68">
        <f t="shared" si="2"/>
        <v>7996.3272000000015</v>
      </c>
      <c r="X21" s="69">
        <f t="shared" si="3"/>
        <v>22911.755324999998</v>
      </c>
      <c r="Y21" s="68">
        <f t="shared" si="4"/>
        <v>6986.0352374999984</v>
      </c>
      <c r="Z21" s="69">
        <f t="shared" si="5"/>
        <v>15925.7200875</v>
      </c>
      <c r="AA21" s="67">
        <f>Assumptions!$C$10*Assumptions!$C$9/12</f>
        <v>2000</v>
      </c>
      <c r="AB21" s="67">
        <f>Assumptions!$C$12/12</f>
        <v>125</v>
      </c>
      <c r="AC21" s="67">
        <f>Assumptions!$C$14/12</f>
        <v>150</v>
      </c>
      <c r="AD21" s="68">
        <f>(Assumptions!$C$32*4.333*Assumptions!$C$33+Assumptions!$C$34/12)*(1+(Assumptions!$C$35))</f>
        <v>6783.2323541666665</v>
      </c>
      <c r="AE21" s="67">
        <f>INDEX('Seasonality Data Break down'!$F$7:$F$18,C21)*G21</f>
        <v>229.99999999999997</v>
      </c>
      <c r="AF21" s="67">
        <f>INDEX('Seasonality Data Break down'!$G$7:$G$18,C21)*G21</f>
        <v>172.5</v>
      </c>
      <c r="AG21" s="67">
        <f>INDEX('Seasonality Data Break down'!$H$7:$H$18,C21)*G21</f>
        <v>57.499999999999993</v>
      </c>
      <c r="AH21" s="69">
        <f t="shared" si="6"/>
        <v>460</v>
      </c>
      <c r="AI21" s="67">
        <f>Assumptions!$C$39</f>
        <v>150</v>
      </c>
      <c r="AJ21" s="67">
        <f>Assumptions!$C$40</f>
        <v>500</v>
      </c>
      <c r="AK21" s="69">
        <f t="shared" si="7"/>
        <v>10168.232354166666</v>
      </c>
      <c r="AL21" s="68">
        <f>X21*Assumptions!$C$13</f>
        <v>687.35265974999993</v>
      </c>
      <c r="AM21" s="68">
        <f>X21*Assumptions!$C$15</f>
        <v>400.9557181875</v>
      </c>
      <c r="AN21" s="69">
        <f t="shared" si="8"/>
        <v>1088.3083779374999</v>
      </c>
      <c r="AO21" s="69">
        <f t="shared" si="9"/>
        <v>11256.540732104166</v>
      </c>
      <c r="AP21" s="69">
        <f t="shared" si="10"/>
        <v>4669.1793553958341</v>
      </c>
      <c r="AQ21" s="67">
        <f>'Startup Costs'!$D$24/(Assumptions!$C$54*12)</f>
        <v>916.66666666666663</v>
      </c>
      <c r="AR21" s="67">
        <f>-'Loan schedule'!$D$25</f>
        <v>-355.30732309904312</v>
      </c>
      <c r="AS21" s="68">
        <f t="shared" si="11"/>
        <v>3397.2053656301246</v>
      </c>
      <c r="AT21" s="68">
        <f>-MAX(AS21,0)*Assumptions!$C$41</f>
        <v>-849.30134140753114</v>
      </c>
      <c r="AU21" s="69">
        <f t="shared" si="12"/>
        <v>2547.9040242225933</v>
      </c>
      <c r="AV21" s="67">
        <f>-'Loan schedule'!$E$25</f>
        <v>-1044.3373160592241</v>
      </c>
      <c r="AW21" s="69">
        <f t="shared" si="13"/>
        <v>2420.2333748300357</v>
      </c>
      <c r="AX21" s="68">
        <f t="shared" si="18"/>
        <v>19104.550634725307</v>
      </c>
      <c r="AY21" s="69">
        <f t="shared" si="14"/>
        <v>21524.784009555344</v>
      </c>
      <c r="AZ21" s="63">
        <f t="shared" si="15"/>
        <v>0.69508947968394041</v>
      </c>
      <c r="BA21" s="63">
        <f t="shared" si="16"/>
        <v>0.20378968303232065</v>
      </c>
      <c r="BB21" s="102">
        <f t="shared" si="17"/>
        <v>0.11120509922007006</v>
      </c>
      <c r="BD21" s="70" t="s">
        <v>248</v>
      </c>
      <c r="BE21" s="71" t="s">
        <v>343</v>
      </c>
    </row>
    <row r="22" spans="1:57" ht="15" customHeight="1" x14ac:dyDescent="0.25">
      <c r="A22" s="101">
        <v>15</v>
      </c>
      <c r="B22" s="19">
        <v>2</v>
      </c>
      <c r="C22" s="19">
        <v>3</v>
      </c>
      <c r="D22" s="62" t="str">
        <f>'Seasonality Data Break down'!$B$9&amp;" Y"&amp;B22</f>
        <v>March Y2</v>
      </c>
      <c r="E22" s="63">
        <f>IF(B22=1,INDEX(Workings!$B$27:$B$38,C22),1)</f>
        <v>1</v>
      </c>
      <c r="F22" s="63">
        <f>IF(B22=1,INDEX(Workings!$C$27:$C$38,C22),1)</f>
        <v>1</v>
      </c>
      <c r="G22" s="64">
        <f>INDEX(Workings!$C$19:$C$23,B22)</f>
        <v>1.1499999999999999</v>
      </c>
      <c r="H22" s="65">
        <f>INDEX('Seasonality Data Break down'!$C$7:$C$18,C22)</f>
        <v>0.95</v>
      </c>
      <c r="I22" s="65">
        <f>INDEX('Seasonality Data Break down'!$D$7:$D$18,C22)</f>
        <v>1.05</v>
      </c>
      <c r="J22" s="66">
        <f>Assumptions!$C$18/12</f>
        <v>26.083333333333332</v>
      </c>
      <c r="K22" s="64">
        <f>Assumptions!$C$19*E22*H22*G22</f>
        <v>71.012499999999989</v>
      </c>
      <c r="L22" s="67">
        <f>Assumptions!$C$20+INDEX('Seasonality Data Break down'!$E$7:$E$18,C22)</f>
        <v>8.5</v>
      </c>
      <c r="M22" s="68">
        <f t="shared" si="0"/>
        <v>15744.06302083333</v>
      </c>
      <c r="N22" s="68">
        <f>M22*Assumptions!$C$21</f>
        <v>4723.2189062499983</v>
      </c>
      <c r="O22" s="64">
        <f>Assumptions!$C$27*F22*I22*G22</f>
        <v>66.412499999999994</v>
      </c>
      <c r="P22" s="68">
        <f>O22*Assumptions!$C$28</f>
        <v>2988.5624999999995</v>
      </c>
      <c r="Q22" s="64">
        <f>Assumptions!$C$24*4.333*F22*I22*G22</f>
        <v>73.249365000000012</v>
      </c>
      <c r="R22" s="64">
        <f>Q22*Assumptions!$C$25</f>
        <v>732.49365000000012</v>
      </c>
      <c r="S22" s="64">
        <f>MIN(O22*Assumptions!$C$48,R22)</f>
        <v>398.47499999999997</v>
      </c>
      <c r="T22" s="64">
        <f t="shared" si="1"/>
        <v>334.01865000000015</v>
      </c>
      <c r="U22" s="68">
        <f>T22*Assumptions!$C$26</f>
        <v>4008.2238000000016</v>
      </c>
      <c r="V22" s="68">
        <f>Q22*Assumptions!$C$29</f>
        <v>2197.4809500000001</v>
      </c>
      <c r="W22" s="68">
        <f t="shared" si="2"/>
        <v>6996.7863000000016</v>
      </c>
      <c r="X22" s="69">
        <f t="shared" si="3"/>
        <v>22740.849320833331</v>
      </c>
      <c r="Y22" s="68">
        <f t="shared" si="4"/>
        <v>6920.6998562499984</v>
      </c>
      <c r="Z22" s="69">
        <f t="shared" si="5"/>
        <v>15820.149464583334</v>
      </c>
      <c r="AA22" s="67">
        <f>Assumptions!$C$10*Assumptions!$C$9/12</f>
        <v>2000</v>
      </c>
      <c r="AB22" s="67">
        <f>Assumptions!$C$12/12</f>
        <v>125</v>
      </c>
      <c r="AC22" s="67">
        <f>Assumptions!$C$14/12</f>
        <v>150</v>
      </c>
      <c r="AD22" s="68">
        <f>(Assumptions!$C$32*4.333*Assumptions!$C$33+Assumptions!$C$34/12)*(1+(Assumptions!$C$35))</f>
        <v>6783.2323541666665</v>
      </c>
      <c r="AE22" s="67">
        <f>INDEX('Seasonality Data Break down'!$F$7:$F$18,C22)*G22</f>
        <v>172.5</v>
      </c>
      <c r="AF22" s="67">
        <f>INDEX('Seasonality Data Break down'!$G$7:$G$18,C22)*G22</f>
        <v>172.5</v>
      </c>
      <c r="AG22" s="67">
        <f>INDEX('Seasonality Data Break down'!$H$7:$H$18,C22)*G22</f>
        <v>57.499999999999993</v>
      </c>
      <c r="AH22" s="69">
        <f t="shared" si="6"/>
        <v>402.5</v>
      </c>
      <c r="AI22" s="67">
        <f>Assumptions!$C$39</f>
        <v>150</v>
      </c>
      <c r="AJ22" s="67">
        <f>Assumptions!$C$40</f>
        <v>500</v>
      </c>
      <c r="AK22" s="69">
        <f t="shared" si="7"/>
        <v>10110.732354166666</v>
      </c>
      <c r="AL22" s="68">
        <f>X22*Assumptions!$C$13</f>
        <v>682.22547962499993</v>
      </c>
      <c r="AM22" s="68">
        <f>X22*Assumptions!$C$15</f>
        <v>397.96486311458335</v>
      </c>
      <c r="AN22" s="69">
        <f t="shared" si="8"/>
        <v>1080.1903427395832</v>
      </c>
      <c r="AO22" s="69">
        <f t="shared" si="9"/>
        <v>11190.922696906249</v>
      </c>
      <c r="AP22" s="69">
        <f t="shared" si="10"/>
        <v>4629.2267676770844</v>
      </c>
      <c r="AQ22" s="67">
        <f>'Startup Costs'!$D$24/(Assumptions!$C$54*12)</f>
        <v>916.66666666666663</v>
      </c>
      <c r="AR22" s="67">
        <f>-'Loan schedule'!$D$26</f>
        <v>-348.780214873673</v>
      </c>
      <c r="AS22" s="68">
        <f t="shared" si="11"/>
        <v>3363.7798861367446</v>
      </c>
      <c r="AT22" s="68">
        <f>-MAX(AS22,0)*Assumptions!$C$41</f>
        <v>-840.94497153418615</v>
      </c>
      <c r="AU22" s="69">
        <f t="shared" si="12"/>
        <v>2522.8349146025585</v>
      </c>
      <c r="AV22" s="67">
        <f>-'Loan schedule'!$E$26</f>
        <v>-1050.8644242845942</v>
      </c>
      <c r="AW22" s="69">
        <f t="shared" si="13"/>
        <v>2388.6371569846306</v>
      </c>
      <c r="AX22" s="68">
        <f t="shared" si="18"/>
        <v>21524.784009555344</v>
      </c>
      <c r="AY22" s="69">
        <f t="shared" si="14"/>
        <v>23913.421166539974</v>
      </c>
      <c r="AZ22" s="63">
        <f t="shared" si="15"/>
        <v>0.69567100337322008</v>
      </c>
      <c r="BA22" s="63">
        <f t="shared" si="16"/>
        <v>0.20356437450364531</v>
      </c>
      <c r="BB22" s="102">
        <f t="shared" si="17"/>
        <v>0.11093846491878123</v>
      </c>
      <c r="BD22" s="70" t="s">
        <v>344</v>
      </c>
      <c r="BE22" s="71" t="s">
        <v>345</v>
      </c>
    </row>
    <row r="23" spans="1:57" ht="15" customHeight="1" x14ac:dyDescent="0.25">
      <c r="A23" s="101">
        <v>16</v>
      </c>
      <c r="B23" s="19">
        <v>2</v>
      </c>
      <c r="C23" s="19">
        <v>4</v>
      </c>
      <c r="D23" s="62" t="str">
        <f>'Seasonality Data Break down'!$B$10&amp;" Y"&amp;B23</f>
        <v>April Y2</v>
      </c>
      <c r="E23" s="63">
        <f>IF(B23=1,INDEX(Workings!$B$27:$B$38,C23),1)</f>
        <v>1</v>
      </c>
      <c r="F23" s="63">
        <f>IF(B23=1,INDEX(Workings!$C$27:$C$38,C23),1)</f>
        <v>1</v>
      </c>
      <c r="G23" s="64">
        <f>INDEX(Workings!$C$19:$C$23,B23)</f>
        <v>1.1499999999999999</v>
      </c>
      <c r="H23" s="65">
        <f>INDEX('Seasonality Data Break down'!$C$7:$C$18,C23)</f>
        <v>1</v>
      </c>
      <c r="I23" s="65">
        <f>INDEX('Seasonality Data Break down'!$D$7:$D$18,C23)</f>
        <v>1</v>
      </c>
      <c r="J23" s="66">
        <f>Assumptions!$C$18/12</f>
        <v>26.083333333333332</v>
      </c>
      <c r="K23" s="64">
        <f>Assumptions!$C$19*E23*H23*G23</f>
        <v>74.75</v>
      </c>
      <c r="L23" s="67">
        <f>Assumptions!$C$20+INDEX('Seasonality Data Break down'!$E$7:$E$18,C23)</f>
        <v>8.5</v>
      </c>
      <c r="M23" s="68">
        <f t="shared" si="0"/>
        <v>16572.697916666664</v>
      </c>
      <c r="N23" s="68">
        <f>M23*Assumptions!$C$21</f>
        <v>4971.8093749999989</v>
      </c>
      <c r="O23" s="64">
        <f>Assumptions!$C$27*F23*I23*G23</f>
        <v>63.249999999999993</v>
      </c>
      <c r="P23" s="68">
        <f>O23*Assumptions!$C$28</f>
        <v>2846.2499999999995</v>
      </c>
      <c r="Q23" s="64">
        <f>Assumptions!$C$24*4.333*F23*I23*G23</f>
        <v>69.761300000000006</v>
      </c>
      <c r="R23" s="64">
        <f>Q23*Assumptions!$C$25</f>
        <v>697.61300000000006</v>
      </c>
      <c r="S23" s="64">
        <f>MIN(O23*Assumptions!$C$48,R23)</f>
        <v>379.49999999999994</v>
      </c>
      <c r="T23" s="64">
        <f t="shared" si="1"/>
        <v>318.11300000000011</v>
      </c>
      <c r="U23" s="68">
        <f>T23*Assumptions!$C$26</f>
        <v>3817.3560000000016</v>
      </c>
      <c r="V23" s="68">
        <f>Q23*Assumptions!$C$29</f>
        <v>2092.8389999999999</v>
      </c>
      <c r="W23" s="68">
        <f t="shared" si="2"/>
        <v>6663.6060000000016</v>
      </c>
      <c r="X23" s="69">
        <f t="shared" si="3"/>
        <v>23236.303916666664</v>
      </c>
      <c r="Y23" s="68">
        <f t="shared" si="4"/>
        <v>7064.6483749999989</v>
      </c>
      <c r="Z23" s="69">
        <f t="shared" si="5"/>
        <v>16171.655541666665</v>
      </c>
      <c r="AA23" s="67">
        <f>Assumptions!$C$10*Assumptions!$C$9/12</f>
        <v>2000</v>
      </c>
      <c r="AB23" s="67">
        <f>Assumptions!$C$12/12</f>
        <v>125</v>
      </c>
      <c r="AC23" s="67">
        <f>Assumptions!$C$14/12</f>
        <v>150</v>
      </c>
      <c r="AD23" s="68">
        <f>(Assumptions!$C$32*4.333*Assumptions!$C$33+Assumptions!$C$34/12)*(1+(Assumptions!$C$35))</f>
        <v>6783.2323541666665</v>
      </c>
      <c r="AE23" s="67">
        <f>INDEX('Seasonality Data Break down'!$F$7:$F$18,C23)*G23</f>
        <v>172.5</v>
      </c>
      <c r="AF23" s="67">
        <f>INDEX('Seasonality Data Break down'!$G$7:$G$18,C23)*G23</f>
        <v>172.5</v>
      </c>
      <c r="AG23" s="67">
        <f>INDEX('Seasonality Data Break down'!$H$7:$H$18,C23)*G23</f>
        <v>86.25</v>
      </c>
      <c r="AH23" s="69">
        <f t="shared" si="6"/>
        <v>431.25</v>
      </c>
      <c r="AI23" s="67">
        <f>Assumptions!$C$39</f>
        <v>150</v>
      </c>
      <c r="AJ23" s="67">
        <f>Assumptions!$C$40</f>
        <v>500</v>
      </c>
      <c r="AK23" s="69">
        <f t="shared" si="7"/>
        <v>10139.482354166666</v>
      </c>
      <c r="AL23" s="68">
        <f>X23*Assumptions!$C$13</f>
        <v>697.08911749999993</v>
      </c>
      <c r="AM23" s="68">
        <f>X23*Assumptions!$C$15</f>
        <v>406.63531854166666</v>
      </c>
      <c r="AN23" s="69">
        <f t="shared" si="8"/>
        <v>1103.7244360416666</v>
      </c>
      <c r="AO23" s="69">
        <f t="shared" si="9"/>
        <v>11243.206790208333</v>
      </c>
      <c r="AP23" s="69">
        <f t="shared" si="10"/>
        <v>4928.4487514583325</v>
      </c>
      <c r="AQ23" s="67">
        <f>'Startup Costs'!$D$24/(Assumptions!$C$54*12)</f>
        <v>916.66666666666663</v>
      </c>
      <c r="AR23" s="67">
        <f>-'Loan schedule'!$D$27</f>
        <v>-342.21231222189431</v>
      </c>
      <c r="AS23" s="68">
        <f t="shared" si="11"/>
        <v>3669.5697725697719</v>
      </c>
      <c r="AT23" s="68">
        <f>-MAX(AS23,0)*Assumptions!$C$41</f>
        <v>-917.39244314244297</v>
      </c>
      <c r="AU23" s="69">
        <f t="shared" si="12"/>
        <v>2752.1773294273289</v>
      </c>
      <c r="AV23" s="67">
        <f>-'Loan schedule'!$E$27</f>
        <v>-1057.4323269363729</v>
      </c>
      <c r="AW23" s="69">
        <f t="shared" si="13"/>
        <v>2611.4116691576228</v>
      </c>
      <c r="AX23" s="68">
        <f t="shared" si="18"/>
        <v>23913.421166539974</v>
      </c>
      <c r="AY23" s="69">
        <f t="shared" si="14"/>
        <v>26524.832835697598</v>
      </c>
      <c r="AZ23" s="63">
        <f t="shared" si="15"/>
        <v>0.69596505535750242</v>
      </c>
      <c r="BA23" s="63">
        <f t="shared" si="16"/>
        <v>0.21210123473739351</v>
      </c>
      <c r="BB23" s="102">
        <f t="shared" si="17"/>
        <v>0.11844299073112395</v>
      </c>
      <c r="BD23" s="70" t="s">
        <v>346</v>
      </c>
      <c r="BE23" s="71" t="s">
        <v>347</v>
      </c>
    </row>
    <row r="24" spans="1:57" ht="15" customHeight="1" x14ac:dyDescent="0.25">
      <c r="A24" s="101">
        <v>17</v>
      </c>
      <c r="B24" s="19">
        <v>2</v>
      </c>
      <c r="C24" s="19">
        <v>5</v>
      </c>
      <c r="D24" s="62" t="str">
        <f>'Seasonality Data Break down'!$B$11&amp;" Y"&amp;B24</f>
        <v>May Y2</v>
      </c>
      <c r="E24" s="63">
        <f>IF(B24=1,INDEX(Workings!$B$27:$B$38,C24),1)</f>
        <v>1</v>
      </c>
      <c r="F24" s="63">
        <f>IF(B24=1,INDEX(Workings!$C$27:$C$38,C24),1)</f>
        <v>1</v>
      </c>
      <c r="G24" s="64">
        <f>INDEX(Workings!$C$19:$C$23,B24)</f>
        <v>1.1499999999999999</v>
      </c>
      <c r="H24" s="65">
        <f>INDEX('Seasonality Data Break down'!$C$7:$C$18,C24)</f>
        <v>1.05</v>
      </c>
      <c r="I24" s="65">
        <f>INDEX('Seasonality Data Break down'!$D$7:$D$18,C24)</f>
        <v>0.95</v>
      </c>
      <c r="J24" s="66">
        <f>Assumptions!$C$18/12</f>
        <v>26.083333333333332</v>
      </c>
      <c r="K24" s="64">
        <f>Assumptions!$C$19*E24*H24*G24</f>
        <v>78.487499999999997</v>
      </c>
      <c r="L24" s="67">
        <f>Assumptions!$C$20+INDEX('Seasonality Data Break down'!$E$7:$E$18,C24)</f>
        <v>8.5</v>
      </c>
      <c r="M24" s="68">
        <f t="shared" si="0"/>
        <v>17401.332812499997</v>
      </c>
      <c r="N24" s="68">
        <f>M24*Assumptions!$C$21</f>
        <v>5220.3998437499986</v>
      </c>
      <c r="O24" s="64">
        <f>Assumptions!$C$27*F24*I24*G24</f>
        <v>60.087499999999999</v>
      </c>
      <c r="P24" s="68">
        <f>O24*Assumptions!$C$28</f>
        <v>2703.9375</v>
      </c>
      <c r="Q24" s="64">
        <f>Assumptions!$C$24*4.333*F24*I24*G24</f>
        <v>66.273235</v>
      </c>
      <c r="R24" s="64">
        <f>Q24*Assumptions!$C$25</f>
        <v>662.73235</v>
      </c>
      <c r="S24" s="64">
        <f>MIN(O24*Assumptions!$C$48,R24)</f>
        <v>360.52499999999998</v>
      </c>
      <c r="T24" s="64">
        <f t="shared" si="1"/>
        <v>302.20735000000002</v>
      </c>
      <c r="U24" s="68">
        <f>T24*Assumptions!$C$26</f>
        <v>3626.4882000000002</v>
      </c>
      <c r="V24" s="68">
        <f>Q24*Assumptions!$C$29</f>
        <v>1988.19705</v>
      </c>
      <c r="W24" s="68">
        <f t="shared" si="2"/>
        <v>6330.4256999999998</v>
      </c>
      <c r="X24" s="69">
        <f t="shared" si="3"/>
        <v>23731.758512499997</v>
      </c>
      <c r="Y24" s="68">
        <f t="shared" si="4"/>
        <v>7208.5968937499983</v>
      </c>
      <c r="Z24" s="69">
        <f t="shared" si="5"/>
        <v>16523.161618749997</v>
      </c>
      <c r="AA24" s="67">
        <f>Assumptions!$C$10*Assumptions!$C$9/12</f>
        <v>2000</v>
      </c>
      <c r="AB24" s="67">
        <f>Assumptions!$C$12/12</f>
        <v>125</v>
      </c>
      <c r="AC24" s="67">
        <f>Assumptions!$C$14/12</f>
        <v>150</v>
      </c>
      <c r="AD24" s="68">
        <f>(Assumptions!$C$32*4.333*Assumptions!$C$33+Assumptions!$C$34/12)*(1+(Assumptions!$C$35))</f>
        <v>6783.2323541666665</v>
      </c>
      <c r="AE24" s="67">
        <f>INDEX('Seasonality Data Break down'!$F$7:$F$18,C24)*G24</f>
        <v>172.5</v>
      </c>
      <c r="AF24" s="67">
        <f>INDEX('Seasonality Data Break down'!$G$7:$G$18,C24)*G24</f>
        <v>229.99999999999997</v>
      </c>
      <c r="AG24" s="67">
        <f>INDEX('Seasonality Data Break down'!$H$7:$H$18,C24)*G24</f>
        <v>86.25</v>
      </c>
      <c r="AH24" s="69">
        <f t="shared" si="6"/>
        <v>488.75</v>
      </c>
      <c r="AI24" s="67">
        <f>Assumptions!$C$39</f>
        <v>150</v>
      </c>
      <c r="AJ24" s="67">
        <f>Assumptions!$C$40</f>
        <v>500</v>
      </c>
      <c r="AK24" s="69">
        <f t="shared" si="7"/>
        <v>10196.982354166666</v>
      </c>
      <c r="AL24" s="68">
        <f>X24*Assumptions!$C$13</f>
        <v>711.95275537499992</v>
      </c>
      <c r="AM24" s="68">
        <f>X24*Assumptions!$C$15</f>
        <v>415.30577396874997</v>
      </c>
      <c r="AN24" s="69">
        <f t="shared" si="8"/>
        <v>1127.2585293437498</v>
      </c>
      <c r="AO24" s="69">
        <f t="shared" si="9"/>
        <v>11324.240883510416</v>
      </c>
      <c r="AP24" s="69">
        <f t="shared" si="10"/>
        <v>5198.9207352395806</v>
      </c>
      <c r="AQ24" s="67">
        <f>'Startup Costs'!$D$24/(Assumptions!$C$54*12)</f>
        <v>916.66666666666663</v>
      </c>
      <c r="AR24" s="67">
        <f>-'Loan schedule'!$D$28</f>
        <v>-335.60336017854195</v>
      </c>
      <c r="AS24" s="68">
        <f t="shared" si="11"/>
        <v>3946.6507083943716</v>
      </c>
      <c r="AT24" s="68">
        <f>-MAX(AS24,0)*Assumptions!$C$41</f>
        <v>-986.66267709859289</v>
      </c>
      <c r="AU24" s="69">
        <f t="shared" si="12"/>
        <v>2959.9880312957785</v>
      </c>
      <c r="AV24" s="67">
        <f>-'Loan schedule'!$E$28</f>
        <v>-1064.0412789797251</v>
      </c>
      <c r="AW24" s="69">
        <f t="shared" si="13"/>
        <v>2812.6134189827198</v>
      </c>
      <c r="AX24" s="68">
        <f t="shared" si="18"/>
        <v>26524.832835697598</v>
      </c>
      <c r="AY24" s="69">
        <f t="shared" si="14"/>
        <v>29337.446254680319</v>
      </c>
      <c r="AZ24" s="63">
        <f t="shared" si="15"/>
        <v>0.69624682932985826</v>
      </c>
      <c r="BA24" s="63">
        <f t="shared" si="16"/>
        <v>0.21907018531733347</v>
      </c>
      <c r="BB24" s="102">
        <f t="shared" si="17"/>
        <v>0.12472687305227267</v>
      </c>
      <c r="BD24" s="70" t="s">
        <v>348</v>
      </c>
      <c r="BE24" s="71" t="s">
        <v>349</v>
      </c>
    </row>
    <row r="25" spans="1:57" ht="15" customHeight="1" x14ac:dyDescent="0.25">
      <c r="A25" s="101">
        <v>18</v>
      </c>
      <c r="B25" s="19">
        <v>2</v>
      </c>
      <c r="C25" s="19">
        <v>6</v>
      </c>
      <c r="D25" s="62" t="str">
        <f>'Seasonality Data Break down'!$B$12&amp;" Y"&amp;B25</f>
        <v>June Y2</v>
      </c>
      <c r="E25" s="63">
        <f>IF(B25=1,INDEX(Workings!$B$27:$B$38,C25),1)</f>
        <v>1</v>
      </c>
      <c r="F25" s="63">
        <f>IF(B25=1,INDEX(Workings!$C$27:$C$38,C25),1)</f>
        <v>1</v>
      </c>
      <c r="G25" s="64">
        <f>INDEX(Workings!$C$19:$C$23,B25)</f>
        <v>1.1499999999999999</v>
      </c>
      <c r="H25" s="65">
        <f>INDEX('Seasonality Data Break down'!$C$7:$C$18,C25)</f>
        <v>1.1000000000000001</v>
      </c>
      <c r="I25" s="65">
        <f>INDEX('Seasonality Data Break down'!$D$7:$D$18,C25)</f>
        <v>0.85</v>
      </c>
      <c r="J25" s="66">
        <f>Assumptions!$C$18/12</f>
        <v>26.083333333333332</v>
      </c>
      <c r="K25" s="64">
        <f>Assumptions!$C$19*E25*H25*G25</f>
        <v>82.224999999999994</v>
      </c>
      <c r="L25" s="67">
        <f>Assumptions!$C$20+INDEX('Seasonality Data Break down'!$E$7:$E$18,C25)</f>
        <v>9.25</v>
      </c>
      <c r="M25" s="68">
        <f t="shared" si="0"/>
        <v>19838.494270833333</v>
      </c>
      <c r="N25" s="68">
        <f>M25*Assumptions!$C$21</f>
        <v>5951.5482812499995</v>
      </c>
      <c r="O25" s="64">
        <f>Assumptions!$C$27*F25*I25*G25</f>
        <v>53.762499999999996</v>
      </c>
      <c r="P25" s="68">
        <f>O25*Assumptions!$C$28</f>
        <v>2419.3125</v>
      </c>
      <c r="Q25" s="64">
        <f>Assumptions!$C$24*4.333*F25*I25*G25</f>
        <v>59.297105000000002</v>
      </c>
      <c r="R25" s="64">
        <f>Q25*Assumptions!$C$25</f>
        <v>592.97104999999999</v>
      </c>
      <c r="S25" s="64">
        <f>MIN(O25*Assumptions!$C$48,R25)</f>
        <v>322.57499999999999</v>
      </c>
      <c r="T25" s="64">
        <f t="shared" si="1"/>
        <v>270.39605</v>
      </c>
      <c r="U25" s="68">
        <f>T25*Assumptions!$C$26</f>
        <v>3244.7525999999998</v>
      </c>
      <c r="V25" s="68">
        <f>Q25*Assumptions!$C$29</f>
        <v>1778.9131500000001</v>
      </c>
      <c r="W25" s="68">
        <f t="shared" si="2"/>
        <v>5664.0650999999998</v>
      </c>
      <c r="X25" s="69">
        <f t="shared" si="3"/>
        <v>25502.559370833333</v>
      </c>
      <c r="Y25" s="68">
        <f t="shared" si="4"/>
        <v>7730.4614312499998</v>
      </c>
      <c r="Z25" s="69">
        <f t="shared" si="5"/>
        <v>17772.097939583335</v>
      </c>
      <c r="AA25" s="67">
        <f>Assumptions!$C$10*Assumptions!$C$9/12</f>
        <v>2000</v>
      </c>
      <c r="AB25" s="67">
        <f>Assumptions!$C$12/12</f>
        <v>125</v>
      </c>
      <c r="AC25" s="67">
        <f>Assumptions!$C$14/12</f>
        <v>150</v>
      </c>
      <c r="AD25" s="68">
        <f>(Assumptions!$C$32*4.333*Assumptions!$C$33+Assumptions!$C$34/12)*(1+(Assumptions!$C$35))</f>
        <v>6783.2323541666665</v>
      </c>
      <c r="AE25" s="67">
        <f>INDEX('Seasonality Data Break down'!$F$7:$F$18,C25)*G25</f>
        <v>287.5</v>
      </c>
      <c r="AF25" s="67">
        <f>INDEX('Seasonality Data Break down'!$G$7:$G$18,C25)*G25</f>
        <v>172.5</v>
      </c>
      <c r="AG25" s="67">
        <f>INDEX('Seasonality Data Break down'!$H$7:$H$18,C25)*G25</f>
        <v>86.25</v>
      </c>
      <c r="AH25" s="69">
        <f t="shared" si="6"/>
        <v>546.25</v>
      </c>
      <c r="AI25" s="67">
        <f>Assumptions!$C$39</f>
        <v>150</v>
      </c>
      <c r="AJ25" s="67">
        <f>Assumptions!$C$40</f>
        <v>500</v>
      </c>
      <c r="AK25" s="69">
        <f t="shared" si="7"/>
        <v>10254.482354166666</v>
      </c>
      <c r="AL25" s="68">
        <f>X25*Assumptions!$C$13</f>
        <v>765.07678112499991</v>
      </c>
      <c r="AM25" s="68">
        <f>X25*Assumptions!$C$15</f>
        <v>446.29478898958337</v>
      </c>
      <c r="AN25" s="69">
        <f t="shared" si="8"/>
        <v>1211.3715701145834</v>
      </c>
      <c r="AO25" s="69">
        <f t="shared" si="9"/>
        <v>11465.853924281249</v>
      </c>
      <c r="AP25" s="69">
        <f t="shared" si="10"/>
        <v>6306.2440153020852</v>
      </c>
      <c r="AQ25" s="67">
        <f>'Startup Costs'!$D$24/(Assumptions!$C$54*12)</f>
        <v>916.66666666666663</v>
      </c>
      <c r="AR25" s="67">
        <f>-'Loan schedule'!$D$29</f>
        <v>-328.95310218491869</v>
      </c>
      <c r="AS25" s="68">
        <f t="shared" si="11"/>
        <v>5060.6242464504994</v>
      </c>
      <c r="AT25" s="68">
        <f>-MAX(AS25,0)*Assumptions!$C$41</f>
        <v>-1265.1560616126249</v>
      </c>
      <c r="AU25" s="69">
        <f t="shared" si="12"/>
        <v>3795.4681848378746</v>
      </c>
      <c r="AV25" s="67">
        <f>-'Loan schedule'!$E$29</f>
        <v>-1070.6915369733485</v>
      </c>
      <c r="AW25" s="69">
        <f t="shared" si="13"/>
        <v>3641.4433145311923</v>
      </c>
      <c r="AX25" s="68">
        <f t="shared" si="18"/>
        <v>29337.446254680319</v>
      </c>
      <c r="AY25" s="69">
        <f t="shared" si="14"/>
        <v>32978.889569211511</v>
      </c>
      <c r="AZ25" s="63">
        <f t="shared" si="15"/>
        <v>0.69687507364099532</v>
      </c>
      <c r="BA25" s="63">
        <f t="shared" si="16"/>
        <v>0.24727886811683636</v>
      </c>
      <c r="BB25" s="102">
        <f t="shared" si="17"/>
        <v>0.14882695221479067</v>
      </c>
      <c r="BD25" s="70" t="s">
        <v>350</v>
      </c>
      <c r="BE25" s="71" t="s">
        <v>351</v>
      </c>
    </row>
    <row r="26" spans="1:57" ht="15" customHeight="1" x14ac:dyDescent="0.25">
      <c r="A26" s="101">
        <v>19</v>
      </c>
      <c r="B26" s="19">
        <v>2</v>
      </c>
      <c r="C26" s="19">
        <v>7</v>
      </c>
      <c r="D26" s="62" t="str">
        <f>'Seasonality Data Break down'!$B$13&amp;" Y"&amp;B26</f>
        <v>July Y2</v>
      </c>
      <c r="E26" s="63">
        <f>IF(B26=1,INDEX(Workings!$B$27:$B$38,C26),1)</f>
        <v>1</v>
      </c>
      <c r="F26" s="63">
        <f>IF(B26=1,INDEX(Workings!$C$27:$C$38,C26),1)</f>
        <v>1</v>
      </c>
      <c r="G26" s="64">
        <f>INDEX(Workings!$C$19:$C$23,B26)</f>
        <v>1.1499999999999999</v>
      </c>
      <c r="H26" s="65">
        <f>INDEX('Seasonality Data Break down'!$C$7:$C$18,C26)</f>
        <v>1.1499999999999999</v>
      </c>
      <c r="I26" s="65">
        <f>INDEX('Seasonality Data Break down'!$D$7:$D$18,C26)</f>
        <v>0.8</v>
      </c>
      <c r="J26" s="66">
        <f>Assumptions!$C$18/12</f>
        <v>26.083333333333332</v>
      </c>
      <c r="K26" s="64">
        <f>Assumptions!$C$19*E26*H26*G26</f>
        <v>85.962499999999991</v>
      </c>
      <c r="L26" s="67">
        <f>Assumptions!$C$20+INDEX('Seasonality Data Break down'!$E$7:$E$18,C26)</f>
        <v>9.25</v>
      </c>
      <c r="M26" s="68">
        <f t="shared" si="0"/>
        <v>20740.244010416664</v>
      </c>
      <c r="N26" s="68">
        <f>M26*Assumptions!$C$21</f>
        <v>6222.0732031249991</v>
      </c>
      <c r="O26" s="64">
        <f>Assumptions!$C$27*F26*I26*G26</f>
        <v>50.599999999999994</v>
      </c>
      <c r="P26" s="68">
        <f>O26*Assumptions!$C$28</f>
        <v>2276.9999999999995</v>
      </c>
      <c r="Q26" s="64">
        <f>Assumptions!$C$24*4.333*F26*I26*G26</f>
        <v>55.809040000000003</v>
      </c>
      <c r="R26" s="64">
        <f>Q26*Assumptions!$C$25</f>
        <v>558.09040000000005</v>
      </c>
      <c r="S26" s="64">
        <f>MIN(O26*Assumptions!$C$48,R26)</f>
        <v>303.59999999999997</v>
      </c>
      <c r="T26" s="64">
        <f t="shared" si="1"/>
        <v>254.49040000000008</v>
      </c>
      <c r="U26" s="68">
        <f>T26*Assumptions!$C$26</f>
        <v>3053.8848000000007</v>
      </c>
      <c r="V26" s="68">
        <f>Q26*Assumptions!$C$29</f>
        <v>1674.2712000000001</v>
      </c>
      <c r="W26" s="68">
        <f t="shared" si="2"/>
        <v>5330.8847999999998</v>
      </c>
      <c r="X26" s="69">
        <f t="shared" si="3"/>
        <v>26071.128810416663</v>
      </c>
      <c r="Y26" s="68">
        <f t="shared" si="4"/>
        <v>7896.3444031249992</v>
      </c>
      <c r="Z26" s="69">
        <f t="shared" si="5"/>
        <v>18174.784407291663</v>
      </c>
      <c r="AA26" s="67">
        <f>Assumptions!$C$10*Assumptions!$C$9/12</f>
        <v>2000</v>
      </c>
      <c r="AB26" s="67">
        <f>Assumptions!$C$12/12</f>
        <v>125</v>
      </c>
      <c r="AC26" s="67">
        <f>Assumptions!$C$14/12</f>
        <v>150</v>
      </c>
      <c r="AD26" s="68">
        <f>(Assumptions!$C$32*4.333*Assumptions!$C$33+Assumptions!$C$34/12)*(1+(Assumptions!$C$35))</f>
        <v>6783.2323541666665</v>
      </c>
      <c r="AE26" s="67">
        <f>INDEX('Seasonality Data Break down'!$F$7:$F$18,C26)*G26</f>
        <v>287.5</v>
      </c>
      <c r="AF26" s="67">
        <f>INDEX('Seasonality Data Break down'!$G$7:$G$18,C26)*G26</f>
        <v>172.5</v>
      </c>
      <c r="AG26" s="67">
        <f>INDEX('Seasonality Data Break down'!$H$7:$H$18,C26)*G26</f>
        <v>86.25</v>
      </c>
      <c r="AH26" s="69">
        <f t="shared" si="6"/>
        <v>546.25</v>
      </c>
      <c r="AI26" s="67">
        <f>Assumptions!$C$39</f>
        <v>150</v>
      </c>
      <c r="AJ26" s="67">
        <f>Assumptions!$C$40</f>
        <v>500</v>
      </c>
      <c r="AK26" s="69">
        <f t="shared" si="7"/>
        <v>10254.482354166666</v>
      </c>
      <c r="AL26" s="68">
        <f>X26*Assumptions!$C$13</f>
        <v>782.1338643124999</v>
      </c>
      <c r="AM26" s="68">
        <f>X26*Assumptions!$C$15</f>
        <v>456.24475418229167</v>
      </c>
      <c r="AN26" s="69">
        <f t="shared" si="8"/>
        <v>1238.3786184947917</v>
      </c>
      <c r="AO26" s="69">
        <f t="shared" si="9"/>
        <v>11492.860972661458</v>
      </c>
      <c r="AP26" s="69">
        <f t="shared" si="10"/>
        <v>6681.9234346302055</v>
      </c>
      <c r="AQ26" s="67">
        <f>'Startup Costs'!$D$24/(Assumptions!$C$54*12)</f>
        <v>916.66666666666663</v>
      </c>
      <c r="AR26" s="67">
        <f>-'Loan schedule'!$D$30</f>
        <v>-322.26128007883523</v>
      </c>
      <c r="AS26" s="68">
        <f t="shared" si="11"/>
        <v>5442.9954878847029</v>
      </c>
      <c r="AT26" s="68">
        <f>-MAX(AS26,0)*Assumptions!$C$41</f>
        <v>-1360.7488719711757</v>
      </c>
      <c r="AU26" s="69">
        <f t="shared" si="12"/>
        <v>4082.2466159135274</v>
      </c>
      <c r="AV26" s="67">
        <f>-'Loan schedule'!$E$30</f>
        <v>-1077.383359079432</v>
      </c>
      <c r="AW26" s="69">
        <f t="shared" si="13"/>
        <v>3921.5299235007624</v>
      </c>
      <c r="AX26" s="68">
        <f t="shared" si="18"/>
        <v>32978.889569211511</v>
      </c>
      <c r="AY26" s="69">
        <f t="shared" si="14"/>
        <v>36900.419492712273</v>
      </c>
      <c r="AZ26" s="63">
        <f t="shared" si="15"/>
        <v>0.69712303366128003</v>
      </c>
      <c r="BA26" s="63">
        <f t="shared" si="16"/>
        <v>0.25629590046597667</v>
      </c>
      <c r="BB26" s="102">
        <f t="shared" si="17"/>
        <v>0.15658112257427359</v>
      </c>
      <c r="BD26" s="70" t="s">
        <v>352</v>
      </c>
      <c r="BE26" s="71" t="s">
        <v>353</v>
      </c>
    </row>
    <row r="27" spans="1:57" ht="15" customHeight="1" x14ac:dyDescent="0.25">
      <c r="A27" s="101">
        <v>20</v>
      </c>
      <c r="B27" s="19">
        <v>2</v>
      </c>
      <c r="C27" s="19">
        <v>8</v>
      </c>
      <c r="D27" s="62" t="str">
        <f>'Seasonality Data Break down'!$B$14&amp;" Y"&amp;B27</f>
        <v>August Y2</v>
      </c>
      <c r="E27" s="63">
        <f>IF(B27=1,INDEX(Workings!$B$27:$B$38,C27),1)</f>
        <v>1</v>
      </c>
      <c r="F27" s="63">
        <f>IF(B27=1,INDEX(Workings!$C$27:$C$38,C27),1)</f>
        <v>1</v>
      </c>
      <c r="G27" s="64">
        <f>INDEX(Workings!$C$19:$C$23,B27)</f>
        <v>1.1499999999999999</v>
      </c>
      <c r="H27" s="65">
        <f>INDEX('Seasonality Data Break down'!$C$7:$C$18,C27)</f>
        <v>1</v>
      </c>
      <c r="I27" s="65">
        <f>INDEX('Seasonality Data Break down'!$D$7:$D$18,C27)</f>
        <v>0.85</v>
      </c>
      <c r="J27" s="66">
        <f>Assumptions!$C$18/12</f>
        <v>26.083333333333332</v>
      </c>
      <c r="K27" s="64">
        <f>Assumptions!$C$19*E27*H27*G27</f>
        <v>74.75</v>
      </c>
      <c r="L27" s="67">
        <f>Assumptions!$C$20+INDEX('Seasonality Data Break down'!$E$7:$E$18,C27)</f>
        <v>9.25</v>
      </c>
      <c r="M27" s="68">
        <f t="shared" si="0"/>
        <v>18034.994791666664</v>
      </c>
      <c r="N27" s="68">
        <f>M27*Assumptions!$C$21</f>
        <v>5410.4984374999995</v>
      </c>
      <c r="O27" s="64">
        <f>Assumptions!$C$27*F27*I27*G27</f>
        <v>53.762499999999996</v>
      </c>
      <c r="P27" s="68">
        <f>O27*Assumptions!$C$28</f>
        <v>2419.3125</v>
      </c>
      <c r="Q27" s="64">
        <f>Assumptions!$C$24*4.333*F27*I27*G27</f>
        <v>59.297105000000002</v>
      </c>
      <c r="R27" s="64">
        <f>Q27*Assumptions!$C$25</f>
        <v>592.97104999999999</v>
      </c>
      <c r="S27" s="64">
        <f>MIN(O27*Assumptions!$C$48,R27)</f>
        <v>322.57499999999999</v>
      </c>
      <c r="T27" s="64">
        <f t="shared" si="1"/>
        <v>270.39605</v>
      </c>
      <c r="U27" s="68">
        <f>T27*Assumptions!$C$26</f>
        <v>3244.7525999999998</v>
      </c>
      <c r="V27" s="68">
        <f>Q27*Assumptions!$C$29</f>
        <v>1778.9131500000001</v>
      </c>
      <c r="W27" s="68">
        <f t="shared" si="2"/>
        <v>5664.0650999999998</v>
      </c>
      <c r="X27" s="69">
        <f t="shared" si="3"/>
        <v>23699.059891666664</v>
      </c>
      <c r="Y27" s="68">
        <f t="shared" si="4"/>
        <v>7189.4115874999998</v>
      </c>
      <c r="Z27" s="69">
        <f t="shared" si="5"/>
        <v>16509.648304166665</v>
      </c>
      <c r="AA27" s="67">
        <f>Assumptions!$C$10*Assumptions!$C$9/12</f>
        <v>2000</v>
      </c>
      <c r="AB27" s="67">
        <f>Assumptions!$C$12/12</f>
        <v>125</v>
      </c>
      <c r="AC27" s="67">
        <f>Assumptions!$C$14/12</f>
        <v>150</v>
      </c>
      <c r="AD27" s="68">
        <f>(Assumptions!$C$32*4.333*Assumptions!$C$33+Assumptions!$C$34/12)*(1+(Assumptions!$C$35))</f>
        <v>6783.2323541666665</v>
      </c>
      <c r="AE27" s="67">
        <f>INDEX('Seasonality Data Break down'!$F$7:$F$18,C27)*G27</f>
        <v>172.5</v>
      </c>
      <c r="AF27" s="67">
        <f>INDEX('Seasonality Data Break down'!$G$7:$G$18,C27)*G27</f>
        <v>172.5</v>
      </c>
      <c r="AG27" s="67">
        <f>INDEX('Seasonality Data Break down'!$H$7:$H$18,C27)*G27</f>
        <v>86.25</v>
      </c>
      <c r="AH27" s="69">
        <f t="shared" si="6"/>
        <v>431.25</v>
      </c>
      <c r="AI27" s="67">
        <f>Assumptions!$C$39</f>
        <v>150</v>
      </c>
      <c r="AJ27" s="67">
        <f>Assumptions!$C$40</f>
        <v>500</v>
      </c>
      <c r="AK27" s="69">
        <f t="shared" si="7"/>
        <v>10139.482354166666</v>
      </c>
      <c r="AL27" s="68">
        <f>X27*Assumptions!$C$13</f>
        <v>710.97179674999984</v>
      </c>
      <c r="AM27" s="68">
        <f>X27*Assumptions!$C$15</f>
        <v>414.73354810416669</v>
      </c>
      <c r="AN27" s="69">
        <f t="shared" si="8"/>
        <v>1125.7053448541665</v>
      </c>
      <c r="AO27" s="69">
        <f t="shared" si="9"/>
        <v>11265.187699020833</v>
      </c>
      <c r="AP27" s="69">
        <f t="shared" si="10"/>
        <v>5244.4606051458322</v>
      </c>
      <c r="AQ27" s="67">
        <f>'Startup Costs'!$D$24/(Assumptions!$C$54*12)</f>
        <v>916.66666666666663</v>
      </c>
      <c r="AR27" s="67">
        <f>-'Loan schedule'!$D$31</f>
        <v>-315.52763408458878</v>
      </c>
      <c r="AS27" s="68">
        <f t="shared" si="11"/>
        <v>4012.2663043945763</v>
      </c>
      <c r="AT27" s="68">
        <f>-MAX(AS27,0)*Assumptions!$C$41</f>
        <v>-1003.0665760986441</v>
      </c>
      <c r="AU27" s="69">
        <f t="shared" si="12"/>
        <v>3009.1997282959323</v>
      </c>
      <c r="AV27" s="67">
        <f>-'Loan schedule'!$E$31</f>
        <v>-1084.1170050736785</v>
      </c>
      <c r="AW27" s="69">
        <f t="shared" si="13"/>
        <v>2841.7493898889206</v>
      </c>
      <c r="AX27" s="68">
        <f t="shared" si="18"/>
        <v>36900.419492712273</v>
      </c>
      <c r="AY27" s="69">
        <f t="shared" si="14"/>
        <v>39742.168882601196</v>
      </c>
      <c r="AZ27" s="63">
        <f t="shared" si="15"/>
        <v>0.69663726661039316</v>
      </c>
      <c r="BA27" s="63">
        <f t="shared" si="16"/>
        <v>0.22129403567564931</v>
      </c>
      <c r="BB27" s="102">
        <f t="shared" si="17"/>
        <v>0.12697548940977452</v>
      </c>
      <c r="BD27" s="70" t="s">
        <v>354</v>
      </c>
      <c r="BE27" s="71" t="s">
        <v>355</v>
      </c>
    </row>
    <row r="28" spans="1:57" ht="15" customHeight="1" x14ac:dyDescent="0.25">
      <c r="A28" s="101">
        <v>21</v>
      </c>
      <c r="B28" s="19">
        <v>2</v>
      </c>
      <c r="C28" s="19">
        <v>9</v>
      </c>
      <c r="D28" s="62" t="str">
        <f>'Seasonality Data Break down'!$B$15&amp;" Y"&amp;B28</f>
        <v>September Y2</v>
      </c>
      <c r="E28" s="63">
        <f>IF(B28=1,INDEX(Workings!$B$27:$B$38,C28),1)</f>
        <v>1</v>
      </c>
      <c r="F28" s="63">
        <f>IF(B28=1,INDEX(Workings!$C$27:$C$38,C28),1)</f>
        <v>1</v>
      </c>
      <c r="G28" s="64">
        <f>INDEX(Workings!$C$19:$C$23,B28)</f>
        <v>1.1499999999999999</v>
      </c>
      <c r="H28" s="65">
        <f>INDEX('Seasonality Data Break down'!$C$7:$C$18,C28)</f>
        <v>0.95</v>
      </c>
      <c r="I28" s="65">
        <f>INDEX('Seasonality Data Break down'!$D$7:$D$18,C28)</f>
        <v>1.05</v>
      </c>
      <c r="J28" s="66">
        <f>Assumptions!$C$18/12</f>
        <v>26.083333333333332</v>
      </c>
      <c r="K28" s="64">
        <f>Assumptions!$C$19*E28*H28*G28</f>
        <v>71.012499999999989</v>
      </c>
      <c r="L28" s="67">
        <f>Assumptions!$C$20+INDEX('Seasonality Data Break down'!$E$7:$E$18,C28)</f>
        <v>8.5</v>
      </c>
      <c r="M28" s="68">
        <f t="shared" si="0"/>
        <v>15744.06302083333</v>
      </c>
      <c r="N28" s="68">
        <f>M28*Assumptions!$C$21</f>
        <v>4723.2189062499983</v>
      </c>
      <c r="O28" s="64">
        <f>Assumptions!$C$27*F28*I28*G28</f>
        <v>66.412499999999994</v>
      </c>
      <c r="P28" s="68">
        <f>O28*Assumptions!$C$28</f>
        <v>2988.5624999999995</v>
      </c>
      <c r="Q28" s="64">
        <f>Assumptions!$C$24*4.333*F28*I28*G28</f>
        <v>73.249365000000012</v>
      </c>
      <c r="R28" s="64">
        <f>Q28*Assumptions!$C$25</f>
        <v>732.49365000000012</v>
      </c>
      <c r="S28" s="64">
        <f>MIN(O28*Assumptions!$C$48,R28)</f>
        <v>398.47499999999997</v>
      </c>
      <c r="T28" s="64">
        <f t="shared" si="1"/>
        <v>334.01865000000015</v>
      </c>
      <c r="U28" s="68">
        <f>T28*Assumptions!$C$26</f>
        <v>4008.2238000000016</v>
      </c>
      <c r="V28" s="68">
        <f>Q28*Assumptions!$C$29</f>
        <v>2197.4809500000001</v>
      </c>
      <c r="W28" s="68">
        <f t="shared" si="2"/>
        <v>6996.7863000000016</v>
      </c>
      <c r="X28" s="69">
        <f t="shared" si="3"/>
        <v>22740.849320833331</v>
      </c>
      <c r="Y28" s="68">
        <f t="shared" si="4"/>
        <v>6920.6998562499984</v>
      </c>
      <c r="Z28" s="69">
        <f t="shared" si="5"/>
        <v>15820.149464583334</v>
      </c>
      <c r="AA28" s="67">
        <f>Assumptions!$C$10*Assumptions!$C$9/12</f>
        <v>2000</v>
      </c>
      <c r="AB28" s="67">
        <f>Assumptions!$C$12/12</f>
        <v>125</v>
      </c>
      <c r="AC28" s="67">
        <f>Assumptions!$C$14/12</f>
        <v>150</v>
      </c>
      <c r="AD28" s="68">
        <f>(Assumptions!$C$32*4.333*Assumptions!$C$33+Assumptions!$C$34/12)*(1+(Assumptions!$C$35))</f>
        <v>6783.2323541666665</v>
      </c>
      <c r="AE28" s="67">
        <f>INDEX('Seasonality Data Break down'!$F$7:$F$18,C28)*G28</f>
        <v>229.99999999999997</v>
      </c>
      <c r="AF28" s="67">
        <f>INDEX('Seasonality Data Break down'!$G$7:$G$18,C28)*G28</f>
        <v>229.99999999999997</v>
      </c>
      <c r="AG28" s="67">
        <f>INDEX('Seasonality Data Break down'!$H$7:$H$18,C28)*G28</f>
        <v>86.25</v>
      </c>
      <c r="AH28" s="69">
        <f t="shared" si="6"/>
        <v>546.25</v>
      </c>
      <c r="AI28" s="67">
        <f>Assumptions!$C$39</f>
        <v>150</v>
      </c>
      <c r="AJ28" s="67">
        <f>Assumptions!$C$40</f>
        <v>500</v>
      </c>
      <c r="AK28" s="69">
        <f t="shared" si="7"/>
        <v>10254.482354166666</v>
      </c>
      <c r="AL28" s="68">
        <f>X28*Assumptions!$C$13</f>
        <v>682.22547962499993</v>
      </c>
      <c r="AM28" s="68">
        <f>X28*Assumptions!$C$15</f>
        <v>397.96486311458335</v>
      </c>
      <c r="AN28" s="69">
        <f t="shared" si="8"/>
        <v>1080.1903427395832</v>
      </c>
      <c r="AO28" s="69">
        <f t="shared" si="9"/>
        <v>11334.672696906249</v>
      </c>
      <c r="AP28" s="69">
        <f t="shared" si="10"/>
        <v>4485.4767676770844</v>
      </c>
      <c r="AQ28" s="67">
        <f>'Startup Costs'!$D$24/(Assumptions!$C$54*12)</f>
        <v>916.66666666666663</v>
      </c>
      <c r="AR28" s="67">
        <f>-'Loan schedule'!$D$32</f>
        <v>-308.75190280287831</v>
      </c>
      <c r="AS28" s="68">
        <f t="shared" si="11"/>
        <v>3260.0581982075396</v>
      </c>
      <c r="AT28" s="68">
        <f>-MAX(AS28,0)*Assumptions!$C$41</f>
        <v>-815.0145495518849</v>
      </c>
      <c r="AU28" s="69">
        <f t="shared" si="12"/>
        <v>2445.0436486556546</v>
      </c>
      <c r="AV28" s="67">
        <f>-'Loan schedule'!$E$32</f>
        <v>-1090.8927363553889</v>
      </c>
      <c r="AW28" s="69">
        <f t="shared" si="13"/>
        <v>2270.8175789669322</v>
      </c>
      <c r="AX28" s="68">
        <f t="shared" si="18"/>
        <v>39742.168882601196</v>
      </c>
      <c r="AY28" s="69">
        <f t="shared" si="14"/>
        <v>42012.986461568129</v>
      </c>
      <c r="AZ28" s="63">
        <f t="shared" si="15"/>
        <v>0.69567100337322008</v>
      </c>
      <c r="BA28" s="63">
        <f t="shared" si="16"/>
        <v>0.1972431506138978</v>
      </c>
      <c r="BB28" s="102">
        <f t="shared" si="17"/>
        <v>0.1075176926842263</v>
      </c>
      <c r="BD28" s="70" t="s">
        <v>20</v>
      </c>
      <c r="BE28" s="71" t="s">
        <v>356</v>
      </c>
    </row>
    <row r="29" spans="1:57" ht="15" customHeight="1" x14ac:dyDescent="0.25">
      <c r="A29" s="101">
        <v>22</v>
      </c>
      <c r="B29" s="19">
        <v>2</v>
      </c>
      <c r="C29" s="19">
        <v>10</v>
      </c>
      <c r="D29" s="62" t="str">
        <f>'Seasonality Data Break down'!$B$16&amp;" Y"&amp;B29</f>
        <v>October Y2</v>
      </c>
      <c r="E29" s="63">
        <f>IF(B29=1,INDEX(Workings!$B$27:$B$38,C29),1)</f>
        <v>1</v>
      </c>
      <c r="F29" s="63">
        <f>IF(B29=1,INDEX(Workings!$C$27:$C$38,C29),1)</f>
        <v>1</v>
      </c>
      <c r="G29" s="64">
        <f>INDEX(Workings!$C$19:$C$23,B29)</f>
        <v>1.1499999999999999</v>
      </c>
      <c r="H29" s="65">
        <f>INDEX('Seasonality Data Break down'!$C$7:$C$18,C29)</f>
        <v>1</v>
      </c>
      <c r="I29" s="65">
        <f>INDEX('Seasonality Data Break down'!$D$7:$D$18,C29)</f>
        <v>1</v>
      </c>
      <c r="J29" s="66">
        <f>Assumptions!$C$18/12</f>
        <v>26.083333333333332</v>
      </c>
      <c r="K29" s="64">
        <f>Assumptions!$C$19*E29*H29*G29</f>
        <v>74.75</v>
      </c>
      <c r="L29" s="67">
        <f>Assumptions!$C$20+INDEX('Seasonality Data Break down'!$E$7:$E$18,C29)</f>
        <v>8.5</v>
      </c>
      <c r="M29" s="68">
        <f t="shared" si="0"/>
        <v>16572.697916666664</v>
      </c>
      <c r="N29" s="68">
        <f>M29*Assumptions!$C$21</f>
        <v>4971.8093749999989</v>
      </c>
      <c r="O29" s="64">
        <f>Assumptions!$C$27*F29*I29*G29</f>
        <v>63.249999999999993</v>
      </c>
      <c r="P29" s="68">
        <f>O29*Assumptions!$C$28</f>
        <v>2846.2499999999995</v>
      </c>
      <c r="Q29" s="64">
        <f>Assumptions!$C$24*4.333*F29*I29*G29</f>
        <v>69.761300000000006</v>
      </c>
      <c r="R29" s="64">
        <f>Q29*Assumptions!$C$25</f>
        <v>697.61300000000006</v>
      </c>
      <c r="S29" s="64">
        <f>MIN(O29*Assumptions!$C$48,R29)</f>
        <v>379.49999999999994</v>
      </c>
      <c r="T29" s="64">
        <f t="shared" si="1"/>
        <v>318.11300000000011</v>
      </c>
      <c r="U29" s="68">
        <f>T29*Assumptions!$C$26</f>
        <v>3817.3560000000016</v>
      </c>
      <c r="V29" s="68">
        <f>Q29*Assumptions!$C$29</f>
        <v>2092.8389999999999</v>
      </c>
      <c r="W29" s="68">
        <f t="shared" si="2"/>
        <v>6663.6060000000016</v>
      </c>
      <c r="X29" s="69">
        <f t="shared" si="3"/>
        <v>23236.303916666664</v>
      </c>
      <c r="Y29" s="68">
        <f t="shared" si="4"/>
        <v>7064.6483749999989</v>
      </c>
      <c r="Z29" s="69">
        <f t="shared" si="5"/>
        <v>16171.655541666665</v>
      </c>
      <c r="AA29" s="67">
        <f>Assumptions!$C$10*Assumptions!$C$9/12</f>
        <v>2000</v>
      </c>
      <c r="AB29" s="67">
        <f>Assumptions!$C$12/12</f>
        <v>125</v>
      </c>
      <c r="AC29" s="67">
        <f>Assumptions!$C$14/12</f>
        <v>150</v>
      </c>
      <c r="AD29" s="68">
        <f>(Assumptions!$C$32*4.333*Assumptions!$C$33+Assumptions!$C$34/12)*(1+(Assumptions!$C$35))</f>
        <v>6783.2323541666665</v>
      </c>
      <c r="AE29" s="67">
        <f>INDEX('Seasonality Data Break down'!$F$7:$F$18,C29)*G29</f>
        <v>172.5</v>
      </c>
      <c r="AF29" s="67">
        <f>INDEX('Seasonality Data Break down'!$G$7:$G$18,C29)*G29</f>
        <v>172.5</v>
      </c>
      <c r="AG29" s="67">
        <f>INDEX('Seasonality Data Break down'!$H$7:$H$18,C29)*G29</f>
        <v>57.499999999999993</v>
      </c>
      <c r="AH29" s="69">
        <f t="shared" si="6"/>
        <v>402.5</v>
      </c>
      <c r="AI29" s="67">
        <f>Assumptions!$C$39</f>
        <v>150</v>
      </c>
      <c r="AJ29" s="67">
        <f>Assumptions!$C$40</f>
        <v>500</v>
      </c>
      <c r="AK29" s="69">
        <f t="shared" si="7"/>
        <v>10110.732354166666</v>
      </c>
      <c r="AL29" s="68">
        <f>X29*Assumptions!$C$13</f>
        <v>697.08911749999993</v>
      </c>
      <c r="AM29" s="68">
        <f>X29*Assumptions!$C$15</f>
        <v>406.63531854166666</v>
      </c>
      <c r="AN29" s="69">
        <f t="shared" si="8"/>
        <v>1103.7244360416666</v>
      </c>
      <c r="AO29" s="69">
        <f t="shared" si="9"/>
        <v>11214.456790208333</v>
      </c>
      <c r="AP29" s="69">
        <f t="shared" si="10"/>
        <v>4957.1987514583325</v>
      </c>
      <c r="AQ29" s="67">
        <f>'Startup Costs'!$D$24/(Assumptions!$C$54*12)</f>
        <v>916.66666666666663</v>
      </c>
      <c r="AR29" s="67">
        <f>-'Loan schedule'!$D$33</f>
        <v>-301.93382320065717</v>
      </c>
      <c r="AS29" s="68">
        <f t="shared" si="11"/>
        <v>3738.5982615910088</v>
      </c>
      <c r="AT29" s="68">
        <f>-MAX(AS29,0)*Assumptions!$C$41</f>
        <v>-934.64956539775221</v>
      </c>
      <c r="AU29" s="69">
        <f t="shared" si="12"/>
        <v>2803.9486961932566</v>
      </c>
      <c r="AV29" s="67">
        <f>-'Loan schedule'!$E$33</f>
        <v>-1097.7108159576101</v>
      </c>
      <c r="AW29" s="69">
        <f t="shared" si="13"/>
        <v>2622.9045469023131</v>
      </c>
      <c r="AX29" s="68">
        <f t="shared" si="18"/>
        <v>42012.986461568129</v>
      </c>
      <c r="AY29" s="69">
        <f t="shared" si="14"/>
        <v>44635.89100847044</v>
      </c>
      <c r="AZ29" s="63">
        <f t="shared" si="15"/>
        <v>0.69596505535750242</v>
      </c>
      <c r="BA29" s="63">
        <f t="shared" si="16"/>
        <v>0.21333852273737439</v>
      </c>
      <c r="BB29" s="102">
        <f t="shared" si="17"/>
        <v>0.12067102867345754</v>
      </c>
      <c r="BD29" s="70" t="s">
        <v>261</v>
      </c>
      <c r="BE29" s="71" t="s">
        <v>357</v>
      </c>
    </row>
    <row r="30" spans="1:57" ht="15" customHeight="1" x14ac:dyDescent="0.25">
      <c r="A30" s="101">
        <v>23</v>
      </c>
      <c r="B30" s="19">
        <v>2</v>
      </c>
      <c r="C30" s="19">
        <v>11</v>
      </c>
      <c r="D30" s="62" t="str">
        <f>'Seasonality Data Break down'!$B$17&amp;" Y"&amp;B30</f>
        <v>November Y2</v>
      </c>
      <c r="E30" s="63">
        <f>IF(B30=1,INDEX(Workings!$B$27:$B$38,C30),1)</f>
        <v>1</v>
      </c>
      <c r="F30" s="63">
        <f>IF(B30=1,INDEX(Workings!$C$27:$C$38,C30),1)</f>
        <v>1</v>
      </c>
      <c r="G30" s="64">
        <f>INDEX(Workings!$C$19:$C$23,B30)</f>
        <v>1.1499999999999999</v>
      </c>
      <c r="H30" s="65">
        <f>INDEX('Seasonality Data Break down'!$C$7:$C$18,C30)</f>
        <v>1.05</v>
      </c>
      <c r="I30" s="65">
        <f>INDEX('Seasonality Data Break down'!$D$7:$D$18,C30)</f>
        <v>0.95</v>
      </c>
      <c r="J30" s="66">
        <f>Assumptions!$C$18/12</f>
        <v>26.083333333333332</v>
      </c>
      <c r="K30" s="64">
        <f>Assumptions!$C$19*E30*H30*G30</f>
        <v>78.487499999999997</v>
      </c>
      <c r="L30" s="67">
        <f>Assumptions!$C$20+INDEX('Seasonality Data Break down'!$E$7:$E$18,C30)</f>
        <v>8.5</v>
      </c>
      <c r="M30" s="68">
        <f t="shared" si="0"/>
        <v>17401.332812499997</v>
      </c>
      <c r="N30" s="68">
        <f>M30*Assumptions!$C$21</f>
        <v>5220.3998437499986</v>
      </c>
      <c r="O30" s="64">
        <f>Assumptions!$C$27*F30*I30*G30</f>
        <v>60.087499999999999</v>
      </c>
      <c r="P30" s="68">
        <f>O30*Assumptions!$C$28</f>
        <v>2703.9375</v>
      </c>
      <c r="Q30" s="64">
        <f>Assumptions!$C$24*4.333*F30*I30*G30</f>
        <v>66.273235</v>
      </c>
      <c r="R30" s="64">
        <f>Q30*Assumptions!$C$25</f>
        <v>662.73235</v>
      </c>
      <c r="S30" s="64">
        <f>MIN(O30*Assumptions!$C$48,R30)</f>
        <v>360.52499999999998</v>
      </c>
      <c r="T30" s="64">
        <f t="shared" si="1"/>
        <v>302.20735000000002</v>
      </c>
      <c r="U30" s="68">
        <f>T30*Assumptions!$C$26</f>
        <v>3626.4882000000002</v>
      </c>
      <c r="V30" s="68">
        <f>Q30*Assumptions!$C$29</f>
        <v>1988.19705</v>
      </c>
      <c r="W30" s="68">
        <f t="shared" si="2"/>
        <v>6330.4256999999998</v>
      </c>
      <c r="X30" s="69">
        <f t="shared" si="3"/>
        <v>23731.758512499997</v>
      </c>
      <c r="Y30" s="68">
        <f t="shared" si="4"/>
        <v>7208.5968937499983</v>
      </c>
      <c r="Z30" s="69">
        <f t="shared" si="5"/>
        <v>16523.161618749997</v>
      </c>
      <c r="AA30" s="67">
        <f>Assumptions!$C$10*Assumptions!$C$9/12</f>
        <v>2000</v>
      </c>
      <c r="AB30" s="67">
        <f>Assumptions!$C$12/12</f>
        <v>125</v>
      </c>
      <c r="AC30" s="67">
        <f>Assumptions!$C$14/12</f>
        <v>150</v>
      </c>
      <c r="AD30" s="68">
        <f>(Assumptions!$C$32*4.333*Assumptions!$C$33+Assumptions!$C$34/12)*(1+(Assumptions!$C$35))</f>
        <v>6783.2323541666665</v>
      </c>
      <c r="AE30" s="67">
        <f>INDEX('Seasonality Data Break down'!$F$7:$F$18,C30)*G30</f>
        <v>287.5</v>
      </c>
      <c r="AF30" s="67">
        <f>INDEX('Seasonality Data Break down'!$G$7:$G$18,C30)*G30</f>
        <v>229.99999999999997</v>
      </c>
      <c r="AG30" s="67">
        <f>INDEX('Seasonality Data Break down'!$H$7:$H$18,C30)*G30</f>
        <v>86.25</v>
      </c>
      <c r="AH30" s="69">
        <f t="shared" si="6"/>
        <v>603.75</v>
      </c>
      <c r="AI30" s="67">
        <f>Assumptions!$C$39</f>
        <v>150</v>
      </c>
      <c r="AJ30" s="67">
        <f>Assumptions!$C$40</f>
        <v>500</v>
      </c>
      <c r="AK30" s="69">
        <f t="shared" si="7"/>
        <v>10311.982354166666</v>
      </c>
      <c r="AL30" s="68">
        <f>X30*Assumptions!$C$13</f>
        <v>711.95275537499992</v>
      </c>
      <c r="AM30" s="68">
        <f>X30*Assumptions!$C$15</f>
        <v>415.30577396874997</v>
      </c>
      <c r="AN30" s="69">
        <f t="shared" si="8"/>
        <v>1127.2585293437498</v>
      </c>
      <c r="AO30" s="69">
        <f t="shared" si="9"/>
        <v>11439.240883510416</v>
      </c>
      <c r="AP30" s="69">
        <f t="shared" si="10"/>
        <v>5083.9207352395806</v>
      </c>
      <c r="AQ30" s="67">
        <f>'Startup Costs'!$D$24/(Assumptions!$C$54*12)</f>
        <v>916.66666666666663</v>
      </c>
      <c r="AR30" s="67">
        <f>-'Loan schedule'!$D$34</f>
        <v>-295.07313060092207</v>
      </c>
      <c r="AS30" s="68">
        <f t="shared" si="11"/>
        <v>3872.1809379719916</v>
      </c>
      <c r="AT30" s="68">
        <f>-MAX(AS30,0)*Assumptions!$C$41</f>
        <v>-968.04523449299791</v>
      </c>
      <c r="AU30" s="69">
        <f t="shared" si="12"/>
        <v>2904.1357034789935</v>
      </c>
      <c r="AV30" s="67">
        <f>-'Loan schedule'!$E$34</f>
        <v>-1104.5715085573452</v>
      </c>
      <c r="AW30" s="69">
        <f t="shared" si="13"/>
        <v>2716.2308615883148</v>
      </c>
      <c r="AX30" s="68">
        <f t="shared" si="18"/>
        <v>44635.89100847044</v>
      </c>
      <c r="AY30" s="69">
        <f t="shared" si="14"/>
        <v>47352.121870058756</v>
      </c>
      <c r="AZ30" s="63">
        <f t="shared" si="15"/>
        <v>0.69624682932985826</v>
      </c>
      <c r="BA30" s="63">
        <f t="shared" si="16"/>
        <v>0.21422435815541344</v>
      </c>
      <c r="BB30" s="102">
        <f t="shared" si="17"/>
        <v>0.12237338846800276</v>
      </c>
      <c r="BD30" s="70" t="s">
        <v>358</v>
      </c>
      <c r="BE30" s="71" t="s">
        <v>359</v>
      </c>
    </row>
    <row r="31" spans="1:57" ht="15" customHeight="1" x14ac:dyDescent="0.25">
      <c r="A31" s="101">
        <v>24</v>
      </c>
      <c r="B31" s="19">
        <v>2</v>
      </c>
      <c r="C31" s="19">
        <v>12</v>
      </c>
      <c r="D31" s="62" t="str">
        <f>'Seasonality Data Break down'!$B$18&amp;" Y"&amp;B31</f>
        <v>December Y2</v>
      </c>
      <c r="E31" s="63">
        <f>IF(B31=1,INDEX(Workings!$B$27:$B$38,C31),1)</f>
        <v>1</v>
      </c>
      <c r="F31" s="63">
        <f>IF(B31=1,INDEX(Workings!$C$27:$C$38,C31),1)</f>
        <v>1</v>
      </c>
      <c r="G31" s="64">
        <f>INDEX(Workings!$C$19:$C$23,B31)</f>
        <v>1.1499999999999999</v>
      </c>
      <c r="H31" s="65">
        <f>INDEX('Seasonality Data Break down'!$C$7:$C$18,C31)</f>
        <v>1.2</v>
      </c>
      <c r="I31" s="65">
        <f>INDEX('Seasonality Data Break down'!$D$7:$D$18,C31)</f>
        <v>0.8</v>
      </c>
      <c r="J31" s="66">
        <f>Assumptions!$C$18/12</f>
        <v>26.083333333333332</v>
      </c>
      <c r="K31" s="64">
        <f>Assumptions!$C$19*E31*H31*G31</f>
        <v>89.699999999999989</v>
      </c>
      <c r="L31" s="67">
        <f>Assumptions!$C$20+INDEX('Seasonality Data Break down'!$E$7:$E$18,C31)</f>
        <v>8.5</v>
      </c>
      <c r="M31" s="68">
        <f t="shared" si="0"/>
        <v>19887.237499999999</v>
      </c>
      <c r="N31" s="68">
        <f>M31*Assumptions!$C$21</f>
        <v>5966.1712499999994</v>
      </c>
      <c r="O31" s="64">
        <f>Assumptions!$C$27*F31*I31*G31</f>
        <v>50.599999999999994</v>
      </c>
      <c r="P31" s="68">
        <f>O31*Assumptions!$C$28</f>
        <v>2276.9999999999995</v>
      </c>
      <c r="Q31" s="64">
        <f>Assumptions!$C$24*4.333*F31*I31*G31</f>
        <v>55.809040000000003</v>
      </c>
      <c r="R31" s="64">
        <f>Q31*Assumptions!$C$25</f>
        <v>558.09040000000005</v>
      </c>
      <c r="S31" s="64">
        <f>MIN(O31*Assumptions!$C$48,R31)</f>
        <v>303.59999999999997</v>
      </c>
      <c r="T31" s="64">
        <f t="shared" si="1"/>
        <v>254.49040000000008</v>
      </c>
      <c r="U31" s="68">
        <f>T31*Assumptions!$C$26</f>
        <v>3053.8848000000007</v>
      </c>
      <c r="V31" s="68">
        <f>Q31*Assumptions!$C$29</f>
        <v>1674.2712000000001</v>
      </c>
      <c r="W31" s="68">
        <f t="shared" si="2"/>
        <v>5330.8847999999998</v>
      </c>
      <c r="X31" s="69">
        <f t="shared" si="3"/>
        <v>25218.122299999999</v>
      </c>
      <c r="Y31" s="68">
        <f t="shared" si="4"/>
        <v>7640.4424499999996</v>
      </c>
      <c r="Z31" s="69">
        <f t="shared" si="5"/>
        <v>17577.67985</v>
      </c>
      <c r="AA31" s="67">
        <f>Assumptions!$C$10*Assumptions!$C$9/12</f>
        <v>2000</v>
      </c>
      <c r="AB31" s="67">
        <f>Assumptions!$C$12/12</f>
        <v>125</v>
      </c>
      <c r="AC31" s="67">
        <f>Assumptions!$C$14/12</f>
        <v>150</v>
      </c>
      <c r="AD31" s="68">
        <f>(Assumptions!$C$32*4.333*Assumptions!$C$33+Assumptions!$C$34/12)*(1+(Assumptions!$C$35))</f>
        <v>6783.2323541666665</v>
      </c>
      <c r="AE31" s="67">
        <f>INDEX('Seasonality Data Break down'!$F$7:$F$18,C31)*G31</f>
        <v>345</v>
      </c>
      <c r="AF31" s="67">
        <f>INDEX('Seasonality Data Break down'!$G$7:$G$18,C31)*G31</f>
        <v>287.5</v>
      </c>
      <c r="AG31" s="67">
        <f>INDEX('Seasonality Data Break down'!$H$7:$H$18,C31)*G31</f>
        <v>114.99999999999999</v>
      </c>
      <c r="AH31" s="69">
        <f t="shared" si="6"/>
        <v>747.5</v>
      </c>
      <c r="AI31" s="67">
        <f>Assumptions!$C$39</f>
        <v>150</v>
      </c>
      <c r="AJ31" s="67">
        <f>Assumptions!$C$40</f>
        <v>500</v>
      </c>
      <c r="AK31" s="69">
        <f t="shared" si="7"/>
        <v>10455.732354166666</v>
      </c>
      <c r="AL31" s="68">
        <f>X31*Assumptions!$C$13</f>
        <v>756.54366899999991</v>
      </c>
      <c r="AM31" s="68">
        <f>X31*Assumptions!$C$15</f>
        <v>441.31714025000002</v>
      </c>
      <c r="AN31" s="69">
        <f t="shared" si="8"/>
        <v>1197.8608092499999</v>
      </c>
      <c r="AO31" s="69">
        <f t="shared" si="9"/>
        <v>11653.593163416666</v>
      </c>
      <c r="AP31" s="69">
        <f t="shared" si="10"/>
        <v>5924.0866865833341</v>
      </c>
      <c r="AQ31" s="67">
        <f>'Startup Costs'!$D$24/(Assumptions!$C$54*12)</f>
        <v>916.66666666666663</v>
      </c>
      <c r="AR31" s="67">
        <f>-'Loan schedule'!$D$35</f>
        <v>-288.16955867243865</v>
      </c>
      <c r="AS31" s="68">
        <f t="shared" si="11"/>
        <v>4719.2504612442281</v>
      </c>
      <c r="AT31" s="68">
        <f>-MAX(AS31,0)*Assumptions!$C$41</f>
        <v>-1179.812615311057</v>
      </c>
      <c r="AU31" s="69">
        <f t="shared" si="12"/>
        <v>3539.437845933171</v>
      </c>
      <c r="AV31" s="67">
        <f>-'Loan schedule'!$E$35</f>
        <v>-1111.4750804858286</v>
      </c>
      <c r="AW31" s="69">
        <f t="shared" si="13"/>
        <v>3344.6294321140094</v>
      </c>
      <c r="AX31" s="68">
        <f t="shared" si="18"/>
        <v>47352.121870058756</v>
      </c>
      <c r="AY31" s="69">
        <f t="shared" si="14"/>
        <v>50696.751302172765</v>
      </c>
      <c r="AZ31" s="63">
        <f t="shared" si="15"/>
        <v>0.69702571987288686</v>
      </c>
      <c r="BA31" s="63">
        <f t="shared" si="16"/>
        <v>0.23491386932417782</v>
      </c>
      <c r="BB31" s="102">
        <f t="shared" si="17"/>
        <v>0.14035294951096225</v>
      </c>
      <c r="BD31" s="70" t="s">
        <v>360</v>
      </c>
      <c r="BE31" s="71" t="s">
        <v>361</v>
      </c>
    </row>
    <row r="32" spans="1:57" ht="15" customHeight="1" x14ac:dyDescent="0.25">
      <c r="A32" s="101">
        <v>25</v>
      </c>
      <c r="B32" s="19">
        <v>3</v>
      </c>
      <c r="C32" s="19">
        <v>1</v>
      </c>
      <c r="D32" s="62" t="str">
        <f>'Seasonality Data Break down'!$B$7&amp;" Y"&amp;B32</f>
        <v>January Y3</v>
      </c>
      <c r="E32" s="63">
        <f>IF(B32=1,INDEX(Workings!$B$27:$B$38,C32),1)</f>
        <v>1</v>
      </c>
      <c r="F32" s="63">
        <f>IF(B32=1,INDEX(Workings!$C$27:$C$38,C32),1)</f>
        <v>1</v>
      </c>
      <c r="G32" s="64">
        <f>INDEX(Workings!$C$19:$C$23,B32)</f>
        <v>1.242</v>
      </c>
      <c r="H32" s="65">
        <f>INDEX('Seasonality Data Break down'!$C$7:$C$18,C32)</f>
        <v>0.85</v>
      </c>
      <c r="I32" s="65">
        <f>INDEX('Seasonality Data Break down'!$D$7:$D$18,C32)</f>
        <v>1.3</v>
      </c>
      <c r="J32" s="66">
        <f>Assumptions!$C$18/12</f>
        <v>26.083333333333332</v>
      </c>
      <c r="K32" s="64">
        <f>Assumptions!$C$19*E32*H32*G32</f>
        <v>68.620499999999993</v>
      </c>
      <c r="L32" s="67">
        <f>Assumptions!$C$20+INDEX('Seasonality Data Break down'!$E$7:$E$18,C32)</f>
        <v>8.5</v>
      </c>
      <c r="M32" s="68">
        <f t="shared" si="0"/>
        <v>15213.736687499997</v>
      </c>
      <c r="N32" s="68">
        <f>M32*Assumptions!$C$21</f>
        <v>4564.1210062499986</v>
      </c>
      <c r="O32" s="64">
        <f>Assumptions!$C$27*F32*I32*G32</f>
        <v>88.802999999999997</v>
      </c>
      <c r="P32" s="68">
        <f>O32*Assumptions!$C$28</f>
        <v>3996.1349999999998</v>
      </c>
      <c r="Q32" s="64">
        <f>Assumptions!$C$24*4.333*F32*I32*G32</f>
        <v>97.94486520000001</v>
      </c>
      <c r="R32" s="64">
        <f>Q32*Assumptions!$C$25</f>
        <v>979.44865200000004</v>
      </c>
      <c r="S32" s="64">
        <f>MIN(O32*Assumptions!$C$48,R32)</f>
        <v>532.81799999999998</v>
      </c>
      <c r="T32" s="64">
        <f t="shared" si="1"/>
        <v>446.63065200000005</v>
      </c>
      <c r="U32" s="68">
        <f>T32*Assumptions!$C$26</f>
        <v>5359.5678240000007</v>
      </c>
      <c r="V32" s="68">
        <f>Q32*Assumptions!$C$29</f>
        <v>2938.3459560000001</v>
      </c>
      <c r="W32" s="68">
        <f t="shared" si="2"/>
        <v>9355.702824</v>
      </c>
      <c r="X32" s="69">
        <f t="shared" si="3"/>
        <v>24569.439511499997</v>
      </c>
      <c r="Y32" s="68">
        <f t="shared" si="4"/>
        <v>7502.4669622499987</v>
      </c>
      <c r="Z32" s="69">
        <f t="shared" si="5"/>
        <v>17066.97254925</v>
      </c>
      <c r="AA32" s="67">
        <f>Assumptions!$C$10*Assumptions!$C$9/12</f>
        <v>2000</v>
      </c>
      <c r="AB32" s="67">
        <f>Assumptions!$C$12/12</f>
        <v>125</v>
      </c>
      <c r="AC32" s="67">
        <f>Assumptions!$C$14/12</f>
        <v>150</v>
      </c>
      <c r="AD32" s="68">
        <f>(Assumptions!$C$32*4.333*Assumptions!$C$33+Assumptions!$C$34/12)*(1+(Assumptions!$C$35))</f>
        <v>6783.2323541666665</v>
      </c>
      <c r="AE32" s="67">
        <f>INDEX('Seasonality Data Break down'!$F$7:$F$18,C32)*G32</f>
        <v>372.6</v>
      </c>
      <c r="AF32" s="67">
        <f>INDEX('Seasonality Data Break down'!$G$7:$G$18,C32)*G32</f>
        <v>186.3</v>
      </c>
      <c r="AG32" s="67">
        <f>INDEX('Seasonality Data Break down'!$H$7:$H$18,C32)*G32</f>
        <v>62.1</v>
      </c>
      <c r="AH32" s="69">
        <f t="shared" si="6"/>
        <v>621.00000000000011</v>
      </c>
      <c r="AI32" s="67">
        <f>Assumptions!$C$39</f>
        <v>150</v>
      </c>
      <c r="AJ32" s="67">
        <f>Assumptions!$C$40</f>
        <v>500</v>
      </c>
      <c r="AK32" s="69">
        <f t="shared" si="7"/>
        <v>10329.232354166666</v>
      </c>
      <c r="AL32" s="68">
        <f>X32*Assumptions!$C$13</f>
        <v>737.08318534499983</v>
      </c>
      <c r="AM32" s="68">
        <f>X32*Assumptions!$C$15</f>
        <v>429.96519145125001</v>
      </c>
      <c r="AN32" s="69">
        <f t="shared" si="8"/>
        <v>1167.0483767962498</v>
      </c>
      <c r="AO32" s="69">
        <f t="shared" si="9"/>
        <v>11496.280730962917</v>
      </c>
      <c r="AP32" s="69">
        <f t="shared" si="10"/>
        <v>5570.6918182870832</v>
      </c>
      <c r="AQ32" s="67">
        <f>'Startup Costs'!$D$24/(Assumptions!$C$54*12)</f>
        <v>916.66666666666663</v>
      </c>
      <c r="AR32" s="67">
        <f>-'Loan schedule'!$D$36</f>
        <v>-281.22283941940225</v>
      </c>
      <c r="AS32" s="68">
        <f t="shared" si="11"/>
        <v>4372.8023122010136</v>
      </c>
      <c r="AT32" s="68">
        <f>-MAX(AS32,0)*Assumptions!$C$41</f>
        <v>-1093.2005780502534</v>
      </c>
      <c r="AU32" s="69">
        <f t="shared" si="12"/>
        <v>3279.6017341507604</v>
      </c>
      <c r="AV32" s="67">
        <f>-'Loan schedule'!$E$36</f>
        <v>-1118.421799738865</v>
      </c>
      <c r="AW32" s="69">
        <f t="shared" si="13"/>
        <v>3077.8466010785623</v>
      </c>
      <c r="AX32" s="68">
        <f t="shared" si="18"/>
        <v>50696.751302172765</v>
      </c>
      <c r="AY32" s="69">
        <f t="shared" si="14"/>
        <v>53774.597903251328</v>
      </c>
      <c r="AZ32" s="63">
        <f t="shared" si="15"/>
        <v>0.69464232349547961</v>
      </c>
      <c r="BA32" s="63">
        <f t="shared" si="16"/>
        <v>0.2267325559331404</v>
      </c>
      <c r="BB32" s="102">
        <f t="shared" si="17"/>
        <v>0.13348296906063759</v>
      </c>
      <c r="BD32" s="70" t="s">
        <v>362</v>
      </c>
      <c r="BE32" s="71" t="s">
        <v>363</v>
      </c>
    </row>
    <row r="33" spans="1:57" ht="15" customHeight="1" x14ac:dyDescent="0.25">
      <c r="A33" s="101">
        <v>26</v>
      </c>
      <c r="B33" s="19">
        <v>3</v>
      </c>
      <c r="C33" s="19">
        <v>2</v>
      </c>
      <c r="D33" s="62" t="str">
        <f>'Seasonality Data Break down'!$B$8&amp;" Y"&amp;B33</f>
        <v>February Y3</v>
      </c>
      <c r="E33" s="63">
        <f>IF(B33=1,INDEX(Workings!$B$27:$B$38,C33),1)</f>
        <v>1</v>
      </c>
      <c r="F33" s="63">
        <f>IF(B33=1,INDEX(Workings!$C$27:$C$38,C33),1)</f>
        <v>1</v>
      </c>
      <c r="G33" s="64">
        <f>INDEX(Workings!$C$19:$C$23,B33)</f>
        <v>1.242</v>
      </c>
      <c r="H33" s="65">
        <f>INDEX('Seasonality Data Break down'!$C$7:$C$18,C33)</f>
        <v>0.9</v>
      </c>
      <c r="I33" s="65">
        <f>INDEX('Seasonality Data Break down'!$D$7:$D$18,C33)</f>
        <v>1.2</v>
      </c>
      <c r="J33" s="66">
        <f>Assumptions!$C$18/12</f>
        <v>26.083333333333332</v>
      </c>
      <c r="K33" s="64">
        <f>Assumptions!$C$19*E33*H33*G33</f>
        <v>72.656999999999996</v>
      </c>
      <c r="L33" s="67">
        <f>Assumptions!$C$20+INDEX('Seasonality Data Break down'!$E$7:$E$18,C33)</f>
        <v>8.5</v>
      </c>
      <c r="M33" s="68">
        <f t="shared" si="0"/>
        <v>16108.662375</v>
      </c>
      <c r="N33" s="68">
        <f>M33*Assumptions!$C$21</f>
        <v>4832.5987125000001</v>
      </c>
      <c r="O33" s="64">
        <f>Assumptions!$C$27*F33*I33*G33</f>
        <v>81.971999999999994</v>
      </c>
      <c r="P33" s="68">
        <f>O33*Assumptions!$C$28</f>
        <v>3688.74</v>
      </c>
      <c r="Q33" s="64">
        <f>Assumptions!$C$24*4.333*F33*I33*G33</f>
        <v>90.410644800000014</v>
      </c>
      <c r="R33" s="64">
        <f>Q33*Assumptions!$C$25</f>
        <v>904.10644800000011</v>
      </c>
      <c r="S33" s="64">
        <f>MIN(O33*Assumptions!$C$48,R33)</f>
        <v>491.83199999999999</v>
      </c>
      <c r="T33" s="64">
        <f t="shared" si="1"/>
        <v>412.27444800000012</v>
      </c>
      <c r="U33" s="68">
        <f>T33*Assumptions!$C$26</f>
        <v>4947.2933760000014</v>
      </c>
      <c r="V33" s="68">
        <f>Q33*Assumptions!$C$29</f>
        <v>2712.3193440000005</v>
      </c>
      <c r="W33" s="68">
        <f t="shared" si="2"/>
        <v>8636.0333760000012</v>
      </c>
      <c r="X33" s="69">
        <f t="shared" si="3"/>
        <v>24744.695750999999</v>
      </c>
      <c r="Y33" s="68">
        <f t="shared" si="4"/>
        <v>7544.9180565000006</v>
      </c>
      <c r="Z33" s="69">
        <f t="shared" si="5"/>
        <v>17199.777694500001</v>
      </c>
      <c r="AA33" s="67">
        <f>Assumptions!$C$10*Assumptions!$C$9/12</f>
        <v>2000</v>
      </c>
      <c r="AB33" s="67">
        <f>Assumptions!$C$12/12</f>
        <v>125</v>
      </c>
      <c r="AC33" s="67">
        <f>Assumptions!$C$14/12</f>
        <v>150</v>
      </c>
      <c r="AD33" s="68">
        <f>(Assumptions!$C$32*4.333*Assumptions!$C$33+Assumptions!$C$34/12)*(1+(Assumptions!$C$35))</f>
        <v>6783.2323541666665</v>
      </c>
      <c r="AE33" s="67">
        <f>INDEX('Seasonality Data Break down'!$F$7:$F$18,C33)*G33</f>
        <v>248.4</v>
      </c>
      <c r="AF33" s="67">
        <f>INDEX('Seasonality Data Break down'!$G$7:$G$18,C33)*G33</f>
        <v>186.3</v>
      </c>
      <c r="AG33" s="67">
        <f>INDEX('Seasonality Data Break down'!$H$7:$H$18,C33)*G33</f>
        <v>62.1</v>
      </c>
      <c r="AH33" s="69">
        <f t="shared" si="6"/>
        <v>496.80000000000007</v>
      </c>
      <c r="AI33" s="67">
        <f>Assumptions!$C$39</f>
        <v>150</v>
      </c>
      <c r="AJ33" s="67">
        <f>Assumptions!$C$40</f>
        <v>500</v>
      </c>
      <c r="AK33" s="69">
        <f t="shared" si="7"/>
        <v>10205.032354166666</v>
      </c>
      <c r="AL33" s="68">
        <f>X33*Assumptions!$C$13</f>
        <v>742.34087252999996</v>
      </c>
      <c r="AM33" s="68">
        <f>X33*Assumptions!$C$15</f>
        <v>433.03217564250002</v>
      </c>
      <c r="AN33" s="69">
        <f t="shared" si="8"/>
        <v>1175.3730481724999</v>
      </c>
      <c r="AO33" s="69">
        <f t="shared" si="9"/>
        <v>11380.405402339165</v>
      </c>
      <c r="AP33" s="69">
        <f t="shared" si="10"/>
        <v>5819.3722921608351</v>
      </c>
      <c r="AQ33" s="67">
        <f>'Startup Costs'!$D$24/(Assumptions!$C$54*12)</f>
        <v>916.66666666666663</v>
      </c>
      <c r="AR33" s="67">
        <f>-'Loan schedule'!$D$37</f>
        <v>-274.23270317103436</v>
      </c>
      <c r="AS33" s="68">
        <f t="shared" si="11"/>
        <v>4628.4729223231334</v>
      </c>
      <c r="AT33" s="68">
        <f>-MAX(AS33,0)*Assumptions!$C$41</f>
        <v>-1157.1182305807833</v>
      </c>
      <c r="AU33" s="69">
        <f t="shared" si="12"/>
        <v>3471.35469174235</v>
      </c>
      <c r="AV33" s="67">
        <f>-'Loan schedule'!$E$37</f>
        <v>-1125.4119359872329</v>
      </c>
      <c r="AW33" s="69">
        <f t="shared" si="13"/>
        <v>3262.6094224217841</v>
      </c>
      <c r="AX33" s="68">
        <f t="shared" si="18"/>
        <v>53774.597903251328</v>
      </c>
      <c r="AY33" s="69">
        <f t="shared" si="14"/>
        <v>57037.207325673109</v>
      </c>
      <c r="AZ33" s="63">
        <f t="shared" si="15"/>
        <v>0.69508947968394041</v>
      </c>
      <c r="BA33" s="63">
        <f t="shared" si="16"/>
        <v>0.23517655463295234</v>
      </c>
      <c r="BB33" s="102">
        <f t="shared" si="17"/>
        <v>0.14028682052403346</v>
      </c>
      <c r="BD33" s="70" t="s">
        <v>364</v>
      </c>
      <c r="BE33" s="71" t="s">
        <v>365</v>
      </c>
    </row>
    <row r="34" spans="1:57" ht="15" customHeight="1" x14ac:dyDescent="0.25">
      <c r="A34" s="101">
        <v>27</v>
      </c>
      <c r="B34" s="19">
        <v>3</v>
      </c>
      <c r="C34" s="19">
        <v>3</v>
      </c>
      <c r="D34" s="62" t="str">
        <f>'Seasonality Data Break down'!$B$9&amp;" Y"&amp;B34</f>
        <v>March Y3</v>
      </c>
      <c r="E34" s="63">
        <f>IF(B34=1,INDEX(Workings!$B$27:$B$38,C34),1)</f>
        <v>1</v>
      </c>
      <c r="F34" s="63">
        <f>IF(B34=1,INDEX(Workings!$C$27:$C$38,C34),1)</f>
        <v>1</v>
      </c>
      <c r="G34" s="64">
        <f>INDEX(Workings!$C$19:$C$23,B34)</f>
        <v>1.242</v>
      </c>
      <c r="H34" s="65">
        <f>INDEX('Seasonality Data Break down'!$C$7:$C$18,C34)</f>
        <v>0.95</v>
      </c>
      <c r="I34" s="65">
        <f>INDEX('Seasonality Data Break down'!$D$7:$D$18,C34)</f>
        <v>1.05</v>
      </c>
      <c r="J34" s="66">
        <f>Assumptions!$C$18/12</f>
        <v>26.083333333333332</v>
      </c>
      <c r="K34" s="64">
        <f>Assumptions!$C$19*E34*H34*G34</f>
        <v>76.6935</v>
      </c>
      <c r="L34" s="67">
        <f>Assumptions!$C$20+INDEX('Seasonality Data Break down'!$E$7:$E$18,C34)</f>
        <v>8.5</v>
      </c>
      <c r="M34" s="68">
        <f t="shared" si="0"/>
        <v>17003.588062499999</v>
      </c>
      <c r="N34" s="68">
        <f>M34*Assumptions!$C$21</f>
        <v>5101.0764187499999</v>
      </c>
      <c r="O34" s="64">
        <f>Assumptions!$C$27*F34*I34*G34</f>
        <v>71.725499999999997</v>
      </c>
      <c r="P34" s="68">
        <f>O34*Assumptions!$C$28</f>
        <v>3227.6475</v>
      </c>
      <c r="Q34" s="64">
        <f>Assumptions!$C$24*4.333*F34*I34*G34</f>
        <v>79.109314200000014</v>
      </c>
      <c r="R34" s="64">
        <f>Q34*Assumptions!$C$25</f>
        <v>791.09314200000017</v>
      </c>
      <c r="S34" s="64">
        <f>MIN(O34*Assumptions!$C$48,R34)</f>
        <v>430.35299999999995</v>
      </c>
      <c r="T34" s="64">
        <f t="shared" si="1"/>
        <v>360.74014200000022</v>
      </c>
      <c r="U34" s="68">
        <f>T34*Assumptions!$C$26</f>
        <v>4328.8817040000031</v>
      </c>
      <c r="V34" s="68">
        <f>Q34*Assumptions!$C$29</f>
        <v>2373.2794260000005</v>
      </c>
      <c r="W34" s="68">
        <f t="shared" si="2"/>
        <v>7556.5292040000031</v>
      </c>
      <c r="X34" s="69">
        <f t="shared" si="3"/>
        <v>24560.117266500001</v>
      </c>
      <c r="Y34" s="68">
        <f t="shared" si="4"/>
        <v>7474.35584475</v>
      </c>
      <c r="Z34" s="69">
        <f t="shared" si="5"/>
        <v>17085.761421750001</v>
      </c>
      <c r="AA34" s="67">
        <f>Assumptions!$C$10*Assumptions!$C$9/12</f>
        <v>2000</v>
      </c>
      <c r="AB34" s="67">
        <f>Assumptions!$C$12/12</f>
        <v>125</v>
      </c>
      <c r="AC34" s="67">
        <f>Assumptions!$C$14/12</f>
        <v>150</v>
      </c>
      <c r="AD34" s="68">
        <f>(Assumptions!$C$32*4.333*Assumptions!$C$33+Assumptions!$C$34/12)*(1+(Assumptions!$C$35))</f>
        <v>6783.2323541666665</v>
      </c>
      <c r="AE34" s="67">
        <f>INDEX('Seasonality Data Break down'!$F$7:$F$18,C34)*G34</f>
        <v>186.3</v>
      </c>
      <c r="AF34" s="67">
        <f>INDEX('Seasonality Data Break down'!$G$7:$G$18,C34)*G34</f>
        <v>186.3</v>
      </c>
      <c r="AG34" s="67">
        <f>INDEX('Seasonality Data Break down'!$H$7:$H$18,C34)*G34</f>
        <v>62.1</v>
      </c>
      <c r="AH34" s="69">
        <f t="shared" si="6"/>
        <v>434.70000000000005</v>
      </c>
      <c r="AI34" s="67">
        <f>Assumptions!$C$39</f>
        <v>150</v>
      </c>
      <c r="AJ34" s="67">
        <f>Assumptions!$C$40</f>
        <v>500</v>
      </c>
      <c r="AK34" s="69">
        <f t="shared" si="7"/>
        <v>10142.932354166667</v>
      </c>
      <c r="AL34" s="68">
        <f>X34*Assumptions!$C$13</f>
        <v>736.80351799499999</v>
      </c>
      <c r="AM34" s="68">
        <f>X34*Assumptions!$C$15</f>
        <v>429.80205216375009</v>
      </c>
      <c r="AN34" s="69">
        <f t="shared" si="8"/>
        <v>1166.6055701587502</v>
      </c>
      <c r="AO34" s="69">
        <f t="shared" si="9"/>
        <v>11309.537924325417</v>
      </c>
      <c r="AP34" s="69">
        <f t="shared" si="10"/>
        <v>5776.2234974245839</v>
      </c>
      <c r="AQ34" s="67">
        <f>'Startup Costs'!$D$24/(Assumptions!$C$54*12)</f>
        <v>916.66666666666663</v>
      </c>
      <c r="AR34" s="67">
        <f>-'Loan schedule'!$D$38</f>
        <v>-267.19887857111416</v>
      </c>
      <c r="AS34" s="68">
        <f t="shared" si="11"/>
        <v>4592.3579521868032</v>
      </c>
      <c r="AT34" s="68">
        <f>-MAX(AS34,0)*Assumptions!$C$41</f>
        <v>-1148.0894880467008</v>
      </c>
      <c r="AU34" s="69">
        <f t="shared" si="12"/>
        <v>3444.2684641401024</v>
      </c>
      <c r="AV34" s="67">
        <f>-'Loan schedule'!$E$38</f>
        <v>-1132.445760587153</v>
      </c>
      <c r="AW34" s="69">
        <f t="shared" si="13"/>
        <v>3228.4893702196159</v>
      </c>
      <c r="AX34" s="68">
        <f t="shared" si="18"/>
        <v>57037.207325673109</v>
      </c>
      <c r="AY34" s="69">
        <f t="shared" si="14"/>
        <v>60265.696695892722</v>
      </c>
      <c r="AZ34" s="63">
        <f t="shared" si="15"/>
        <v>0.69567100337321996</v>
      </c>
      <c r="BA34" s="63">
        <f t="shared" si="16"/>
        <v>0.2351871302057402</v>
      </c>
      <c r="BB34" s="102">
        <f t="shared" si="17"/>
        <v>0.14023827438471087</v>
      </c>
      <c r="BD34" s="70" t="s">
        <v>366</v>
      </c>
      <c r="BE34" s="71" t="s">
        <v>367</v>
      </c>
    </row>
    <row r="35" spans="1:57" ht="15" customHeight="1" x14ac:dyDescent="0.25">
      <c r="A35" s="101">
        <v>28</v>
      </c>
      <c r="B35" s="19">
        <v>3</v>
      </c>
      <c r="C35" s="19">
        <v>4</v>
      </c>
      <c r="D35" s="62" t="str">
        <f>'Seasonality Data Break down'!$B$10&amp;" Y"&amp;B35</f>
        <v>April Y3</v>
      </c>
      <c r="E35" s="63">
        <f>IF(B35=1,INDEX(Workings!$B$27:$B$38,C35),1)</f>
        <v>1</v>
      </c>
      <c r="F35" s="63">
        <f>IF(B35=1,INDEX(Workings!$C$27:$C$38,C35),1)</f>
        <v>1</v>
      </c>
      <c r="G35" s="64">
        <f>INDEX(Workings!$C$19:$C$23,B35)</f>
        <v>1.242</v>
      </c>
      <c r="H35" s="65">
        <f>INDEX('Seasonality Data Break down'!$C$7:$C$18,C35)</f>
        <v>1</v>
      </c>
      <c r="I35" s="65">
        <f>INDEX('Seasonality Data Break down'!$D$7:$D$18,C35)</f>
        <v>1</v>
      </c>
      <c r="J35" s="66">
        <f>Assumptions!$C$18/12</f>
        <v>26.083333333333332</v>
      </c>
      <c r="K35" s="64">
        <f>Assumptions!$C$19*E35*H35*G35</f>
        <v>80.73</v>
      </c>
      <c r="L35" s="67">
        <f>Assumptions!$C$20+INDEX('Seasonality Data Break down'!$E$7:$E$18,C35)</f>
        <v>8.5</v>
      </c>
      <c r="M35" s="68">
        <f t="shared" si="0"/>
        <v>17898.513749999998</v>
      </c>
      <c r="N35" s="68">
        <f>M35*Assumptions!$C$21</f>
        <v>5369.5541249999997</v>
      </c>
      <c r="O35" s="64">
        <f>Assumptions!$C$27*F35*I35*G35</f>
        <v>68.31</v>
      </c>
      <c r="P35" s="68">
        <f>O35*Assumptions!$C$28</f>
        <v>3073.9500000000003</v>
      </c>
      <c r="Q35" s="64">
        <f>Assumptions!$C$24*4.333*F35*I35*G35</f>
        <v>75.34220400000001</v>
      </c>
      <c r="R35" s="64">
        <f>Q35*Assumptions!$C$25</f>
        <v>753.42204000000015</v>
      </c>
      <c r="S35" s="64">
        <f>MIN(O35*Assumptions!$C$48,R35)</f>
        <v>409.86</v>
      </c>
      <c r="T35" s="64">
        <f t="shared" si="1"/>
        <v>343.56204000000014</v>
      </c>
      <c r="U35" s="68">
        <f>T35*Assumptions!$C$26</f>
        <v>4122.7444800000012</v>
      </c>
      <c r="V35" s="68">
        <f>Q35*Assumptions!$C$29</f>
        <v>2260.2661200000002</v>
      </c>
      <c r="W35" s="68">
        <f t="shared" si="2"/>
        <v>7196.6944800000019</v>
      </c>
      <c r="X35" s="69">
        <f t="shared" si="3"/>
        <v>25095.20823</v>
      </c>
      <c r="Y35" s="68">
        <f t="shared" si="4"/>
        <v>7629.8202449999999</v>
      </c>
      <c r="Z35" s="69">
        <f t="shared" si="5"/>
        <v>17465.387985000001</v>
      </c>
      <c r="AA35" s="67">
        <f>Assumptions!$C$10*Assumptions!$C$9/12</f>
        <v>2000</v>
      </c>
      <c r="AB35" s="67">
        <f>Assumptions!$C$12/12</f>
        <v>125</v>
      </c>
      <c r="AC35" s="67">
        <f>Assumptions!$C$14/12</f>
        <v>150</v>
      </c>
      <c r="AD35" s="68">
        <f>(Assumptions!$C$32*4.333*Assumptions!$C$33+Assumptions!$C$34/12)*(1+(Assumptions!$C$35))</f>
        <v>6783.2323541666665</v>
      </c>
      <c r="AE35" s="67">
        <f>INDEX('Seasonality Data Break down'!$F$7:$F$18,C35)*G35</f>
        <v>186.3</v>
      </c>
      <c r="AF35" s="67">
        <f>INDEX('Seasonality Data Break down'!$G$7:$G$18,C35)*G35</f>
        <v>186.3</v>
      </c>
      <c r="AG35" s="67">
        <f>INDEX('Seasonality Data Break down'!$H$7:$H$18,C35)*G35</f>
        <v>93.15</v>
      </c>
      <c r="AH35" s="69">
        <f t="shared" si="6"/>
        <v>465.75</v>
      </c>
      <c r="AI35" s="67">
        <f>Assumptions!$C$39</f>
        <v>150</v>
      </c>
      <c r="AJ35" s="67">
        <f>Assumptions!$C$40</f>
        <v>500</v>
      </c>
      <c r="AK35" s="69">
        <f t="shared" si="7"/>
        <v>10173.982354166666</v>
      </c>
      <c r="AL35" s="68">
        <f>X35*Assumptions!$C$13</f>
        <v>752.85624689999997</v>
      </c>
      <c r="AM35" s="68">
        <f>X35*Assumptions!$C$15</f>
        <v>439.16614402500005</v>
      </c>
      <c r="AN35" s="69">
        <f t="shared" si="8"/>
        <v>1192.0223909250001</v>
      </c>
      <c r="AO35" s="69">
        <f t="shared" si="9"/>
        <v>11366.004745091666</v>
      </c>
      <c r="AP35" s="69">
        <f t="shared" si="10"/>
        <v>6099.3832399083349</v>
      </c>
      <c r="AQ35" s="67">
        <f>'Startup Costs'!$D$24/(Assumptions!$C$54*12)</f>
        <v>916.66666666666663</v>
      </c>
      <c r="AR35" s="67">
        <f>-'Loan schedule'!$D$39</f>
        <v>-260.12109256744446</v>
      </c>
      <c r="AS35" s="68">
        <f t="shared" si="11"/>
        <v>4922.5954806742238</v>
      </c>
      <c r="AT35" s="68">
        <f>-MAX(AS35,0)*Assumptions!$C$41</f>
        <v>-1230.648870168556</v>
      </c>
      <c r="AU35" s="69">
        <f t="shared" si="12"/>
        <v>3691.9466105056681</v>
      </c>
      <c r="AV35" s="67">
        <f>-'Loan schedule'!$E$39</f>
        <v>-1139.5235465908227</v>
      </c>
      <c r="AW35" s="69">
        <f t="shared" si="13"/>
        <v>3469.0897305815124</v>
      </c>
      <c r="AX35" s="68">
        <f t="shared" si="18"/>
        <v>60265.696695892722</v>
      </c>
      <c r="AY35" s="69">
        <f t="shared" si="14"/>
        <v>63734.786426474238</v>
      </c>
      <c r="AZ35" s="63">
        <f t="shared" si="15"/>
        <v>0.69596505535750242</v>
      </c>
      <c r="BA35" s="63">
        <f t="shared" si="16"/>
        <v>0.24304971626483032</v>
      </c>
      <c r="BB35" s="102">
        <f t="shared" si="17"/>
        <v>0.14711759219802528</v>
      </c>
    </row>
    <row r="36" spans="1:57" ht="15" customHeight="1" x14ac:dyDescent="0.25">
      <c r="A36" s="101">
        <v>29</v>
      </c>
      <c r="B36" s="19">
        <v>3</v>
      </c>
      <c r="C36" s="19">
        <v>5</v>
      </c>
      <c r="D36" s="62" t="str">
        <f>'Seasonality Data Break down'!$B$11&amp;" Y"&amp;B36</f>
        <v>May Y3</v>
      </c>
      <c r="E36" s="63">
        <f>IF(B36=1,INDEX(Workings!$B$27:$B$38,C36),1)</f>
        <v>1</v>
      </c>
      <c r="F36" s="63">
        <f>IF(B36=1,INDEX(Workings!$C$27:$C$38,C36),1)</f>
        <v>1</v>
      </c>
      <c r="G36" s="64">
        <f>INDEX(Workings!$C$19:$C$23,B36)</f>
        <v>1.242</v>
      </c>
      <c r="H36" s="65">
        <f>INDEX('Seasonality Data Break down'!$C$7:$C$18,C36)</f>
        <v>1.05</v>
      </c>
      <c r="I36" s="65">
        <f>INDEX('Seasonality Data Break down'!$D$7:$D$18,C36)</f>
        <v>0.95</v>
      </c>
      <c r="J36" s="66">
        <f>Assumptions!$C$18/12</f>
        <v>26.083333333333332</v>
      </c>
      <c r="K36" s="64">
        <f>Assumptions!$C$19*E36*H36*G36</f>
        <v>84.766499999999994</v>
      </c>
      <c r="L36" s="67">
        <f>Assumptions!$C$20+INDEX('Seasonality Data Break down'!$E$7:$E$18,C36)</f>
        <v>8.5</v>
      </c>
      <c r="M36" s="68">
        <f t="shared" si="0"/>
        <v>18793.439437499997</v>
      </c>
      <c r="N36" s="68">
        <f>M36*Assumptions!$C$21</f>
        <v>5638.0318312499994</v>
      </c>
      <c r="O36" s="64">
        <f>Assumptions!$C$27*F36*I36*G36</f>
        <v>64.894499999999994</v>
      </c>
      <c r="P36" s="68">
        <f>O36*Assumptions!$C$28</f>
        <v>2920.2524999999996</v>
      </c>
      <c r="Q36" s="64">
        <f>Assumptions!$C$24*4.333*F36*I36*G36</f>
        <v>71.575093800000005</v>
      </c>
      <c r="R36" s="64">
        <f>Q36*Assumptions!$C$25</f>
        <v>715.75093800000002</v>
      </c>
      <c r="S36" s="64">
        <f>MIN(O36*Assumptions!$C$48,R36)</f>
        <v>389.36699999999996</v>
      </c>
      <c r="T36" s="64">
        <f t="shared" si="1"/>
        <v>326.38393800000006</v>
      </c>
      <c r="U36" s="68">
        <f>T36*Assumptions!$C$26</f>
        <v>3916.6072560000007</v>
      </c>
      <c r="V36" s="68">
        <f>Q36*Assumptions!$C$29</f>
        <v>2147.2528139999999</v>
      </c>
      <c r="W36" s="68">
        <f t="shared" si="2"/>
        <v>6836.8597559999998</v>
      </c>
      <c r="X36" s="69">
        <f t="shared" si="3"/>
        <v>25630.299193499995</v>
      </c>
      <c r="Y36" s="68">
        <f t="shared" si="4"/>
        <v>7785.2846452499998</v>
      </c>
      <c r="Z36" s="69">
        <f t="shared" si="5"/>
        <v>17845.014548249994</v>
      </c>
      <c r="AA36" s="67">
        <f>Assumptions!$C$10*Assumptions!$C$9/12</f>
        <v>2000</v>
      </c>
      <c r="AB36" s="67">
        <f>Assumptions!$C$12/12</f>
        <v>125</v>
      </c>
      <c r="AC36" s="67">
        <f>Assumptions!$C$14/12</f>
        <v>150</v>
      </c>
      <c r="AD36" s="68">
        <f>(Assumptions!$C$32*4.333*Assumptions!$C$33+Assumptions!$C$34/12)*(1+(Assumptions!$C$35))</f>
        <v>6783.2323541666665</v>
      </c>
      <c r="AE36" s="67">
        <f>INDEX('Seasonality Data Break down'!$F$7:$F$18,C36)*G36</f>
        <v>186.3</v>
      </c>
      <c r="AF36" s="67">
        <f>INDEX('Seasonality Data Break down'!$G$7:$G$18,C36)*G36</f>
        <v>248.4</v>
      </c>
      <c r="AG36" s="67">
        <f>INDEX('Seasonality Data Break down'!$H$7:$H$18,C36)*G36</f>
        <v>93.15</v>
      </c>
      <c r="AH36" s="69">
        <f t="shared" si="6"/>
        <v>527.85</v>
      </c>
      <c r="AI36" s="67">
        <f>Assumptions!$C$39</f>
        <v>150</v>
      </c>
      <c r="AJ36" s="67">
        <f>Assumptions!$C$40</f>
        <v>500</v>
      </c>
      <c r="AK36" s="69">
        <f t="shared" si="7"/>
        <v>10236.082354166667</v>
      </c>
      <c r="AL36" s="68">
        <f>X36*Assumptions!$C$13</f>
        <v>768.90897580499984</v>
      </c>
      <c r="AM36" s="68">
        <f>X36*Assumptions!$C$15</f>
        <v>448.53023588624995</v>
      </c>
      <c r="AN36" s="69">
        <f t="shared" si="8"/>
        <v>1217.4392116912497</v>
      </c>
      <c r="AO36" s="69">
        <f t="shared" si="9"/>
        <v>11453.521565857916</v>
      </c>
      <c r="AP36" s="69">
        <f t="shared" si="10"/>
        <v>6391.4929823920775</v>
      </c>
      <c r="AQ36" s="67">
        <f>'Startup Costs'!$D$24/(Assumptions!$C$54*12)</f>
        <v>916.66666666666663</v>
      </c>
      <c r="AR36" s="67">
        <f>-'Loan schedule'!$D$40</f>
        <v>-252.99907040125183</v>
      </c>
      <c r="AS36" s="68">
        <f t="shared" si="11"/>
        <v>5221.8272453241589</v>
      </c>
      <c r="AT36" s="68">
        <f>-MAX(AS36,0)*Assumptions!$C$41</f>
        <v>-1305.4568113310397</v>
      </c>
      <c r="AU36" s="69">
        <f t="shared" si="12"/>
        <v>3916.3704339931191</v>
      </c>
      <c r="AV36" s="67">
        <f>-'Loan schedule'!$E$40</f>
        <v>-1146.6455687570153</v>
      </c>
      <c r="AW36" s="69">
        <f t="shared" si="13"/>
        <v>3686.391531902771</v>
      </c>
      <c r="AX36" s="68">
        <f t="shared" si="18"/>
        <v>63734.786426474238</v>
      </c>
      <c r="AY36" s="69">
        <f t="shared" si="14"/>
        <v>67421.177958377011</v>
      </c>
      <c r="AZ36" s="63">
        <f t="shared" si="15"/>
        <v>0.69624682932985826</v>
      </c>
      <c r="BA36" s="63">
        <f t="shared" si="16"/>
        <v>0.24937254669321224</v>
      </c>
      <c r="BB36" s="102">
        <f t="shared" si="17"/>
        <v>0.15280236896283814</v>
      </c>
    </row>
    <row r="37" spans="1:57" ht="15" customHeight="1" x14ac:dyDescent="0.25">
      <c r="A37" s="101">
        <v>30</v>
      </c>
      <c r="B37" s="19">
        <v>3</v>
      </c>
      <c r="C37" s="19">
        <v>6</v>
      </c>
      <c r="D37" s="62" t="str">
        <f>'Seasonality Data Break down'!$B$12&amp;" Y"&amp;B37</f>
        <v>June Y3</v>
      </c>
      <c r="E37" s="63">
        <f>IF(B37=1,INDEX(Workings!$B$27:$B$38,C37),1)</f>
        <v>1</v>
      </c>
      <c r="F37" s="63">
        <f>IF(B37=1,INDEX(Workings!$C$27:$C$38,C37),1)</f>
        <v>1</v>
      </c>
      <c r="G37" s="64">
        <f>INDEX(Workings!$C$19:$C$23,B37)</f>
        <v>1.242</v>
      </c>
      <c r="H37" s="65">
        <f>INDEX('Seasonality Data Break down'!$C$7:$C$18,C37)</f>
        <v>1.1000000000000001</v>
      </c>
      <c r="I37" s="65">
        <f>INDEX('Seasonality Data Break down'!$D$7:$D$18,C37)</f>
        <v>0.85</v>
      </c>
      <c r="J37" s="66">
        <f>Assumptions!$C$18/12</f>
        <v>26.083333333333332</v>
      </c>
      <c r="K37" s="64">
        <f>Assumptions!$C$19*E37*H37*G37</f>
        <v>88.802999999999997</v>
      </c>
      <c r="L37" s="67">
        <f>Assumptions!$C$20+INDEX('Seasonality Data Break down'!$E$7:$E$18,C37)</f>
        <v>9.25</v>
      </c>
      <c r="M37" s="68">
        <f t="shared" si="0"/>
        <v>21425.573812499999</v>
      </c>
      <c r="N37" s="68">
        <f>M37*Assumptions!$C$21</f>
        <v>6427.6721437499991</v>
      </c>
      <c r="O37" s="64">
        <f>Assumptions!$C$27*F37*I37*G37</f>
        <v>58.063499999999998</v>
      </c>
      <c r="P37" s="68">
        <f>O37*Assumptions!$C$28</f>
        <v>2612.8575000000001</v>
      </c>
      <c r="Q37" s="64">
        <f>Assumptions!$C$24*4.333*F37*I37*G37</f>
        <v>64.040873400000009</v>
      </c>
      <c r="R37" s="64">
        <f>Q37*Assumptions!$C$25</f>
        <v>640.40873400000009</v>
      </c>
      <c r="S37" s="64">
        <f>MIN(O37*Assumptions!$C$48,R37)</f>
        <v>348.38099999999997</v>
      </c>
      <c r="T37" s="64">
        <f t="shared" si="1"/>
        <v>292.02773400000012</v>
      </c>
      <c r="U37" s="68">
        <f>T37*Assumptions!$C$26</f>
        <v>3504.3328080000015</v>
      </c>
      <c r="V37" s="68">
        <f>Q37*Assumptions!$C$29</f>
        <v>1921.2262020000003</v>
      </c>
      <c r="W37" s="68">
        <f t="shared" si="2"/>
        <v>6117.1903080000011</v>
      </c>
      <c r="X37" s="69">
        <f t="shared" si="3"/>
        <v>27542.7641205</v>
      </c>
      <c r="Y37" s="68">
        <f t="shared" si="4"/>
        <v>8348.8983457499999</v>
      </c>
      <c r="Z37" s="69">
        <f t="shared" si="5"/>
        <v>19193.86577475</v>
      </c>
      <c r="AA37" s="67">
        <f>Assumptions!$C$10*Assumptions!$C$9/12</f>
        <v>2000</v>
      </c>
      <c r="AB37" s="67">
        <f>Assumptions!$C$12/12</f>
        <v>125</v>
      </c>
      <c r="AC37" s="67">
        <f>Assumptions!$C$14/12</f>
        <v>150</v>
      </c>
      <c r="AD37" s="68">
        <f>(Assumptions!$C$32*4.333*Assumptions!$C$33+Assumptions!$C$34/12)*(1+(Assumptions!$C$35))</f>
        <v>6783.2323541666665</v>
      </c>
      <c r="AE37" s="67">
        <f>INDEX('Seasonality Data Break down'!$F$7:$F$18,C37)*G37</f>
        <v>310.5</v>
      </c>
      <c r="AF37" s="67">
        <f>INDEX('Seasonality Data Break down'!$G$7:$G$18,C37)*G37</f>
        <v>186.3</v>
      </c>
      <c r="AG37" s="67">
        <f>INDEX('Seasonality Data Break down'!$H$7:$H$18,C37)*G37</f>
        <v>93.15</v>
      </c>
      <c r="AH37" s="69">
        <f t="shared" si="6"/>
        <v>589.95000000000005</v>
      </c>
      <c r="AI37" s="67">
        <f>Assumptions!$C$39</f>
        <v>150</v>
      </c>
      <c r="AJ37" s="67">
        <f>Assumptions!$C$40</f>
        <v>500</v>
      </c>
      <c r="AK37" s="69">
        <f t="shared" si="7"/>
        <v>10298.182354166667</v>
      </c>
      <c r="AL37" s="68">
        <f>X37*Assumptions!$C$13</f>
        <v>826.28292361499996</v>
      </c>
      <c r="AM37" s="68">
        <f>X37*Assumptions!$C$15</f>
        <v>481.99837210875006</v>
      </c>
      <c r="AN37" s="69">
        <f t="shared" si="8"/>
        <v>1308.28129572375</v>
      </c>
      <c r="AO37" s="69">
        <f t="shared" si="9"/>
        <v>11606.463649890416</v>
      </c>
      <c r="AP37" s="69">
        <f t="shared" si="10"/>
        <v>7587.4021248595836</v>
      </c>
      <c r="AQ37" s="67">
        <f>'Startup Costs'!$D$24/(Assumptions!$C$54*12)</f>
        <v>916.66666666666663</v>
      </c>
      <c r="AR37" s="67">
        <f>-'Loan schedule'!$D$41</f>
        <v>-245.8325355965205</v>
      </c>
      <c r="AS37" s="68">
        <f t="shared" si="11"/>
        <v>6424.9029225963959</v>
      </c>
      <c r="AT37" s="68">
        <f>-MAX(AS37,0)*Assumptions!$C$41</f>
        <v>-1606.225730649099</v>
      </c>
      <c r="AU37" s="69">
        <f t="shared" si="12"/>
        <v>4818.6771919472967</v>
      </c>
      <c r="AV37" s="67">
        <f>-'Loan schedule'!$E$41</f>
        <v>-1153.8121035617467</v>
      </c>
      <c r="AW37" s="69">
        <f t="shared" si="13"/>
        <v>4581.5317550522168</v>
      </c>
      <c r="AX37" s="68">
        <f t="shared" si="18"/>
        <v>67421.177958377011</v>
      </c>
      <c r="AY37" s="69">
        <f t="shared" si="14"/>
        <v>72002.709713429227</v>
      </c>
      <c r="AZ37" s="63">
        <f t="shared" si="15"/>
        <v>0.69687507364099532</v>
      </c>
      <c r="BA37" s="63">
        <f t="shared" si="16"/>
        <v>0.27547714861386413</v>
      </c>
      <c r="BB37" s="102">
        <f t="shared" si="17"/>
        <v>0.17495256361581984</v>
      </c>
    </row>
    <row r="38" spans="1:57" ht="15" customHeight="1" x14ac:dyDescent="0.25">
      <c r="A38" s="101">
        <v>31</v>
      </c>
      <c r="B38" s="19">
        <v>3</v>
      </c>
      <c r="C38" s="19">
        <v>7</v>
      </c>
      <c r="D38" s="62" t="str">
        <f>'Seasonality Data Break down'!$B$13&amp;" Y"&amp;B38</f>
        <v>July Y3</v>
      </c>
      <c r="E38" s="63">
        <f>IF(B38=1,INDEX(Workings!$B$27:$B$38,C38),1)</f>
        <v>1</v>
      </c>
      <c r="F38" s="63">
        <f>IF(B38=1,INDEX(Workings!$C$27:$C$38,C38),1)</f>
        <v>1</v>
      </c>
      <c r="G38" s="64">
        <f>INDEX(Workings!$C$19:$C$23,B38)</f>
        <v>1.242</v>
      </c>
      <c r="H38" s="65">
        <f>INDEX('Seasonality Data Break down'!$C$7:$C$18,C38)</f>
        <v>1.1499999999999999</v>
      </c>
      <c r="I38" s="65">
        <f>INDEX('Seasonality Data Break down'!$D$7:$D$18,C38)</f>
        <v>0.8</v>
      </c>
      <c r="J38" s="66">
        <f>Assumptions!$C$18/12</f>
        <v>26.083333333333332</v>
      </c>
      <c r="K38" s="64">
        <f>Assumptions!$C$19*E38*H38*G38</f>
        <v>92.839500000000001</v>
      </c>
      <c r="L38" s="67">
        <f>Assumptions!$C$20+INDEX('Seasonality Data Break down'!$E$7:$E$18,C38)</f>
        <v>9.25</v>
      </c>
      <c r="M38" s="68">
        <f t="shared" si="0"/>
        <v>22399.46353125</v>
      </c>
      <c r="N38" s="68">
        <f>M38*Assumptions!$C$21</f>
        <v>6719.839059375</v>
      </c>
      <c r="O38" s="64">
        <f>Assumptions!$C$27*F38*I38*G38</f>
        <v>54.647999999999996</v>
      </c>
      <c r="P38" s="68">
        <f>O38*Assumptions!$C$28</f>
        <v>2459.16</v>
      </c>
      <c r="Q38" s="64">
        <f>Assumptions!$C$24*4.333*F38*I38*G38</f>
        <v>60.273763200000012</v>
      </c>
      <c r="R38" s="64">
        <f>Q38*Assumptions!$C$25</f>
        <v>602.73763200000008</v>
      </c>
      <c r="S38" s="64">
        <f>MIN(O38*Assumptions!$C$48,R38)</f>
        <v>327.88799999999998</v>
      </c>
      <c r="T38" s="64">
        <f t="shared" si="1"/>
        <v>274.8496320000001</v>
      </c>
      <c r="U38" s="68">
        <f>T38*Assumptions!$C$26</f>
        <v>3298.195584000001</v>
      </c>
      <c r="V38" s="68">
        <f>Q38*Assumptions!$C$29</f>
        <v>1808.2128960000005</v>
      </c>
      <c r="W38" s="68">
        <f t="shared" si="2"/>
        <v>5757.3555840000008</v>
      </c>
      <c r="X38" s="69">
        <f t="shared" si="3"/>
        <v>28156.81911525</v>
      </c>
      <c r="Y38" s="68">
        <f t="shared" si="4"/>
        <v>8528.051955375</v>
      </c>
      <c r="Z38" s="69">
        <f t="shared" si="5"/>
        <v>19628.767159875002</v>
      </c>
      <c r="AA38" s="67">
        <f>Assumptions!$C$10*Assumptions!$C$9/12</f>
        <v>2000</v>
      </c>
      <c r="AB38" s="67">
        <f>Assumptions!$C$12/12</f>
        <v>125</v>
      </c>
      <c r="AC38" s="67">
        <f>Assumptions!$C$14/12</f>
        <v>150</v>
      </c>
      <c r="AD38" s="68">
        <f>(Assumptions!$C$32*4.333*Assumptions!$C$33+Assumptions!$C$34/12)*(1+(Assumptions!$C$35))</f>
        <v>6783.2323541666665</v>
      </c>
      <c r="AE38" s="67">
        <f>INDEX('Seasonality Data Break down'!$F$7:$F$18,C38)*G38</f>
        <v>310.5</v>
      </c>
      <c r="AF38" s="67">
        <f>INDEX('Seasonality Data Break down'!$G$7:$G$18,C38)*G38</f>
        <v>186.3</v>
      </c>
      <c r="AG38" s="67">
        <f>INDEX('Seasonality Data Break down'!$H$7:$H$18,C38)*G38</f>
        <v>93.15</v>
      </c>
      <c r="AH38" s="69">
        <f t="shared" si="6"/>
        <v>589.95000000000005</v>
      </c>
      <c r="AI38" s="67">
        <f>Assumptions!$C$39</f>
        <v>150</v>
      </c>
      <c r="AJ38" s="67">
        <f>Assumptions!$C$40</f>
        <v>500</v>
      </c>
      <c r="AK38" s="69">
        <f t="shared" si="7"/>
        <v>10298.182354166667</v>
      </c>
      <c r="AL38" s="68">
        <f>X38*Assumptions!$C$13</f>
        <v>844.70457345750003</v>
      </c>
      <c r="AM38" s="68">
        <f>X38*Assumptions!$C$15</f>
        <v>492.74433451687503</v>
      </c>
      <c r="AN38" s="69">
        <f t="shared" si="8"/>
        <v>1337.4489079743751</v>
      </c>
      <c r="AO38" s="69">
        <f t="shared" si="9"/>
        <v>11635.631262141042</v>
      </c>
      <c r="AP38" s="69">
        <f t="shared" si="10"/>
        <v>7993.1358977339605</v>
      </c>
      <c r="AQ38" s="67">
        <f>'Startup Costs'!$D$24/(Assumptions!$C$54*12)</f>
        <v>916.66666666666663</v>
      </c>
      <c r="AR38" s="67">
        <f>-'Loan schedule'!$D$42</f>
        <v>-238.62120994925957</v>
      </c>
      <c r="AS38" s="68">
        <f t="shared" si="11"/>
        <v>6837.848021118034</v>
      </c>
      <c r="AT38" s="68">
        <f>-MAX(AS38,0)*Assumptions!$C$41</f>
        <v>-1709.4620052795085</v>
      </c>
      <c r="AU38" s="69">
        <f t="shared" si="12"/>
        <v>5128.3860158385251</v>
      </c>
      <c r="AV38" s="67">
        <f>-'Loan schedule'!$E$42</f>
        <v>-1161.0234292090076</v>
      </c>
      <c r="AW38" s="69">
        <f t="shared" si="13"/>
        <v>4884.0292532961848</v>
      </c>
      <c r="AX38" s="68">
        <f t="shared" si="18"/>
        <v>72002.709713429227</v>
      </c>
      <c r="AY38" s="69">
        <f t="shared" si="14"/>
        <v>76886.738966725417</v>
      </c>
      <c r="AZ38" s="63">
        <f t="shared" si="15"/>
        <v>0.69712303366128014</v>
      </c>
      <c r="BA38" s="63">
        <f t="shared" si="16"/>
        <v>0.28387922176212022</v>
      </c>
      <c r="BB38" s="102">
        <f t="shared" si="17"/>
        <v>0.18213655437595017</v>
      </c>
    </row>
    <row r="39" spans="1:57" ht="15" customHeight="1" x14ac:dyDescent="0.25">
      <c r="A39" s="101">
        <v>32</v>
      </c>
      <c r="B39" s="19">
        <v>3</v>
      </c>
      <c r="C39" s="19">
        <v>8</v>
      </c>
      <c r="D39" s="62" t="str">
        <f>'Seasonality Data Break down'!$B$14&amp;" Y"&amp;B39</f>
        <v>August Y3</v>
      </c>
      <c r="E39" s="63">
        <f>IF(B39=1,INDEX(Workings!$B$27:$B$38,C39),1)</f>
        <v>1</v>
      </c>
      <c r="F39" s="63">
        <f>IF(B39=1,INDEX(Workings!$C$27:$C$38,C39),1)</f>
        <v>1</v>
      </c>
      <c r="G39" s="64">
        <f>INDEX(Workings!$C$19:$C$23,B39)</f>
        <v>1.242</v>
      </c>
      <c r="H39" s="65">
        <f>INDEX('Seasonality Data Break down'!$C$7:$C$18,C39)</f>
        <v>1</v>
      </c>
      <c r="I39" s="65">
        <f>INDEX('Seasonality Data Break down'!$D$7:$D$18,C39)</f>
        <v>0.85</v>
      </c>
      <c r="J39" s="66">
        <f>Assumptions!$C$18/12</f>
        <v>26.083333333333332</v>
      </c>
      <c r="K39" s="64">
        <f>Assumptions!$C$19*E39*H39*G39</f>
        <v>80.73</v>
      </c>
      <c r="L39" s="67">
        <f>Assumptions!$C$20+INDEX('Seasonality Data Break down'!$E$7:$E$18,C39)</f>
        <v>9.25</v>
      </c>
      <c r="M39" s="68">
        <f t="shared" si="0"/>
        <v>19477.794375000001</v>
      </c>
      <c r="N39" s="68">
        <f>M39*Assumptions!$C$21</f>
        <v>5843.3383125</v>
      </c>
      <c r="O39" s="64">
        <f>Assumptions!$C$27*F39*I39*G39</f>
        <v>58.063499999999998</v>
      </c>
      <c r="P39" s="68">
        <f>O39*Assumptions!$C$28</f>
        <v>2612.8575000000001</v>
      </c>
      <c r="Q39" s="64">
        <f>Assumptions!$C$24*4.333*F39*I39*G39</f>
        <v>64.040873400000009</v>
      </c>
      <c r="R39" s="64">
        <f>Q39*Assumptions!$C$25</f>
        <v>640.40873400000009</v>
      </c>
      <c r="S39" s="64">
        <f>MIN(O39*Assumptions!$C$48,R39)</f>
        <v>348.38099999999997</v>
      </c>
      <c r="T39" s="64">
        <f t="shared" si="1"/>
        <v>292.02773400000012</v>
      </c>
      <c r="U39" s="68">
        <f>T39*Assumptions!$C$26</f>
        <v>3504.3328080000015</v>
      </c>
      <c r="V39" s="68">
        <f>Q39*Assumptions!$C$29</f>
        <v>1921.2262020000003</v>
      </c>
      <c r="W39" s="68">
        <f t="shared" si="2"/>
        <v>6117.1903080000011</v>
      </c>
      <c r="X39" s="69">
        <f t="shared" si="3"/>
        <v>25594.984683000002</v>
      </c>
      <c r="Y39" s="68">
        <f t="shared" si="4"/>
        <v>7764.5645144999999</v>
      </c>
      <c r="Z39" s="69">
        <f t="shared" si="5"/>
        <v>17830.420168500001</v>
      </c>
      <c r="AA39" s="67">
        <f>Assumptions!$C$10*Assumptions!$C$9/12</f>
        <v>2000</v>
      </c>
      <c r="AB39" s="67">
        <f>Assumptions!$C$12/12</f>
        <v>125</v>
      </c>
      <c r="AC39" s="67">
        <f>Assumptions!$C$14/12</f>
        <v>150</v>
      </c>
      <c r="AD39" s="68">
        <f>(Assumptions!$C$32*4.333*Assumptions!$C$33+Assumptions!$C$34/12)*(1+(Assumptions!$C$35))</f>
        <v>6783.2323541666665</v>
      </c>
      <c r="AE39" s="67">
        <f>INDEX('Seasonality Data Break down'!$F$7:$F$18,C39)*G39</f>
        <v>186.3</v>
      </c>
      <c r="AF39" s="67">
        <f>INDEX('Seasonality Data Break down'!$G$7:$G$18,C39)*G39</f>
        <v>186.3</v>
      </c>
      <c r="AG39" s="67">
        <f>INDEX('Seasonality Data Break down'!$H$7:$H$18,C39)*G39</f>
        <v>93.15</v>
      </c>
      <c r="AH39" s="69">
        <f t="shared" si="6"/>
        <v>465.75</v>
      </c>
      <c r="AI39" s="67">
        <f>Assumptions!$C$39</f>
        <v>150</v>
      </c>
      <c r="AJ39" s="67">
        <f>Assumptions!$C$40</f>
        <v>500</v>
      </c>
      <c r="AK39" s="69">
        <f t="shared" si="7"/>
        <v>10173.982354166666</v>
      </c>
      <c r="AL39" s="68">
        <f>X39*Assumptions!$C$13</f>
        <v>767.84954049000009</v>
      </c>
      <c r="AM39" s="68">
        <f>X39*Assumptions!$C$15</f>
        <v>447.91223195250006</v>
      </c>
      <c r="AN39" s="69">
        <f t="shared" si="8"/>
        <v>1215.7617724425002</v>
      </c>
      <c r="AO39" s="69">
        <f t="shared" si="9"/>
        <v>11389.744126609166</v>
      </c>
      <c r="AP39" s="69">
        <f t="shared" si="10"/>
        <v>6440.6760418908343</v>
      </c>
      <c r="AQ39" s="67">
        <f>'Startup Costs'!$D$24/(Assumptions!$C$54*12)</f>
        <v>916.66666666666663</v>
      </c>
      <c r="AR39" s="67">
        <f>-'Loan schedule'!$D$43</f>
        <v>-231.36481351670326</v>
      </c>
      <c r="AS39" s="68">
        <f t="shared" si="11"/>
        <v>5292.6445617074642</v>
      </c>
      <c r="AT39" s="68">
        <f>-MAX(AS39,0)*Assumptions!$C$41</f>
        <v>-1323.161140426866</v>
      </c>
      <c r="AU39" s="69">
        <f t="shared" si="12"/>
        <v>3969.4834212805981</v>
      </c>
      <c r="AV39" s="67">
        <f>-'Loan schedule'!$E$43</f>
        <v>-1168.279825641564</v>
      </c>
      <c r="AW39" s="69">
        <f t="shared" si="13"/>
        <v>3717.8702623057011</v>
      </c>
      <c r="AX39" s="68">
        <f t="shared" si="18"/>
        <v>76886.738966725417</v>
      </c>
      <c r="AY39" s="69">
        <f t="shared" si="14"/>
        <v>80604.609229031121</v>
      </c>
      <c r="AZ39" s="63">
        <f t="shared" si="15"/>
        <v>0.69663726661039316</v>
      </c>
      <c r="BA39" s="63">
        <f t="shared" si="16"/>
        <v>0.25163820653382468</v>
      </c>
      <c r="BB39" s="102">
        <f t="shared" si="17"/>
        <v>0.15508832962565119</v>
      </c>
    </row>
    <row r="40" spans="1:57" ht="15" customHeight="1" x14ac:dyDescent="0.25">
      <c r="A40" s="101">
        <v>33</v>
      </c>
      <c r="B40" s="19">
        <v>3</v>
      </c>
      <c r="C40" s="19">
        <v>9</v>
      </c>
      <c r="D40" s="62" t="str">
        <f>'Seasonality Data Break down'!$B$15&amp;" Y"&amp;B40</f>
        <v>September Y3</v>
      </c>
      <c r="E40" s="63">
        <f>IF(B40=1,INDEX(Workings!$B$27:$B$38,C40),1)</f>
        <v>1</v>
      </c>
      <c r="F40" s="63">
        <f>IF(B40=1,INDEX(Workings!$C$27:$C$38,C40),1)</f>
        <v>1</v>
      </c>
      <c r="G40" s="64">
        <f>INDEX(Workings!$C$19:$C$23,B40)</f>
        <v>1.242</v>
      </c>
      <c r="H40" s="65">
        <f>INDEX('Seasonality Data Break down'!$C$7:$C$18,C40)</f>
        <v>0.95</v>
      </c>
      <c r="I40" s="65">
        <f>INDEX('Seasonality Data Break down'!$D$7:$D$18,C40)</f>
        <v>1.05</v>
      </c>
      <c r="J40" s="66">
        <f>Assumptions!$C$18/12</f>
        <v>26.083333333333332</v>
      </c>
      <c r="K40" s="64">
        <f>Assumptions!$C$19*E40*H40*G40</f>
        <v>76.6935</v>
      </c>
      <c r="L40" s="67">
        <f>Assumptions!$C$20+INDEX('Seasonality Data Break down'!$E$7:$E$18,C40)</f>
        <v>8.5</v>
      </c>
      <c r="M40" s="68">
        <f t="shared" ref="M40:M67" si="19">K40*J40*L40</f>
        <v>17003.588062499999</v>
      </c>
      <c r="N40" s="68">
        <f>M40*Assumptions!$C$21</f>
        <v>5101.0764187499999</v>
      </c>
      <c r="O40" s="64">
        <f>Assumptions!$C$27*F40*I40*G40</f>
        <v>71.725499999999997</v>
      </c>
      <c r="P40" s="68">
        <f>O40*Assumptions!$C$28</f>
        <v>3227.6475</v>
      </c>
      <c r="Q40" s="64">
        <f>Assumptions!$C$24*4.333*F40*I40*G40</f>
        <v>79.109314200000014</v>
      </c>
      <c r="R40" s="64">
        <f>Q40*Assumptions!$C$25</f>
        <v>791.09314200000017</v>
      </c>
      <c r="S40" s="64">
        <f>MIN(O40*Assumptions!$C$48,R40)</f>
        <v>430.35299999999995</v>
      </c>
      <c r="T40" s="64">
        <f t="shared" ref="T40:T67" si="20">MAX(R40-S40,0)</f>
        <v>360.74014200000022</v>
      </c>
      <c r="U40" s="68">
        <f>T40*Assumptions!$C$26</f>
        <v>4328.8817040000031</v>
      </c>
      <c r="V40" s="68">
        <f>Q40*Assumptions!$C$29</f>
        <v>2373.2794260000005</v>
      </c>
      <c r="W40" s="68">
        <f t="shared" ref="W40:W67" si="21">P40+U40</f>
        <v>7556.5292040000031</v>
      </c>
      <c r="X40" s="69">
        <f t="shared" ref="X40:X67" si="22">M40+W40</f>
        <v>24560.117266500001</v>
      </c>
      <c r="Y40" s="68">
        <f t="shared" ref="Y40:Y67" si="23">N40+V40</f>
        <v>7474.35584475</v>
      </c>
      <c r="Z40" s="69">
        <f t="shared" ref="Z40:Z67" si="24">X40-Y40</f>
        <v>17085.761421750001</v>
      </c>
      <c r="AA40" s="67">
        <f>Assumptions!$C$10*Assumptions!$C$9/12</f>
        <v>2000</v>
      </c>
      <c r="AB40" s="67">
        <f>Assumptions!$C$12/12</f>
        <v>125</v>
      </c>
      <c r="AC40" s="67">
        <f>Assumptions!$C$14/12</f>
        <v>150</v>
      </c>
      <c r="AD40" s="68">
        <f>(Assumptions!$C$32*4.333*Assumptions!$C$33+Assumptions!$C$34/12)*(1+(Assumptions!$C$35))</f>
        <v>6783.2323541666665</v>
      </c>
      <c r="AE40" s="67">
        <f>INDEX('Seasonality Data Break down'!$F$7:$F$18,C40)*G40</f>
        <v>248.4</v>
      </c>
      <c r="AF40" s="67">
        <f>INDEX('Seasonality Data Break down'!$G$7:$G$18,C40)*G40</f>
        <v>248.4</v>
      </c>
      <c r="AG40" s="67">
        <f>INDEX('Seasonality Data Break down'!$H$7:$H$18,C40)*G40</f>
        <v>93.15</v>
      </c>
      <c r="AH40" s="69">
        <f t="shared" ref="AH40:AH67" si="25">AE40+AF40+AG40</f>
        <v>589.95000000000005</v>
      </c>
      <c r="AI40" s="67">
        <f>Assumptions!$C$39</f>
        <v>150</v>
      </c>
      <c r="AJ40" s="67">
        <f>Assumptions!$C$40</f>
        <v>500</v>
      </c>
      <c r="AK40" s="69">
        <f t="shared" ref="AK40:AK67" si="26">AA40+AB40+AC40+AD40+AH40+AI40+AJ40</f>
        <v>10298.182354166667</v>
      </c>
      <c r="AL40" s="68">
        <f>X40*Assumptions!$C$13</f>
        <v>736.80351799499999</v>
      </c>
      <c r="AM40" s="68">
        <f>X40*Assumptions!$C$15</f>
        <v>429.80205216375009</v>
      </c>
      <c r="AN40" s="69">
        <f t="shared" ref="AN40:AN67" si="27">AL40+AM40</f>
        <v>1166.6055701587502</v>
      </c>
      <c r="AO40" s="69">
        <f t="shared" ref="AO40:AO67" si="28">AK40+AN40</f>
        <v>11464.787924325417</v>
      </c>
      <c r="AP40" s="69">
        <f t="shared" ref="AP40:AP67" si="29">Z40-AO40</f>
        <v>5620.9734974245839</v>
      </c>
      <c r="AQ40" s="67">
        <f>'Startup Costs'!$D$24/(Assumptions!$C$54*12)</f>
        <v>916.66666666666663</v>
      </c>
      <c r="AR40" s="67">
        <f>-'Loan schedule'!$D$44</f>
        <v>-224.0630646064435</v>
      </c>
      <c r="AS40" s="68">
        <f t="shared" ref="AS40:AS67" si="30">AP40-AQ40+AR40</f>
        <v>4480.2437661514732</v>
      </c>
      <c r="AT40" s="68">
        <f>-MAX(AS40,0)*Assumptions!$C$41</f>
        <v>-1120.0609415378683</v>
      </c>
      <c r="AU40" s="69">
        <f t="shared" ref="AU40:AU67" si="31">AS40+AT40</f>
        <v>3360.1828246136047</v>
      </c>
      <c r="AV40" s="67">
        <f>-'Loan schedule'!$E$44</f>
        <v>-1175.5815745518237</v>
      </c>
      <c r="AW40" s="69">
        <f t="shared" ref="AW40:AW67" si="32">AU40+AQ40+AV40</f>
        <v>3101.2679167284477</v>
      </c>
      <c r="AX40" s="68">
        <f t="shared" si="18"/>
        <v>80604.609229031121</v>
      </c>
      <c r="AY40" s="69">
        <f t="shared" ref="AY40:AY67" si="33">AX40+AW40</f>
        <v>83705.877145759572</v>
      </c>
      <c r="AZ40" s="63">
        <f t="shared" ref="AZ40:AZ67" si="34">IFERROR(Z40/X40,0)</f>
        <v>0.69567100337321996</v>
      </c>
      <c r="BA40" s="63">
        <f t="shared" ref="BA40:BA67" si="35">IFERROR(AP40/X40,0)</f>
        <v>0.22886590631599268</v>
      </c>
      <c r="BB40" s="102">
        <f t="shared" ref="BB40:BB67" si="36">IFERROR(AU40/X40,0)</f>
        <v>0.13681460834052669</v>
      </c>
    </row>
    <row r="41" spans="1:57" ht="15" customHeight="1" x14ac:dyDescent="0.25">
      <c r="A41" s="101">
        <v>34</v>
      </c>
      <c r="B41" s="19">
        <v>3</v>
      </c>
      <c r="C41" s="19">
        <v>10</v>
      </c>
      <c r="D41" s="62" t="str">
        <f>'Seasonality Data Break down'!$B$16&amp;" Y"&amp;B41</f>
        <v>October Y3</v>
      </c>
      <c r="E41" s="63">
        <f>IF(B41=1,INDEX(Workings!$B$27:$B$38,C41),1)</f>
        <v>1</v>
      </c>
      <c r="F41" s="63">
        <f>IF(B41=1,INDEX(Workings!$C$27:$C$38,C41),1)</f>
        <v>1</v>
      </c>
      <c r="G41" s="64">
        <f>INDEX(Workings!$C$19:$C$23,B41)</f>
        <v>1.242</v>
      </c>
      <c r="H41" s="65">
        <f>INDEX('Seasonality Data Break down'!$C$7:$C$18,C41)</f>
        <v>1</v>
      </c>
      <c r="I41" s="65">
        <f>INDEX('Seasonality Data Break down'!$D$7:$D$18,C41)</f>
        <v>1</v>
      </c>
      <c r="J41" s="66">
        <f>Assumptions!$C$18/12</f>
        <v>26.083333333333332</v>
      </c>
      <c r="K41" s="64">
        <f>Assumptions!$C$19*E41*H41*G41</f>
        <v>80.73</v>
      </c>
      <c r="L41" s="67">
        <f>Assumptions!$C$20+INDEX('Seasonality Data Break down'!$E$7:$E$18,C41)</f>
        <v>8.5</v>
      </c>
      <c r="M41" s="68">
        <f t="shared" si="19"/>
        <v>17898.513749999998</v>
      </c>
      <c r="N41" s="68">
        <f>M41*Assumptions!$C$21</f>
        <v>5369.5541249999997</v>
      </c>
      <c r="O41" s="64">
        <f>Assumptions!$C$27*F41*I41*G41</f>
        <v>68.31</v>
      </c>
      <c r="P41" s="68">
        <f>O41*Assumptions!$C$28</f>
        <v>3073.9500000000003</v>
      </c>
      <c r="Q41" s="64">
        <f>Assumptions!$C$24*4.333*F41*I41*G41</f>
        <v>75.34220400000001</v>
      </c>
      <c r="R41" s="64">
        <f>Q41*Assumptions!$C$25</f>
        <v>753.42204000000015</v>
      </c>
      <c r="S41" s="64">
        <f>MIN(O41*Assumptions!$C$48,R41)</f>
        <v>409.86</v>
      </c>
      <c r="T41" s="64">
        <f t="shared" si="20"/>
        <v>343.56204000000014</v>
      </c>
      <c r="U41" s="68">
        <f>T41*Assumptions!$C$26</f>
        <v>4122.7444800000012</v>
      </c>
      <c r="V41" s="68">
        <f>Q41*Assumptions!$C$29</f>
        <v>2260.2661200000002</v>
      </c>
      <c r="W41" s="68">
        <f t="shared" si="21"/>
        <v>7196.6944800000019</v>
      </c>
      <c r="X41" s="69">
        <f t="shared" si="22"/>
        <v>25095.20823</v>
      </c>
      <c r="Y41" s="68">
        <f t="shared" si="23"/>
        <v>7629.8202449999999</v>
      </c>
      <c r="Z41" s="69">
        <f t="shared" si="24"/>
        <v>17465.387985000001</v>
      </c>
      <c r="AA41" s="67">
        <f>Assumptions!$C$10*Assumptions!$C$9/12</f>
        <v>2000</v>
      </c>
      <c r="AB41" s="67">
        <f>Assumptions!$C$12/12</f>
        <v>125</v>
      </c>
      <c r="AC41" s="67">
        <f>Assumptions!$C$14/12</f>
        <v>150</v>
      </c>
      <c r="AD41" s="68">
        <f>(Assumptions!$C$32*4.333*Assumptions!$C$33+Assumptions!$C$34/12)*(1+(Assumptions!$C$35))</f>
        <v>6783.2323541666665</v>
      </c>
      <c r="AE41" s="67">
        <f>INDEX('Seasonality Data Break down'!$F$7:$F$18,C41)*G41</f>
        <v>186.3</v>
      </c>
      <c r="AF41" s="67">
        <f>INDEX('Seasonality Data Break down'!$G$7:$G$18,C41)*G41</f>
        <v>186.3</v>
      </c>
      <c r="AG41" s="67">
        <f>INDEX('Seasonality Data Break down'!$H$7:$H$18,C41)*G41</f>
        <v>62.1</v>
      </c>
      <c r="AH41" s="69">
        <f t="shared" si="25"/>
        <v>434.70000000000005</v>
      </c>
      <c r="AI41" s="67">
        <f>Assumptions!$C$39</f>
        <v>150</v>
      </c>
      <c r="AJ41" s="67">
        <f>Assumptions!$C$40</f>
        <v>500</v>
      </c>
      <c r="AK41" s="69">
        <f t="shared" si="26"/>
        <v>10142.932354166667</v>
      </c>
      <c r="AL41" s="68">
        <f>X41*Assumptions!$C$13</f>
        <v>752.85624689999997</v>
      </c>
      <c r="AM41" s="68">
        <f>X41*Assumptions!$C$15</f>
        <v>439.16614402500005</v>
      </c>
      <c r="AN41" s="69">
        <f t="shared" si="27"/>
        <v>1192.0223909250001</v>
      </c>
      <c r="AO41" s="69">
        <f t="shared" si="28"/>
        <v>11334.954745091667</v>
      </c>
      <c r="AP41" s="69">
        <f t="shared" si="29"/>
        <v>6130.4332399083341</v>
      </c>
      <c r="AQ41" s="67">
        <f>'Startup Costs'!$D$24/(Assumptions!$C$54*12)</f>
        <v>916.66666666666663</v>
      </c>
      <c r="AR41" s="67">
        <f>-'Loan schedule'!$D$45</f>
        <v>-216.71567976549457</v>
      </c>
      <c r="AS41" s="68">
        <f t="shared" si="30"/>
        <v>4997.0508934761729</v>
      </c>
      <c r="AT41" s="68">
        <f>-MAX(AS41,0)*Assumptions!$C$41</f>
        <v>-1249.2627233690432</v>
      </c>
      <c r="AU41" s="69">
        <f t="shared" si="31"/>
        <v>3747.7881701071296</v>
      </c>
      <c r="AV41" s="67">
        <f>-'Loan schedule'!$E$45</f>
        <v>-1182.9289593927726</v>
      </c>
      <c r="AW41" s="69">
        <f t="shared" si="32"/>
        <v>3481.5258773810237</v>
      </c>
      <c r="AX41" s="68">
        <f t="shared" ref="AX41:AX67" si="37">AY40</f>
        <v>83705.877145759572</v>
      </c>
      <c r="AY41" s="69">
        <f t="shared" si="33"/>
        <v>87187.403023140592</v>
      </c>
      <c r="AZ41" s="63">
        <f t="shared" si="34"/>
        <v>0.69596505535750242</v>
      </c>
      <c r="BA41" s="63">
        <f t="shared" si="35"/>
        <v>0.24428700426481115</v>
      </c>
      <c r="BB41" s="102">
        <f t="shared" si="36"/>
        <v>0.14934278033313333</v>
      </c>
    </row>
    <row r="42" spans="1:57" ht="15" customHeight="1" x14ac:dyDescent="0.25">
      <c r="A42" s="101">
        <v>35</v>
      </c>
      <c r="B42" s="19">
        <v>3</v>
      </c>
      <c r="C42" s="19">
        <v>11</v>
      </c>
      <c r="D42" s="62" t="str">
        <f>'Seasonality Data Break down'!$B$17&amp;" Y"&amp;B42</f>
        <v>November Y3</v>
      </c>
      <c r="E42" s="63">
        <f>IF(B42=1,INDEX(Workings!$B$27:$B$38,C42),1)</f>
        <v>1</v>
      </c>
      <c r="F42" s="63">
        <f>IF(B42=1,INDEX(Workings!$C$27:$C$38,C42),1)</f>
        <v>1</v>
      </c>
      <c r="G42" s="64">
        <f>INDEX(Workings!$C$19:$C$23,B42)</f>
        <v>1.242</v>
      </c>
      <c r="H42" s="65">
        <f>INDEX('Seasonality Data Break down'!$C$7:$C$18,C42)</f>
        <v>1.05</v>
      </c>
      <c r="I42" s="65">
        <f>INDEX('Seasonality Data Break down'!$D$7:$D$18,C42)</f>
        <v>0.95</v>
      </c>
      <c r="J42" s="66">
        <f>Assumptions!$C$18/12</f>
        <v>26.083333333333332</v>
      </c>
      <c r="K42" s="64">
        <f>Assumptions!$C$19*E42*H42*G42</f>
        <v>84.766499999999994</v>
      </c>
      <c r="L42" s="67">
        <f>Assumptions!$C$20+INDEX('Seasonality Data Break down'!$E$7:$E$18,C42)</f>
        <v>8.5</v>
      </c>
      <c r="M42" s="68">
        <f t="shared" si="19"/>
        <v>18793.439437499997</v>
      </c>
      <c r="N42" s="68">
        <f>M42*Assumptions!$C$21</f>
        <v>5638.0318312499994</v>
      </c>
      <c r="O42" s="64">
        <f>Assumptions!$C$27*F42*I42*G42</f>
        <v>64.894499999999994</v>
      </c>
      <c r="P42" s="68">
        <f>O42*Assumptions!$C$28</f>
        <v>2920.2524999999996</v>
      </c>
      <c r="Q42" s="64">
        <f>Assumptions!$C$24*4.333*F42*I42*G42</f>
        <v>71.575093800000005</v>
      </c>
      <c r="R42" s="64">
        <f>Q42*Assumptions!$C$25</f>
        <v>715.75093800000002</v>
      </c>
      <c r="S42" s="64">
        <f>MIN(O42*Assumptions!$C$48,R42)</f>
        <v>389.36699999999996</v>
      </c>
      <c r="T42" s="64">
        <f t="shared" si="20"/>
        <v>326.38393800000006</v>
      </c>
      <c r="U42" s="68">
        <f>T42*Assumptions!$C$26</f>
        <v>3916.6072560000007</v>
      </c>
      <c r="V42" s="68">
        <f>Q42*Assumptions!$C$29</f>
        <v>2147.2528139999999</v>
      </c>
      <c r="W42" s="68">
        <f t="shared" si="21"/>
        <v>6836.8597559999998</v>
      </c>
      <c r="X42" s="69">
        <f t="shared" si="22"/>
        <v>25630.299193499995</v>
      </c>
      <c r="Y42" s="68">
        <f t="shared" si="23"/>
        <v>7785.2846452499998</v>
      </c>
      <c r="Z42" s="69">
        <f t="shared" si="24"/>
        <v>17845.014548249994</v>
      </c>
      <c r="AA42" s="67">
        <f>Assumptions!$C$10*Assumptions!$C$9/12</f>
        <v>2000</v>
      </c>
      <c r="AB42" s="67">
        <f>Assumptions!$C$12/12</f>
        <v>125</v>
      </c>
      <c r="AC42" s="67">
        <f>Assumptions!$C$14/12</f>
        <v>150</v>
      </c>
      <c r="AD42" s="68">
        <f>(Assumptions!$C$32*4.333*Assumptions!$C$33+Assumptions!$C$34/12)*(1+(Assumptions!$C$35))</f>
        <v>6783.2323541666665</v>
      </c>
      <c r="AE42" s="67">
        <f>INDEX('Seasonality Data Break down'!$F$7:$F$18,C42)*G42</f>
        <v>310.5</v>
      </c>
      <c r="AF42" s="67">
        <f>INDEX('Seasonality Data Break down'!$G$7:$G$18,C42)*G42</f>
        <v>248.4</v>
      </c>
      <c r="AG42" s="67">
        <f>INDEX('Seasonality Data Break down'!$H$7:$H$18,C42)*G42</f>
        <v>93.15</v>
      </c>
      <c r="AH42" s="69">
        <f t="shared" si="25"/>
        <v>652.04999999999995</v>
      </c>
      <c r="AI42" s="67">
        <f>Assumptions!$C$39</f>
        <v>150</v>
      </c>
      <c r="AJ42" s="67">
        <f>Assumptions!$C$40</f>
        <v>500</v>
      </c>
      <c r="AK42" s="69">
        <f t="shared" si="26"/>
        <v>10360.282354166666</v>
      </c>
      <c r="AL42" s="68">
        <f>X42*Assumptions!$C$13</f>
        <v>768.90897580499984</v>
      </c>
      <c r="AM42" s="68">
        <f>X42*Assumptions!$C$15</f>
        <v>448.53023588624995</v>
      </c>
      <c r="AN42" s="69">
        <f t="shared" si="27"/>
        <v>1217.4392116912497</v>
      </c>
      <c r="AO42" s="69">
        <f t="shared" si="28"/>
        <v>11577.721565857915</v>
      </c>
      <c r="AP42" s="69">
        <f t="shared" si="29"/>
        <v>6267.2929823920786</v>
      </c>
      <c r="AQ42" s="67">
        <f>'Startup Costs'!$D$24/(Assumptions!$C$54*12)</f>
        <v>916.66666666666663</v>
      </c>
      <c r="AR42" s="67">
        <f>-'Loan schedule'!$D$46</f>
        <v>-209.32237376928973</v>
      </c>
      <c r="AS42" s="68">
        <f t="shared" si="30"/>
        <v>5141.3039419561219</v>
      </c>
      <c r="AT42" s="68">
        <f>-MAX(AS42,0)*Assumptions!$C$41</f>
        <v>-1285.3259854890305</v>
      </c>
      <c r="AU42" s="69">
        <f t="shared" si="31"/>
        <v>3855.9779564670916</v>
      </c>
      <c r="AV42" s="67">
        <f>-'Loan schedule'!$E$46</f>
        <v>-1190.3222653889775</v>
      </c>
      <c r="AW42" s="69">
        <f t="shared" si="32"/>
        <v>3582.3223577447811</v>
      </c>
      <c r="AX42" s="68">
        <f t="shared" si="37"/>
        <v>87187.403023140592</v>
      </c>
      <c r="AY42" s="69">
        <f t="shared" si="33"/>
        <v>90769.725380885371</v>
      </c>
      <c r="AZ42" s="63">
        <f t="shared" si="34"/>
        <v>0.69624682932985826</v>
      </c>
      <c r="BA42" s="63">
        <f t="shared" si="35"/>
        <v>0.24452671953129221</v>
      </c>
      <c r="BB42" s="102">
        <f t="shared" si="36"/>
        <v>0.15044607662812581</v>
      </c>
    </row>
    <row r="43" spans="1:57" ht="15" customHeight="1" x14ac:dyDescent="0.25">
      <c r="A43" s="101">
        <v>36</v>
      </c>
      <c r="B43" s="19">
        <v>3</v>
      </c>
      <c r="C43" s="19">
        <v>12</v>
      </c>
      <c r="D43" s="62" t="str">
        <f>'Seasonality Data Break down'!$B$18&amp;" Y"&amp;B43</f>
        <v>December Y3</v>
      </c>
      <c r="E43" s="63">
        <f>IF(B43=1,INDEX(Workings!$B$27:$B$38,C43),1)</f>
        <v>1</v>
      </c>
      <c r="F43" s="63">
        <f>IF(B43=1,INDEX(Workings!$C$27:$C$38,C43),1)</f>
        <v>1</v>
      </c>
      <c r="G43" s="64">
        <f>INDEX(Workings!$C$19:$C$23,B43)</f>
        <v>1.242</v>
      </c>
      <c r="H43" s="65">
        <f>INDEX('Seasonality Data Break down'!$C$7:$C$18,C43)</f>
        <v>1.2</v>
      </c>
      <c r="I43" s="65">
        <f>INDEX('Seasonality Data Break down'!$D$7:$D$18,C43)</f>
        <v>0.8</v>
      </c>
      <c r="J43" s="66">
        <f>Assumptions!$C$18/12</f>
        <v>26.083333333333332</v>
      </c>
      <c r="K43" s="64">
        <f>Assumptions!$C$19*E43*H43*G43</f>
        <v>96.876000000000005</v>
      </c>
      <c r="L43" s="67">
        <f>Assumptions!$C$20+INDEX('Seasonality Data Break down'!$E$7:$E$18,C43)</f>
        <v>8.5</v>
      </c>
      <c r="M43" s="68">
        <f t="shared" si="19"/>
        <v>21478.216500000002</v>
      </c>
      <c r="N43" s="68">
        <f>M43*Assumptions!$C$21</f>
        <v>6443.4649500000005</v>
      </c>
      <c r="O43" s="64">
        <f>Assumptions!$C$27*F43*I43*G43</f>
        <v>54.647999999999996</v>
      </c>
      <c r="P43" s="68">
        <f>O43*Assumptions!$C$28</f>
        <v>2459.16</v>
      </c>
      <c r="Q43" s="64">
        <f>Assumptions!$C$24*4.333*F43*I43*G43</f>
        <v>60.273763200000012</v>
      </c>
      <c r="R43" s="64">
        <f>Q43*Assumptions!$C$25</f>
        <v>602.73763200000008</v>
      </c>
      <c r="S43" s="64">
        <f>MIN(O43*Assumptions!$C$48,R43)</f>
        <v>327.88799999999998</v>
      </c>
      <c r="T43" s="64">
        <f t="shared" si="20"/>
        <v>274.8496320000001</v>
      </c>
      <c r="U43" s="68">
        <f>T43*Assumptions!$C$26</f>
        <v>3298.195584000001</v>
      </c>
      <c r="V43" s="68">
        <f>Q43*Assumptions!$C$29</f>
        <v>1808.2128960000005</v>
      </c>
      <c r="W43" s="68">
        <f t="shared" si="21"/>
        <v>5757.3555840000008</v>
      </c>
      <c r="X43" s="69">
        <f t="shared" si="22"/>
        <v>27235.572084000003</v>
      </c>
      <c r="Y43" s="68">
        <f t="shared" si="23"/>
        <v>8251.6778460000005</v>
      </c>
      <c r="Z43" s="69">
        <f t="shared" si="24"/>
        <v>18983.894238000001</v>
      </c>
      <c r="AA43" s="67">
        <f>Assumptions!$C$10*Assumptions!$C$9/12</f>
        <v>2000</v>
      </c>
      <c r="AB43" s="67">
        <f>Assumptions!$C$12/12</f>
        <v>125</v>
      </c>
      <c r="AC43" s="67">
        <f>Assumptions!$C$14/12</f>
        <v>150</v>
      </c>
      <c r="AD43" s="68">
        <f>(Assumptions!$C$32*4.333*Assumptions!$C$33+Assumptions!$C$34/12)*(1+(Assumptions!$C$35))</f>
        <v>6783.2323541666665</v>
      </c>
      <c r="AE43" s="67">
        <f>INDEX('Seasonality Data Break down'!$F$7:$F$18,C43)*G43</f>
        <v>372.6</v>
      </c>
      <c r="AF43" s="67">
        <f>INDEX('Seasonality Data Break down'!$G$7:$G$18,C43)*G43</f>
        <v>310.5</v>
      </c>
      <c r="AG43" s="67">
        <f>INDEX('Seasonality Data Break down'!$H$7:$H$18,C43)*G43</f>
        <v>124.2</v>
      </c>
      <c r="AH43" s="69">
        <f t="shared" si="25"/>
        <v>807.30000000000007</v>
      </c>
      <c r="AI43" s="67">
        <f>Assumptions!$C$39</f>
        <v>150</v>
      </c>
      <c r="AJ43" s="67">
        <f>Assumptions!$C$40</f>
        <v>500</v>
      </c>
      <c r="AK43" s="69">
        <f t="shared" si="26"/>
        <v>10515.532354166666</v>
      </c>
      <c r="AL43" s="68">
        <f>X43*Assumptions!$C$13</f>
        <v>817.06716252000001</v>
      </c>
      <c r="AM43" s="68">
        <f>X43*Assumptions!$C$15</f>
        <v>476.62251147000012</v>
      </c>
      <c r="AN43" s="69">
        <f t="shared" si="27"/>
        <v>1293.6896739900001</v>
      </c>
      <c r="AO43" s="69">
        <f t="shared" si="28"/>
        <v>11809.222028156666</v>
      </c>
      <c r="AP43" s="69">
        <f t="shared" si="29"/>
        <v>7174.6722098433347</v>
      </c>
      <c r="AQ43" s="67">
        <f>'Startup Costs'!$D$24/(Assumptions!$C$54*12)</f>
        <v>916.66666666666663</v>
      </c>
      <c r="AR43" s="67">
        <f>-'Loan schedule'!$D$47</f>
        <v>-201.88285961060862</v>
      </c>
      <c r="AS43" s="68">
        <f t="shared" si="30"/>
        <v>6056.1226835660591</v>
      </c>
      <c r="AT43" s="68">
        <f>-MAX(AS43,0)*Assumptions!$C$41</f>
        <v>-1514.0306708915148</v>
      </c>
      <c r="AU43" s="69">
        <f t="shared" si="31"/>
        <v>4542.0920126745441</v>
      </c>
      <c r="AV43" s="67">
        <f>-'Loan schedule'!$E$47</f>
        <v>-1197.7617795476585</v>
      </c>
      <c r="AW43" s="69">
        <f t="shared" si="32"/>
        <v>4260.9968997935521</v>
      </c>
      <c r="AX43" s="68">
        <f t="shared" si="37"/>
        <v>90769.725380885371</v>
      </c>
      <c r="AY43" s="69">
        <f t="shared" si="33"/>
        <v>95030.722280678921</v>
      </c>
      <c r="AZ43" s="63">
        <f t="shared" si="34"/>
        <v>0.69702571987288675</v>
      </c>
      <c r="BA43" s="63">
        <f t="shared" si="35"/>
        <v>0.26343020031726144</v>
      </c>
      <c r="BB43" s="102">
        <f t="shared" si="36"/>
        <v>0.16677057484475874</v>
      </c>
    </row>
    <row r="44" spans="1:57" ht="15" customHeight="1" x14ac:dyDescent="0.25">
      <c r="A44" s="101">
        <v>37</v>
      </c>
      <c r="B44" s="19">
        <v>4</v>
      </c>
      <c r="C44" s="19">
        <v>1</v>
      </c>
      <c r="D44" s="62" t="str">
        <f>'Seasonality Data Break down'!$B$7&amp;" Y"&amp;B44</f>
        <v>January Y4</v>
      </c>
      <c r="E44" s="63">
        <f>IF(B44=1,INDEX(Workings!$B$27:$B$38,C44),1)</f>
        <v>1</v>
      </c>
      <c r="F44" s="63">
        <f>IF(B44=1,INDEX(Workings!$C$27:$C$38,C44),1)</f>
        <v>1</v>
      </c>
      <c r="G44" s="64">
        <f>INDEX(Workings!$C$19:$C$23,B44)</f>
        <v>1.3165200000000001</v>
      </c>
      <c r="H44" s="65">
        <f>INDEX('Seasonality Data Break down'!$C$7:$C$18,C44)</f>
        <v>0.85</v>
      </c>
      <c r="I44" s="65">
        <f>INDEX('Seasonality Data Break down'!$D$7:$D$18,C44)</f>
        <v>1.3</v>
      </c>
      <c r="J44" s="66">
        <f>Assumptions!$C$18/12</f>
        <v>26.083333333333332</v>
      </c>
      <c r="K44" s="64">
        <f>Assumptions!$C$19*E44*H44*G44</f>
        <v>72.737730000000013</v>
      </c>
      <c r="L44" s="67">
        <f>Assumptions!$C$20+INDEX('Seasonality Data Break down'!$E$7:$E$18,C44)</f>
        <v>8.5</v>
      </c>
      <c r="M44" s="68">
        <f t="shared" si="19"/>
        <v>16126.560888750002</v>
      </c>
      <c r="N44" s="68">
        <f>M44*Assumptions!$C$21</f>
        <v>4837.9682666250001</v>
      </c>
      <c r="O44" s="64">
        <f>Assumptions!$C$27*F44*I44*G44</f>
        <v>94.131180000000015</v>
      </c>
      <c r="P44" s="68">
        <f>O44*Assumptions!$C$28</f>
        <v>4235.9031000000004</v>
      </c>
      <c r="Q44" s="64">
        <f>Assumptions!$C$24*4.333*F44*I44*G44</f>
        <v>103.82155711200002</v>
      </c>
      <c r="R44" s="64">
        <f>Q44*Assumptions!$C$25</f>
        <v>1038.2155711200003</v>
      </c>
      <c r="S44" s="64">
        <f>MIN(O44*Assumptions!$C$48,R44)</f>
        <v>564.78708000000006</v>
      </c>
      <c r="T44" s="64">
        <f t="shared" si="20"/>
        <v>473.42849112000022</v>
      </c>
      <c r="U44" s="68">
        <f>T44*Assumptions!$C$26</f>
        <v>5681.1418934400026</v>
      </c>
      <c r="V44" s="68">
        <f>Q44*Assumptions!$C$29</f>
        <v>3114.6467133600008</v>
      </c>
      <c r="W44" s="68">
        <f t="shared" si="21"/>
        <v>9917.0449934400021</v>
      </c>
      <c r="X44" s="69">
        <f t="shared" si="22"/>
        <v>26043.605882190004</v>
      </c>
      <c r="Y44" s="68">
        <f t="shared" si="23"/>
        <v>7952.6149799850009</v>
      </c>
      <c r="Z44" s="69">
        <f t="shared" si="24"/>
        <v>18090.990902205005</v>
      </c>
      <c r="AA44" s="67">
        <f>Assumptions!$C$10*Assumptions!$C$9/12</f>
        <v>2000</v>
      </c>
      <c r="AB44" s="67">
        <f>Assumptions!$C$12/12</f>
        <v>125</v>
      </c>
      <c r="AC44" s="67">
        <f>Assumptions!$C$14/12</f>
        <v>150</v>
      </c>
      <c r="AD44" s="68">
        <f>(Assumptions!$C$32*4.333*Assumptions!$C$33+Assumptions!$C$34/12)*(1+(Assumptions!$C$35))</f>
        <v>6783.2323541666665</v>
      </c>
      <c r="AE44" s="67">
        <f>INDEX('Seasonality Data Break down'!$F$7:$F$18,C44)*G44</f>
        <v>394.95600000000002</v>
      </c>
      <c r="AF44" s="67">
        <f>INDEX('Seasonality Data Break down'!$G$7:$G$18,C44)*G44</f>
        <v>197.47800000000001</v>
      </c>
      <c r="AG44" s="67">
        <f>INDEX('Seasonality Data Break down'!$H$7:$H$18,C44)*G44</f>
        <v>65.826000000000008</v>
      </c>
      <c r="AH44" s="69">
        <f t="shared" si="25"/>
        <v>658.26</v>
      </c>
      <c r="AI44" s="67">
        <f>Assumptions!$C$39</f>
        <v>150</v>
      </c>
      <c r="AJ44" s="67">
        <f>Assumptions!$C$40</f>
        <v>500</v>
      </c>
      <c r="AK44" s="69">
        <f t="shared" si="26"/>
        <v>10366.492354166667</v>
      </c>
      <c r="AL44" s="68">
        <f>X44*Assumptions!$C$13</f>
        <v>781.30817646570006</v>
      </c>
      <c r="AM44" s="68">
        <f>X44*Assumptions!$C$15</f>
        <v>455.76310293832512</v>
      </c>
      <c r="AN44" s="69">
        <f t="shared" si="27"/>
        <v>1237.0712794040251</v>
      </c>
      <c r="AO44" s="69">
        <f t="shared" si="28"/>
        <v>11603.563633570691</v>
      </c>
      <c r="AP44" s="69">
        <f t="shared" si="29"/>
        <v>6487.4272686343138</v>
      </c>
      <c r="AQ44" s="67">
        <f>'Startup Costs'!$D$24/(Assumptions!$C$54*12)</f>
        <v>916.66666666666663</v>
      </c>
      <c r="AR44" s="67">
        <f>-'Loan schedule'!$D$48</f>
        <v>-194.39684848843578</v>
      </c>
      <c r="AS44" s="68">
        <f t="shared" si="30"/>
        <v>5376.3637534792115</v>
      </c>
      <c r="AT44" s="68">
        <f>-MAX(AS44,0)*Assumptions!$C$41</f>
        <v>-1344.0909383698029</v>
      </c>
      <c r="AU44" s="69">
        <f t="shared" si="31"/>
        <v>4032.2728151094088</v>
      </c>
      <c r="AV44" s="67">
        <f>-'Loan schedule'!$E$48</f>
        <v>-1205.2477906698314</v>
      </c>
      <c r="AW44" s="69">
        <f t="shared" si="32"/>
        <v>3743.6916911062444</v>
      </c>
      <c r="AX44" s="68">
        <f t="shared" si="37"/>
        <v>95030.722280678921</v>
      </c>
      <c r="AY44" s="69">
        <f t="shared" si="33"/>
        <v>98774.413971785165</v>
      </c>
      <c r="AZ44" s="63">
        <f t="shared" si="34"/>
        <v>0.69464232349547961</v>
      </c>
      <c r="BA44" s="63">
        <f t="shared" si="35"/>
        <v>0.24909865776577275</v>
      </c>
      <c r="BB44" s="102">
        <f t="shared" si="36"/>
        <v>0.15482774671639807</v>
      </c>
    </row>
    <row r="45" spans="1:57" ht="15" customHeight="1" x14ac:dyDescent="0.25">
      <c r="A45" s="101">
        <v>38</v>
      </c>
      <c r="B45" s="19">
        <v>4</v>
      </c>
      <c r="C45" s="19">
        <v>2</v>
      </c>
      <c r="D45" s="62" t="str">
        <f>'Seasonality Data Break down'!$B$8&amp;" Y"&amp;B45</f>
        <v>February Y4</v>
      </c>
      <c r="E45" s="63">
        <f>IF(B45=1,INDEX(Workings!$B$27:$B$38,C45),1)</f>
        <v>1</v>
      </c>
      <c r="F45" s="63">
        <f>IF(B45=1,INDEX(Workings!$C$27:$C$38,C45),1)</f>
        <v>1</v>
      </c>
      <c r="G45" s="64">
        <f>INDEX(Workings!$C$19:$C$23,B45)</f>
        <v>1.3165200000000001</v>
      </c>
      <c r="H45" s="65">
        <f>INDEX('Seasonality Data Break down'!$C$7:$C$18,C45)</f>
        <v>0.9</v>
      </c>
      <c r="I45" s="65">
        <f>INDEX('Seasonality Data Break down'!$D$7:$D$18,C45)</f>
        <v>1.2</v>
      </c>
      <c r="J45" s="66">
        <f>Assumptions!$C$18/12</f>
        <v>26.083333333333332</v>
      </c>
      <c r="K45" s="64">
        <f>Assumptions!$C$19*E45*H45*G45</f>
        <v>77.016420000000011</v>
      </c>
      <c r="L45" s="67">
        <f>Assumptions!$C$20+INDEX('Seasonality Data Break down'!$E$7:$E$18,C45)</f>
        <v>8.5</v>
      </c>
      <c r="M45" s="68">
        <f t="shared" si="19"/>
        <v>17075.1821175</v>
      </c>
      <c r="N45" s="68">
        <f>M45*Assumptions!$C$21</f>
        <v>5122.5546352499996</v>
      </c>
      <c r="O45" s="64">
        <f>Assumptions!$C$27*F45*I45*G45</f>
        <v>86.890320000000003</v>
      </c>
      <c r="P45" s="68">
        <f>O45*Assumptions!$C$28</f>
        <v>3910.0644000000002</v>
      </c>
      <c r="Q45" s="64">
        <f>Assumptions!$C$24*4.333*F45*I45*G45</f>
        <v>95.83528348800003</v>
      </c>
      <c r="R45" s="64">
        <f>Q45*Assumptions!$C$25</f>
        <v>958.35283488000027</v>
      </c>
      <c r="S45" s="64">
        <f>MIN(O45*Assumptions!$C$48,R45)</f>
        <v>521.34192000000007</v>
      </c>
      <c r="T45" s="64">
        <f t="shared" si="20"/>
        <v>437.0109148800002</v>
      </c>
      <c r="U45" s="68">
        <f>T45*Assumptions!$C$26</f>
        <v>5244.1309785600024</v>
      </c>
      <c r="V45" s="68">
        <f>Q45*Assumptions!$C$29</f>
        <v>2875.058504640001</v>
      </c>
      <c r="W45" s="68">
        <f t="shared" si="21"/>
        <v>9154.1953785600017</v>
      </c>
      <c r="X45" s="69">
        <f t="shared" si="22"/>
        <v>26229.377496060002</v>
      </c>
      <c r="Y45" s="68">
        <f t="shared" si="23"/>
        <v>7997.6131398900006</v>
      </c>
      <c r="Z45" s="69">
        <f t="shared" si="24"/>
        <v>18231.764356170002</v>
      </c>
      <c r="AA45" s="67">
        <f>Assumptions!$C$10*Assumptions!$C$9/12</f>
        <v>2000</v>
      </c>
      <c r="AB45" s="67">
        <f>Assumptions!$C$12/12</f>
        <v>125</v>
      </c>
      <c r="AC45" s="67">
        <f>Assumptions!$C$14/12</f>
        <v>150</v>
      </c>
      <c r="AD45" s="68">
        <f>(Assumptions!$C$32*4.333*Assumptions!$C$33+Assumptions!$C$34/12)*(1+(Assumptions!$C$35))</f>
        <v>6783.2323541666665</v>
      </c>
      <c r="AE45" s="67">
        <f>INDEX('Seasonality Data Break down'!$F$7:$F$18,C45)*G45</f>
        <v>263.30400000000003</v>
      </c>
      <c r="AF45" s="67">
        <f>INDEX('Seasonality Data Break down'!$G$7:$G$18,C45)*G45</f>
        <v>197.47800000000001</v>
      </c>
      <c r="AG45" s="67">
        <f>INDEX('Seasonality Data Break down'!$H$7:$H$18,C45)*G45</f>
        <v>65.826000000000008</v>
      </c>
      <c r="AH45" s="69">
        <f t="shared" si="25"/>
        <v>526.60800000000006</v>
      </c>
      <c r="AI45" s="67">
        <f>Assumptions!$C$39</f>
        <v>150</v>
      </c>
      <c r="AJ45" s="67">
        <f>Assumptions!$C$40</f>
        <v>500</v>
      </c>
      <c r="AK45" s="69">
        <f t="shared" si="26"/>
        <v>10234.840354166667</v>
      </c>
      <c r="AL45" s="68">
        <f>X45*Assumptions!$C$13</f>
        <v>786.88132488180008</v>
      </c>
      <c r="AM45" s="68">
        <f>X45*Assumptions!$C$15</f>
        <v>459.01410618105007</v>
      </c>
      <c r="AN45" s="69">
        <f t="shared" si="27"/>
        <v>1245.8954310628501</v>
      </c>
      <c r="AO45" s="69">
        <f t="shared" si="28"/>
        <v>11480.735785229517</v>
      </c>
      <c r="AP45" s="69">
        <f t="shared" si="29"/>
        <v>6751.0285709404852</v>
      </c>
      <c r="AQ45" s="67">
        <f>'Startup Costs'!$D$24/(Assumptions!$C$54*12)</f>
        <v>916.66666666666663</v>
      </c>
      <c r="AR45" s="67">
        <f>-'Loan schedule'!$D$49</f>
        <v>-186.8640497967493</v>
      </c>
      <c r="AS45" s="68">
        <f t="shared" si="30"/>
        <v>5647.4978544770693</v>
      </c>
      <c r="AT45" s="68">
        <f>-MAX(AS45,0)*Assumptions!$C$41</f>
        <v>-1411.8744636192673</v>
      </c>
      <c r="AU45" s="69">
        <f t="shared" si="31"/>
        <v>4235.6233908578015</v>
      </c>
      <c r="AV45" s="67">
        <f>-'Loan schedule'!$E$49</f>
        <v>-1212.780589361518</v>
      </c>
      <c r="AW45" s="69">
        <f t="shared" si="32"/>
        <v>3939.5094681629507</v>
      </c>
      <c r="AX45" s="68">
        <f t="shared" si="37"/>
        <v>98774.413971785165</v>
      </c>
      <c r="AY45" s="69">
        <f t="shared" si="33"/>
        <v>102713.92343994812</v>
      </c>
      <c r="AZ45" s="63">
        <f t="shared" si="34"/>
        <v>0.69508947968394041</v>
      </c>
      <c r="BA45" s="63">
        <f t="shared" si="35"/>
        <v>0.25738424680321059</v>
      </c>
      <c r="BB45" s="102">
        <f t="shared" si="36"/>
        <v>0.16148394644493747</v>
      </c>
    </row>
    <row r="46" spans="1:57" ht="15" customHeight="1" x14ac:dyDescent="0.25">
      <c r="A46" s="101">
        <v>39</v>
      </c>
      <c r="B46" s="19">
        <v>4</v>
      </c>
      <c r="C46" s="19">
        <v>3</v>
      </c>
      <c r="D46" s="62" t="str">
        <f>'Seasonality Data Break down'!$B$9&amp;" Y"&amp;B46</f>
        <v>March Y4</v>
      </c>
      <c r="E46" s="63">
        <f>IF(B46=1,INDEX(Workings!$B$27:$B$38,C46),1)</f>
        <v>1</v>
      </c>
      <c r="F46" s="63">
        <f>IF(B46=1,INDEX(Workings!$C$27:$C$38,C46),1)</f>
        <v>1</v>
      </c>
      <c r="G46" s="64">
        <f>INDEX(Workings!$C$19:$C$23,B46)</f>
        <v>1.3165200000000001</v>
      </c>
      <c r="H46" s="65">
        <f>INDEX('Seasonality Data Break down'!$C$7:$C$18,C46)</f>
        <v>0.95</v>
      </c>
      <c r="I46" s="65">
        <f>INDEX('Seasonality Data Break down'!$D$7:$D$18,C46)</f>
        <v>1.05</v>
      </c>
      <c r="J46" s="66">
        <f>Assumptions!$C$18/12</f>
        <v>26.083333333333332</v>
      </c>
      <c r="K46" s="64">
        <f>Assumptions!$C$19*E46*H46*G46</f>
        <v>81.295110000000008</v>
      </c>
      <c r="L46" s="67">
        <f>Assumptions!$C$20+INDEX('Seasonality Data Break down'!$E$7:$E$18,C46)</f>
        <v>8.5</v>
      </c>
      <c r="M46" s="68">
        <f t="shared" si="19"/>
        <v>18023.803346249999</v>
      </c>
      <c r="N46" s="68">
        <f>M46*Assumptions!$C$21</f>
        <v>5407.1410038749991</v>
      </c>
      <c r="O46" s="64">
        <f>Assumptions!$C$27*F46*I46*G46</f>
        <v>76.029030000000006</v>
      </c>
      <c r="P46" s="68">
        <f>O46*Assumptions!$C$28</f>
        <v>3421.3063500000003</v>
      </c>
      <c r="Q46" s="64">
        <f>Assumptions!$C$24*4.333*F46*I46*G46</f>
        <v>83.855873052000021</v>
      </c>
      <c r="R46" s="64">
        <f>Q46*Assumptions!$C$25</f>
        <v>838.55873052000015</v>
      </c>
      <c r="S46" s="64">
        <f>MIN(O46*Assumptions!$C$48,R46)</f>
        <v>456.17418000000004</v>
      </c>
      <c r="T46" s="64">
        <f t="shared" si="20"/>
        <v>382.38455052000012</v>
      </c>
      <c r="U46" s="68">
        <f>T46*Assumptions!$C$26</f>
        <v>4588.6146062400012</v>
      </c>
      <c r="V46" s="68">
        <f>Q46*Assumptions!$C$29</f>
        <v>2515.6761915600005</v>
      </c>
      <c r="W46" s="68">
        <f t="shared" si="21"/>
        <v>8009.920956240001</v>
      </c>
      <c r="X46" s="69">
        <f t="shared" si="22"/>
        <v>26033.724302490002</v>
      </c>
      <c r="Y46" s="68">
        <f t="shared" si="23"/>
        <v>7922.817195435</v>
      </c>
      <c r="Z46" s="69">
        <f t="shared" si="24"/>
        <v>18110.907107055002</v>
      </c>
      <c r="AA46" s="67">
        <f>Assumptions!$C$10*Assumptions!$C$9/12</f>
        <v>2000</v>
      </c>
      <c r="AB46" s="67">
        <f>Assumptions!$C$12/12</f>
        <v>125</v>
      </c>
      <c r="AC46" s="67">
        <f>Assumptions!$C$14/12</f>
        <v>150</v>
      </c>
      <c r="AD46" s="68">
        <f>(Assumptions!$C$32*4.333*Assumptions!$C$33+Assumptions!$C$34/12)*(1+(Assumptions!$C$35))</f>
        <v>6783.2323541666665</v>
      </c>
      <c r="AE46" s="67">
        <f>INDEX('Seasonality Data Break down'!$F$7:$F$18,C46)*G46</f>
        <v>197.47800000000001</v>
      </c>
      <c r="AF46" s="67">
        <f>INDEX('Seasonality Data Break down'!$G$7:$G$18,C46)*G46</f>
        <v>197.47800000000001</v>
      </c>
      <c r="AG46" s="67">
        <f>INDEX('Seasonality Data Break down'!$H$7:$H$18,C46)*G46</f>
        <v>65.826000000000008</v>
      </c>
      <c r="AH46" s="69">
        <f t="shared" si="25"/>
        <v>460.78200000000004</v>
      </c>
      <c r="AI46" s="67">
        <f>Assumptions!$C$39</f>
        <v>150</v>
      </c>
      <c r="AJ46" s="67">
        <f>Assumptions!$C$40</f>
        <v>500</v>
      </c>
      <c r="AK46" s="69">
        <f t="shared" si="26"/>
        <v>10169.014354166666</v>
      </c>
      <c r="AL46" s="68">
        <f>X46*Assumptions!$C$13</f>
        <v>781.01172907470004</v>
      </c>
      <c r="AM46" s="68">
        <f>X46*Assumptions!$C$15</f>
        <v>455.5901752935751</v>
      </c>
      <c r="AN46" s="69">
        <f t="shared" si="27"/>
        <v>1236.6019043682752</v>
      </c>
      <c r="AO46" s="69">
        <f t="shared" si="28"/>
        <v>11405.616258534941</v>
      </c>
      <c r="AP46" s="69">
        <f t="shared" si="29"/>
        <v>6705.2908485200605</v>
      </c>
      <c r="AQ46" s="67">
        <f>'Startup Costs'!$D$24/(Assumptions!$C$54*12)</f>
        <v>916.66666666666663</v>
      </c>
      <c r="AR46" s="67">
        <f>-'Loan schedule'!$D$50</f>
        <v>-179.28417111323981</v>
      </c>
      <c r="AS46" s="68">
        <f t="shared" si="30"/>
        <v>5609.340010740154</v>
      </c>
      <c r="AT46" s="68">
        <f>-MAX(AS46,0)*Assumptions!$C$41</f>
        <v>-1402.3350026850385</v>
      </c>
      <c r="AU46" s="69">
        <f t="shared" si="31"/>
        <v>4207.0050080551155</v>
      </c>
      <c r="AV46" s="67">
        <f>-'Loan schedule'!$E$50</f>
        <v>-1220.3604680450273</v>
      </c>
      <c r="AW46" s="69">
        <f t="shared" si="32"/>
        <v>3903.3112066767553</v>
      </c>
      <c r="AX46" s="68">
        <f t="shared" si="37"/>
        <v>102713.92343994812</v>
      </c>
      <c r="AY46" s="69">
        <f t="shared" si="33"/>
        <v>106617.23464662487</v>
      </c>
      <c r="AZ46" s="63">
        <f t="shared" si="34"/>
        <v>0.69567100337321996</v>
      </c>
      <c r="BA46" s="63">
        <f t="shared" si="35"/>
        <v>0.25756172150439233</v>
      </c>
      <c r="BB46" s="102">
        <f t="shared" si="36"/>
        <v>0.16159827764837839</v>
      </c>
    </row>
    <row r="47" spans="1:57" ht="15" customHeight="1" x14ac:dyDescent="0.25">
      <c r="A47" s="101">
        <v>40</v>
      </c>
      <c r="B47" s="19">
        <v>4</v>
      </c>
      <c r="C47" s="19">
        <v>4</v>
      </c>
      <c r="D47" s="62" t="str">
        <f>'Seasonality Data Break down'!$B$10&amp;" Y"&amp;B47</f>
        <v>April Y4</v>
      </c>
      <c r="E47" s="63">
        <f>IF(B47=1,INDEX(Workings!$B$27:$B$38,C47),1)</f>
        <v>1</v>
      </c>
      <c r="F47" s="63">
        <f>IF(B47=1,INDEX(Workings!$C$27:$C$38,C47),1)</f>
        <v>1</v>
      </c>
      <c r="G47" s="64">
        <f>INDEX(Workings!$C$19:$C$23,B47)</f>
        <v>1.3165200000000001</v>
      </c>
      <c r="H47" s="65">
        <f>INDEX('Seasonality Data Break down'!$C$7:$C$18,C47)</f>
        <v>1</v>
      </c>
      <c r="I47" s="65">
        <f>INDEX('Seasonality Data Break down'!$D$7:$D$18,C47)</f>
        <v>1</v>
      </c>
      <c r="J47" s="66">
        <f>Assumptions!$C$18/12</f>
        <v>26.083333333333332</v>
      </c>
      <c r="K47" s="64">
        <f>Assumptions!$C$19*E47*H47*G47</f>
        <v>85.573800000000006</v>
      </c>
      <c r="L47" s="67">
        <f>Assumptions!$C$20+INDEX('Seasonality Data Break down'!$E$7:$E$18,C47)</f>
        <v>8.5</v>
      </c>
      <c r="M47" s="68">
        <f t="shared" si="19"/>
        <v>18972.424575000001</v>
      </c>
      <c r="N47" s="68">
        <f>M47*Assumptions!$C$21</f>
        <v>5691.7273725000005</v>
      </c>
      <c r="O47" s="64">
        <f>Assumptions!$C$27*F47*I47*G47</f>
        <v>72.408600000000007</v>
      </c>
      <c r="P47" s="68">
        <f>O47*Assumptions!$C$28</f>
        <v>3258.3870000000002</v>
      </c>
      <c r="Q47" s="64">
        <f>Assumptions!$C$24*4.333*F47*I47*G47</f>
        <v>79.862736240000018</v>
      </c>
      <c r="R47" s="64">
        <f>Q47*Assumptions!$C$25</f>
        <v>798.62736240000015</v>
      </c>
      <c r="S47" s="64">
        <f>MIN(O47*Assumptions!$C$48,R47)</f>
        <v>434.45160000000004</v>
      </c>
      <c r="T47" s="64">
        <f t="shared" si="20"/>
        <v>364.17576240000011</v>
      </c>
      <c r="U47" s="68">
        <f>T47*Assumptions!$C$26</f>
        <v>4370.1091488000011</v>
      </c>
      <c r="V47" s="68">
        <f>Q47*Assumptions!$C$29</f>
        <v>2395.8820872000006</v>
      </c>
      <c r="W47" s="68">
        <f t="shared" si="21"/>
        <v>7628.4961488000008</v>
      </c>
      <c r="X47" s="69">
        <f t="shared" si="22"/>
        <v>26600.920723800002</v>
      </c>
      <c r="Y47" s="68">
        <f t="shared" si="23"/>
        <v>8087.609459700001</v>
      </c>
      <c r="Z47" s="69">
        <f t="shared" si="24"/>
        <v>18513.311264100001</v>
      </c>
      <c r="AA47" s="67">
        <f>Assumptions!$C$10*Assumptions!$C$9/12</f>
        <v>2000</v>
      </c>
      <c r="AB47" s="67">
        <f>Assumptions!$C$12/12</f>
        <v>125</v>
      </c>
      <c r="AC47" s="67">
        <f>Assumptions!$C$14/12</f>
        <v>150</v>
      </c>
      <c r="AD47" s="68">
        <f>(Assumptions!$C$32*4.333*Assumptions!$C$33+Assumptions!$C$34/12)*(1+(Assumptions!$C$35))</f>
        <v>6783.2323541666665</v>
      </c>
      <c r="AE47" s="67">
        <f>INDEX('Seasonality Data Break down'!$F$7:$F$18,C47)*G47</f>
        <v>197.47800000000001</v>
      </c>
      <c r="AF47" s="67">
        <f>INDEX('Seasonality Data Break down'!$G$7:$G$18,C47)*G47</f>
        <v>197.47800000000001</v>
      </c>
      <c r="AG47" s="67">
        <f>INDEX('Seasonality Data Break down'!$H$7:$H$18,C47)*G47</f>
        <v>98.739000000000004</v>
      </c>
      <c r="AH47" s="69">
        <f t="shared" si="25"/>
        <v>493.69500000000005</v>
      </c>
      <c r="AI47" s="67">
        <f>Assumptions!$C$39</f>
        <v>150</v>
      </c>
      <c r="AJ47" s="67">
        <f>Assumptions!$C$40</f>
        <v>500</v>
      </c>
      <c r="AK47" s="69">
        <f t="shared" si="26"/>
        <v>10201.927354166666</v>
      </c>
      <c r="AL47" s="68">
        <f>X47*Assumptions!$C$13</f>
        <v>798.02762171400002</v>
      </c>
      <c r="AM47" s="68">
        <f>X47*Assumptions!$C$15</f>
        <v>465.51611266650008</v>
      </c>
      <c r="AN47" s="69">
        <f t="shared" si="27"/>
        <v>1263.5437343805002</v>
      </c>
      <c r="AO47" s="69">
        <f t="shared" si="28"/>
        <v>11465.471088547167</v>
      </c>
      <c r="AP47" s="69">
        <f t="shared" si="29"/>
        <v>7047.8401755528339</v>
      </c>
      <c r="AQ47" s="67">
        <f>'Startup Costs'!$D$24/(Assumptions!$C$54*12)</f>
        <v>916.66666666666663</v>
      </c>
      <c r="AR47" s="67">
        <f>-'Loan schedule'!$D$51</f>
        <v>-171.65691818795838</v>
      </c>
      <c r="AS47" s="68">
        <f t="shared" si="30"/>
        <v>5959.5165906982083</v>
      </c>
      <c r="AT47" s="68">
        <f>-MAX(AS47,0)*Assumptions!$C$41</f>
        <v>-1489.8791476745521</v>
      </c>
      <c r="AU47" s="69">
        <f t="shared" si="31"/>
        <v>4469.6374430236565</v>
      </c>
      <c r="AV47" s="67">
        <f>-'Loan schedule'!$E$51</f>
        <v>-1227.9877209703088</v>
      </c>
      <c r="AW47" s="69">
        <f t="shared" si="32"/>
        <v>4158.3163887200144</v>
      </c>
      <c r="AX47" s="68">
        <f t="shared" si="37"/>
        <v>106617.23464662487</v>
      </c>
      <c r="AY47" s="69">
        <f t="shared" si="33"/>
        <v>110775.55103534489</v>
      </c>
      <c r="AZ47" s="63">
        <f t="shared" si="34"/>
        <v>0.69596505535750242</v>
      </c>
      <c r="BA47" s="63">
        <f t="shared" si="35"/>
        <v>0.26494722677952609</v>
      </c>
      <c r="BB47" s="102">
        <f t="shared" si="36"/>
        <v>0.16802566683433048</v>
      </c>
    </row>
    <row r="48" spans="1:57" ht="15" customHeight="1" x14ac:dyDescent="0.25">
      <c r="A48" s="101">
        <v>41</v>
      </c>
      <c r="B48" s="19">
        <v>4</v>
      </c>
      <c r="C48" s="19">
        <v>5</v>
      </c>
      <c r="D48" s="62" t="str">
        <f>'Seasonality Data Break down'!$B$11&amp;" Y"&amp;B48</f>
        <v>May Y4</v>
      </c>
      <c r="E48" s="63">
        <f>IF(B48=1,INDEX(Workings!$B$27:$B$38,C48),1)</f>
        <v>1</v>
      </c>
      <c r="F48" s="63">
        <f>IF(B48=1,INDEX(Workings!$C$27:$C$38,C48),1)</f>
        <v>1</v>
      </c>
      <c r="G48" s="64">
        <f>INDEX(Workings!$C$19:$C$23,B48)</f>
        <v>1.3165200000000001</v>
      </c>
      <c r="H48" s="65">
        <f>INDEX('Seasonality Data Break down'!$C$7:$C$18,C48)</f>
        <v>1.05</v>
      </c>
      <c r="I48" s="65">
        <f>INDEX('Seasonality Data Break down'!$D$7:$D$18,C48)</f>
        <v>0.95</v>
      </c>
      <c r="J48" s="66">
        <f>Assumptions!$C$18/12</f>
        <v>26.083333333333332</v>
      </c>
      <c r="K48" s="64">
        <f>Assumptions!$C$19*E48*H48*G48</f>
        <v>89.852490000000003</v>
      </c>
      <c r="L48" s="67">
        <f>Assumptions!$C$20+INDEX('Seasonality Data Break down'!$E$7:$E$18,C48)</f>
        <v>8.5</v>
      </c>
      <c r="M48" s="68">
        <f t="shared" si="19"/>
        <v>19921.045803749999</v>
      </c>
      <c r="N48" s="68">
        <f>M48*Assumptions!$C$21</f>
        <v>5976.313741125</v>
      </c>
      <c r="O48" s="64">
        <f>Assumptions!$C$27*F48*I48*G48</f>
        <v>68.788170000000008</v>
      </c>
      <c r="P48" s="68">
        <f>O48*Assumptions!$C$28</f>
        <v>3095.4676500000005</v>
      </c>
      <c r="Q48" s="64">
        <f>Assumptions!$C$24*4.333*F48*I48*G48</f>
        <v>75.869599428000015</v>
      </c>
      <c r="R48" s="64">
        <f>Q48*Assumptions!$C$25</f>
        <v>758.69599428000015</v>
      </c>
      <c r="S48" s="64">
        <f>MIN(O48*Assumptions!$C$48,R48)</f>
        <v>412.72902000000005</v>
      </c>
      <c r="T48" s="64">
        <f t="shared" si="20"/>
        <v>345.9669742800001</v>
      </c>
      <c r="U48" s="68">
        <f>T48*Assumptions!$C$26</f>
        <v>4151.603691360001</v>
      </c>
      <c r="V48" s="68">
        <f>Q48*Assumptions!$C$29</f>
        <v>2276.0879828400002</v>
      </c>
      <c r="W48" s="68">
        <f t="shared" si="21"/>
        <v>7247.0713413600015</v>
      </c>
      <c r="X48" s="69">
        <f t="shared" si="22"/>
        <v>27168.117145110002</v>
      </c>
      <c r="Y48" s="68">
        <f t="shared" si="23"/>
        <v>8252.4017239650002</v>
      </c>
      <c r="Z48" s="69">
        <f t="shared" si="24"/>
        <v>18915.715421145003</v>
      </c>
      <c r="AA48" s="67">
        <f>Assumptions!$C$10*Assumptions!$C$9/12</f>
        <v>2000</v>
      </c>
      <c r="AB48" s="67">
        <f>Assumptions!$C$12/12</f>
        <v>125</v>
      </c>
      <c r="AC48" s="67">
        <f>Assumptions!$C$14/12</f>
        <v>150</v>
      </c>
      <c r="AD48" s="68">
        <f>(Assumptions!$C$32*4.333*Assumptions!$C$33+Assumptions!$C$34/12)*(1+(Assumptions!$C$35))</f>
        <v>6783.2323541666665</v>
      </c>
      <c r="AE48" s="67">
        <f>INDEX('Seasonality Data Break down'!$F$7:$F$18,C48)*G48</f>
        <v>197.47800000000001</v>
      </c>
      <c r="AF48" s="67">
        <f>INDEX('Seasonality Data Break down'!$G$7:$G$18,C48)*G48</f>
        <v>263.30400000000003</v>
      </c>
      <c r="AG48" s="67">
        <f>INDEX('Seasonality Data Break down'!$H$7:$H$18,C48)*G48</f>
        <v>98.739000000000004</v>
      </c>
      <c r="AH48" s="69">
        <f t="shared" si="25"/>
        <v>559.52100000000007</v>
      </c>
      <c r="AI48" s="67">
        <f>Assumptions!$C$39</f>
        <v>150</v>
      </c>
      <c r="AJ48" s="67">
        <f>Assumptions!$C$40</f>
        <v>500</v>
      </c>
      <c r="AK48" s="69">
        <f t="shared" si="26"/>
        <v>10267.753354166667</v>
      </c>
      <c r="AL48" s="68">
        <f>X48*Assumptions!$C$13</f>
        <v>815.0435143533</v>
      </c>
      <c r="AM48" s="68">
        <f>X48*Assumptions!$C$15</f>
        <v>475.44205003942506</v>
      </c>
      <c r="AN48" s="69">
        <f t="shared" si="27"/>
        <v>1290.4855643927251</v>
      </c>
      <c r="AO48" s="69">
        <f t="shared" si="28"/>
        <v>11558.238918559393</v>
      </c>
      <c r="AP48" s="69">
        <f t="shared" si="29"/>
        <v>7357.4765025856104</v>
      </c>
      <c r="AQ48" s="67">
        <f>'Startup Costs'!$D$24/(Assumptions!$C$54*12)</f>
        <v>916.66666666666663</v>
      </c>
      <c r="AR48" s="67">
        <f>-'Loan schedule'!$D$52</f>
        <v>-163.98199493189398</v>
      </c>
      <c r="AS48" s="68">
        <f t="shared" si="30"/>
        <v>6276.8278409870491</v>
      </c>
      <c r="AT48" s="68">
        <f>-MAX(AS48,0)*Assumptions!$C$41</f>
        <v>-1569.2069602467623</v>
      </c>
      <c r="AU48" s="69">
        <f t="shared" si="31"/>
        <v>4707.6208807402872</v>
      </c>
      <c r="AV48" s="67">
        <f>-'Loan schedule'!$E$52</f>
        <v>-1235.6626442263732</v>
      </c>
      <c r="AW48" s="69">
        <f t="shared" si="32"/>
        <v>4388.624903180581</v>
      </c>
      <c r="AX48" s="68">
        <f t="shared" si="37"/>
        <v>110775.55103534489</v>
      </c>
      <c r="AY48" s="69">
        <f t="shared" si="33"/>
        <v>115164.17593852547</v>
      </c>
      <c r="AZ48" s="63">
        <f t="shared" si="34"/>
        <v>0.69624682932985837</v>
      </c>
      <c r="BA48" s="63">
        <f t="shared" si="35"/>
        <v>0.27081289672331543</v>
      </c>
      <c r="BB48" s="102">
        <f t="shared" si="36"/>
        <v>0.17327740658640428</v>
      </c>
    </row>
    <row r="49" spans="1:54" ht="15" customHeight="1" x14ac:dyDescent="0.25">
      <c r="A49" s="101">
        <v>42</v>
      </c>
      <c r="B49" s="19">
        <v>4</v>
      </c>
      <c r="C49" s="19">
        <v>6</v>
      </c>
      <c r="D49" s="62" t="str">
        <f>'Seasonality Data Break down'!$B$12&amp;" Y"&amp;B49</f>
        <v>June Y4</v>
      </c>
      <c r="E49" s="63">
        <f>IF(B49=1,INDEX(Workings!$B$27:$B$38,C49),1)</f>
        <v>1</v>
      </c>
      <c r="F49" s="63">
        <f>IF(B49=1,INDEX(Workings!$C$27:$C$38,C49),1)</f>
        <v>1</v>
      </c>
      <c r="G49" s="64">
        <f>INDEX(Workings!$C$19:$C$23,B49)</f>
        <v>1.3165200000000001</v>
      </c>
      <c r="H49" s="65">
        <f>INDEX('Seasonality Data Break down'!$C$7:$C$18,C49)</f>
        <v>1.1000000000000001</v>
      </c>
      <c r="I49" s="65">
        <f>INDEX('Seasonality Data Break down'!$D$7:$D$18,C49)</f>
        <v>0.85</v>
      </c>
      <c r="J49" s="66">
        <f>Assumptions!$C$18/12</f>
        <v>26.083333333333332</v>
      </c>
      <c r="K49" s="64">
        <f>Assumptions!$C$19*E49*H49*G49</f>
        <v>94.131180000000015</v>
      </c>
      <c r="L49" s="67">
        <f>Assumptions!$C$20+INDEX('Seasonality Data Break down'!$E$7:$E$18,C49)</f>
        <v>9.25</v>
      </c>
      <c r="M49" s="68">
        <f t="shared" si="19"/>
        <v>22711.10824125</v>
      </c>
      <c r="N49" s="68">
        <f>M49*Assumptions!$C$21</f>
        <v>6813.3324723750002</v>
      </c>
      <c r="O49" s="64">
        <f>Assumptions!$C$27*F49*I49*G49</f>
        <v>61.547310000000003</v>
      </c>
      <c r="P49" s="68">
        <f>O49*Assumptions!$C$28</f>
        <v>2769.6289500000003</v>
      </c>
      <c r="Q49" s="64">
        <f>Assumptions!$C$24*4.333*F49*I49*G49</f>
        <v>67.883325804000009</v>
      </c>
      <c r="R49" s="64">
        <f>Q49*Assumptions!$C$25</f>
        <v>678.83325804000015</v>
      </c>
      <c r="S49" s="64">
        <f>MIN(O49*Assumptions!$C$48,R49)</f>
        <v>369.28386</v>
      </c>
      <c r="T49" s="64">
        <f t="shared" si="20"/>
        <v>309.54939804000014</v>
      </c>
      <c r="U49" s="68">
        <f>T49*Assumptions!$C$26</f>
        <v>3714.5927764800017</v>
      </c>
      <c r="V49" s="68">
        <f>Q49*Assumptions!$C$29</f>
        <v>2036.4997741200002</v>
      </c>
      <c r="W49" s="68">
        <f t="shared" si="21"/>
        <v>6484.221726480002</v>
      </c>
      <c r="X49" s="69">
        <f t="shared" si="22"/>
        <v>29195.329967730002</v>
      </c>
      <c r="Y49" s="68">
        <f t="shared" si="23"/>
        <v>8849.8322464949997</v>
      </c>
      <c r="Z49" s="69">
        <f t="shared" si="24"/>
        <v>20345.497721235002</v>
      </c>
      <c r="AA49" s="67">
        <f>Assumptions!$C$10*Assumptions!$C$9/12</f>
        <v>2000</v>
      </c>
      <c r="AB49" s="67">
        <f>Assumptions!$C$12/12</f>
        <v>125</v>
      </c>
      <c r="AC49" s="67">
        <f>Assumptions!$C$14/12</f>
        <v>150</v>
      </c>
      <c r="AD49" s="68">
        <f>(Assumptions!$C$32*4.333*Assumptions!$C$33+Assumptions!$C$34/12)*(1+(Assumptions!$C$35))</f>
        <v>6783.2323541666665</v>
      </c>
      <c r="AE49" s="67">
        <f>INDEX('Seasonality Data Break down'!$F$7:$F$18,C49)*G49</f>
        <v>329.13000000000005</v>
      </c>
      <c r="AF49" s="67">
        <f>INDEX('Seasonality Data Break down'!$G$7:$G$18,C49)*G49</f>
        <v>197.47800000000001</v>
      </c>
      <c r="AG49" s="67">
        <f>INDEX('Seasonality Data Break down'!$H$7:$H$18,C49)*G49</f>
        <v>98.739000000000004</v>
      </c>
      <c r="AH49" s="69">
        <f t="shared" si="25"/>
        <v>625.34700000000009</v>
      </c>
      <c r="AI49" s="67">
        <f>Assumptions!$C$39</f>
        <v>150</v>
      </c>
      <c r="AJ49" s="67">
        <f>Assumptions!$C$40</f>
        <v>500</v>
      </c>
      <c r="AK49" s="69">
        <f t="shared" si="26"/>
        <v>10333.579354166666</v>
      </c>
      <c r="AL49" s="68">
        <f>X49*Assumptions!$C$13</f>
        <v>875.8598990319</v>
      </c>
      <c r="AM49" s="68">
        <f>X49*Assumptions!$C$15</f>
        <v>510.91827443527507</v>
      </c>
      <c r="AN49" s="69">
        <f t="shared" si="27"/>
        <v>1386.7781734671751</v>
      </c>
      <c r="AO49" s="69">
        <f t="shared" si="28"/>
        <v>11720.357527633842</v>
      </c>
      <c r="AP49" s="69">
        <f t="shared" si="29"/>
        <v>8625.1401936011607</v>
      </c>
      <c r="AQ49" s="67">
        <f>'Startup Costs'!$D$24/(Assumptions!$C$54*12)</f>
        <v>916.66666666666663</v>
      </c>
      <c r="AR49" s="67">
        <f>-'Loan schedule'!$D$53</f>
        <v>-156.25910340547912</v>
      </c>
      <c r="AS49" s="68">
        <f t="shared" si="30"/>
        <v>7552.2144235290143</v>
      </c>
      <c r="AT49" s="68">
        <f>-MAX(AS49,0)*Assumptions!$C$41</f>
        <v>-1888.0536058822536</v>
      </c>
      <c r="AU49" s="69">
        <f t="shared" si="31"/>
        <v>5664.1608176467607</v>
      </c>
      <c r="AV49" s="67">
        <f>-'Loan schedule'!$E$53</f>
        <v>-1243.385535752788</v>
      </c>
      <c r="AW49" s="69">
        <f t="shared" si="32"/>
        <v>5337.4419485606395</v>
      </c>
      <c r="AX49" s="68">
        <f t="shared" si="37"/>
        <v>115164.17593852547</v>
      </c>
      <c r="AY49" s="69">
        <f t="shared" si="33"/>
        <v>120501.6178870861</v>
      </c>
      <c r="AZ49" s="63">
        <f t="shared" si="34"/>
        <v>0.69687507364099532</v>
      </c>
      <c r="BA49" s="63">
        <f t="shared" si="35"/>
        <v>0.295428762173082</v>
      </c>
      <c r="BB49" s="102">
        <f t="shared" si="36"/>
        <v>0.19400913858166477</v>
      </c>
    </row>
    <row r="50" spans="1:54" ht="15" customHeight="1" x14ac:dyDescent="0.25">
      <c r="A50" s="101">
        <v>43</v>
      </c>
      <c r="B50" s="19">
        <v>4</v>
      </c>
      <c r="C50" s="19">
        <v>7</v>
      </c>
      <c r="D50" s="62" t="str">
        <f>'Seasonality Data Break down'!$B$13&amp;" Y"&amp;B50</f>
        <v>July Y4</v>
      </c>
      <c r="E50" s="63">
        <f>IF(B50=1,INDEX(Workings!$B$27:$B$38,C50),1)</f>
        <v>1</v>
      </c>
      <c r="F50" s="63">
        <f>IF(B50=1,INDEX(Workings!$C$27:$C$38,C50),1)</f>
        <v>1</v>
      </c>
      <c r="G50" s="64">
        <f>INDEX(Workings!$C$19:$C$23,B50)</f>
        <v>1.3165200000000001</v>
      </c>
      <c r="H50" s="65">
        <f>INDEX('Seasonality Data Break down'!$C$7:$C$18,C50)</f>
        <v>1.1499999999999999</v>
      </c>
      <c r="I50" s="65">
        <f>INDEX('Seasonality Data Break down'!$D$7:$D$18,C50)</f>
        <v>0.8</v>
      </c>
      <c r="J50" s="66">
        <f>Assumptions!$C$18/12</f>
        <v>26.083333333333332</v>
      </c>
      <c r="K50" s="64">
        <f>Assumptions!$C$19*E50*H50*G50</f>
        <v>98.409870000000012</v>
      </c>
      <c r="L50" s="67">
        <f>Assumptions!$C$20+INDEX('Seasonality Data Break down'!$E$7:$E$18,C50)</f>
        <v>9.25</v>
      </c>
      <c r="M50" s="68">
        <f t="shared" si="19"/>
        <v>23743.431343125001</v>
      </c>
      <c r="N50" s="68">
        <f>M50*Assumptions!$C$21</f>
        <v>7123.0294029375</v>
      </c>
      <c r="O50" s="64">
        <f>Assumptions!$C$27*F50*I50*G50</f>
        <v>57.926880000000004</v>
      </c>
      <c r="P50" s="68">
        <f>O50*Assumptions!$C$28</f>
        <v>2606.7096000000001</v>
      </c>
      <c r="Q50" s="64">
        <f>Assumptions!$C$24*4.333*F50*I50*G50</f>
        <v>63.89018899200002</v>
      </c>
      <c r="R50" s="64">
        <f>Q50*Assumptions!$C$25</f>
        <v>638.90188992000026</v>
      </c>
      <c r="S50" s="64">
        <f>MIN(O50*Assumptions!$C$48,R50)</f>
        <v>347.56128000000001</v>
      </c>
      <c r="T50" s="64">
        <f t="shared" si="20"/>
        <v>291.34060992000025</v>
      </c>
      <c r="U50" s="68">
        <f>T50*Assumptions!$C$26</f>
        <v>3496.087319040003</v>
      </c>
      <c r="V50" s="68">
        <f>Q50*Assumptions!$C$29</f>
        <v>1916.7056697600005</v>
      </c>
      <c r="W50" s="68">
        <f t="shared" si="21"/>
        <v>6102.7969190400036</v>
      </c>
      <c r="X50" s="69">
        <f t="shared" si="22"/>
        <v>29846.228262165005</v>
      </c>
      <c r="Y50" s="68">
        <f t="shared" si="23"/>
        <v>9039.7350726975001</v>
      </c>
      <c r="Z50" s="69">
        <f t="shared" si="24"/>
        <v>20806.493189467503</v>
      </c>
      <c r="AA50" s="67">
        <f>Assumptions!$C$10*Assumptions!$C$9/12</f>
        <v>2000</v>
      </c>
      <c r="AB50" s="67">
        <f>Assumptions!$C$12/12</f>
        <v>125</v>
      </c>
      <c r="AC50" s="67">
        <f>Assumptions!$C$14/12</f>
        <v>150</v>
      </c>
      <c r="AD50" s="68">
        <f>(Assumptions!$C$32*4.333*Assumptions!$C$33+Assumptions!$C$34/12)*(1+(Assumptions!$C$35))</f>
        <v>6783.2323541666665</v>
      </c>
      <c r="AE50" s="67">
        <f>INDEX('Seasonality Data Break down'!$F$7:$F$18,C50)*G50</f>
        <v>329.13000000000005</v>
      </c>
      <c r="AF50" s="67">
        <f>INDEX('Seasonality Data Break down'!$G$7:$G$18,C50)*G50</f>
        <v>197.47800000000001</v>
      </c>
      <c r="AG50" s="67">
        <f>INDEX('Seasonality Data Break down'!$H$7:$H$18,C50)*G50</f>
        <v>98.739000000000004</v>
      </c>
      <c r="AH50" s="69">
        <f t="shared" si="25"/>
        <v>625.34700000000009</v>
      </c>
      <c r="AI50" s="67">
        <f>Assumptions!$C$39</f>
        <v>150</v>
      </c>
      <c r="AJ50" s="67">
        <f>Assumptions!$C$40</f>
        <v>500</v>
      </c>
      <c r="AK50" s="69">
        <f t="shared" si="26"/>
        <v>10333.579354166666</v>
      </c>
      <c r="AL50" s="68">
        <f>X50*Assumptions!$C$13</f>
        <v>895.38684786495014</v>
      </c>
      <c r="AM50" s="68">
        <f>X50*Assumptions!$C$15</f>
        <v>522.30899458788758</v>
      </c>
      <c r="AN50" s="69">
        <f t="shared" si="27"/>
        <v>1417.6958424528377</v>
      </c>
      <c r="AO50" s="69">
        <f t="shared" si="28"/>
        <v>11751.275196619505</v>
      </c>
      <c r="AP50" s="69">
        <f t="shared" si="29"/>
        <v>9055.2179928479982</v>
      </c>
      <c r="AQ50" s="67">
        <f>'Startup Costs'!$D$24/(Assumptions!$C$54*12)</f>
        <v>916.66666666666663</v>
      </c>
      <c r="AR50" s="67">
        <f>-'Loan schedule'!$D$54</f>
        <v>-148.48794380702421</v>
      </c>
      <c r="AS50" s="68">
        <f t="shared" si="30"/>
        <v>7990.0633823743074</v>
      </c>
      <c r="AT50" s="68">
        <f>-MAX(AS50,0)*Assumptions!$C$41</f>
        <v>-1997.5158455935768</v>
      </c>
      <c r="AU50" s="69">
        <f t="shared" si="31"/>
        <v>5992.5475367807303</v>
      </c>
      <c r="AV50" s="67">
        <f>-'Loan schedule'!$E$54</f>
        <v>-1251.1566953512429</v>
      </c>
      <c r="AW50" s="69">
        <f t="shared" si="32"/>
        <v>5658.0575080961544</v>
      </c>
      <c r="AX50" s="68">
        <f t="shared" si="37"/>
        <v>120501.6178870861</v>
      </c>
      <c r="AY50" s="69">
        <f t="shared" si="33"/>
        <v>126159.67539518226</v>
      </c>
      <c r="AZ50" s="63">
        <f t="shared" si="34"/>
        <v>0.69712303366128003</v>
      </c>
      <c r="BA50" s="63">
        <f t="shared" si="35"/>
        <v>0.30339572267920278</v>
      </c>
      <c r="BB50" s="102">
        <f t="shared" si="36"/>
        <v>0.20078073129184193</v>
      </c>
    </row>
    <row r="51" spans="1:54" ht="15" customHeight="1" x14ac:dyDescent="0.25">
      <c r="A51" s="101">
        <v>44</v>
      </c>
      <c r="B51" s="19">
        <v>4</v>
      </c>
      <c r="C51" s="19">
        <v>8</v>
      </c>
      <c r="D51" s="62" t="str">
        <f>'Seasonality Data Break down'!$B$14&amp;" Y"&amp;B51</f>
        <v>August Y4</v>
      </c>
      <c r="E51" s="63">
        <f>IF(B51=1,INDEX(Workings!$B$27:$B$38,C51),1)</f>
        <v>1</v>
      </c>
      <c r="F51" s="63">
        <f>IF(B51=1,INDEX(Workings!$C$27:$C$38,C51),1)</f>
        <v>1</v>
      </c>
      <c r="G51" s="64">
        <f>INDEX(Workings!$C$19:$C$23,B51)</f>
        <v>1.3165200000000001</v>
      </c>
      <c r="H51" s="65">
        <f>INDEX('Seasonality Data Break down'!$C$7:$C$18,C51)</f>
        <v>1</v>
      </c>
      <c r="I51" s="65">
        <f>INDEX('Seasonality Data Break down'!$D$7:$D$18,C51)</f>
        <v>0.85</v>
      </c>
      <c r="J51" s="66">
        <f>Assumptions!$C$18/12</f>
        <v>26.083333333333332</v>
      </c>
      <c r="K51" s="64">
        <f>Assumptions!$C$19*E51*H51*G51</f>
        <v>85.573800000000006</v>
      </c>
      <c r="L51" s="67">
        <f>Assumptions!$C$20+INDEX('Seasonality Data Break down'!$E$7:$E$18,C51)</f>
        <v>9.25</v>
      </c>
      <c r="M51" s="68">
        <f t="shared" si="19"/>
        <v>20646.462037500001</v>
      </c>
      <c r="N51" s="68">
        <f>M51*Assumptions!$C$21</f>
        <v>6193.9386112500006</v>
      </c>
      <c r="O51" s="64">
        <f>Assumptions!$C$27*F51*I51*G51</f>
        <v>61.547310000000003</v>
      </c>
      <c r="P51" s="68">
        <f>O51*Assumptions!$C$28</f>
        <v>2769.6289500000003</v>
      </c>
      <c r="Q51" s="64">
        <f>Assumptions!$C$24*4.333*F51*I51*G51</f>
        <v>67.883325804000009</v>
      </c>
      <c r="R51" s="64">
        <f>Q51*Assumptions!$C$25</f>
        <v>678.83325804000015</v>
      </c>
      <c r="S51" s="64">
        <f>MIN(O51*Assumptions!$C$48,R51)</f>
        <v>369.28386</v>
      </c>
      <c r="T51" s="64">
        <f t="shared" si="20"/>
        <v>309.54939804000014</v>
      </c>
      <c r="U51" s="68">
        <f>T51*Assumptions!$C$26</f>
        <v>3714.5927764800017</v>
      </c>
      <c r="V51" s="68">
        <f>Q51*Assumptions!$C$29</f>
        <v>2036.4997741200002</v>
      </c>
      <c r="W51" s="68">
        <f t="shared" si="21"/>
        <v>6484.221726480002</v>
      </c>
      <c r="X51" s="69">
        <f t="shared" si="22"/>
        <v>27130.683763980003</v>
      </c>
      <c r="Y51" s="68">
        <f t="shared" si="23"/>
        <v>8230.4383853700001</v>
      </c>
      <c r="Z51" s="69">
        <f t="shared" si="24"/>
        <v>18900.245378610001</v>
      </c>
      <c r="AA51" s="67">
        <f>Assumptions!$C$10*Assumptions!$C$9/12</f>
        <v>2000</v>
      </c>
      <c r="AB51" s="67">
        <f>Assumptions!$C$12/12</f>
        <v>125</v>
      </c>
      <c r="AC51" s="67">
        <f>Assumptions!$C$14/12</f>
        <v>150</v>
      </c>
      <c r="AD51" s="68">
        <f>(Assumptions!$C$32*4.333*Assumptions!$C$33+Assumptions!$C$34/12)*(1+(Assumptions!$C$35))</f>
        <v>6783.2323541666665</v>
      </c>
      <c r="AE51" s="67">
        <f>INDEX('Seasonality Data Break down'!$F$7:$F$18,C51)*G51</f>
        <v>197.47800000000001</v>
      </c>
      <c r="AF51" s="67">
        <f>INDEX('Seasonality Data Break down'!$G$7:$G$18,C51)*G51</f>
        <v>197.47800000000001</v>
      </c>
      <c r="AG51" s="67">
        <f>INDEX('Seasonality Data Break down'!$H$7:$H$18,C51)*G51</f>
        <v>98.739000000000004</v>
      </c>
      <c r="AH51" s="69">
        <f t="shared" si="25"/>
        <v>493.69500000000005</v>
      </c>
      <c r="AI51" s="67">
        <f>Assumptions!$C$39</f>
        <v>150</v>
      </c>
      <c r="AJ51" s="67">
        <f>Assumptions!$C$40</f>
        <v>500</v>
      </c>
      <c r="AK51" s="69">
        <f t="shared" si="26"/>
        <v>10201.927354166666</v>
      </c>
      <c r="AL51" s="68">
        <f>X51*Assumptions!$C$13</f>
        <v>813.92051291940004</v>
      </c>
      <c r="AM51" s="68">
        <f>X51*Assumptions!$C$15</f>
        <v>474.78696586965009</v>
      </c>
      <c r="AN51" s="69">
        <f t="shared" si="27"/>
        <v>1288.7074787890501</v>
      </c>
      <c r="AO51" s="69">
        <f t="shared" si="28"/>
        <v>11490.634832955717</v>
      </c>
      <c r="AP51" s="69">
        <f t="shared" si="29"/>
        <v>7409.6105456542846</v>
      </c>
      <c r="AQ51" s="67">
        <f>'Startup Costs'!$D$24/(Assumptions!$C$54*12)</f>
        <v>916.66666666666663</v>
      </c>
      <c r="AR51" s="67">
        <f>-'Loan schedule'!$D$55</f>
        <v>-140.66821446107897</v>
      </c>
      <c r="AS51" s="68">
        <f t="shared" si="30"/>
        <v>6352.275664526539</v>
      </c>
      <c r="AT51" s="68">
        <f>-MAX(AS51,0)*Assumptions!$C$41</f>
        <v>-1588.0689161316348</v>
      </c>
      <c r="AU51" s="69">
        <f t="shared" si="31"/>
        <v>4764.206748394904</v>
      </c>
      <c r="AV51" s="67">
        <f>-'Loan schedule'!$E$55</f>
        <v>-1258.9764246971881</v>
      </c>
      <c r="AW51" s="69">
        <f t="shared" si="32"/>
        <v>4421.8969903643829</v>
      </c>
      <c r="AX51" s="68">
        <f t="shared" si="37"/>
        <v>126159.67539518226</v>
      </c>
      <c r="AY51" s="69">
        <f t="shared" si="33"/>
        <v>130581.57238554665</v>
      </c>
      <c r="AZ51" s="63">
        <f t="shared" si="34"/>
        <v>0.69663726661039316</v>
      </c>
      <c r="BA51" s="63">
        <f t="shared" si="35"/>
        <v>0.27310813874479783</v>
      </c>
      <c r="BB51" s="102">
        <f t="shared" si="36"/>
        <v>0.17560216284412608</v>
      </c>
    </row>
    <row r="52" spans="1:54" ht="15" customHeight="1" x14ac:dyDescent="0.25">
      <c r="A52" s="101">
        <v>45</v>
      </c>
      <c r="B52" s="19">
        <v>4</v>
      </c>
      <c r="C52" s="19">
        <v>9</v>
      </c>
      <c r="D52" s="62" t="str">
        <f>'Seasonality Data Break down'!$B$15&amp;" Y"&amp;B52</f>
        <v>September Y4</v>
      </c>
      <c r="E52" s="63">
        <f>IF(B52=1,INDEX(Workings!$B$27:$B$38,C52),1)</f>
        <v>1</v>
      </c>
      <c r="F52" s="63">
        <f>IF(B52=1,INDEX(Workings!$C$27:$C$38,C52),1)</f>
        <v>1</v>
      </c>
      <c r="G52" s="64">
        <f>INDEX(Workings!$C$19:$C$23,B52)</f>
        <v>1.3165200000000001</v>
      </c>
      <c r="H52" s="65">
        <f>INDEX('Seasonality Data Break down'!$C$7:$C$18,C52)</f>
        <v>0.95</v>
      </c>
      <c r="I52" s="65">
        <f>INDEX('Seasonality Data Break down'!$D$7:$D$18,C52)</f>
        <v>1.05</v>
      </c>
      <c r="J52" s="66">
        <f>Assumptions!$C$18/12</f>
        <v>26.083333333333332</v>
      </c>
      <c r="K52" s="64">
        <f>Assumptions!$C$19*E52*H52*G52</f>
        <v>81.295110000000008</v>
      </c>
      <c r="L52" s="67">
        <f>Assumptions!$C$20+INDEX('Seasonality Data Break down'!$E$7:$E$18,C52)</f>
        <v>8.5</v>
      </c>
      <c r="M52" s="68">
        <f t="shared" si="19"/>
        <v>18023.803346249999</v>
      </c>
      <c r="N52" s="68">
        <f>M52*Assumptions!$C$21</f>
        <v>5407.1410038749991</v>
      </c>
      <c r="O52" s="64">
        <f>Assumptions!$C$27*F52*I52*G52</f>
        <v>76.029030000000006</v>
      </c>
      <c r="P52" s="68">
        <f>O52*Assumptions!$C$28</f>
        <v>3421.3063500000003</v>
      </c>
      <c r="Q52" s="64">
        <f>Assumptions!$C$24*4.333*F52*I52*G52</f>
        <v>83.855873052000021</v>
      </c>
      <c r="R52" s="64">
        <f>Q52*Assumptions!$C$25</f>
        <v>838.55873052000015</v>
      </c>
      <c r="S52" s="64">
        <f>MIN(O52*Assumptions!$C$48,R52)</f>
        <v>456.17418000000004</v>
      </c>
      <c r="T52" s="64">
        <f t="shared" si="20"/>
        <v>382.38455052000012</v>
      </c>
      <c r="U52" s="68">
        <f>T52*Assumptions!$C$26</f>
        <v>4588.6146062400012</v>
      </c>
      <c r="V52" s="68">
        <f>Q52*Assumptions!$C$29</f>
        <v>2515.6761915600005</v>
      </c>
      <c r="W52" s="68">
        <f t="shared" si="21"/>
        <v>8009.920956240001</v>
      </c>
      <c r="X52" s="69">
        <f t="shared" si="22"/>
        <v>26033.724302490002</v>
      </c>
      <c r="Y52" s="68">
        <f t="shared" si="23"/>
        <v>7922.817195435</v>
      </c>
      <c r="Z52" s="69">
        <f t="shared" si="24"/>
        <v>18110.907107055002</v>
      </c>
      <c r="AA52" s="67">
        <f>Assumptions!$C$10*Assumptions!$C$9/12</f>
        <v>2000</v>
      </c>
      <c r="AB52" s="67">
        <f>Assumptions!$C$12/12</f>
        <v>125</v>
      </c>
      <c r="AC52" s="67">
        <f>Assumptions!$C$14/12</f>
        <v>150</v>
      </c>
      <c r="AD52" s="68">
        <f>(Assumptions!$C$32*4.333*Assumptions!$C$33+Assumptions!$C$34/12)*(1+(Assumptions!$C$35))</f>
        <v>6783.2323541666665</v>
      </c>
      <c r="AE52" s="67">
        <f>INDEX('Seasonality Data Break down'!$F$7:$F$18,C52)*G52</f>
        <v>263.30400000000003</v>
      </c>
      <c r="AF52" s="67">
        <f>INDEX('Seasonality Data Break down'!$G$7:$G$18,C52)*G52</f>
        <v>263.30400000000003</v>
      </c>
      <c r="AG52" s="67">
        <f>INDEX('Seasonality Data Break down'!$H$7:$H$18,C52)*G52</f>
        <v>98.739000000000004</v>
      </c>
      <c r="AH52" s="69">
        <f t="shared" si="25"/>
        <v>625.34700000000009</v>
      </c>
      <c r="AI52" s="67">
        <f>Assumptions!$C$39</f>
        <v>150</v>
      </c>
      <c r="AJ52" s="67">
        <f>Assumptions!$C$40</f>
        <v>500</v>
      </c>
      <c r="AK52" s="69">
        <f t="shared" si="26"/>
        <v>10333.579354166666</v>
      </c>
      <c r="AL52" s="68">
        <f>X52*Assumptions!$C$13</f>
        <v>781.01172907470004</v>
      </c>
      <c r="AM52" s="68">
        <f>X52*Assumptions!$C$15</f>
        <v>455.5901752935751</v>
      </c>
      <c r="AN52" s="69">
        <f t="shared" si="27"/>
        <v>1236.6019043682752</v>
      </c>
      <c r="AO52" s="69">
        <f t="shared" si="28"/>
        <v>11570.181258534942</v>
      </c>
      <c r="AP52" s="69">
        <f t="shared" si="29"/>
        <v>6540.72584852006</v>
      </c>
      <c r="AQ52" s="67">
        <f>'Startup Costs'!$D$24/(Assumptions!$C$54*12)</f>
        <v>916.66666666666663</v>
      </c>
      <c r="AR52" s="67">
        <f>-'Loan schedule'!$D$56</f>
        <v>-132.79961180672151</v>
      </c>
      <c r="AS52" s="68">
        <f t="shared" si="30"/>
        <v>5491.2595700466718</v>
      </c>
      <c r="AT52" s="68">
        <f>-MAX(AS52,0)*Assumptions!$C$41</f>
        <v>-1372.8148925116679</v>
      </c>
      <c r="AU52" s="69">
        <f t="shared" si="31"/>
        <v>4118.4446775350043</v>
      </c>
      <c r="AV52" s="67">
        <f>-'Loan schedule'!$E$56</f>
        <v>-1266.8450273515457</v>
      </c>
      <c r="AW52" s="69">
        <f t="shared" si="32"/>
        <v>3768.2663168501258</v>
      </c>
      <c r="AX52" s="68">
        <f t="shared" si="37"/>
        <v>130581.57238554665</v>
      </c>
      <c r="AY52" s="69">
        <f t="shared" si="33"/>
        <v>134349.83870239678</v>
      </c>
      <c r="AZ52" s="63">
        <f t="shared" si="34"/>
        <v>0.69567100337321996</v>
      </c>
      <c r="BA52" s="63">
        <f t="shared" si="35"/>
        <v>0.25124049761464484</v>
      </c>
      <c r="BB52" s="102">
        <f t="shared" si="36"/>
        <v>0.15819652346633689</v>
      </c>
    </row>
    <row r="53" spans="1:54" ht="15" customHeight="1" x14ac:dyDescent="0.25">
      <c r="A53" s="101">
        <v>46</v>
      </c>
      <c r="B53" s="19">
        <v>4</v>
      </c>
      <c r="C53" s="19">
        <v>10</v>
      </c>
      <c r="D53" s="62" t="str">
        <f>'Seasonality Data Break down'!$B$16&amp;" Y"&amp;B53</f>
        <v>October Y4</v>
      </c>
      <c r="E53" s="63">
        <f>IF(B53=1,INDEX(Workings!$B$27:$B$38,C53),1)</f>
        <v>1</v>
      </c>
      <c r="F53" s="63">
        <f>IF(B53=1,INDEX(Workings!$C$27:$C$38,C53),1)</f>
        <v>1</v>
      </c>
      <c r="G53" s="64">
        <f>INDEX(Workings!$C$19:$C$23,B53)</f>
        <v>1.3165200000000001</v>
      </c>
      <c r="H53" s="65">
        <f>INDEX('Seasonality Data Break down'!$C$7:$C$18,C53)</f>
        <v>1</v>
      </c>
      <c r="I53" s="65">
        <f>INDEX('Seasonality Data Break down'!$D$7:$D$18,C53)</f>
        <v>1</v>
      </c>
      <c r="J53" s="66">
        <f>Assumptions!$C$18/12</f>
        <v>26.083333333333332</v>
      </c>
      <c r="K53" s="64">
        <f>Assumptions!$C$19*E53*H53*G53</f>
        <v>85.573800000000006</v>
      </c>
      <c r="L53" s="67">
        <f>Assumptions!$C$20+INDEX('Seasonality Data Break down'!$E$7:$E$18,C53)</f>
        <v>8.5</v>
      </c>
      <c r="M53" s="68">
        <f t="shared" si="19"/>
        <v>18972.424575000001</v>
      </c>
      <c r="N53" s="68">
        <f>M53*Assumptions!$C$21</f>
        <v>5691.7273725000005</v>
      </c>
      <c r="O53" s="64">
        <f>Assumptions!$C$27*F53*I53*G53</f>
        <v>72.408600000000007</v>
      </c>
      <c r="P53" s="68">
        <f>O53*Assumptions!$C$28</f>
        <v>3258.3870000000002</v>
      </c>
      <c r="Q53" s="64">
        <f>Assumptions!$C$24*4.333*F53*I53*G53</f>
        <v>79.862736240000018</v>
      </c>
      <c r="R53" s="64">
        <f>Q53*Assumptions!$C$25</f>
        <v>798.62736240000015</v>
      </c>
      <c r="S53" s="64">
        <f>MIN(O53*Assumptions!$C$48,R53)</f>
        <v>434.45160000000004</v>
      </c>
      <c r="T53" s="64">
        <f t="shared" si="20"/>
        <v>364.17576240000011</v>
      </c>
      <c r="U53" s="68">
        <f>T53*Assumptions!$C$26</f>
        <v>4370.1091488000011</v>
      </c>
      <c r="V53" s="68">
        <f>Q53*Assumptions!$C$29</f>
        <v>2395.8820872000006</v>
      </c>
      <c r="W53" s="68">
        <f t="shared" si="21"/>
        <v>7628.4961488000008</v>
      </c>
      <c r="X53" s="69">
        <f t="shared" si="22"/>
        <v>26600.920723800002</v>
      </c>
      <c r="Y53" s="68">
        <f t="shared" si="23"/>
        <v>8087.609459700001</v>
      </c>
      <c r="Z53" s="69">
        <f t="shared" si="24"/>
        <v>18513.311264100001</v>
      </c>
      <c r="AA53" s="67">
        <f>Assumptions!$C$10*Assumptions!$C$9/12</f>
        <v>2000</v>
      </c>
      <c r="AB53" s="67">
        <f>Assumptions!$C$12/12</f>
        <v>125</v>
      </c>
      <c r="AC53" s="67">
        <f>Assumptions!$C$14/12</f>
        <v>150</v>
      </c>
      <c r="AD53" s="68">
        <f>(Assumptions!$C$32*4.333*Assumptions!$C$33+Assumptions!$C$34/12)*(1+(Assumptions!$C$35))</f>
        <v>6783.2323541666665</v>
      </c>
      <c r="AE53" s="67">
        <f>INDEX('Seasonality Data Break down'!$F$7:$F$18,C53)*G53</f>
        <v>197.47800000000001</v>
      </c>
      <c r="AF53" s="67">
        <f>INDEX('Seasonality Data Break down'!$G$7:$G$18,C53)*G53</f>
        <v>197.47800000000001</v>
      </c>
      <c r="AG53" s="67">
        <f>INDEX('Seasonality Data Break down'!$H$7:$H$18,C53)*G53</f>
        <v>65.826000000000008</v>
      </c>
      <c r="AH53" s="69">
        <f t="shared" si="25"/>
        <v>460.78200000000004</v>
      </c>
      <c r="AI53" s="67">
        <f>Assumptions!$C$39</f>
        <v>150</v>
      </c>
      <c r="AJ53" s="67">
        <f>Assumptions!$C$40</f>
        <v>500</v>
      </c>
      <c r="AK53" s="69">
        <f t="shared" si="26"/>
        <v>10169.014354166666</v>
      </c>
      <c r="AL53" s="68">
        <f>X53*Assumptions!$C$13</f>
        <v>798.02762171400002</v>
      </c>
      <c r="AM53" s="68">
        <f>X53*Assumptions!$C$15</f>
        <v>465.51611266650008</v>
      </c>
      <c r="AN53" s="69">
        <f t="shared" si="27"/>
        <v>1263.5437343805002</v>
      </c>
      <c r="AO53" s="69">
        <f t="shared" si="28"/>
        <v>11432.558088547166</v>
      </c>
      <c r="AP53" s="69">
        <f t="shared" si="29"/>
        <v>7080.7531755528344</v>
      </c>
      <c r="AQ53" s="67">
        <f>'Startup Costs'!$D$24/(Assumptions!$C$54*12)</f>
        <v>916.66666666666663</v>
      </c>
      <c r="AR53" s="67">
        <f>-'Loan schedule'!$D$57</f>
        <v>-124.88183038577438</v>
      </c>
      <c r="AS53" s="68">
        <f t="shared" si="30"/>
        <v>6039.2046785003931</v>
      </c>
      <c r="AT53" s="68">
        <f>-MAX(AS53,0)*Assumptions!$C$41</f>
        <v>-1509.8011696250983</v>
      </c>
      <c r="AU53" s="69">
        <f t="shared" si="31"/>
        <v>4529.4035088752953</v>
      </c>
      <c r="AV53" s="67">
        <f>-'Loan schedule'!$E$57</f>
        <v>-1274.7628087724929</v>
      </c>
      <c r="AW53" s="69">
        <f t="shared" si="32"/>
        <v>4171.3073667694698</v>
      </c>
      <c r="AX53" s="68">
        <f t="shared" si="37"/>
        <v>134349.83870239678</v>
      </c>
      <c r="AY53" s="69">
        <f t="shared" si="33"/>
        <v>138521.14606916625</v>
      </c>
      <c r="AZ53" s="63">
        <f t="shared" si="34"/>
        <v>0.69596505535750242</v>
      </c>
      <c r="BA53" s="63">
        <f t="shared" si="35"/>
        <v>0.26618451477950694</v>
      </c>
      <c r="BB53" s="102">
        <f t="shared" si="36"/>
        <v>0.17027243364635913</v>
      </c>
    </row>
    <row r="54" spans="1:54" ht="15" customHeight="1" x14ac:dyDescent="0.25">
      <c r="A54" s="101">
        <v>47</v>
      </c>
      <c r="B54" s="19">
        <v>4</v>
      </c>
      <c r="C54" s="19">
        <v>11</v>
      </c>
      <c r="D54" s="62" t="str">
        <f>'Seasonality Data Break down'!$B$17&amp;" Y"&amp;B54</f>
        <v>November Y4</v>
      </c>
      <c r="E54" s="63">
        <f>IF(B54=1,INDEX(Workings!$B$27:$B$38,C54),1)</f>
        <v>1</v>
      </c>
      <c r="F54" s="63">
        <f>IF(B54=1,INDEX(Workings!$C$27:$C$38,C54),1)</f>
        <v>1</v>
      </c>
      <c r="G54" s="64">
        <f>INDEX(Workings!$C$19:$C$23,B54)</f>
        <v>1.3165200000000001</v>
      </c>
      <c r="H54" s="65">
        <f>INDEX('Seasonality Data Break down'!$C$7:$C$18,C54)</f>
        <v>1.05</v>
      </c>
      <c r="I54" s="65">
        <f>INDEX('Seasonality Data Break down'!$D$7:$D$18,C54)</f>
        <v>0.95</v>
      </c>
      <c r="J54" s="66">
        <f>Assumptions!$C$18/12</f>
        <v>26.083333333333332</v>
      </c>
      <c r="K54" s="64">
        <f>Assumptions!$C$19*E54*H54*G54</f>
        <v>89.852490000000003</v>
      </c>
      <c r="L54" s="67">
        <f>Assumptions!$C$20+INDEX('Seasonality Data Break down'!$E$7:$E$18,C54)</f>
        <v>8.5</v>
      </c>
      <c r="M54" s="68">
        <f t="shared" si="19"/>
        <v>19921.045803749999</v>
      </c>
      <c r="N54" s="68">
        <f>M54*Assumptions!$C$21</f>
        <v>5976.313741125</v>
      </c>
      <c r="O54" s="64">
        <f>Assumptions!$C$27*F54*I54*G54</f>
        <v>68.788170000000008</v>
      </c>
      <c r="P54" s="68">
        <f>O54*Assumptions!$C$28</f>
        <v>3095.4676500000005</v>
      </c>
      <c r="Q54" s="64">
        <f>Assumptions!$C$24*4.333*F54*I54*G54</f>
        <v>75.869599428000015</v>
      </c>
      <c r="R54" s="64">
        <f>Q54*Assumptions!$C$25</f>
        <v>758.69599428000015</v>
      </c>
      <c r="S54" s="64">
        <f>MIN(O54*Assumptions!$C$48,R54)</f>
        <v>412.72902000000005</v>
      </c>
      <c r="T54" s="64">
        <f t="shared" si="20"/>
        <v>345.9669742800001</v>
      </c>
      <c r="U54" s="68">
        <f>T54*Assumptions!$C$26</f>
        <v>4151.603691360001</v>
      </c>
      <c r="V54" s="68">
        <f>Q54*Assumptions!$C$29</f>
        <v>2276.0879828400002</v>
      </c>
      <c r="W54" s="68">
        <f t="shared" si="21"/>
        <v>7247.0713413600015</v>
      </c>
      <c r="X54" s="69">
        <f t="shared" si="22"/>
        <v>27168.117145110002</v>
      </c>
      <c r="Y54" s="68">
        <f t="shared" si="23"/>
        <v>8252.4017239650002</v>
      </c>
      <c r="Z54" s="69">
        <f t="shared" si="24"/>
        <v>18915.715421145003</v>
      </c>
      <c r="AA54" s="67">
        <f>Assumptions!$C$10*Assumptions!$C$9/12</f>
        <v>2000</v>
      </c>
      <c r="AB54" s="67">
        <f>Assumptions!$C$12/12</f>
        <v>125</v>
      </c>
      <c r="AC54" s="67">
        <f>Assumptions!$C$14/12</f>
        <v>150</v>
      </c>
      <c r="AD54" s="68">
        <f>(Assumptions!$C$32*4.333*Assumptions!$C$33+Assumptions!$C$34/12)*(1+(Assumptions!$C$35))</f>
        <v>6783.2323541666665</v>
      </c>
      <c r="AE54" s="67">
        <f>INDEX('Seasonality Data Break down'!$F$7:$F$18,C54)*G54</f>
        <v>329.13000000000005</v>
      </c>
      <c r="AF54" s="67">
        <f>INDEX('Seasonality Data Break down'!$G$7:$G$18,C54)*G54</f>
        <v>263.30400000000003</v>
      </c>
      <c r="AG54" s="67">
        <f>INDEX('Seasonality Data Break down'!$H$7:$H$18,C54)*G54</f>
        <v>98.739000000000004</v>
      </c>
      <c r="AH54" s="69">
        <f t="shared" si="25"/>
        <v>691.17300000000012</v>
      </c>
      <c r="AI54" s="67">
        <f>Assumptions!$C$39</f>
        <v>150</v>
      </c>
      <c r="AJ54" s="67">
        <f>Assumptions!$C$40</f>
        <v>500</v>
      </c>
      <c r="AK54" s="69">
        <f t="shared" si="26"/>
        <v>10399.405354166667</v>
      </c>
      <c r="AL54" s="68">
        <f>X54*Assumptions!$C$13</f>
        <v>815.0435143533</v>
      </c>
      <c r="AM54" s="68">
        <f>X54*Assumptions!$C$15</f>
        <v>475.44205003942506</v>
      </c>
      <c r="AN54" s="69">
        <f t="shared" si="27"/>
        <v>1290.4855643927251</v>
      </c>
      <c r="AO54" s="69">
        <f t="shared" si="28"/>
        <v>11689.890918559393</v>
      </c>
      <c r="AP54" s="69">
        <f t="shared" si="29"/>
        <v>7225.8245025856104</v>
      </c>
      <c r="AQ54" s="67">
        <f>'Startup Costs'!$D$24/(Assumptions!$C$54*12)</f>
        <v>916.66666666666663</v>
      </c>
      <c r="AR54" s="67">
        <f>-'Loan schedule'!$D$58</f>
        <v>-116.91456283094629</v>
      </c>
      <c r="AS54" s="68">
        <f t="shared" si="30"/>
        <v>6192.2432730879973</v>
      </c>
      <c r="AT54" s="68">
        <f>-MAX(AS54,0)*Assumptions!$C$41</f>
        <v>-1548.0608182719993</v>
      </c>
      <c r="AU54" s="69">
        <f t="shared" si="31"/>
        <v>4644.1824548159984</v>
      </c>
      <c r="AV54" s="67">
        <f>-'Loan schedule'!$E$58</f>
        <v>-1282.7300763273208</v>
      </c>
      <c r="AW54" s="69">
        <f t="shared" si="32"/>
        <v>4278.1190451553448</v>
      </c>
      <c r="AX54" s="68">
        <f t="shared" si="37"/>
        <v>138521.14606916625</v>
      </c>
      <c r="AY54" s="69">
        <f t="shared" si="33"/>
        <v>142799.26511432161</v>
      </c>
      <c r="AZ54" s="63">
        <f t="shared" si="34"/>
        <v>0.69624682932985837</v>
      </c>
      <c r="BA54" s="63">
        <f t="shared" si="35"/>
        <v>0.26596706956139538</v>
      </c>
      <c r="BB54" s="102">
        <f t="shared" si="36"/>
        <v>0.17094237447558658</v>
      </c>
    </row>
    <row r="55" spans="1:54" ht="15" customHeight="1" x14ac:dyDescent="0.25">
      <c r="A55" s="101">
        <v>48</v>
      </c>
      <c r="B55" s="19">
        <v>4</v>
      </c>
      <c r="C55" s="19">
        <v>12</v>
      </c>
      <c r="D55" s="62" t="str">
        <f>'Seasonality Data Break down'!$B$18&amp;" Y"&amp;B55</f>
        <v>December Y4</v>
      </c>
      <c r="E55" s="63">
        <f>IF(B55=1,INDEX(Workings!$B$27:$B$38,C55),1)</f>
        <v>1</v>
      </c>
      <c r="F55" s="63">
        <f>IF(B55=1,INDEX(Workings!$C$27:$C$38,C55),1)</f>
        <v>1</v>
      </c>
      <c r="G55" s="64">
        <f>INDEX(Workings!$C$19:$C$23,B55)</f>
        <v>1.3165200000000001</v>
      </c>
      <c r="H55" s="65">
        <f>INDEX('Seasonality Data Break down'!$C$7:$C$18,C55)</f>
        <v>1.2</v>
      </c>
      <c r="I55" s="65">
        <f>INDEX('Seasonality Data Break down'!$D$7:$D$18,C55)</f>
        <v>0.8</v>
      </c>
      <c r="J55" s="66">
        <f>Assumptions!$C$18/12</f>
        <v>26.083333333333332</v>
      </c>
      <c r="K55" s="64">
        <f>Assumptions!$C$19*E55*H55*G55</f>
        <v>102.68856000000001</v>
      </c>
      <c r="L55" s="67">
        <f>Assumptions!$C$20+INDEX('Seasonality Data Break down'!$E$7:$E$18,C55)</f>
        <v>8.5</v>
      </c>
      <c r="M55" s="68">
        <f t="shared" si="19"/>
        <v>22766.909490000002</v>
      </c>
      <c r="N55" s="68">
        <f>M55*Assumptions!$C$21</f>
        <v>6830.0728470000004</v>
      </c>
      <c r="O55" s="64">
        <f>Assumptions!$C$27*F55*I55*G55</f>
        <v>57.926880000000004</v>
      </c>
      <c r="P55" s="68">
        <f>O55*Assumptions!$C$28</f>
        <v>2606.7096000000001</v>
      </c>
      <c r="Q55" s="64">
        <f>Assumptions!$C$24*4.333*F55*I55*G55</f>
        <v>63.89018899200002</v>
      </c>
      <c r="R55" s="64">
        <f>Q55*Assumptions!$C$25</f>
        <v>638.90188992000026</v>
      </c>
      <c r="S55" s="64">
        <f>MIN(O55*Assumptions!$C$48,R55)</f>
        <v>347.56128000000001</v>
      </c>
      <c r="T55" s="64">
        <f t="shared" si="20"/>
        <v>291.34060992000025</v>
      </c>
      <c r="U55" s="68">
        <f>T55*Assumptions!$C$26</f>
        <v>3496.087319040003</v>
      </c>
      <c r="V55" s="68">
        <f>Q55*Assumptions!$C$29</f>
        <v>1916.7056697600005</v>
      </c>
      <c r="W55" s="68">
        <f t="shared" si="21"/>
        <v>6102.7969190400036</v>
      </c>
      <c r="X55" s="69">
        <f t="shared" si="22"/>
        <v>28869.706409040005</v>
      </c>
      <c r="Y55" s="68">
        <f t="shared" si="23"/>
        <v>8746.7785167600014</v>
      </c>
      <c r="Z55" s="69">
        <f t="shared" si="24"/>
        <v>20122.927892280004</v>
      </c>
      <c r="AA55" s="67">
        <f>Assumptions!$C$10*Assumptions!$C$9/12</f>
        <v>2000</v>
      </c>
      <c r="AB55" s="67">
        <f>Assumptions!$C$12/12</f>
        <v>125</v>
      </c>
      <c r="AC55" s="67">
        <f>Assumptions!$C$14/12</f>
        <v>150</v>
      </c>
      <c r="AD55" s="68">
        <f>(Assumptions!$C$32*4.333*Assumptions!$C$33+Assumptions!$C$34/12)*(1+(Assumptions!$C$35))</f>
        <v>6783.2323541666665</v>
      </c>
      <c r="AE55" s="67">
        <f>INDEX('Seasonality Data Break down'!$F$7:$F$18,C55)*G55</f>
        <v>394.95600000000002</v>
      </c>
      <c r="AF55" s="67">
        <f>INDEX('Seasonality Data Break down'!$G$7:$G$18,C55)*G55</f>
        <v>329.13000000000005</v>
      </c>
      <c r="AG55" s="67">
        <f>INDEX('Seasonality Data Break down'!$H$7:$H$18,C55)*G55</f>
        <v>131.65200000000002</v>
      </c>
      <c r="AH55" s="69">
        <f t="shared" si="25"/>
        <v>855.73800000000006</v>
      </c>
      <c r="AI55" s="67">
        <f>Assumptions!$C$39</f>
        <v>150</v>
      </c>
      <c r="AJ55" s="67">
        <f>Assumptions!$C$40</f>
        <v>500</v>
      </c>
      <c r="AK55" s="69">
        <f t="shared" si="26"/>
        <v>10563.970354166666</v>
      </c>
      <c r="AL55" s="68">
        <f>X55*Assumptions!$C$13</f>
        <v>866.09119227120016</v>
      </c>
      <c r="AM55" s="68">
        <f>X55*Assumptions!$C$15</f>
        <v>505.21986215820016</v>
      </c>
      <c r="AN55" s="69">
        <f t="shared" si="27"/>
        <v>1371.3110544294004</v>
      </c>
      <c r="AO55" s="69">
        <f t="shared" si="28"/>
        <v>11935.281408596067</v>
      </c>
      <c r="AP55" s="69">
        <f t="shared" si="29"/>
        <v>8187.6464836839368</v>
      </c>
      <c r="AQ55" s="67">
        <f>'Startup Costs'!$D$24/(Assumptions!$C$54*12)</f>
        <v>916.66666666666663</v>
      </c>
      <c r="AR55" s="67">
        <f>-'Loan schedule'!$D$59</f>
        <v>-108.89749985390056</v>
      </c>
      <c r="AS55" s="68">
        <f t="shared" si="30"/>
        <v>7162.0823171633692</v>
      </c>
      <c r="AT55" s="68">
        <f>-MAX(AS55,0)*Assumptions!$C$41</f>
        <v>-1790.5205792908423</v>
      </c>
      <c r="AU55" s="69">
        <f t="shared" si="31"/>
        <v>5371.5617378725274</v>
      </c>
      <c r="AV55" s="67">
        <f>-'Loan schedule'!$E$59</f>
        <v>-1290.7471393043666</v>
      </c>
      <c r="AW55" s="69">
        <f t="shared" si="32"/>
        <v>4997.4812652348282</v>
      </c>
      <c r="AX55" s="68">
        <f t="shared" si="37"/>
        <v>142799.26511432161</v>
      </c>
      <c r="AY55" s="69">
        <f t="shared" si="33"/>
        <v>147796.74637955643</v>
      </c>
      <c r="AZ55" s="63">
        <f t="shared" si="34"/>
        <v>0.69702571987288686</v>
      </c>
      <c r="BA55" s="63">
        <f t="shared" si="35"/>
        <v>0.28360684960482069</v>
      </c>
      <c r="BB55" s="102">
        <f t="shared" si="36"/>
        <v>0.18606222251676671</v>
      </c>
    </row>
    <row r="56" spans="1:54" ht="15" customHeight="1" x14ac:dyDescent="0.25">
      <c r="A56" s="101">
        <v>49</v>
      </c>
      <c r="B56" s="19">
        <v>5</v>
      </c>
      <c r="C56" s="19">
        <v>1</v>
      </c>
      <c r="D56" s="62" t="str">
        <f>'Seasonality Data Break down'!$B$7&amp;" Y"&amp;B56</f>
        <v>January Y5</v>
      </c>
      <c r="E56" s="63">
        <f>IF(B56=1,INDEX(Workings!$B$27:$B$38,C56),1)</f>
        <v>1</v>
      </c>
      <c r="F56" s="63">
        <f>IF(B56=1,INDEX(Workings!$C$27:$C$38,C56),1)</f>
        <v>1</v>
      </c>
      <c r="G56" s="64">
        <f>INDEX(Workings!$C$19:$C$23,B56)</f>
        <v>1.3560156000000001</v>
      </c>
      <c r="H56" s="65">
        <f>INDEX('Seasonality Data Break down'!$C$7:$C$18,C56)</f>
        <v>0.85</v>
      </c>
      <c r="I56" s="65">
        <f>INDEX('Seasonality Data Break down'!$D$7:$D$18,C56)</f>
        <v>1.3</v>
      </c>
      <c r="J56" s="66">
        <f>Assumptions!$C$18/12</f>
        <v>26.083333333333332</v>
      </c>
      <c r="K56" s="64">
        <f>Assumptions!$C$19*E56*H56*G56</f>
        <v>74.919861900000001</v>
      </c>
      <c r="L56" s="67">
        <f>Assumptions!$C$20+INDEX('Seasonality Data Break down'!$E$7:$E$18,C56)</f>
        <v>8.5</v>
      </c>
      <c r="M56" s="68">
        <f t="shared" si="19"/>
        <v>16610.357715412498</v>
      </c>
      <c r="N56" s="68">
        <f>M56*Assumptions!$C$21</f>
        <v>4983.1073146237495</v>
      </c>
      <c r="O56" s="64">
        <f>Assumptions!$C$27*F56*I56*G56</f>
        <v>96.955115400000011</v>
      </c>
      <c r="P56" s="68">
        <f>O56*Assumptions!$C$28</f>
        <v>4362.9801930000003</v>
      </c>
      <c r="Q56" s="64">
        <f>Assumptions!$C$24*4.333*F56*I56*G56</f>
        <v>106.93620382536001</v>
      </c>
      <c r="R56" s="64">
        <f>Q56*Assumptions!$C$25</f>
        <v>1069.3620382536001</v>
      </c>
      <c r="S56" s="64">
        <f>MIN(O56*Assumptions!$C$48,R56)</f>
        <v>581.73069240000007</v>
      </c>
      <c r="T56" s="64">
        <f t="shared" si="20"/>
        <v>487.63134585360001</v>
      </c>
      <c r="U56" s="68">
        <f>T56*Assumptions!$C$26</f>
        <v>5851.5761502431997</v>
      </c>
      <c r="V56" s="68">
        <f>Q56*Assumptions!$C$29</f>
        <v>3208.0861147608002</v>
      </c>
      <c r="W56" s="68">
        <f t="shared" si="21"/>
        <v>10214.556343243199</v>
      </c>
      <c r="X56" s="69">
        <f t="shared" si="22"/>
        <v>26824.914058655697</v>
      </c>
      <c r="Y56" s="68">
        <f t="shared" si="23"/>
        <v>8191.1934293845497</v>
      </c>
      <c r="Z56" s="69">
        <f t="shared" si="24"/>
        <v>18633.720629271149</v>
      </c>
      <c r="AA56" s="67">
        <f>Assumptions!$C$10*Assumptions!$C$9/12</f>
        <v>2000</v>
      </c>
      <c r="AB56" s="67">
        <f>Assumptions!$C$12/12</f>
        <v>125</v>
      </c>
      <c r="AC56" s="67">
        <f>Assumptions!$C$14/12</f>
        <v>150</v>
      </c>
      <c r="AD56" s="68">
        <f>(Assumptions!$C$32*4.333*Assumptions!$C$33+Assumptions!$C$34/12)*(1+(Assumptions!$C$35))</f>
        <v>6783.2323541666665</v>
      </c>
      <c r="AE56" s="67">
        <f>INDEX('Seasonality Data Break down'!$F$7:$F$18,C56)*G56</f>
        <v>406.80468000000002</v>
      </c>
      <c r="AF56" s="67">
        <f>INDEX('Seasonality Data Break down'!$G$7:$G$18,C56)*G56</f>
        <v>203.40234000000001</v>
      </c>
      <c r="AG56" s="67">
        <f>INDEX('Seasonality Data Break down'!$H$7:$H$18,C56)*G56</f>
        <v>67.800780000000003</v>
      </c>
      <c r="AH56" s="69">
        <f t="shared" si="25"/>
        <v>678.00780000000009</v>
      </c>
      <c r="AI56" s="67">
        <f>Assumptions!$C$39</f>
        <v>150</v>
      </c>
      <c r="AJ56" s="67">
        <f>Assumptions!$C$40</f>
        <v>500</v>
      </c>
      <c r="AK56" s="69">
        <f t="shared" si="26"/>
        <v>10386.240154166666</v>
      </c>
      <c r="AL56" s="68">
        <f>X56*Assumptions!$C$13</f>
        <v>804.74742175967083</v>
      </c>
      <c r="AM56" s="68">
        <f>X56*Assumptions!$C$15</f>
        <v>469.43599602647475</v>
      </c>
      <c r="AN56" s="69">
        <f t="shared" si="27"/>
        <v>1274.1834177861456</v>
      </c>
      <c r="AO56" s="69">
        <f t="shared" si="28"/>
        <v>11660.423571952811</v>
      </c>
      <c r="AP56" s="69">
        <f t="shared" si="29"/>
        <v>6973.2970573183375</v>
      </c>
      <c r="AQ56" s="67">
        <f>'Startup Costs'!$D$24/(Assumptions!$C$54*12)</f>
        <v>916.66666666666663</v>
      </c>
      <c r="AR56" s="67">
        <f>-'Loan schedule'!$D$60</f>
        <v>-100.83033023324826</v>
      </c>
      <c r="AS56" s="68">
        <f t="shared" si="30"/>
        <v>5955.8000604184226</v>
      </c>
      <c r="AT56" s="68">
        <f>-MAX(AS56,0)*Assumptions!$C$41</f>
        <v>-1488.9500151046057</v>
      </c>
      <c r="AU56" s="69">
        <f t="shared" si="31"/>
        <v>4466.8500453138167</v>
      </c>
      <c r="AV56" s="67">
        <f>-'Loan schedule'!$E$60</f>
        <v>-1298.8143089250188</v>
      </c>
      <c r="AW56" s="69">
        <f t="shared" si="32"/>
        <v>4084.7024030554649</v>
      </c>
      <c r="AX56" s="68">
        <f t="shared" si="37"/>
        <v>147796.74637955643</v>
      </c>
      <c r="AY56" s="69">
        <f t="shared" si="33"/>
        <v>151881.4487826119</v>
      </c>
      <c r="AZ56" s="63">
        <f t="shared" si="34"/>
        <v>0.69464232349547961</v>
      </c>
      <c r="BA56" s="63">
        <f t="shared" si="35"/>
        <v>0.25995598875248727</v>
      </c>
      <c r="BB56" s="102">
        <f t="shared" si="36"/>
        <v>0.16651870852396938</v>
      </c>
    </row>
    <row r="57" spans="1:54" ht="15" customHeight="1" x14ac:dyDescent="0.25">
      <c r="A57" s="101">
        <v>50</v>
      </c>
      <c r="B57" s="19">
        <v>5</v>
      </c>
      <c r="C57" s="19">
        <v>2</v>
      </c>
      <c r="D57" s="62" t="str">
        <f>'Seasonality Data Break down'!$B$8&amp;" Y"&amp;B57</f>
        <v>February Y5</v>
      </c>
      <c r="E57" s="63">
        <f>IF(B57=1,INDEX(Workings!$B$27:$B$38,C57),1)</f>
        <v>1</v>
      </c>
      <c r="F57" s="63">
        <f>IF(B57=1,INDEX(Workings!$C$27:$C$38,C57),1)</f>
        <v>1</v>
      </c>
      <c r="G57" s="64">
        <f>INDEX(Workings!$C$19:$C$23,B57)</f>
        <v>1.3560156000000001</v>
      </c>
      <c r="H57" s="65">
        <f>INDEX('Seasonality Data Break down'!$C$7:$C$18,C57)</f>
        <v>0.9</v>
      </c>
      <c r="I57" s="65">
        <f>INDEX('Seasonality Data Break down'!$D$7:$D$18,C57)</f>
        <v>1.2</v>
      </c>
      <c r="J57" s="66">
        <f>Assumptions!$C$18/12</f>
        <v>26.083333333333332</v>
      </c>
      <c r="K57" s="64">
        <f>Assumptions!$C$19*E57*H57*G57</f>
        <v>79.3269126</v>
      </c>
      <c r="L57" s="67">
        <f>Assumptions!$C$20+INDEX('Seasonality Data Break down'!$E$7:$E$18,C57)</f>
        <v>8.5</v>
      </c>
      <c r="M57" s="68">
        <f t="shared" si="19"/>
        <v>17587.437581024999</v>
      </c>
      <c r="N57" s="68">
        <f>M57*Assumptions!$C$21</f>
        <v>5276.231274307499</v>
      </c>
      <c r="O57" s="64">
        <f>Assumptions!$C$27*F57*I57*G57</f>
        <v>89.497029600000005</v>
      </c>
      <c r="P57" s="68">
        <f>O57*Assumptions!$C$28</f>
        <v>4027.3663320000001</v>
      </c>
      <c r="Q57" s="64">
        <f>Assumptions!$C$24*4.333*F57*I57*G57</f>
        <v>98.710341992640025</v>
      </c>
      <c r="R57" s="64">
        <f>Q57*Assumptions!$C$25</f>
        <v>987.10341992640019</v>
      </c>
      <c r="S57" s="64">
        <f>MIN(O57*Assumptions!$C$48,R57)</f>
        <v>536.9821776</v>
      </c>
      <c r="T57" s="64">
        <f t="shared" si="20"/>
        <v>450.12124232640019</v>
      </c>
      <c r="U57" s="68">
        <f>T57*Assumptions!$C$26</f>
        <v>5401.4549079168028</v>
      </c>
      <c r="V57" s="68">
        <f>Q57*Assumptions!$C$29</f>
        <v>2961.3102597792008</v>
      </c>
      <c r="W57" s="68">
        <f t="shared" si="21"/>
        <v>9428.8212399168024</v>
      </c>
      <c r="X57" s="69">
        <f t="shared" si="22"/>
        <v>27016.258820941803</v>
      </c>
      <c r="Y57" s="68">
        <f t="shared" si="23"/>
        <v>8237.5415340867003</v>
      </c>
      <c r="Z57" s="69">
        <f t="shared" si="24"/>
        <v>18778.717286855102</v>
      </c>
      <c r="AA57" s="67">
        <f>Assumptions!$C$10*Assumptions!$C$9/12</f>
        <v>2000</v>
      </c>
      <c r="AB57" s="67">
        <f>Assumptions!$C$12/12</f>
        <v>125</v>
      </c>
      <c r="AC57" s="67">
        <f>Assumptions!$C$14/12</f>
        <v>150</v>
      </c>
      <c r="AD57" s="68">
        <f>(Assumptions!$C$32*4.333*Assumptions!$C$33+Assumptions!$C$34/12)*(1+(Assumptions!$C$35))</f>
        <v>6783.2323541666665</v>
      </c>
      <c r="AE57" s="67">
        <f>INDEX('Seasonality Data Break down'!$F$7:$F$18,C57)*G57</f>
        <v>271.20312000000001</v>
      </c>
      <c r="AF57" s="67">
        <f>INDEX('Seasonality Data Break down'!$G$7:$G$18,C57)*G57</f>
        <v>203.40234000000001</v>
      </c>
      <c r="AG57" s="67">
        <f>INDEX('Seasonality Data Break down'!$H$7:$H$18,C57)*G57</f>
        <v>67.800780000000003</v>
      </c>
      <c r="AH57" s="69">
        <f t="shared" si="25"/>
        <v>542.40624000000003</v>
      </c>
      <c r="AI57" s="67">
        <f>Assumptions!$C$39</f>
        <v>150</v>
      </c>
      <c r="AJ57" s="67">
        <f>Assumptions!$C$40</f>
        <v>500</v>
      </c>
      <c r="AK57" s="69">
        <f t="shared" si="26"/>
        <v>10250.638594166667</v>
      </c>
      <c r="AL57" s="68">
        <f>X57*Assumptions!$C$13</f>
        <v>810.48776462825401</v>
      </c>
      <c r="AM57" s="68">
        <f>X57*Assumptions!$C$15</f>
        <v>472.78452936648159</v>
      </c>
      <c r="AN57" s="69">
        <f t="shared" si="27"/>
        <v>1283.2722939947357</v>
      </c>
      <c r="AO57" s="69">
        <f t="shared" si="28"/>
        <v>11533.910888161403</v>
      </c>
      <c r="AP57" s="69">
        <f t="shared" si="29"/>
        <v>7244.8063986936995</v>
      </c>
      <c r="AQ57" s="67">
        <f>'Startup Costs'!$D$24/(Assumptions!$C$54*12)</f>
        <v>916.66666666666663</v>
      </c>
      <c r="AR57" s="67">
        <f>-'Loan schedule'!$D$61</f>
        <v>-92.712740802466897</v>
      </c>
      <c r="AS57" s="68">
        <f t="shared" si="30"/>
        <v>6235.4269912245654</v>
      </c>
      <c r="AT57" s="68">
        <f>-MAX(AS57,0)*Assumptions!$C$41</f>
        <v>-1558.8567478061414</v>
      </c>
      <c r="AU57" s="69">
        <f t="shared" si="31"/>
        <v>4676.5702434184241</v>
      </c>
      <c r="AV57" s="67">
        <f>-'Loan schedule'!$E$61</f>
        <v>-1306.9318983558003</v>
      </c>
      <c r="AW57" s="69">
        <f t="shared" si="32"/>
        <v>4286.3050117292905</v>
      </c>
      <c r="AX57" s="68">
        <f t="shared" si="37"/>
        <v>151881.4487826119</v>
      </c>
      <c r="AY57" s="69">
        <f t="shared" si="33"/>
        <v>156167.7537943412</v>
      </c>
      <c r="AZ57" s="63">
        <f t="shared" si="34"/>
        <v>0.69508947968394041</v>
      </c>
      <c r="BA57" s="63">
        <f t="shared" si="35"/>
        <v>0.26816467989556897</v>
      </c>
      <c r="BB57" s="102">
        <f t="shared" si="36"/>
        <v>0.17310206695952124</v>
      </c>
    </row>
    <row r="58" spans="1:54" ht="15" customHeight="1" x14ac:dyDescent="0.25">
      <c r="A58" s="101">
        <v>51</v>
      </c>
      <c r="B58" s="19">
        <v>5</v>
      </c>
      <c r="C58" s="19">
        <v>3</v>
      </c>
      <c r="D58" s="62" t="str">
        <f>'Seasonality Data Break down'!$B$9&amp;" Y"&amp;B58</f>
        <v>March Y5</v>
      </c>
      <c r="E58" s="63">
        <f>IF(B58=1,INDEX(Workings!$B$27:$B$38,C58),1)</f>
        <v>1</v>
      </c>
      <c r="F58" s="63">
        <f>IF(B58=1,INDEX(Workings!$C$27:$C$38,C58),1)</f>
        <v>1</v>
      </c>
      <c r="G58" s="64">
        <f>INDEX(Workings!$C$19:$C$23,B58)</f>
        <v>1.3560156000000001</v>
      </c>
      <c r="H58" s="65">
        <f>INDEX('Seasonality Data Break down'!$C$7:$C$18,C58)</f>
        <v>0.95</v>
      </c>
      <c r="I58" s="65">
        <f>INDEX('Seasonality Data Break down'!$D$7:$D$18,C58)</f>
        <v>1.05</v>
      </c>
      <c r="J58" s="66">
        <f>Assumptions!$C$18/12</f>
        <v>26.083333333333332</v>
      </c>
      <c r="K58" s="64">
        <f>Assumptions!$C$19*E58*H58*G58</f>
        <v>83.733963299999999</v>
      </c>
      <c r="L58" s="67">
        <f>Assumptions!$C$20+INDEX('Seasonality Data Break down'!$E$7:$E$18,C58)</f>
        <v>8.5</v>
      </c>
      <c r="M58" s="68">
        <f t="shared" si="19"/>
        <v>18564.517446637496</v>
      </c>
      <c r="N58" s="68">
        <f>M58*Assumptions!$C$21</f>
        <v>5569.3552339912485</v>
      </c>
      <c r="O58" s="64">
        <f>Assumptions!$C$27*F58*I58*G58</f>
        <v>78.309900900000002</v>
      </c>
      <c r="P58" s="68">
        <f>O58*Assumptions!$C$28</f>
        <v>3523.9455404999999</v>
      </c>
      <c r="Q58" s="64">
        <f>Assumptions!$C$24*4.333*F58*I58*G58</f>
        <v>86.371549243560025</v>
      </c>
      <c r="R58" s="64">
        <f>Q58*Assumptions!$C$25</f>
        <v>863.71549243560025</v>
      </c>
      <c r="S58" s="64">
        <f>MIN(O58*Assumptions!$C$48,R58)</f>
        <v>469.85940540000001</v>
      </c>
      <c r="T58" s="64">
        <f t="shared" si="20"/>
        <v>393.85608703560024</v>
      </c>
      <c r="U58" s="68">
        <f>T58*Assumptions!$C$26</f>
        <v>4726.2730444272029</v>
      </c>
      <c r="V58" s="68">
        <f>Q58*Assumptions!$C$29</f>
        <v>2591.146477306801</v>
      </c>
      <c r="W58" s="68">
        <f t="shared" si="21"/>
        <v>8250.2185849272028</v>
      </c>
      <c r="X58" s="69">
        <f t="shared" si="22"/>
        <v>26814.736031564698</v>
      </c>
      <c r="Y58" s="68">
        <f t="shared" si="23"/>
        <v>8160.5017112980495</v>
      </c>
      <c r="Z58" s="69">
        <f t="shared" si="24"/>
        <v>18654.234320266649</v>
      </c>
      <c r="AA58" s="67">
        <f>Assumptions!$C$10*Assumptions!$C$9/12</f>
        <v>2000</v>
      </c>
      <c r="AB58" s="67">
        <f>Assumptions!$C$12/12</f>
        <v>125</v>
      </c>
      <c r="AC58" s="67">
        <f>Assumptions!$C$14/12</f>
        <v>150</v>
      </c>
      <c r="AD58" s="68">
        <f>(Assumptions!$C$32*4.333*Assumptions!$C$33+Assumptions!$C$34/12)*(1+(Assumptions!$C$35))</f>
        <v>6783.2323541666665</v>
      </c>
      <c r="AE58" s="67">
        <f>INDEX('Seasonality Data Break down'!$F$7:$F$18,C58)*G58</f>
        <v>203.40234000000001</v>
      </c>
      <c r="AF58" s="67">
        <f>INDEX('Seasonality Data Break down'!$G$7:$G$18,C58)*G58</f>
        <v>203.40234000000001</v>
      </c>
      <c r="AG58" s="67">
        <f>INDEX('Seasonality Data Break down'!$H$7:$H$18,C58)*G58</f>
        <v>67.800780000000003</v>
      </c>
      <c r="AH58" s="69">
        <f t="shared" si="25"/>
        <v>474.60545999999999</v>
      </c>
      <c r="AI58" s="67">
        <f>Assumptions!$C$39</f>
        <v>150</v>
      </c>
      <c r="AJ58" s="67">
        <f>Assumptions!$C$40</f>
        <v>500</v>
      </c>
      <c r="AK58" s="69">
        <f t="shared" si="26"/>
        <v>10182.837814166667</v>
      </c>
      <c r="AL58" s="68">
        <f>X58*Assumptions!$C$13</f>
        <v>804.44208094694091</v>
      </c>
      <c r="AM58" s="68">
        <f>X58*Assumptions!$C$15</f>
        <v>469.25788055238229</v>
      </c>
      <c r="AN58" s="69">
        <f t="shared" si="27"/>
        <v>1273.6999614993233</v>
      </c>
      <c r="AO58" s="69">
        <f t="shared" si="28"/>
        <v>11456.537775665991</v>
      </c>
      <c r="AP58" s="69">
        <f t="shared" si="29"/>
        <v>7197.6965446006579</v>
      </c>
      <c r="AQ58" s="67">
        <f>'Startup Costs'!$D$24/(Assumptions!$C$54*12)</f>
        <v>916.66666666666663</v>
      </c>
      <c r="AR58" s="67">
        <f>-'Loan schedule'!$D$62</f>
        <v>-84.544416437743138</v>
      </c>
      <c r="AS58" s="68">
        <f t="shared" si="30"/>
        <v>6196.4854614962478</v>
      </c>
      <c r="AT58" s="68">
        <f>-MAX(AS58,0)*Assumptions!$C$41</f>
        <v>-1549.121365374062</v>
      </c>
      <c r="AU58" s="69">
        <f t="shared" si="31"/>
        <v>4647.3640961221863</v>
      </c>
      <c r="AV58" s="67">
        <f>-'Loan schedule'!$E$62</f>
        <v>-1315.100222720524</v>
      </c>
      <c r="AW58" s="69">
        <f t="shared" si="32"/>
        <v>4248.9305400683297</v>
      </c>
      <c r="AX58" s="68">
        <f t="shared" si="37"/>
        <v>156167.7537943412</v>
      </c>
      <c r="AY58" s="69">
        <f t="shared" si="33"/>
        <v>160416.68433440954</v>
      </c>
      <c r="AZ58" s="63">
        <f t="shared" si="34"/>
        <v>0.69567100337321996</v>
      </c>
      <c r="BA58" s="63">
        <f t="shared" si="35"/>
        <v>0.2684231735911165</v>
      </c>
      <c r="BB58" s="102">
        <f t="shared" si="36"/>
        <v>0.17331381113174443</v>
      </c>
    </row>
    <row r="59" spans="1:54" ht="15" customHeight="1" x14ac:dyDescent="0.25">
      <c r="A59" s="101">
        <v>52</v>
      </c>
      <c r="B59" s="19">
        <v>5</v>
      </c>
      <c r="C59" s="19">
        <v>4</v>
      </c>
      <c r="D59" s="62" t="str">
        <f>'Seasonality Data Break down'!$B$10&amp;" Y"&amp;B59</f>
        <v>April Y5</v>
      </c>
      <c r="E59" s="63">
        <f>IF(B59=1,INDEX(Workings!$B$27:$B$38,C59),1)</f>
        <v>1</v>
      </c>
      <c r="F59" s="63">
        <f>IF(B59=1,INDEX(Workings!$C$27:$C$38,C59),1)</f>
        <v>1</v>
      </c>
      <c r="G59" s="64">
        <f>INDEX(Workings!$C$19:$C$23,B59)</f>
        <v>1.3560156000000001</v>
      </c>
      <c r="H59" s="65">
        <f>INDEX('Seasonality Data Break down'!$C$7:$C$18,C59)</f>
        <v>1</v>
      </c>
      <c r="I59" s="65">
        <f>INDEX('Seasonality Data Break down'!$D$7:$D$18,C59)</f>
        <v>1</v>
      </c>
      <c r="J59" s="66">
        <f>Assumptions!$C$18/12</f>
        <v>26.083333333333332</v>
      </c>
      <c r="K59" s="64">
        <f>Assumptions!$C$19*E59*H59*G59</f>
        <v>88.141014000000013</v>
      </c>
      <c r="L59" s="67">
        <f>Assumptions!$C$20+INDEX('Seasonality Data Break down'!$E$7:$E$18,C59)</f>
        <v>8.5</v>
      </c>
      <c r="M59" s="68">
        <f t="shared" si="19"/>
        <v>19541.597312250004</v>
      </c>
      <c r="N59" s="68">
        <f>M59*Assumptions!$C$21</f>
        <v>5862.4791936750007</v>
      </c>
      <c r="O59" s="64">
        <f>Assumptions!$C$27*F59*I59*G59</f>
        <v>74.580858000000006</v>
      </c>
      <c r="P59" s="68">
        <f>O59*Assumptions!$C$28</f>
        <v>3356.1386100000004</v>
      </c>
      <c r="Q59" s="64">
        <f>Assumptions!$C$24*4.333*F59*I59*G59</f>
        <v>82.258618327200011</v>
      </c>
      <c r="R59" s="64">
        <f>Q59*Assumptions!$C$25</f>
        <v>822.58618327200008</v>
      </c>
      <c r="S59" s="64">
        <f>MIN(O59*Assumptions!$C$48,R59)</f>
        <v>447.48514800000004</v>
      </c>
      <c r="T59" s="64">
        <f t="shared" si="20"/>
        <v>375.10103527200005</v>
      </c>
      <c r="U59" s="68">
        <f>T59*Assumptions!$C$26</f>
        <v>4501.2124232640008</v>
      </c>
      <c r="V59" s="68">
        <f>Q59*Assumptions!$C$29</f>
        <v>2467.7585498160001</v>
      </c>
      <c r="W59" s="68">
        <f t="shared" si="21"/>
        <v>7857.3510332640017</v>
      </c>
      <c r="X59" s="69">
        <f t="shared" si="22"/>
        <v>27398.948345514007</v>
      </c>
      <c r="Y59" s="68">
        <f t="shared" si="23"/>
        <v>8330.2377434910013</v>
      </c>
      <c r="Z59" s="69">
        <f t="shared" si="24"/>
        <v>19068.710602023006</v>
      </c>
      <c r="AA59" s="67">
        <f>Assumptions!$C$10*Assumptions!$C$9/12</f>
        <v>2000</v>
      </c>
      <c r="AB59" s="67">
        <f>Assumptions!$C$12/12</f>
        <v>125</v>
      </c>
      <c r="AC59" s="67">
        <f>Assumptions!$C$14/12</f>
        <v>150</v>
      </c>
      <c r="AD59" s="68">
        <f>(Assumptions!$C$32*4.333*Assumptions!$C$33+Assumptions!$C$34/12)*(1+(Assumptions!$C$35))</f>
        <v>6783.2323541666665</v>
      </c>
      <c r="AE59" s="67">
        <f>INDEX('Seasonality Data Break down'!$F$7:$F$18,C59)*G59</f>
        <v>203.40234000000001</v>
      </c>
      <c r="AF59" s="67">
        <f>INDEX('Seasonality Data Break down'!$G$7:$G$18,C59)*G59</f>
        <v>203.40234000000001</v>
      </c>
      <c r="AG59" s="67">
        <f>INDEX('Seasonality Data Break down'!$H$7:$H$18,C59)*G59</f>
        <v>101.70117</v>
      </c>
      <c r="AH59" s="69">
        <f t="shared" si="25"/>
        <v>508.50585000000001</v>
      </c>
      <c r="AI59" s="67">
        <f>Assumptions!$C$39</f>
        <v>150</v>
      </c>
      <c r="AJ59" s="67">
        <f>Assumptions!$C$40</f>
        <v>500</v>
      </c>
      <c r="AK59" s="69">
        <f t="shared" si="26"/>
        <v>10216.738204166666</v>
      </c>
      <c r="AL59" s="68">
        <f>X59*Assumptions!$C$13</f>
        <v>821.96845036542015</v>
      </c>
      <c r="AM59" s="68">
        <f>X59*Assumptions!$C$15</f>
        <v>479.48159604649516</v>
      </c>
      <c r="AN59" s="69">
        <f t="shared" si="27"/>
        <v>1301.4500464119153</v>
      </c>
      <c r="AO59" s="69">
        <f t="shared" si="28"/>
        <v>11518.188250578582</v>
      </c>
      <c r="AP59" s="69">
        <f t="shared" si="29"/>
        <v>7550.5223514444242</v>
      </c>
      <c r="AQ59" s="67">
        <f>'Startup Costs'!$D$24/(Assumptions!$C$54*12)</f>
        <v>916.66666666666663</v>
      </c>
      <c r="AR59" s="67">
        <f>-'Loan schedule'!$D$63</f>
        <v>-76.325040045739868</v>
      </c>
      <c r="AS59" s="68">
        <f t="shared" si="30"/>
        <v>6557.5306447320172</v>
      </c>
      <c r="AT59" s="68">
        <f>-MAX(AS59,0)*Assumptions!$C$41</f>
        <v>-1639.3826611830043</v>
      </c>
      <c r="AU59" s="69">
        <f t="shared" si="31"/>
        <v>4918.1479835490127</v>
      </c>
      <c r="AV59" s="67">
        <f>-'Loan schedule'!$E$63</f>
        <v>-1323.3195991125274</v>
      </c>
      <c r="AW59" s="69">
        <f t="shared" si="32"/>
        <v>4511.495051103152</v>
      </c>
      <c r="AX59" s="68">
        <f t="shared" si="37"/>
        <v>160416.68433440954</v>
      </c>
      <c r="AY59" s="69">
        <f t="shared" si="33"/>
        <v>164928.17938551269</v>
      </c>
      <c r="AZ59" s="63">
        <f t="shared" si="34"/>
        <v>0.69596505535750242</v>
      </c>
      <c r="BA59" s="63">
        <f t="shared" si="35"/>
        <v>0.27557708625267952</v>
      </c>
      <c r="BB59" s="102">
        <f t="shared" si="36"/>
        <v>0.17950134149416191</v>
      </c>
    </row>
    <row r="60" spans="1:54" ht="15" customHeight="1" x14ac:dyDescent="0.25">
      <c r="A60" s="101">
        <v>53</v>
      </c>
      <c r="B60" s="19">
        <v>5</v>
      </c>
      <c r="C60" s="19">
        <v>5</v>
      </c>
      <c r="D60" s="62" t="str">
        <f>'Seasonality Data Break down'!$B$11&amp;" Y"&amp;B60</f>
        <v>May Y5</v>
      </c>
      <c r="E60" s="63">
        <f>IF(B60=1,INDEX(Workings!$B$27:$B$38,C60),1)</f>
        <v>1</v>
      </c>
      <c r="F60" s="63">
        <f>IF(B60=1,INDEX(Workings!$C$27:$C$38,C60),1)</f>
        <v>1</v>
      </c>
      <c r="G60" s="64">
        <f>INDEX(Workings!$C$19:$C$23,B60)</f>
        <v>1.3560156000000001</v>
      </c>
      <c r="H60" s="65">
        <f>INDEX('Seasonality Data Break down'!$C$7:$C$18,C60)</f>
        <v>1.05</v>
      </c>
      <c r="I60" s="65">
        <f>INDEX('Seasonality Data Break down'!$D$7:$D$18,C60)</f>
        <v>0.95</v>
      </c>
      <c r="J60" s="66">
        <f>Assumptions!$C$18/12</f>
        <v>26.083333333333332</v>
      </c>
      <c r="K60" s="64">
        <f>Assumptions!$C$19*E60*H60*G60</f>
        <v>92.548064700000012</v>
      </c>
      <c r="L60" s="67">
        <f>Assumptions!$C$20+INDEX('Seasonality Data Break down'!$E$7:$E$18,C60)</f>
        <v>8.5</v>
      </c>
      <c r="M60" s="68">
        <f t="shared" si="19"/>
        <v>20518.677177862501</v>
      </c>
      <c r="N60" s="68">
        <f>M60*Assumptions!$C$21</f>
        <v>6155.6031533587502</v>
      </c>
      <c r="O60" s="64">
        <f>Assumptions!$C$27*F60*I60*G60</f>
        <v>70.85181510000001</v>
      </c>
      <c r="P60" s="68">
        <f>O60*Assumptions!$C$28</f>
        <v>3188.3316795000005</v>
      </c>
      <c r="Q60" s="64">
        <f>Assumptions!$C$24*4.333*F60*I60*G60</f>
        <v>78.145687410840011</v>
      </c>
      <c r="R60" s="64">
        <f>Q60*Assumptions!$C$25</f>
        <v>781.45687410840014</v>
      </c>
      <c r="S60" s="64">
        <f>MIN(O60*Assumptions!$C$48,R60)</f>
        <v>425.11089060000006</v>
      </c>
      <c r="T60" s="64">
        <f t="shared" si="20"/>
        <v>356.34598350840008</v>
      </c>
      <c r="U60" s="68">
        <f>T60*Assumptions!$C$26</f>
        <v>4276.1518021008014</v>
      </c>
      <c r="V60" s="68">
        <f>Q60*Assumptions!$C$29</f>
        <v>2344.3706223252002</v>
      </c>
      <c r="W60" s="68">
        <f t="shared" si="21"/>
        <v>7464.4834816008024</v>
      </c>
      <c r="X60" s="69">
        <f t="shared" si="22"/>
        <v>27983.160659463305</v>
      </c>
      <c r="Y60" s="68">
        <f t="shared" si="23"/>
        <v>8499.9737756839495</v>
      </c>
      <c r="Z60" s="69">
        <f t="shared" si="24"/>
        <v>19483.186883779355</v>
      </c>
      <c r="AA60" s="67">
        <f>Assumptions!$C$10*Assumptions!$C$9/12</f>
        <v>2000</v>
      </c>
      <c r="AB60" s="67">
        <f>Assumptions!$C$12/12</f>
        <v>125</v>
      </c>
      <c r="AC60" s="67">
        <f>Assumptions!$C$14/12</f>
        <v>150</v>
      </c>
      <c r="AD60" s="68">
        <f>(Assumptions!$C$32*4.333*Assumptions!$C$33+Assumptions!$C$34/12)*(1+(Assumptions!$C$35))</f>
        <v>6783.2323541666665</v>
      </c>
      <c r="AE60" s="67">
        <f>INDEX('Seasonality Data Break down'!$F$7:$F$18,C60)*G60</f>
        <v>203.40234000000001</v>
      </c>
      <c r="AF60" s="67">
        <f>INDEX('Seasonality Data Break down'!$G$7:$G$18,C60)*G60</f>
        <v>271.20312000000001</v>
      </c>
      <c r="AG60" s="67">
        <f>INDEX('Seasonality Data Break down'!$H$7:$H$18,C60)*G60</f>
        <v>101.70117</v>
      </c>
      <c r="AH60" s="69">
        <f t="shared" si="25"/>
        <v>576.30663000000004</v>
      </c>
      <c r="AI60" s="67">
        <f>Assumptions!$C$39</f>
        <v>150</v>
      </c>
      <c r="AJ60" s="67">
        <f>Assumptions!$C$40</f>
        <v>500</v>
      </c>
      <c r="AK60" s="69">
        <f t="shared" si="26"/>
        <v>10284.538984166666</v>
      </c>
      <c r="AL60" s="68">
        <f>X60*Assumptions!$C$13</f>
        <v>839.49481978389906</v>
      </c>
      <c r="AM60" s="68">
        <f>X60*Assumptions!$C$15</f>
        <v>489.70531154060791</v>
      </c>
      <c r="AN60" s="69">
        <f t="shared" si="27"/>
        <v>1329.2001313245069</v>
      </c>
      <c r="AO60" s="69">
        <f t="shared" si="28"/>
        <v>11613.739115491173</v>
      </c>
      <c r="AP60" s="69">
        <f t="shared" si="29"/>
        <v>7869.4477682881825</v>
      </c>
      <c r="AQ60" s="67">
        <f>'Startup Costs'!$D$24/(Assumptions!$C$54*12)</f>
        <v>916.66666666666663</v>
      </c>
      <c r="AR60" s="67">
        <f>-'Loan schedule'!$D$64</f>
        <v>-68.054292551286565</v>
      </c>
      <c r="AS60" s="68">
        <f t="shared" si="30"/>
        <v>6884.7268090702291</v>
      </c>
      <c r="AT60" s="68">
        <f>-MAX(AS60,0)*Assumptions!$C$41</f>
        <v>-1721.1817022675573</v>
      </c>
      <c r="AU60" s="69">
        <f t="shared" si="31"/>
        <v>5163.5451068026723</v>
      </c>
      <c r="AV60" s="67">
        <f>-'Loan schedule'!$E$64</f>
        <v>-1331.5903466069806</v>
      </c>
      <c r="AW60" s="69">
        <f t="shared" si="32"/>
        <v>4748.6214268623589</v>
      </c>
      <c r="AX60" s="68">
        <f t="shared" si="37"/>
        <v>164928.17938551269</v>
      </c>
      <c r="AY60" s="69">
        <f t="shared" si="33"/>
        <v>169676.80081237503</v>
      </c>
      <c r="AZ60" s="63">
        <f t="shared" si="34"/>
        <v>0.69624682932985837</v>
      </c>
      <c r="BA60" s="63">
        <f t="shared" si="35"/>
        <v>0.28122083363113254</v>
      </c>
      <c r="BB60" s="102">
        <f t="shared" si="36"/>
        <v>0.18452329848081231</v>
      </c>
    </row>
    <row r="61" spans="1:54" ht="15" customHeight="1" x14ac:dyDescent="0.25">
      <c r="A61" s="101">
        <v>54</v>
      </c>
      <c r="B61" s="19">
        <v>5</v>
      </c>
      <c r="C61" s="19">
        <v>6</v>
      </c>
      <c r="D61" s="62" t="str">
        <f>'Seasonality Data Break down'!$B$12&amp;" Y"&amp;B61</f>
        <v>June Y5</v>
      </c>
      <c r="E61" s="63">
        <f>IF(B61=1,INDEX(Workings!$B$27:$B$38,C61),1)</f>
        <v>1</v>
      </c>
      <c r="F61" s="63">
        <f>IF(B61=1,INDEX(Workings!$C$27:$C$38,C61),1)</f>
        <v>1</v>
      </c>
      <c r="G61" s="64">
        <f>INDEX(Workings!$C$19:$C$23,B61)</f>
        <v>1.3560156000000001</v>
      </c>
      <c r="H61" s="65">
        <f>INDEX('Seasonality Data Break down'!$C$7:$C$18,C61)</f>
        <v>1.1000000000000001</v>
      </c>
      <c r="I61" s="65">
        <f>INDEX('Seasonality Data Break down'!$D$7:$D$18,C61)</f>
        <v>0.85</v>
      </c>
      <c r="J61" s="66">
        <f>Assumptions!$C$18/12</f>
        <v>26.083333333333332</v>
      </c>
      <c r="K61" s="64">
        <f>Assumptions!$C$19*E61*H61*G61</f>
        <v>96.955115400000011</v>
      </c>
      <c r="L61" s="67">
        <f>Assumptions!$C$20+INDEX('Seasonality Data Break down'!$E$7:$E$18,C61)</f>
        <v>9.25</v>
      </c>
      <c r="M61" s="68">
        <f t="shared" si="19"/>
        <v>23392.4414884875</v>
      </c>
      <c r="N61" s="68">
        <f>M61*Assumptions!$C$21</f>
        <v>7017.7324465462498</v>
      </c>
      <c r="O61" s="64">
        <f>Assumptions!$C$27*F61*I61*G61</f>
        <v>63.393729300000004</v>
      </c>
      <c r="P61" s="68">
        <f>O61*Assumptions!$C$28</f>
        <v>2852.7178185000002</v>
      </c>
      <c r="Q61" s="64">
        <f>Assumptions!$C$24*4.333*F61*I61*G61</f>
        <v>69.919825578120012</v>
      </c>
      <c r="R61" s="64">
        <f>Q61*Assumptions!$C$25</f>
        <v>699.19825578120015</v>
      </c>
      <c r="S61" s="64">
        <f>MIN(O61*Assumptions!$C$48,R61)</f>
        <v>380.3623758</v>
      </c>
      <c r="T61" s="64">
        <f t="shared" si="20"/>
        <v>318.83587998120015</v>
      </c>
      <c r="U61" s="68">
        <f>T61*Assumptions!$C$26</f>
        <v>3826.0305597744018</v>
      </c>
      <c r="V61" s="68">
        <f>Q61*Assumptions!$C$29</f>
        <v>2097.5947673436003</v>
      </c>
      <c r="W61" s="68">
        <f t="shared" si="21"/>
        <v>6678.7483782744021</v>
      </c>
      <c r="X61" s="69">
        <f t="shared" si="22"/>
        <v>30071.189866761903</v>
      </c>
      <c r="Y61" s="68">
        <f t="shared" si="23"/>
        <v>9115.3272138898501</v>
      </c>
      <c r="Z61" s="69">
        <f t="shared" si="24"/>
        <v>20955.862652872052</v>
      </c>
      <c r="AA61" s="67">
        <f>Assumptions!$C$10*Assumptions!$C$9/12</f>
        <v>2000</v>
      </c>
      <c r="AB61" s="67">
        <f>Assumptions!$C$12/12</f>
        <v>125</v>
      </c>
      <c r="AC61" s="67">
        <f>Assumptions!$C$14/12</f>
        <v>150</v>
      </c>
      <c r="AD61" s="68">
        <f>(Assumptions!$C$32*4.333*Assumptions!$C$33+Assumptions!$C$34/12)*(1+(Assumptions!$C$35))</f>
        <v>6783.2323541666665</v>
      </c>
      <c r="AE61" s="67">
        <f>INDEX('Seasonality Data Break down'!$F$7:$F$18,C61)*G61</f>
        <v>339.00390000000004</v>
      </c>
      <c r="AF61" s="67">
        <f>INDEX('Seasonality Data Break down'!$G$7:$G$18,C61)*G61</f>
        <v>203.40234000000001</v>
      </c>
      <c r="AG61" s="67">
        <f>INDEX('Seasonality Data Break down'!$H$7:$H$18,C61)*G61</f>
        <v>101.70117</v>
      </c>
      <c r="AH61" s="69">
        <f t="shared" si="25"/>
        <v>644.10741000000007</v>
      </c>
      <c r="AI61" s="67">
        <f>Assumptions!$C$39</f>
        <v>150</v>
      </c>
      <c r="AJ61" s="67">
        <f>Assumptions!$C$40</f>
        <v>500</v>
      </c>
      <c r="AK61" s="69">
        <f t="shared" si="26"/>
        <v>10352.339764166667</v>
      </c>
      <c r="AL61" s="68">
        <f>X61*Assumptions!$C$13</f>
        <v>902.135696002857</v>
      </c>
      <c r="AM61" s="68">
        <f>X61*Assumptions!$C$15</f>
        <v>526.24582266833329</v>
      </c>
      <c r="AN61" s="69">
        <f t="shared" si="27"/>
        <v>1428.3815186711904</v>
      </c>
      <c r="AO61" s="69">
        <f t="shared" si="28"/>
        <v>11780.721282837858</v>
      </c>
      <c r="AP61" s="69">
        <f t="shared" si="29"/>
        <v>9175.1413700341946</v>
      </c>
      <c r="AQ61" s="67">
        <f>'Startup Costs'!$D$24/(Assumptions!$C$54*12)</f>
        <v>916.66666666666663</v>
      </c>
      <c r="AR61" s="67">
        <f>-'Loan schedule'!$D$65</f>
        <v>-59.731852884992939</v>
      </c>
      <c r="AS61" s="68">
        <f t="shared" si="30"/>
        <v>8198.7428504825348</v>
      </c>
      <c r="AT61" s="68">
        <f>-MAX(AS61,0)*Assumptions!$C$41</f>
        <v>-2049.6857126206337</v>
      </c>
      <c r="AU61" s="69">
        <f t="shared" si="31"/>
        <v>6149.0571378619006</v>
      </c>
      <c r="AV61" s="67">
        <f>-'Loan schedule'!$E$65</f>
        <v>-1339.9127862732742</v>
      </c>
      <c r="AW61" s="69">
        <f t="shared" si="32"/>
        <v>5725.8110182552937</v>
      </c>
      <c r="AX61" s="68">
        <f t="shared" si="37"/>
        <v>169676.80081237503</v>
      </c>
      <c r="AY61" s="69">
        <f t="shared" si="33"/>
        <v>175402.61183063034</v>
      </c>
      <c r="AZ61" s="63">
        <f t="shared" si="34"/>
        <v>0.69687507364099532</v>
      </c>
      <c r="BA61" s="63">
        <f t="shared" si="35"/>
        <v>0.30511401147367312</v>
      </c>
      <c r="BB61" s="102">
        <f t="shared" si="36"/>
        <v>0.2044833332204968</v>
      </c>
    </row>
    <row r="62" spans="1:54" ht="15" customHeight="1" x14ac:dyDescent="0.25">
      <c r="A62" s="101">
        <v>55</v>
      </c>
      <c r="B62" s="19">
        <v>5</v>
      </c>
      <c r="C62" s="19">
        <v>7</v>
      </c>
      <c r="D62" s="62" t="str">
        <f>'Seasonality Data Break down'!$B$13&amp;" Y"&amp;B62</f>
        <v>July Y5</v>
      </c>
      <c r="E62" s="63">
        <f>IF(B62=1,INDEX(Workings!$B$27:$B$38,C62),1)</f>
        <v>1</v>
      </c>
      <c r="F62" s="63">
        <f>IF(B62=1,INDEX(Workings!$C$27:$C$38,C62),1)</f>
        <v>1</v>
      </c>
      <c r="G62" s="64">
        <f>INDEX(Workings!$C$19:$C$23,B62)</f>
        <v>1.3560156000000001</v>
      </c>
      <c r="H62" s="65">
        <f>INDEX('Seasonality Data Break down'!$C$7:$C$18,C62)</f>
        <v>1.1499999999999999</v>
      </c>
      <c r="I62" s="65">
        <f>INDEX('Seasonality Data Break down'!$D$7:$D$18,C62)</f>
        <v>0.8</v>
      </c>
      <c r="J62" s="66">
        <f>Assumptions!$C$18/12</f>
        <v>26.083333333333332</v>
      </c>
      <c r="K62" s="64">
        <f>Assumptions!$C$19*E62*H62*G62</f>
        <v>101.36216610000001</v>
      </c>
      <c r="L62" s="67">
        <f>Assumptions!$C$20+INDEX('Seasonality Data Break down'!$E$7:$E$18,C62)</f>
        <v>9.25</v>
      </c>
      <c r="M62" s="68">
        <f t="shared" si="19"/>
        <v>24455.734283418751</v>
      </c>
      <c r="N62" s="68">
        <f>M62*Assumptions!$C$21</f>
        <v>7336.7202850256253</v>
      </c>
      <c r="O62" s="64">
        <f>Assumptions!$C$27*F62*I62*G62</f>
        <v>59.664686400000008</v>
      </c>
      <c r="P62" s="68">
        <f>O62*Assumptions!$C$28</f>
        <v>2684.9108880000003</v>
      </c>
      <c r="Q62" s="64">
        <f>Assumptions!$C$24*4.333*F62*I62*G62</f>
        <v>65.806894661760012</v>
      </c>
      <c r="R62" s="64">
        <f>Q62*Assumptions!$C$25</f>
        <v>658.06894661760009</v>
      </c>
      <c r="S62" s="64">
        <f>MIN(O62*Assumptions!$C$48,R62)</f>
        <v>357.98811840000008</v>
      </c>
      <c r="T62" s="64">
        <f t="shared" si="20"/>
        <v>300.08082821760001</v>
      </c>
      <c r="U62" s="68">
        <f>T62*Assumptions!$C$26</f>
        <v>3600.9699386112002</v>
      </c>
      <c r="V62" s="68">
        <f>Q62*Assumptions!$C$29</f>
        <v>1974.2068398528004</v>
      </c>
      <c r="W62" s="68">
        <f t="shared" si="21"/>
        <v>6285.880826611201</v>
      </c>
      <c r="X62" s="69">
        <f t="shared" si="22"/>
        <v>30741.615110029954</v>
      </c>
      <c r="Y62" s="68">
        <f t="shared" si="23"/>
        <v>9310.9271248784262</v>
      </c>
      <c r="Z62" s="69">
        <f t="shared" si="24"/>
        <v>21430.687985151526</v>
      </c>
      <c r="AA62" s="67">
        <f>Assumptions!$C$10*Assumptions!$C$9/12</f>
        <v>2000</v>
      </c>
      <c r="AB62" s="67">
        <f>Assumptions!$C$12/12</f>
        <v>125</v>
      </c>
      <c r="AC62" s="67">
        <f>Assumptions!$C$14/12</f>
        <v>150</v>
      </c>
      <c r="AD62" s="68">
        <f>(Assumptions!$C$32*4.333*Assumptions!$C$33+Assumptions!$C$34/12)*(1+(Assumptions!$C$35))</f>
        <v>6783.2323541666665</v>
      </c>
      <c r="AE62" s="67">
        <f>INDEX('Seasonality Data Break down'!$F$7:$F$18,C62)*G62</f>
        <v>339.00390000000004</v>
      </c>
      <c r="AF62" s="67">
        <f>INDEX('Seasonality Data Break down'!$G$7:$G$18,C62)*G62</f>
        <v>203.40234000000001</v>
      </c>
      <c r="AG62" s="67">
        <f>INDEX('Seasonality Data Break down'!$H$7:$H$18,C62)*G62</f>
        <v>101.70117</v>
      </c>
      <c r="AH62" s="69">
        <f t="shared" si="25"/>
        <v>644.10741000000007</v>
      </c>
      <c r="AI62" s="67">
        <f>Assumptions!$C$39</f>
        <v>150</v>
      </c>
      <c r="AJ62" s="67">
        <f>Assumptions!$C$40</f>
        <v>500</v>
      </c>
      <c r="AK62" s="69">
        <f t="shared" si="26"/>
        <v>10352.339764166667</v>
      </c>
      <c r="AL62" s="68">
        <f>X62*Assumptions!$C$13</f>
        <v>922.24845330089863</v>
      </c>
      <c r="AM62" s="68">
        <f>X62*Assumptions!$C$15</f>
        <v>537.97826442552423</v>
      </c>
      <c r="AN62" s="69">
        <f t="shared" si="27"/>
        <v>1460.226717726423</v>
      </c>
      <c r="AO62" s="69">
        <f t="shared" si="28"/>
        <v>11812.566481893089</v>
      </c>
      <c r="AP62" s="69">
        <f t="shared" si="29"/>
        <v>9618.1215032584369</v>
      </c>
      <c r="AQ62" s="67">
        <f>'Startup Costs'!$D$24/(Assumptions!$C$54*12)</f>
        <v>916.66666666666663</v>
      </c>
      <c r="AR62" s="67">
        <f>-'Loan schedule'!$D$66</f>
        <v>-51.357397970784973</v>
      </c>
      <c r="AS62" s="68">
        <f t="shared" si="30"/>
        <v>8650.0974386209855</v>
      </c>
      <c r="AT62" s="68">
        <f>-MAX(AS62,0)*Assumptions!$C$41</f>
        <v>-2162.5243596552464</v>
      </c>
      <c r="AU62" s="69">
        <f t="shared" si="31"/>
        <v>6487.5730789657391</v>
      </c>
      <c r="AV62" s="67">
        <f>-'Loan schedule'!$E$66</f>
        <v>-1348.2872411874823</v>
      </c>
      <c r="AW62" s="69">
        <f t="shared" si="32"/>
        <v>6055.9525044449238</v>
      </c>
      <c r="AX62" s="68">
        <f t="shared" si="37"/>
        <v>175402.61183063034</v>
      </c>
      <c r="AY62" s="69">
        <f t="shared" si="33"/>
        <v>181458.56433507527</v>
      </c>
      <c r="AZ62" s="63">
        <f t="shared" si="34"/>
        <v>0.69712303366128003</v>
      </c>
      <c r="BA62" s="63">
        <f t="shared" si="35"/>
        <v>0.3128697522506021</v>
      </c>
      <c r="BB62" s="102">
        <f t="shared" si="36"/>
        <v>0.21103553133904998</v>
      </c>
    </row>
    <row r="63" spans="1:54" ht="15" customHeight="1" x14ac:dyDescent="0.25">
      <c r="A63" s="101">
        <v>56</v>
      </c>
      <c r="B63" s="19">
        <v>5</v>
      </c>
      <c r="C63" s="19">
        <v>8</v>
      </c>
      <c r="D63" s="62" t="str">
        <f>'Seasonality Data Break down'!$B$14&amp;" Y"&amp;B63</f>
        <v>August Y5</v>
      </c>
      <c r="E63" s="63">
        <f>IF(B63=1,INDEX(Workings!$B$27:$B$38,C63),1)</f>
        <v>1</v>
      </c>
      <c r="F63" s="63">
        <f>IF(B63=1,INDEX(Workings!$C$27:$C$38,C63),1)</f>
        <v>1</v>
      </c>
      <c r="G63" s="64">
        <f>INDEX(Workings!$C$19:$C$23,B63)</f>
        <v>1.3560156000000001</v>
      </c>
      <c r="H63" s="65">
        <f>INDEX('Seasonality Data Break down'!$C$7:$C$18,C63)</f>
        <v>1</v>
      </c>
      <c r="I63" s="65">
        <f>INDEX('Seasonality Data Break down'!$D$7:$D$18,C63)</f>
        <v>0.85</v>
      </c>
      <c r="J63" s="66">
        <f>Assumptions!$C$18/12</f>
        <v>26.083333333333332</v>
      </c>
      <c r="K63" s="64">
        <f>Assumptions!$C$19*E63*H63*G63</f>
        <v>88.141014000000013</v>
      </c>
      <c r="L63" s="67">
        <f>Assumptions!$C$20+INDEX('Seasonality Data Break down'!$E$7:$E$18,C63)</f>
        <v>9.25</v>
      </c>
      <c r="M63" s="68">
        <f t="shared" si="19"/>
        <v>21265.855898625003</v>
      </c>
      <c r="N63" s="68">
        <f>M63*Assumptions!$C$21</f>
        <v>6379.7567695875005</v>
      </c>
      <c r="O63" s="64">
        <f>Assumptions!$C$27*F63*I63*G63</f>
        <v>63.393729300000004</v>
      </c>
      <c r="P63" s="68">
        <f>O63*Assumptions!$C$28</f>
        <v>2852.7178185000002</v>
      </c>
      <c r="Q63" s="64">
        <f>Assumptions!$C$24*4.333*F63*I63*G63</f>
        <v>69.919825578120012</v>
      </c>
      <c r="R63" s="64">
        <f>Q63*Assumptions!$C$25</f>
        <v>699.19825578120015</v>
      </c>
      <c r="S63" s="64">
        <f>MIN(O63*Assumptions!$C$48,R63)</f>
        <v>380.3623758</v>
      </c>
      <c r="T63" s="64">
        <f t="shared" si="20"/>
        <v>318.83587998120015</v>
      </c>
      <c r="U63" s="68">
        <f>T63*Assumptions!$C$26</f>
        <v>3826.0305597744018</v>
      </c>
      <c r="V63" s="68">
        <f>Q63*Assumptions!$C$29</f>
        <v>2097.5947673436003</v>
      </c>
      <c r="W63" s="68">
        <f t="shared" si="21"/>
        <v>6678.7483782744021</v>
      </c>
      <c r="X63" s="69">
        <f t="shared" si="22"/>
        <v>27944.604276899405</v>
      </c>
      <c r="Y63" s="68">
        <f t="shared" si="23"/>
        <v>8477.3515369311008</v>
      </c>
      <c r="Z63" s="69">
        <f t="shared" si="24"/>
        <v>19467.252739968302</v>
      </c>
      <c r="AA63" s="67">
        <f>Assumptions!$C$10*Assumptions!$C$9/12</f>
        <v>2000</v>
      </c>
      <c r="AB63" s="67">
        <f>Assumptions!$C$12/12</f>
        <v>125</v>
      </c>
      <c r="AC63" s="67">
        <f>Assumptions!$C$14/12</f>
        <v>150</v>
      </c>
      <c r="AD63" s="68">
        <f>(Assumptions!$C$32*4.333*Assumptions!$C$33+Assumptions!$C$34/12)*(1+(Assumptions!$C$35))</f>
        <v>6783.2323541666665</v>
      </c>
      <c r="AE63" s="67">
        <f>INDEX('Seasonality Data Break down'!$F$7:$F$18,C63)*G63</f>
        <v>203.40234000000001</v>
      </c>
      <c r="AF63" s="67">
        <f>INDEX('Seasonality Data Break down'!$G$7:$G$18,C63)*G63</f>
        <v>203.40234000000001</v>
      </c>
      <c r="AG63" s="67">
        <f>INDEX('Seasonality Data Break down'!$H$7:$H$18,C63)*G63</f>
        <v>101.70117</v>
      </c>
      <c r="AH63" s="69">
        <f t="shared" si="25"/>
        <v>508.50585000000001</v>
      </c>
      <c r="AI63" s="67">
        <f>Assumptions!$C$39</f>
        <v>150</v>
      </c>
      <c r="AJ63" s="67">
        <f>Assumptions!$C$40</f>
        <v>500</v>
      </c>
      <c r="AK63" s="69">
        <f t="shared" si="26"/>
        <v>10216.738204166666</v>
      </c>
      <c r="AL63" s="68">
        <f>X63*Assumptions!$C$13</f>
        <v>838.33812830698207</v>
      </c>
      <c r="AM63" s="68">
        <f>X63*Assumptions!$C$15</f>
        <v>489.03057484573964</v>
      </c>
      <c r="AN63" s="69">
        <f t="shared" si="27"/>
        <v>1327.3687031527218</v>
      </c>
      <c r="AO63" s="69">
        <f t="shared" si="28"/>
        <v>11544.106907319388</v>
      </c>
      <c r="AP63" s="69">
        <f t="shared" si="29"/>
        <v>7923.1458326489137</v>
      </c>
      <c r="AQ63" s="67">
        <f>'Startup Costs'!$D$24/(Assumptions!$C$54*12)</f>
        <v>916.66666666666663</v>
      </c>
      <c r="AR63" s="67">
        <f>-'Loan schedule'!$D$67</f>
        <v>-42.930602713363207</v>
      </c>
      <c r="AS63" s="68">
        <f t="shared" si="30"/>
        <v>6963.5485632688833</v>
      </c>
      <c r="AT63" s="68">
        <f>-MAX(AS63,0)*Assumptions!$C$41</f>
        <v>-1740.8871408172208</v>
      </c>
      <c r="AU63" s="69">
        <f t="shared" si="31"/>
        <v>5222.6614224516625</v>
      </c>
      <c r="AV63" s="67">
        <f>-'Loan schedule'!$E$67</f>
        <v>-1356.714036444904</v>
      </c>
      <c r="AW63" s="69">
        <f t="shared" si="32"/>
        <v>4782.6140526734252</v>
      </c>
      <c r="AX63" s="68">
        <f t="shared" si="37"/>
        <v>181458.56433507527</v>
      </c>
      <c r="AY63" s="69">
        <f t="shared" si="33"/>
        <v>186241.17838774869</v>
      </c>
      <c r="AZ63" s="63">
        <f t="shared" si="34"/>
        <v>0.69663726661039316</v>
      </c>
      <c r="BA63" s="63">
        <f t="shared" si="35"/>
        <v>0.2835304359345906</v>
      </c>
      <c r="BB63" s="102">
        <f t="shared" si="36"/>
        <v>0.18689337557622923</v>
      </c>
    </row>
    <row r="64" spans="1:54" ht="15" customHeight="1" x14ac:dyDescent="0.25">
      <c r="A64" s="101">
        <v>57</v>
      </c>
      <c r="B64" s="19">
        <v>5</v>
      </c>
      <c r="C64" s="19">
        <v>9</v>
      </c>
      <c r="D64" s="62" t="str">
        <f>'Seasonality Data Break down'!$B$15&amp;" Y"&amp;B64</f>
        <v>September Y5</v>
      </c>
      <c r="E64" s="63">
        <f>IF(B64=1,INDEX(Workings!$B$27:$B$38,C64),1)</f>
        <v>1</v>
      </c>
      <c r="F64" s="63">
        <f>IF(B64=1,INDEX(Workings!$C$27:$C$38,C64),1)</f>
        <v>1</v>
      </c>
      <c r="G64" s="64">
        <f>INDEX(Workings!$C$19:$C$23,B64)</f>
        <v>1.3560156000000001</v>
      </c>
      <c r="H64" s="65">
        <f>INDEX('Seasonality Data Break down'!$C$7:$C$18,C64)</f>
        <v>0.95</v>
      </c>
      <c r="I64" s="65">
        <f>INDEX('Seasonality Data Break down'!$D$7:$D$18,C64)</f>
        <v>1.05</v>
      </c>
      <c r="J64" s="66">
        <f>Assumptions!$C$18/12</f>
        <v>26.083333333333332</v>
      </c>
      <c r="K64" s="64">
        <f>Assumptions!$C$19*E64*H64*G64</f>
        <v>83.733963299999999</v>
      </c>
      <c r="L64" s="67">
        <f>Assumptions!$C$20+INDEX('Seasonality Data Break down'!$E$7:$E$18,C64)</f>
        <v>8.5</v>
      </c>
      <c r="M64" s="68">
        <f t="shared" si="19"/>
        <v>18564.517446637496</v>
      </c>
      <c r="N64" s="68">
        <f>M64*Assumptions!$C$21</f>
        <v>5569.3552339912485</v>
      </c>
      <c r="O64" s="64">
        <f>Assumptions!$C$27*F64*I64*G64</f>
        <v>78.309900900000002</v>
      </c>
      <c r="P64" s="68">
        <f>O64*Assumptions!$C$28</f>
        <v>3523.9455404999999</v>
      </c>
      <c r="Q64" s="64">
        <f>Assumptions!$C$24*4.333*F64*I64*G64</f>
        <v>86.371549243560025</v>
      </c>
      <c r="R64" s="64">
        <f>Q64*Assumptions!$C$25</f>
        <v>863.71549243560025</v>
      </c>
      <c r="S64" s="64">
        <f>MIN(O64*Assumptions!$C$48,R64)</f>
        <v>469.85940540000001</v>
      </c>
      <c r="T64" s="64">
        <f t="shared" si="20"/>
        <v>393.85608703560024</v>
      </c>
      <c r="U64" s="68">
        <f>T64*Assumptions!$C$26</f>
        <v>4726.2730444272029</v>
      </c>
      <c r="V64" s="68">
        <f>Q64*Assumptions!$C$29</f>
        <v>2591.146477306801</v>
      </c>
      <c r="W64" s="68">
        <f t="shared" si="21"/>
        <v>8250.2185849272028</v>
      </c>
      <c r="X64" s="69">
        <f t="shared" si="22"/>
        <v>26814.736031564698</v>
      </c>
      <c r="Y64" s="68">
        <f t="shared" si="23"/>
        <v>8160.5017112980495</v>
      </c>
      <c r="Z64" s="69">
        <f t="shared" si="24"/>
        <v>18654.234320266649</v>
      </c>
      <c r="AA64" s="67">
        <f>Assumptions!$C$10*Assumptions!$C$9/12</f>
        <v>2000</v>
      </c>
      <c r="AB64" s="67">
        <f>Assumptions!$C$12/12</f>
        <v>125</v>
      </c>
      <c r="AC64" s="67">
        <f>Assumptions!$C$14/12</f>
        <v>150</v>
      </c>
      <c r="AD64" s="68">
        <f>(Assumptions!$C$32*4.333*Assumptions!$C$33+Assumptions!$C$34/12)*(1+(Assumptions!$C$35))</f>
        <v>6783.2323541666665</v>
      </c>
      <c r="AE64" s="67">
        <f>INDEX('Seasonality Data Break down'!$F$7:$F$18,C64)*G64</f>
        <v>271.20312000000001</v>
      </c>
      <c r="AF64" s="67">
        <f>INDEX('Seasonality Data Break down'!$G$7:$G$18,C64)*G64</f>
        <v>271.20312000000001</v>
      </c>
      <c r="AG64" s="67">
        <f>INDEX('Seasonality Data Break down'!$H$7:$H$18,C64)*G64</f>
        <v>101.70117</v>
      </c>
      <c r="AH64" s="69">
        <f t="shared" si="25"/>
        <v>644.10741000000007</v>
      </c>
      <c r="AI64" s="67">
        <f>Assumptions!$C$39</f>
        <v>150</v>
      </c>
      <c r="AJ64" s="67">
        <f>Assumptions!$C$40</f>
        <v>500</v>
      </c>
      <c r="AK64" s="69">
        <f t="shared" si="26"/>
        <v>10352.339764166667</v>
      </c>
      <c r="AL64" s="68">
        <f>X64*Assumptions!$C$13</f>
        <v>804.44208094694091</v>
      </c>
      <c r="AM64" s="68">
        <f>X64*Assumptions!$C$15</f>
        <v>469.25788055238229</v>
      </c>
      <c r="AN64" s="69">
        <f t="shared" si="27"/>
        <v>1273.6999614993233</v>
      </c>
      <c r="AO64" s="69">
        <f t="shared" si="28"/>
        <v>11626.039725665991</v>
      </c>
      <c r="AP64" s="69">
        <f t="shared" si="29"/>
        <v>7028.1945946006581</v>
      </c>
      <c r="AQ64" s="67">
        <f>'Startup Costs'!$D$24/(Assumptions!$C$54*12)</f>
        <v>916.66666666666663</v>
      </c>
      <c r="AR64" s="67">
        <f>-'Loan schedule'!$D$68</f>
        <v>-34.451139985582557</v>
      </c>
      <c r="AS64" s="68">
        <f t="shared" si="30"/>
        <v>6077.0767879484083</v>
      </c>
      <c r="AT64" s="68">
        <f>-MAX(AS64,0)*Assumptions!$C$41</f>
        <v>-1519.2691969871021</v>
      </c>
      <c r="AU64" s="69">
        <f t="shared" si="31"/>
        <v>4557.8075909613062</v>
      </c>
      <c r="AV64" s="67">
        <f>-'Loan schedule'!$E$68</f>
        <v>-1365.1934991726846</v>
      </c>
      <c r="AW64" s="69">
        <f t="shared" si="32"/>
        <v>4109.2807584552884</v>
      </c>
      <c r="AX64" s="68">
        <f t="shared" si="37"/>
        <v>186241.17838774869</v>
      </c>
      <c r="AY64" s="69">
        <f t="shared" si="33"/>
        <v>190350.45914620397</v>
      </c>
      <c r="AZ64" s="63">
        <f t="shared" si="34"/>
        <v>0.69567100337321996</v>
      </c>
      <c r="BA64" s="63">
        <f t="shared" si="35"/>
        <v>0.26210194970136902</v>
      </c>
      <c r="BB64" s="102">
        <f t="shared" si="36"/>
        <v>0.1699739869001928</v>
      </c>
    </row>
    <row r="65" spans="1:54" ht="15" customHeight="1" x14ac:dyDescent="0.25">
      <c r="A65" s="101">
        <v>58</v>
      </c>
      <c r="B65" s="19">
        <v>5</v>
      </c>
      <c r="C65" s="19">
        <v>10</v>
      </c>
      <c r="D65" s="62" t="str">
        <f>'Seasonality Data Break down'!$B$16&amp;" Y"&amp;B65</f>
        <v>October Y5</v>
      </c>
      <c r="E65" s="63">
        <f>IF(B65=1,INDEX(Workings!$B$27:$B$38,C65),1)</f>
        <v>1</v>
      </c>
      <c r="F65" s="63">
        <f>IF(B65=1,INDEX(Workings!$C$27:$C$38,C65),1)</f>
        <v>1</v>
      </c>
      <c r="G65" s="64">
        <f>INDEX(Workings!$C$19:$C$23,B65)</f>
        <v>1.3560156000000001</v>
      </c>
      <c r="H65" s="65">
        <f>INDEX('Seasonality Data Break down'!$C$7:$C$18,C65)</f>
        <v>1</v>
      </c>
      <c r="I65" s="65">
        <f>INDEX('Seasonality Data Break down'!$D$7:$D$18,C65)</f>
        <v>1</v>
      </c>
      <c r="J65" s="66">
        <f>Assumptions!$C$18/12</f>
        <v>26.083333333333332</v>
      </c>
      <c r="K65" s="64">
        <f>Assumptions!$C$19*E65*H65*G65</f>
        <v>88.141014000000013</v>
      </c>
      <c r="L65" s="67">
        <f>Assumptions!$C$20+INDEX('Seasonality Data Break down'!$E$7:$E$18,C65)</f>
        <v>8.5</v>
      </c>
      <c r="M65" s="68">
        <f t="shared" si="19"/>
        <v>19541.597312250004</v>
      </c>
      <c r="N65" s="68">
        <f>M65*Assumptions!$C$21</f>
        <v>5862.4791936750007</v>
      </c>
      <c r="O65" s="64">
        <f>Assumptions!$C$27*F65*I65*G65</f>
        <v>74.580858000000006</v>
      </c>
      <c r="P65" s="68">
        <f>O65*Assumptions!$C$28</f>
        <v>3356.1386100000004</v>
      </c>
      <c r="Q65" s="64">
        <f>Assumptions!$C$24*4.333*F65*I65*G65</f>
        <v>82.258618327200011</v>
      </c>
      <c r="R65" s="64">
        <f>Q65*Assumptions!$C$25</f>
        <v>822.58618327200008</v>
      </c>
      <c r="S65" s="64">
        <f>MIN(O65*Assumptions!$C$48,R65)</f>
        <v>447.48514800000004</v>
      </c>
      <c r="T65" s="64">
        <f t="shared" si="20"/>
        <v>375.10103527200005</v>
      </c>
      <c r="U65" s="68">
        <f>T65*Assumptions!$C$26</f>
        <v>4501.2124232640008</v>
      </c>
      <c r="V65" s="68">
        <f>Q65*Assumptions!$C$29</f>
        <v>2467.7585498160001</v>
      </c>
      <c r="W65" s="68">
        <f t="shared" si="21"/>
        <v>7857.3510332640017</v>
      </c>
      <c r="X65" s="69">
        <f t="shared" si="22"/>
        <v>27398.948345514007</v>
      </c>
      <c r="Y65" s="68">
        <f t="shared" si="23"/>
        <v>8330.2377434910013</v>
      </c>
      <c r="Z65" s="69">
        <f t="shared" si="24"/>
        <v>19068.710602023006</v>
      </c>
      <c r="AA65" s="67">
        <f>Assumptions!$C$10*Assumptions!$C$9/12</f>
        <v>2000</v>
      </c>
      <c r="AB65" s="67">
        <f>Assumptions!$C$12/12</f>
        <v>125</v>
      </c>
      <c r="AC65" s="67">
        <f>Assumptions!$C$14/12</f>
        <v>150</v>
      </c>
      <c r="AD65" s="68">
        <f>(Assumptions!$C$32*4.333*Assumptions!$C$33+Assumptions!$C$34/12)*(1+(Assumptions!$C$35))</f>
        <v>6783.2323541666665</v>
      </c>
      <c r="AE65" s="67">
        <f>INDEX('Seasonality Data Break down'!$F$7:$F$18,C65)*G65</f>
        <v>203.40234000000001</v>
      </c>
      <c r="AF65" s="67">
        <f>INDEX('Seasonality Data Break down'!$G$7:$G$18,C65)*G65</f>
        <v>203.40234000000001</v>
      </c>
      <c r="AG65" s="67">
        <f>INDEX('Seasonality Data Break down'!$H$7:$H$18,C65)*G65</f>
        <v>67.800780000000003</v>
      </c>
      <c r="AH65" s="69">
        <f t="shared" si="25"/>
        <v>474.60545999999999</v>
      </c>
      <c r="AI65" s="67">
        <f>Assumptions!$C$39</f>
        <v>150</v>
      </c>
      <c r="AJ65" s="67">
        <f>Assumptions!$C$40</f>
        <v>500</v>
      </c>
      <c r="AK65" s="69">
        <f t="shared" si="26"/>
        <v>10182.837814166667</v>
      </c>
      <c r="AL65" s="68">
        <f>X65*Assumptions!$C$13</f>
        <v>821.96845036542015</v>
      </c>
      <c r="AM65" s="68">
        <f>X65*Assumptions!$C$15</f>
        <v>479.48159604649516</v>
      </c>
      <c r="AN65" s="69">
        <f t="shared" si="27"/>
        <v>1301.4500464119153</v>
      </c>
      <c r="AO65" s="69">
        <f t="shared" si="28"/>
        <v>11484.287860578583</v>
      </c>
      <c r="AP65" s="69">
        <f t="shared" si="29"/>
        <v>7584.4227414444231</v>
      </c>
      <c r="AQ65" s="67">
        <f>'Startup Costs'!$D$24/(Assumptions!$C$54*12)</f>
        <v>916.66666666666663</v>
      </c>
      <c r="AR65" s="67">
        <f>-'Loan schedule'!$D$69</f>
        <v>-25.918680615753274</v>
      </c>
      <c r="AS65" s="68">
        <f t="shared" si="30"/>
        <v>6641.837394162003</v>
      </c>
      <c r="AT65" s="68">
        <f>-MAX(AS65,0)*Assumptions!$C$41</f>
        <v>-1660.4593485405007</v>
      </c>
      <c r="AU65" s="69">
        <f t="shared" si="31"/>
        <v>4981.3780456215027</v>
      </c>
      <c r="AV65" s="67">
        <f>-'Loan schedule'!$E$69</f>
        <v>-1373.7259585425138</v>
      </c>
      <c r="AW65" s="69">
        <f t="shared" si="32"/>
        <v>4524.3187537456561</v>
      </c>
      <c r="AX65" s="68">
        <f t="shared" si="37"/>
        <v>190350.45914620397</v>
      </c>
      <c r="AY65" s="69">
        <f t="shared" si="33"/>
        <v>194874.77789994964</v>
      </c>
      <c r="AZ65" s="63">
        <f t="shared" si="34"/>
        <v>0.69596505535750242</v>
      </c>
      <c r="BA65" s="63">
        <f t="shared" si="35"/>
        <v>0.27681437425266031</v>
      </c>
      <c r="BB65" s="102">
        <f t="shared" si="36"/>
        <v>0.18180909656837602</v>
      </c>
    </row>
    <row r="66" spans="1:54" ht="15" customHeight="1" x14ac:dyDescent="0.25">
      <c r="A66" s="101">
        <v>59</v>
      </c>
      <c r="B66" s="19">
        <v>5</v>
      </c>
      <c r="C66" s="19">
        <v>11</v>
      </c>
      <c r="D66" s="62" t="str">
        <f>'Seasonality Data Break down'!$B$17&amp;" Y"&amp;B66</f>
        <v>November Y5</v>
      </c>
      <c r="E66" s="63">
        <f>IF(B66=1,INDEX(Workings!$B$27:$B$38,C66),1)</f>
        <v>1</v>
      </c>
      <c r="F66" s="63">
        <f>IF(B66=1,INDEX(Workings!$C$27:$C$38,C66),1)</f>
        <v>1</v>
      </c>
      <c r="G66" s="64">
        <f>INDEX(Workings!$C$19:$C$23,B66)</f>
        <v>1.3560156000000001</v>
      </c>
      <c r="H66" s="65">
        <f>INDEX('Seasonality Data Break down'!$C$7:$C$18,C66)</f>
        <v>1.05</v>
      </c>
      <c r="I66" s="65">
        <f>INDEX('Seasonality Data Break down'!$D$7:$D$18,C66)</f>
        <v>0.95</v>
      </c>
      <c r="J66" s="66">
        <f>Assumptions!$C$18/12</f>
        <v>26.083333333333332</v>
      </c>
      <c r="K66" s="64">
        <f>Assumptions!$C$19*E66*H66*G66</f>
        <v>92.548064700000012</v>
      </c>
      <c r="L66" s="67">
        <f>Assumptions!$C$20+INDEX('Seasonality Data Break down'!$E$7:$E$18,C66)</f>
        <v>8.5</v>
      </c>
      <c r="M66" s="68">
        <f t="shared" si="19"/>
        <v>20518.677177862501</v>
      </c>
      <c r="N66" s="68">
        <f>M66*Assumptions!$C$21</f>
        <v>6155.6031533587502</v>
      </c>
      <c r="O66" s="64">
        <f>Assumptions!$C$27*F66*I66*G66</f>
        <v>70.85181510000001</v>
      </c>
      <c r="P66" s="68">
        <f>O66*Assumptions!$C$28</f>
        <v>3188.3316795000005</v>
      </c>
      <c r="Q66" s="64">
        <f>Assumptions!$C$24*4.333*F66*I66*G66</f>
        <v>78.145687410840011</v>
      </c>
      <c r="R66" s="64">
        <f>Q66*Assumptions!$C$25</f>
        <v>781.45687410840014</v>
      </c>
      <c r="S66" s="64">
        <f>MIN(O66*Assumptions!$C$48,R66)</f>
        <v>425.11089060000006</v>
      </c>
      <c r="T66" s="64">
        <f t="shared" si="20"/>
        <v>356.34598350840008</v>
      </c>
      <c r="U66" s="68">
        <f>T66*Assumptions!$C$26</f>
        <v>4276.1518021008014</v>
      </c>
      <c r="V66" s="68">
        <f>Q66*Assumptions!$C$29</f>
        <v>2344.3706223252002</v>
      </c>
      <c r="W66" s="68">
        <f t="shared" si="21"/>
        <v>7464.4834816008024</v>
      </c>
      <c r="X66" s="69">
        <f t="shared" si="22"/>
        <v>27983.160659463305</v>
      </c>
      <c r="Y66" s="68">
        <f t="shared" si="23"/>
        <v>8499.9737756839495</v>
      </c>
      <c r="Z66" s="69">
        <f t="shared" si="24"/>
        <v>19483.186883779355</v>
      </c>
      <c r="AA66" s="67">
        <f>Assumptions!$C$10*Assumptions!$C$9/12</f>
        <v>2000</v>
      </c>
      <c r="AB66" s="67">
        <f>Assumptions!$C$12/12</f>
        <v>125</v>
      </c>
      <c r="AC66" s="67">
        <f>Assumptions!$C$14/12</f>
        <v>150</v>
      </c>
      <c r="AD66" s="68">
        <f>(Assumptions!$C$32*4.333*Assumptions!$C$33+Assumptions!$C$34/12)*(1+(Assumptions!$C$35))</f>
        <v>6783.2323541666665</v>
      </c>
      <c r="AE66" s="67">
        <f>INDEX('Seasonality Data Break down'!$F$7:$F$18,C66)*G66</f>
        <v>339.00390000000004</v>
      </c>
      <c r="AF66" s="67">
        <f>INDEX('Seasonality Data Break down'!$G$7:$G$18,C66)*G66</f>
        <v>271.20312000000001</v>
      </c>
      <c r="AG66" s="67">
        <f>INDEX('Seasonality Data Break down'!$H$7:$H$18,C66)*G66</f>
        <v>101.70117</v>
      </c>
      <c r="AH66" s="69">
        <f t="shared" si="25"/>
        <v>711.9081900000001</v>
      </c>
      <c r="AI66" s="67">
        <f>Assumptions!$C$39</f>
        <v>150</v>
      </c>
      <c r="AJ66" s="67">
        <f>Assumptions!$C$40</f>
        <v>500</v>
      </c>
      <c r="AK66" s="69">
        <f t="shared" si="26"/>
        <v>10420.140544166667</v>
      </c>
      <c r="AL66" s="68">
        <f>X66*Assumptions!$C$13</f>
        <v>839.49481978389906</v>
      </c>
      <c r="AM66" s="68">
        <f>X66*Assumptions!$C$15</f>
        <v>489.70531154060791</v>
      </c>
      <c r="AN66" s="69">
        <f t="shared" si="27"/>
        <v>1329.2001313245069</v>
      </c>
      <c r="AO66" s="69">
        <f t="shared" si="28"/>
        <v>11749.340675491174</v>
      </c>
      <c r="AP66" s="69">
        <f t="shared" si="29"/>
        <v>7733.8462082881815</v>
      </c>
      <c r="AQ66" s="67">
        <f>'Startup Costs'!$D$24/(Assumptions!$C$54*12)</f>
        <v>916.66666666666663</v>
      </c>
      <c r="AR66" s="67">
        <f>-'Loan schedule'!$D$70</f>
        <v>-17.332893374862568</v>
      </c>
      <c r="AS66" s="68">
        <f t="shared" si="30"/>
        <v>6799.846648246652</v>
      </c>
      <c r="AT66" s="68">
        <f>-MAX(AS66,0)*Assumptions!$C$41</f>
        <v>-1699.961662061663</v>
      </c>
      <c r="AU66" s="69">
        <f t="shared" si="31"/>
        <v>5099.8849861849885</v>
      </c>
      <c r="AV66" s="67">
        <f>-'Loan schedule'!$E$70</f>
        <v>-1382.3117457834046</v>
      </c>
      <c r="AW66" s="69">
        <f t="shared" si="32"/>
        <v>4634.2399070682513</v>
      </c>
      <c r="AX66" s="68">
        <f t="shared" si="37"/>
        <v>194874.77789994964</v>
      </c>
      <c r="AY66" s="69">
        <f t="shared" si="33"/>
        <v>199509.0178070179</v>
      </c>
      <c r="AZ66" s="63">
        <f t="shared" si="34"/>
        <v>0.69624682932985837</v>
      </c>
      <c r="BA66" s="63">
        <f t="shared" si="35"/>
        <v>0.27637500646921243</v>
      </c>
      <c r="BB66" s="102">
        <f t="shared" si="36"/>
        <v>0.18224835458178726</v>
      </c>
    </row>
    <row r="67" spans="1:54" ht="15" customHeight="1" x14ac:dyDescent="0.25">
      <c r="A67" s="106">
        <v>60</v>
      </c>
      <c r="B67" s="107">
        <v>5</v>
      </c>
      <c r="C67" s="107">
        <v>12</v>
      </c>
      <c r="D67" s="108" t="str">
        <f>'Seasonality Data Break down'!$B$18&amp;" Y"&amp;B67</f>
        <v>December Y5</v>
      </c>
      <c r="E67" s="109">
        <f>IF(B67=1,INDEX(Workings!$B$27:$B$38,C67),1)</f>
        <v>1</v>
      </c>
      <c r="F67" s="109">
        <f>IF(B67=1,INDEX(Workings!$C$27:$C$38,C67),1)</f>
        <v>1</v>
      </c>
      <c r="G67" s="110">
        <f>INDEX(Workings!$C$19:$C$23,B67)</f>
        <v>1.3560156000000001</v>
      </c>
      <c r="H67" s="111">
        <f>INDEX('Seasonality Data Break down'!$C$7:$C$18,C67)</f>
        <v>1.2</v>
      </c>
      <c r="I67" s="111">
        <f>INDEX('Seasonality Data Break down'!$D$7:$D$18,C67)</f>
        <v>0.8</v>
      </c>
      <c r="J67" s="112">
        <f>Assumptions!$C$18/12</f>
        <v>26.083333333333332</v>
      </c>
      <c r="K67" s="110">
        <f>Assumptions!$C$19*E67*H67*G67</f>
        <v>105.76921680000001</v>
      </c>
      <c r="L67" s="113">
        <f>Assumptions!$C$20+INDEX('Seasonality Data Break down'!$E$7:$E$18,C67)</f>
        <v>8.5</v>
      </c>
      <c r="M67" s="114">
        <f t="shared" si="19"/>
        <v>23449.916774699999</v>
      </c>
      <c r="N67" s="114">
        <f>M67*Assumptions!$C$21</f>
        <v>7034.9750324099996</v>
      </c>
      <c r="O67" s="110">
        <f>Assumptions!$C$27*F67*I67*G67</f>
        <v>59.664686400000008</v>
      </c>
      <c r="P67" s="114">
        <f>O67*Assumptions!$C$28</f>
        <v>2684.9108880000003</v>
      </c>
      <c r="Q67" s="110">
        <f>Assumptions!$C$24*4.333*F67*I67*G67</f>
        <v>65.806894661760012</v>
      </c>
      <c r="R67" s="110">
        <f>Q67*Assumptions!$C$25</f>
        <v>658.06894661760009</v>
      </c>
      <c r="S67" s="110">
        <f>MIN(O67*Assumptions!$C$48,R67)</f>
        <v>357.98811840000008</v>
      </c>
      <c r="T67" s="110">
        <f t="shared" si="20"/>
        <v>300.08082821760001</v>
      </c>
      <c r="U67" s="114">
        <f>T67*Assumptions!$C$26</f>
        <v>3600.9699386112002</v>
      </c>
      <c r="V67" s="114">
        <f>Q67*Assumptions!$C$29</f>
        <v>1974.2068398528004</v>
      </c>
      <c r="W67" s="114">
        <f t="shared" si="21"/>
        <v>6285.880826611201</v>
      </c>
      <c r="X67" s="115">
        <f t="shared" si="22"/>
        <v>29735.797601311198</v>
      </c>
      <c r="Y67" s="114">
        <f t="shared" si="23"/>
        <v>9009.1818722627995</v>
      </c>
      <c r="Z67" s="115">
        <f t="shared" si="24"/>
        <v>20726.615729048397</v>
      </c>
      <c r="AA67" s="113">
        <f>Assumptions!$C$10*Assumptions!$C$9/12</f>
        <v>2000</v>
      </c>
      <c r="AB67" s="113">
        <f>Assumptions!$C$12/12</f>
        <v>125</v>
      </c>
      <c r="AC67" s="113">
        <f>Assumptions!$C$14/12</f>
        <v>150</v>
      </c>
      <c r="AD67" s="114">
        <f>(Assumptions!$C$32*4.333*Assumptions!$C$33+Assumptions!$C$34/12)*(1+(Assumptions!$C$35))</f>
        <v>6783.2323541666665</v>
      </c>
      <c r="AE67" s="113">
        <f>INDEX('Seasonality Data Break down'!$F$7:$F$18,C67)*G67</f>
        <v>406.80468000000002</v>
      </c>
      <c r="AF67" s="113">
        <f>INDEX('Seasonality Data Break down'!$G$7:$G$18,C67)*G67</f>
        <v>339.00390000000004</v>
      </c>
      <c r="AG67" s="113">
        <f>INDEX('Seasonality Data Break down'!$H$7:$H$18,C67)*G67</f>
        <v>135.60156000000001</v>
      </c>
      <c r="AH67" s="115">
        <f t="shared" si="25"/>
        <v>881.41014000000018</v>
      </c>
      <c r="AI67" s="113">
        <f>Assumptions!$C$39</f>
        <v>150</v>
      </c>
      <c r="AJ67" s="113">
        <f>Assumptions!$C$40</f>
        <v>500</v>
      </c>
      <c r="AK67" s="115">
        <f t="shared" si="26"/>
        <v>10589.642494166666</v>
      </c>
      <c r="AL67" s="114">
        <f>X67*Assumptions!$C$13</f>
        <v>892.0739280393359</v>
      </c>
      <c r="AM67" s="114">
        <f>X67*Assumptions!$C$15</f>
        <v>520.37645802294605</v>
      </c>
      <c r="AN67" s="115">
        <f t="shared" si="27"/>
        <v>1412.450386062282</v>
      </c>
      <c r="AO67" s="115">
        <f t="shared" si="28"/>
        <v>12002.092880228949</v>
      </c>
      <c r="AP67" s="115">
        <f t="shared" si="29"/>
        <v>8724.522848819448</v>
      </c>
      <c r="AQ67" s="113">
        <f>'Startup Costs'!$D$24/(Assumptions!$C$54*12)</f>
        <v>916.66666666666663</v>
      </c>
      <c r="AR67" s="113">
        <f>-'Loan schedule'!$D$71</f>
        <v>-8.6934449637162885</v>
      </c>
      <c r="AS67" s="114">
        <f t="shared" si="30"/>
        <v>7799.1627371890645</v>
      </c>
      <c r="AT67" s="114">
        <f>-MAX(AS67,0)*Assumptions!$C$41</f>
        <v>-1949.7906842972661</v>
      </c>
      <c r="AU67" s="115">
        <f t="shared" si="31"/>
        <v>5849.3720528917984</v>
      </c>
      <c r="AV67" s="113">
        <f>-'Loan schedule'!$E$71</f>
        <v>-1390.9511941945509</v>
      </c>
      <c r="AW67" s="115">
        <f t="shared" si="32"/>
        <v>5375.0875253639142</v>
      </c>
      <c r="AX67" s="114">
        <f t="shared" si="37"/>
        <v>199509.0178070179</v>
      </c>
      <c r="AY67" s="115">
        <f t="shared" si="33"/>
        <v>204884.10533238182</v>
      </c>
      <c r="AZ67" s="109">
        <f t="shared" si="34"/>
        <v>0.69702571987288675</v>
      </c>
      <c r="BA67" s="109">
        <f t="shared" si="35"/>
        <v>0.29340133955023762</v>
      </c>
      <c r="BB67" s="116">
        <f t="shared" si="36"/>
        <v>0.19671145638393336</v>
      </c>
    </row>
  </sheetData>
  <mergeCells count="1">
    <mergeCell ref="BD6:BE6"/>
  </mergeCells>
  <dataValidations count="1">
    <dataValidation type="list" sqref="C1" xr:uid="{0A544531-E468-47C3-9FFC-EFB96233B942}">
      <formula1>"Worst,Base,Best"</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75623"/>
  </sheetPr>
  <dimension ref="A1:K77"/>
  <sheetViews>
    <sheetView showGridLines="0" zoomScaleNormal="100" workbookViewId="0">
      <pane ySplit="7" topLeftCell="A8" activePane="bottomLeft" state="frozen"/>
      <selection pane="bottomLeft" activeCell="B2" sqref="B2:K2"/>
    </sheetView>
  </sheetViews>
  <sheetFormatPr defaultColWidth="8.7109375" defaultRowHeight="15" x14ac:dyDescent="0.25"/>
  <cols>
    <col min="1" max="1" width="18.5703125" customWidth="1"/>
    <col min="2" max="3" width="16" customWidth="1"/>
    <col min="4" max="4" width="14" customWidth="1"/>
    <col min="5" max="5" width="31.42578125" bestFit="1" customWidth="1"/>
    <col min="6" max="6" width="16" customWidth="1"/>
    <col min="7" max="7" width="10.7109375" bestFit="1" customWidth="1"/>
  </cols>
  <sheetData>
    <row r="1" spans="1:11" ht="15.75" customHeight="1" x14ac:dyDescent="0.25">
      <c r="A1" s="133"/>
      <c r="B1" t="s">
        <v>0</v>
      </c>
      <c r="C1" s="130" t="s">
        <v>48</v>
      </c>
      <c r="E1" t="s">
        <v>540</v>
      </c>
      <c r="F1" t="s">
        <v>1</v>
      </c>
      <c r="G1" s="121">
        <f ca="1">TODAY()</f>
        <v>46233</v>
      </c>
    </row>
    <row r="2" spans="1:11" x14ac:dyDescent="0.25">
      <c r="B2" s="128"/>
      <c r="C2" s="129"/>
      <c r="D2" s="5"/>
      <c r="E2" s="5"/>
      <c r="F2" s="5"/>
      <c r="G2" s="5"/>
      <c r="H2" s="5"/>
      <c r="I2" s="5"/>
      <c r="J2" s="5"/>
      <c r="K2" s="5"/>
    </row>
    <row r="4" spans="1:11" ht="15" customHeight="1" x14ac:dyDescent="0.25">
      <c r="A4" s="154"/>
      <c r="B4" s="154"/>
      <c r="C4" s="154"/>
      <c r="D4" s="154"/>
      <c r="E4" s="154"/>
      <c r="F4" s="154"/>
    </row>
    <row r="5" spans="1:11" ht="19.5" customHeight="1" x14ac:dyDescent="0.3">
      <c r="A5" s="15" t="s">
        <v>368</v>
      </c>
      <c r="I5" s="146"/>
      <c r="J5" s="143"/>
      <c r="K5" s="145"/>
    </row>
    <row r="6" spans="1:11" ht="15" customHeight="1" x14ac:dyDescent="0.25">
      <c r="A6" s="54" t="s">
        <v>369</v>
      </c>
      <c r="B6" s="72">
        <f>'Startup Costs'!$D$22-Assumptions!$C$51</f>
        <v>69849.697062499996</v>
      </c>
    </row>
    <row r="7" spans="1:11" ht="15" customHeight="1" x14ac:dyDescent="0.25">
      <c r="A7" s="54" t="s">
        <v>370</v>
      </c>
      <c r="B7" s="73">
        <f>Assumptions!$C$52</f>
        <v>7.4999999999999997E-2</v>
      </c>
    </row>
    <row r="8" spans="1:11" ht="15" customHeight="1" x14ac:dyDescent="0.25">
      <c r="A8" s="54" t="s">
        <v>371</v>
      </c>
      <c r="B8" s="74">
        <f>Assumptions!$C$53*12</f>
        <v>60</v>
      </c>
    </row>
    <row r="9" spans="1:11" ht="15" customHeight="1" x14ac:dyDescent="0.25">
      <c r="A9" s="98" t="s">
        <v>372</v>
      </c>
      <c r="B9" s="75">
        <f>PMT($B$7/12,$B$8,-$B$6)</f>
        <v>1399.6446391582672</v>
      </c>
    </row>
    <row r="11" spans="1:11" ht="15" customHeight="1" x14ac:dyDescent="0.25">
      <c r="A11" s="24" t="s">
        <v>272</v>
      </c>
      <c r="B11" s="24" t="s">
        <v>373</v>
      </c>
      <c r="C11" s="24" t="s">
        <v>374</v>
      </c>
      <c r="D11" s="24" t="s">
        <v>375</v>
      </c>
      <c r="E11" s="24" t="s">
        <v>376</v>
      </c>
      <c r="F11" s="24" t="s">
        <v>377</v>
      </c>
    </row>
    <row r="12" spans="1:11" ht="15" customHeight="1" x14ac:dyDescent="0.25">
      <c r="A12" s="33">
        <v>1</v>
      </c>
      <c r="B12" s="46">
        <f>$B$6</f>
        <v>69849.697062499996</v>
      </c>
      <c r="C12" s="46">
        <f t="shared" ref="C12:C43" si="0">$B$9</f>
        <v>1399.6446391582672</v>
      </c>
      <c r="D12" s="46">
        <f t="shared" ref="D12:D43" si="1">B12*$B$7/12</f>
        <v>436.56060664062494</v>
      </c>
      <c r="E12" s="46">
        <f t="shared" ref="E12:E43" si="2">MIN(C12-D12,B12)</f>
        <v>963.0840325176423</v>
      </c>
      <c r="F12" s="46">
        <f t="shared" ref="F12:F43" si="3">B12-E12</f>
        <v>68886.613029982356</v>
      </c>
    </row>
    <row r="13" spans="1:11" ht="15" customHeight="1" x14ac:dyDescent="0.25">
      <c r="A13" s="33">
        <v>2</v>
      </c>
      <c r="B13" s="46">
        <f t="shared" ref="B13:B44" si="4">F12</f>
        <v>68886.613029982356</v>
      </c>
      <c r="C13" s="46">
        <f t="shared" si="0"/>
        <v>1399.6446391582672</v>
      </c>
      <c r="D13" s="46">
        <f t="shared" si="1"/>
        <v>430.54133143738972</v>
      </c>
      <c r="E13" s="46">
        <f t="shared" si="2"/>
        <v>969.10330772087741</v>
      </c>
      <c r="F13" s="46">
        <f t="shared" si="3"/>
        <v>67917.509722261486</v>
      </c>
    </row>
    <row r="14" spans="1:11" ht="15" customHeight="1" x14ac:dyDescent="0.25">
      <c r="A14" s="33">
        <v>3</v>
      </c>
      <c r="B14" s="46">
        <f t="shared" si="4"/>
        <v>67917.509722261486</v>
      </c>
      <c r="C14" s="46">
        <f t="shared" si="0"/>
        <v>1399.6446391582672</v>
      </c>
      <c r="D14" s="46">
        <f t="shared" si="1"/>
        <v>424.48443576413428</v>
      </c>
      <c r="E14" s="46">
        <f t="shared" si="2"/>
        <v>975.16020339413285</v>
      </c>
      <c r="F14" s="46">
        <f t="shared" si="3"/>
        <v>66942.349518867355</v>
      </c>
    </row>
    <row r="15" spans="1:11" ht="15" customHeight="1" x14ac:dyDescent="0.25">
      <c r="A15" s="33">
        <v>4</v>
      </c>
      <c r="B15" s="46">
        <f t="shared" si="4"/>
        <v>66942.349518867355</v>
      </c>
      <c r="C15" s="46">
        <f t="shared" si="0"/>
        <v>1399.6446391582672</v>
      </c>
      <c r="D15" s="46">
        <f t="shared" si="1"/>
        <v>418.38968449292094</v>
      </c>
      <c r="E15" s="46">
        <f t="shared" si="2"/>
        <v>981.2549546653463</v>
      </c>
      <c r="F15" s="46">
        <f t="shared" si="3"/>
        <v>65961.094564202009</v>
      </c>
    </row>
    <row r="16" spans="1:11" ht="15" customHeight="1" x14ac:dyDescent="0.25">
      <c r="A16" s="33">
        <v>5</v>
      </c>
      <c r="B16" s="46">
        <f t="shared" si="4"/>
        <v>65961.094564202009</v>
      </c>
      <c r="C16" s="46">
        <f t="shared" si="0"/>
        <v>1399.6446391582672</v>
      </c>
      <c r="D16" s="46">
        <f t="shared" si="1"/>
        <v>412.25684102626252</v>
      </c>
      <c r="E16" s="46">
        <f t="shared" si="2"/>
        <v>987.38779813200472</v>
      </c>
      <c r="F16" s="46">
        <f t="shared" si="3"/>
        <v>64973.706766070005</v>
      </c>
    </row>
    <row r="17" spans="1:6" ht="15" customHeight="1" x14ac:dyDescent="0.25">
      <c r="A17" s="33">
        <v>6</v>
      </c>
      <c r="B17" s="46">
        <f t="shared" si="4"/>
        <v>64973.706766070005</v>
      </c>
      <c r="C17" s="46">
        <f t="shared" si="0"/>
        <v>1399.6446391582672</v>
      </c>
      <c r="D17" s="46">
        <f t="shared" si="1"/>
        <v>406.0856672879375</v>
      </c>
      <c r="E17" s="46">
        <f t="shared" si="2"/>
        <v>993.55897187032974</v>
      </c>
      <c r="F17" s="46">
        <f t="shared" si="3"/>
        <v>63980.147794199678</v>
      </c>
    </row>
    <row r="18" spans="1:6" ht="15" customHeight="1" x14ac:dyDescent="0.25">
      <c r="A18" s="33">
        <v>7</v>
      </c>
      <c r="B18" s="46">
        <f t="shared" si="4"/>
        <v>63980.147794199678</v>
      </c>
      <c r="C18" s="46">
        <f t="shared" si="0"/>
        <v>1399.6446391582672</v>
      </c>
      <c r="D18" s="46">
        <f t="shared" si="1"/>
        <v>399.87592371374802</v>
      </c>
      <c r="E18" s="46">
        <f t="shared" si="2"/>
        <v>999.7687154445191</v>
      </c>
      <c r="F18" s="46">
        <f t="shared" si="3"/>
        <v>62980.379078755162</v>
      </c>
    </row>
    <row r="19" spans="1:6" ht="15" customHeight="1" x14ac:dyDescent="0.25">
      <c r="A19" s="33">
        <v>8</v>
      </c>
      <c r="B19" s="46">
        <f t="shared" si="4"/>
        <v>62980.379078755162</v>
      </c>
      <c r="C19" s="46">
        <f t="shared" si="0"/>
        <v>1399.6446391582672</v>
      </c>
      <c r="D19" s="46">
        <f t="shared" si="1"/>
        <v>393.6273692422198</v>
      </c>
      <c r="E19" s="46">
        <f t="shared" si="2"/>
        <v>1006.0172699160473</v>
      </c>
      <c r="F19" s="46">
        <f t="shared" si="3"/>
        <v>61974.361808839116</v>
      </c>
    </row>
    <row r="20" spans="1:6" ht="15" customHeight="1" x14ac:dyDescent="0.25">
      <c r="A20" s="33">
        <v>9</v>
      </c>
      <c r="B20" s="46">
        <f t="shared" si="4"/>
        <v>61974.361808839116</v>
      </c>
      <c r="C20" s="46">
        <f t="shared" si="0"/>
        <v>1399.6446391582672</v>
      </c>
      <c r="D20" s="46">
        <f t="shared" si="1"/>
        <v>387.33976130524451</v>
      </c>
      <c r="E20" s="46">
        <f t="shared" si="2"/>
        <v>1012.3048778530226</v>
      </c>
      <c r="F20" s="46">
        <f t="shared" si="3"/>
        <v>60962.056930986095</v>
      </c>
    </row>
    <row r="21" spans="1:6" ht="15" customHeight="1" x14ac:dyDescent="0.25">
      <c r="A21" s="33">
        <v>10</v>
      </c>
      <c r="B21" s="46">
        <f t="shared" si="4"/>
        <v>60962.056930986095</v>
      </c>
      <c r="C21" s="46">
        <f t="shared" si="0"/>
        <v>1399.6446391582672</v>
      </c>
      <c r="D21" s="46">
        <f t="shared" si="1"/>
        <v>381.01285581866313</v>
      </c>
      <c r="E21" s="46">
        <f t="shared" si="2"/>
        <v>1018.631783339604</v>
      </c>
      <c r="F21" s="46">
        <f t="shared" si="3"/>
        <v>59943.425147646492</v>
      </c>
    </row>
    <row r="22" spans="1:6" ht="15" customHeight="1" x14ac:dyDescent="0.25">
      <c r="A22" s="33">
        <v>11</v>
      </c>
      <c r="B22" s="46">
        <f t="shared" si="4"/>
        <v>59943.425147646492</v>
      </c>
      <c r="C22" s="46">
        <f t="shared" si="0"/>
        <v>1399.6446391582672</v>
      </c>
      <c r="D22" s="46">
        <f t="shared" si="1"/>
        <v>374.64640717279053</v>
      </c>
      <c r="E22" s="46">
        <f t="shared" si="2"/>
        <v>1024.9982319854767</v>
      </c>
      <c r="F22" s="46">
        <f t="shared" si="3"/>
        <v>58918.426915661017</v>
      </c>
    </row>
    <row r="23" spans="1:6" ht="15" customHeight="1" x14ac:dyDescent="0.25">
      <c r="A23" s="33">
        <v>12</v>
      </c>
      <c r="B23" s="46">
        <f t="shared" si="4"/>
        <v>58918.426915661017</v>
      </c>
      <c r="C23" s="46">
        <f t="shared" si="0"/>
        <v>1399.6446391582672</v>
      </c>
      <c r="D23" s="46">
        <f t="shared" si="1"/>
        <v>368.24016822288132</v>
      </c>
      <c r="E23" s="46">
        <f t="shared" si="2"/>
        <v>1031.4044709353859</v>
      </c>
      <c r="F23" s="46">
        <f t="shared" si="3"/>
        <v>57887.022444725633</v>
      </c>
    </row>
    <row r="24" spans="1:6" ht="15" customHeight="1" x14ac:dyDescent="0.25">
      <c r="A24" s="33">
        <v>13</v>
      </c>
      <c r="B24" s="46">
        <f t="shared" si="4"/>
        <v>57887.022444725633</v>
      </c>
      <c r="C24" s="46">
        <f t="shared" si="0"/>
        <v>1399.6446391582672</v>
      </c>
      <c r="D24" s="46">
        <f t="shared" si="1"/>
        <v>361.79389027953516</v>
      </c>
      <c r="E24" s="46">
        <f t="shared" si="2"/>
        <v>1037.850748878732</v>
      </c>
      <c r="F24" s="46">
        <f t="shared" si="3"/>
        <v>56849.171695846904</v>
      </c>
    </row>
    <row r="25" spans="1:6" ht="15" customHeight="1" x14ac:dyDescent="0.25">
      <c r="A25" s="33">
        <v>14</v>
      </c>
      <c r="B25" s="46">
        <f t="shared" si="4"/>
        <v>56849.171695846904</v>
      </c>
      <c r="C25" s="46">
        <f t="shared" si="0"/>
        <v>1399.6446391582672</v>
      </c>
      <c r="D25" s="46">
        <f t="shared" si="1"/>
        <v>355.30732309904312</v>
      </c>
      <c r="E25" s="46">
        <f t="shared" si="2"/>
        <v>1044.3373160592241</v>
      </c>
      <c r="F25" s="46">
        <f t="shared" si="3"/>
        <v>55804.834379787681</v>
      </c>
    </row>
    <row r="26" spans="1:6" ht="15" customHeight="1" x14ac:dyDescent="0.25">
      <c r="A26" s="33">
        <v>15</v>
      </c>
      <c r="B26" s="46">
        <f t="shared" si="4"/>
        <v>55804.834379787681</v>
      </c>
      <c r="C26" s="46">
        <f t="shared" si="0"/>
        <v>1399.6446391582672</v>
      </c>
      <c r="D26" s="46">
        <f t="shared" si="1"/>
        <v>348.780214873673</v>
      </c>
      <c r="E26" s="46">
        <f t="shared" si="2"/>
        <v>1050.8644242845942</v>
      </c>
      <c r="F26" s="46">
        <f t="shared" si="3"/>
        <v>54753.969955503089</v>
      </c>
    </row>
    <row r="27" spans="1:6" ht="15" customHeight="1" x14ac:dyDescent="0.25">
      <c r="A27" s="33">
        <v>16</v>
      </c>
      <c r="B27" s="46">
        <f t="shared" si="4"/>
        <v>54753.969955503089</v>
      </c>
      <c r="C27" s="46">
        <f t="shared" si="0"/>
        <v>1399.6446391582672</v>
      </c>
      <c r="D27" s="46">
        <f t="shared" si="1"/>
        <v>342.21231222189431</v>
      </c>
      <c r="E27" s="46">
        <f t="shared" si="2"/>
        <v>1057.4323269363729</v>
      </c>
      <c r="F27" s="46">
        <f t="shared" si="3"/>
        <v>53696.537628566715</v>
      </c>
    </row>
    <row r="28" spans="1:6" ht="15" customHeight="1" x14ac:dyDescent="0.25">
      <c r="A28" s="33">
        <v>17</v>
      </c>
      <c r="B28" s="46">
        <f t="shared" si="4"/>
        <v>53696.537628566715</v>
      </c>
      <c r="C28" s="46">
        <f t="shared" si="0"/>
        <v>1399.6446391582672</v>
      </c>
      <c r="D28" s="46">
        <f t="shared" si="1"/>
        <v>335.60336017854195</v>
      </c>
      <c r="E28" s="46">
        <f t="shared" si="2"/>
        <v>1064.0412789797251</v>
      </c>
      <c r="F28" s="46">
        <f t="shared" si="3"/>
        <v>52632.496349586989</v>
      </c>
    </row>
    <row r="29" spans="1:6" ht="15" customHeight="1" x14ac:dyDescent="0.25">
      <c r="A29" s="33">
        <v>18</v>
      </c>
      <c r="B29" s="46">
        <f t="shared" si="4"/>
        <v>52632.496349586989</v>
      </c>
      <c r="C29" s="46">
        <f t="shared" si="0"/>
        <v>1399.6446391582672</v>
      </c>
      <c r="D29" s="46">
        <f t="shared" si="1"/>
        <v>328.95310218491869</v>
      </c>
      <c r="E29" s="46">
        <f t="shared" si="2"/>
        <v>1070.6915369733485</v>
      </c>
      <c r="F29" s="46">
        <f t="shared" si="3"/>
        <v>51561.804812613642</v>
      </c>
    </row>
    <row r="30" spans="1:6" ht="15" customHeight="1" x14ac:dyDescent="0.25">
      <c r="A30" s="33">
        <v>19</v>
      </c>
      <c r="B30" s="46">
        <f t="shared" si="4"/>
        <v>51561.804812613642</v>
      </c>
      <c r="C30" s="46">
        <f t="shared" si="0"/>
        <v>1399.6446391582672</v>
      </c>
      <c r="D30" s="46">
        <f t="shared" si="1"/>
        <v>322.26128007883523</v>
      </c>
      <c r="E30" s="46">
        <f t="shared" si="2"/>
        <v>1077.383359079432</v>
      </c>
      <c r="F30" s="46">
        <f t="shared" si="3"/>
        <v>50484.421453534211</v>
      </c>
    </row>
    <row r="31" spans="1:6" ht="15" customHeight="1" x14ac:dyDescent="0.25">
      <c r="A31" s="33">
        <v>20</v>
      </c>
      <c r="B31" s="46">
        <f t="shared" si="4"/>
        <v>50484.421453534211</v>
      </c>
      <c r="C31" s="46">
        <f t="shared" si="0"/>
        <v>1399.6446391582672</v>
      </c>
      <c r="D31" s="46">
        <f t="shared" si="1"/>
        <v>315.52763408458878</v>
      </c>
      <c r="E31" s="46">
        <f t="shared" si="2"/>
        <v>1084.1170050736785</v>
      </c>
      <c r="F31" s="46">
        <f t="shared" si="3"/>
        <v>49400.304448460534</v>
      </c>
    </row>
    <row r="32" spans="1:6" ht="15" customHeight="1" x14ac:dyDescent="0.25">
      <c r="A32" s="33">
        <v>21</v>
      </c>
      <c r="B32" s="46">
        <f t="shared" si="4"/>
        <v>49400.304448460534</v>
      </c>
      <c r="C32" s="46">
        <f t="shared" si="0"/>
        <v>1399.6446391582672</v>
      </c>
      <c r="D32" s="46">
        <f t="shared" si="1"/>
        <v>308.75190280287831</v>
      </c>
      <c r="E32" s="46">
        <f t="shared" si="2"/>
        <v>1090.8927363553889</v>
      </c>
      <c r="F32" s="46">
        <f t="shared" si="3"/>
        <v>48309.411712105146</v>
      </c>
    </row>
    <row r="33" spans="1:6" ht="15" customHeight="1" x14ac:dyDescent="0.25">
      <c r="A33" s="33">
        <v>22</v>
      </c>
      <c r="B33" s="46">
        <f t="shared" si="4"/>
        <v>48309.411712105146</v>
      </c>
      <c r="C33" s="46">
        <f t="shared" si="0"/>
        <v>1399.6446391582672</v>
      </c>
      <c r="D33" s="46">
        <f t="shared" si="1"/>
        <v>301.93382320065717</v>
      </c>
      <c r="E33" s="46">
        <f t="shared" si="2"/>
        <v>1097.7108159576101</v>
      </c>
      <c r="F33" s="46">
        <f t="shared" si="3"/>
        <v>47211.700896147537</v>
      </c>
    </row>
    <row r="34" spans="1:6" ht="15" customHeight="1" x14ac:dyDescent="0.25">
      <c r="A34" s="33">
        <v>23</v>
      </c>
      <c r="B34" s="46">
        <f t="shared" si="4"/>
        <v>47211.700896147537</v>
      </c>
      <c r="C34" s="46">
        <f t="shared" si="0"/>
        <v>1399.6446391582672</v>
      </c>
      <c r="D34" s="46">
        <f t="shared" si="1"/>
        <v>295.07313060092207</v>
      </c>
      <c r="E34" s="46">
        <f t="shared" si="2"/>
        <v>1104.5715085573452</v>
      </c>
      <c r="F34" s="46">
        <f t="shared" si="3"/>
        <v>46107.12938759019</v>
      </c>
    </row>
    <row r="35" spans="1:6" ht="15" customHeight="1" x14ac:dyDescent="0.25">
      <c r="A35" s="33">
        <v>24</v>
      </c>
      <c r="B35" s="46">
        <f t="shared" si="4"/>
        <v>46107.12938759019</v>
      </c>
      <c r="C35" s="46">
        <f t="shared" si="0"/>
        <v>1399.6446391582672</v>
      </c>
      <c r="D35" s="46">
        <f t="shared" si="1"/>
        <v>288.16955867243865</v>
      </c>
      <c r="E35" s="46">
        <f t="shared" si="2"/>
        <v>1111.4750804858286</v>
      </c>
      <c r="F35" s="46">
        <f t="shared" si="3"/>
        <v>44995.654307104363</v>
      </c>
    </row>
    <row r="36" spans="1:6" ht="15" customHeight="1" x14ac:dyDescent="0.25">
      <c r="A36" s="33">
        <v>25</v>
      </c>
      <c r="B36" s="46">
        <f t="shared" si="4"/>
        <v>44995.654307104363</v>
      </c>
      <c r="C36" s="46">
        <f t="shared" si="0"/>
        <v>1399.6446391582672</v>
      </c>
      <c r="D36" s="46">
        <f t="shared" si="1"/>
        <v>281.22283941940225</v>
      </c>
      <c r="E36" s="46">
        <f t="shared" si="2"/>
        <v>1118.421799738865</v>
      </c>
      <c r="F36" s="46">
        <f t="shared" si="3"/>
        <v>43877.232507365501</v>
      </c>
    </row>
    <row r="37" spans="1:6" ht="15" customHeight="1" x14ac:dyDescent="0.25">
      <c r="A37" s="33">
        <v>26</v>
      </c>
      <c r="B37" s="46">
        <f t="shared" si="4"/>
        <v>43877.232507365501</v>
      </c>
      <c r="C37" s="46">
        <f t="shared" si="0"/>
        <v>1399.6446391582672</v>
      </c>
      <c r="D37" s="46">
        <f t="shared" si="1"/>
        <v>274.23270317103436</v>
      </c>
      <c r="E37" s="46">
        <f t="shared" si="2"/>
        <v>1125.4119359872329</v>
      </c>
      <c r="F37" s="46">
        <f t="shared" si="3"/>
        <v>42751.820571378266</v>
      </c>
    </row>
    <row r="38" spans="1:6" ht="15" customHeight="1" x14ac:dyDescent="0.25">
      <c r="A38" s="33">
        <v>27</v>
      </c>
      <c r="B38" s="46">
        <f t="shared" si="4"/>
        <v>42751.820571378266</v>
      </c>
      <c r="C38" s="46">
        <f t="shared" si="0"/>
        <v>1399.6446391582672</v>
      </c>
      <c r="D38" s="46">
        <f t="shared" si="1"/>
        <v>267.19887857111416</v>
      </c>
      <c r="E38" s="46">
        <f t="shared" si="2"/>
        <v>1132.445760587153</v>
      </c>
      <c r="F38" s="46">
        <f t="shared" si="3"/>
        <v>41619.374810791116</v>
      </c>
    </row>
    <row r="39" spans="1:6" ht="15" customHeight="1" x14ac:dyDescent="0.25">
      <c r="A39" s="33">
        <v>28</v>
      </c>
      <c r="B39" s="46">
        <f t="shared" si="4"/>
        <v>41619.374810791116</v>
      </c>
      <c r="C39" s="46">
        <f t="shared" si="0"/>
        <v>1399.6446391582672</v>
      </c>
      <c r="D39" s="46">
        <f t="shared" si="1"/>
        <v>260.12109256744446</v>
      </c>
      <c r="E39" s="46">
        <f t="shared" si="2"/>
        <v>1139.5235465908227</v>
      </c>
      <c r="F39" s="46">
        <f t="shared" si="3"/>
        <v>40479.85126420029</v>
      </c>
    </row>
    <row r="40" spans="1:6" ht="15" customHeight="1" x14ac:dyDescent="0.25">
      <c r="A40" s="33">
        <v>29</v>
      </c>
      <c r="B40" s="46">
        <f t="shared" si="4"/>
        <v>40479.85126420029</v>
      </c>
      <c r="C40" s="46">
        <f t="shared" si="0"/>
        <v>1399.6446391582672</v>
      </c>
      <c r="D40" s="46">
        <f t="shared" si="1"/>
        <v>252.99907040125183</v>
      </c>
      <c r="E40" s="46">
        <f t="shared" si="2"/>
        <v>1146.6455687570153</v>
      </c>
      <c r="F40" s="46">
        <f t="shared" si="3"/>
        <v>39333.205695443277</v>
      </c>
    </row>
    <row r="41" spans="1:6" ht="15" customHeight="1" x14ac:dyDescent="0.25">
      <c r="A41" s="33">
        <v>30</v>
      </c>
      <c r="B41" s="46">
        <f t="shared" si="4"/>
        <v>39333.205695443277</v>
      </c>
      <c r="C41" s="46">
        <f t="shared" si="0"/>
        <v>1399.6446391582672</v>
      </c>
      <c r="D41" s="46">
        <f t="shared" si="1"/>
        <v>245.8325355965205</v>
      </c>
      <c r="E41" s="46">
        <f t="shared" si="2"/>
        <v>1153.8121035617467</v>
      </c>
      <c r="F41" s="46">
        <f t="shared" si="3"/>
        <v>38179.393591881533</v>
      </c>
    </row>
    <row r="42" spans="1:6" ht="15" customHeight="1" x14ac:dyDescent="0.25">
      <c r="A42" s="33">
        <v>31</v>
      </c>
      <c r="B42" s="46">
        <f t="shared" si="4"/>
        <v>38179.393591881533</v>
      </c>
      <c r="C42" s="46">
        <f t="shared" si="0"/>
        <v>1399.6446391582672</v>
      </c>
      <c r="D42" s="46">
        <f t="shared" si="1"/>
        <v>238.62120994925957</v>
      </c>
      <c r="E42" s="46">
        <f t="shared" si="2"/>
        <v>1161.0234292090076</v>
      </c>
      <c r="F42" s="46">
        <f t="shared" si="3"/>
        <v>37018.370162672523</v>
      </c>
    </row>
    <row r="43" spans="1:6" ht="15" customHeight="1" x14ac:dyDescent="0.25">
      <c r="A43" s="33">
        <v>32</v>
      </c>
      <c r="B43" s="46">
        <f t="shared" si="4"/>
        <v>37018.370162672523</v>
      </c>
      <c r="C43" s="46">
        <f t="shared" si="0"/>
        <v>1399.6446391582672</v>
      </c>
      <c r="D43" s="46">
        <f t="shared" si="1"/>
        <v>231.36481351670326</v>
      </c>
      <c r="E43" s="46">
        <f t="shared" si="2"/>
        <v>1168.279825641564</v>
      </c>
      <c r="F43" s="46">
        <f t="shared" si="3"/>
        <v>35850.090337030961</v>
      </c>
    </row>
    <row r="44" spans="1:6" ht="15" customHeight="1" x14ac:dyDescent="0.25">
      <c r="A44" s="33">
        <v>33</v>
      </c>
      <c r="B44" s="46">
        <f t="shared" si="4"/>
        <v>35850.090337030961</v>
      </c>
      <c r="C44" s="46">
        <f t="shared" ref="C44:C71" si="5">$B$9</f>
        <v>1399.6446391582672</v>
      </c>
      <c r="D44" s="46">
        <f t="shared" ref="D44:D71" si="6">B44*$B$7/12</f>
        <v>224.0630646064435</v>
      </c>
      <c r="E44" s="46">
        <f t="shared" ref="E44:E71" si="7">MIN(C44-D44,B44)</f>
        <v>1175.5815745518237</v>
      </c>
      <c r="F44" s="46">
        <f t="shared" ref="F44:F71" si="8">B44-E44</f>
        <v>34674.508762479134</v>
      </c>
    </row>
    <row r="45" spans="1:6" ht="15" customHeight="1" x14ac:dyDescent="0.25">
      <c r="A45" s="33">
        <v>34</v>
      </c>
      <c r="B45" s="46">
        <f t="shared" ref="B45:B71" si="9">F44</f>
        <v>34674.508762479134</v>
      </c>
      <c r="C45" s="46">
        <f t="shared" si="5"/>
        <v>1399.6446391582672</v>
      </c>
      <c r="D45" s="46">
        <f t="shared" si="6"/>
        <v>216.71567976549457</v>
      </c>
      <c r="E45" s="46">
        <f t="shared" si="7"/>
        <v>1182.9289593927726</v>
      </c>
      <c r="F45" s="46">
        <f t="shared" si="8"/>
        <v>33491.579803086359</v>
      </c>
    </row>
    <row r="46" spans="1:6" ht="15" customHeight="1" x14ac:dyDescent="0.25">
      <c r="A46" s="33">
        <v>35</v>
      </c>
      <c r="B46" s="46">
        <f t="shared" si="9"/>
        <v>33491.579803086359</v>
      </c>
      <c r="C46" s="46">
        <f t="shared" si="5"/>
        <v>1399.6446391582672</v>
      </c>
      <c r="D46" s="46">
        <f t="shared" si="6"/>
        <v>209.32237376928973</v>
      </c>
      <c r="E46" s="46">
        <f t="shared" si="7"/>
        <v>1190.3222653889775</v>
      </c>
      <c r="F46" s="46">
        <f t="shared" si="8"/>
        <v>32301.25753769738</v>
      </c>
    </row>
    <row r="47" spans="1:6" ht="15" customHeight="1" x14ac:dyDescent="0.25">
      <c r="A47" s="33">
        <v>36</v>
      </c>
      <c r="B47" s="46">
        <f t="shared" si="9"/>
        <v>32301.25753769738</v>
      </c>
      <c r="C47" s="46">
        <f t="shared" si="5"/>
        <v>1399.6446391582672</v>
      </c>
      <c r="D47" s="46">
        <f t="shared" si="6"/>
        <v>201.88285961060862</v>
      </c>
      <c r="E47" s="46">
        <f t="shared" si="7"/>
        <v>1197.7617795476585</v>
      </c>
      <c r="F47" s="46">
        <f t="shared" si="8"/>
        <v>31103.495758149722</v>
      </c>
    </row>
    <row r="48" spans="1:6" ht="15" customHeight="1" x14ac:dyDescent="0.25">
      <c r="A48" s="33">
        <v>37</v>
      </c>
      <c r="B48" s="46">
        <f t="shared" si="9"/>
        <v>31103.495758149722</v>
      </c>
      <c r="C48" s="46">
        <f t="shared" si="5"/>
        <v>1399.6446391582672</v>
      </c>
      <c r="D48" s="46">
        <f t="shared" si="6"/>
        <v>194.39684848843578</v>
      </c>
      <c r="E48" s="46">
        <f t="shared" si="7"/>
        <v>1205.2477906698314</v>
      </c>
      <c r="F48" s="46">
        <f t="shared" si="8"/>
        <v>29898.247967479889</v>
      </c>
    </row>
    <row r="49" spans="1:6" ht="15" customHeight="1" x14ac:dyDescent="0.25">
      <c r="A49" s="33">
        <v>38</v>
      </c>
      <c r="B49" s="46">
        <f t="shared" si="9"/>
        <v>29898.247967479889</v>
      </c>
      <c r="C49" s="46">
        <f t="shared" si="5"/>
        <v>1399.6446391582672</v>
      </c>
      <c r="D49" s="46">
        <f t="shared" si="6"/>
        <v>186.8640497967493</v>
      </c>
      <c r="E49" s="46">
        <f t="shared" si="7"/>
        <v>1212.780589361518</v>
      </c>
      <c r="F49" s="46">
        <f t="shared" si="8"/>
        <v>28685.46737811837</v>
      </c>
    </row>
    <row r="50" spans="1:6" ht="15" customHeight="1" x14ac:dyDescent="0.25">
      <c r="A50" s="33">
        <v>39</v>
      </c>
      <c r="B50" s="46">
        <f t="shared" si="9"/>
        <v>28685.46737811837</v>
      </c>
      <c r="C50" s="46">
        <f t="shared" si="5"/>
        <v>1399.6446391582672</v>
      </c>
      <c r="D50" s="46">
        <f t="shared" si="6"/>
        <v>179.28417111323981</v>
      </c>
      <c r="E50" s="46">
        <f t="shared" si="7"/>
        <v>1220.3604680450273</v>
      </c>
      <c r="F50" s="46">
        <f t="shared" si="8"/>
        <v>27465.106910073344</v>
      </c>
    </row>
    <row r="51" spans="1:6" ht="15" customHeight="1" x14ac:dyDescent="0.25">
      <c r="A51" s="33">
        <v>40</v>
      </c>
      <c r="B51" s="46">
        <f t="shared" si="9"/>
        <v>27465.106910073344</v>
      </c>
      <c r="C51" s="46">
        <f t="shared" si="5"/>
        <v>1399.6446391582672</v>
      </c>
      <c r="D51" s="46">
        <f t="shared" si="6"/>
        <v>171.65691818795838</v>
      </c>
      <c r="E51" s="46">
        <f t="shared" si="7"/>
        <v>1227.9877209703088</v>
      </c>
      <c r="F51" s="46">
        <f t="shared" si="8"/>
        <v>26237.119189103036</v>
      </c>
    </row>
    <row r="52" spans="1:6" ht="15" customHeight="1" x14ac:dyDescent="0.25">
      <c r="A52" s="33">
        <v>41</v>
      </c>
      <c r="B52" s="46">
        <f t="shared" si="9"/>
        <v>26237.119189103036</v>
      </c>
      <c r="C52" s="46">
        <f t="shared" si="5"/>
        <v>1399.6446391582672</v>
      </c>
      <c r="D52" s="46">
        <f t="shared" si="6"/>
        <v>163.98199493189398</v>
      </c>
      <c r="E52" s="46">
        <f t="shared" si="7"/>
        <v>1235.6626442263732</v>
      </c>
      <c r="F52" s="46">
        <f t="shared" si="8"/>
        <v>25001.456544876663</v>
      </c>
    </row>
    <row r="53" spans="1:6" ht="15" customHeight="1" x14ac:dyDescent="0.25">
      <c r="A53" s="33">
        <v>42</v>
      </c>
      <c r="B53" s="46">
        <f t="shared" si="9"/>
        <v>25001.456544876663</v>
      </c>
      <c r="C53" s="46">
        <f t="shared" si="5"/>
        <v>1399.6446391582672</v>
      </c>
      <c r="D53" s="46">
        <f t="shared" si="6"/>
        <v>156.25910340547912</v>
      </c>
      <c r="E53" s="46">
        <f t="shared" si="7"/>
        <v>1243.385535752788</v>
      </c>
      <c r="F53" s="46">
        <f t="shared" si="8"/>
        <v>23758.071009123876</v>
      </c>
    </row>
    <row r="54" spans="1:6" ht="15" customHeight="1" x14ac:dyDescent="0.25">
      <c r="A54" s="33">
        <v>43</v>
      </c>
      <c r="B54" s="46">
        <f t="shared" si="9"/>
        <v>23758.071009123876</v>
      </c>
      <c r="C54" s="46">
        <f t="shared" si="5"/>
        <v>1399.6446391582672</v>
      </c>
      <c r="D54" s="46">
        <f t="shared" si="6"/>
        <v>148.48794380702421</v>
      </c>
      <c r="E54" s="46">
        <f t="shared" si="7"/>
        <v>1251.1566953512429</v>
      </c>
      <c r="F54" s="46">
        <f t="shared" si="8"/>
        <v>22506.914313772635</v>
      </c>
    </row>
    <row r="55" spans="1:6" ht="15" customHeight="1" x14ac:dyDescent="0.25">
      <c r="A55" s="33">
        <v>44</v>
      </c>
      <c r="B55" s="46">
        <f t="shared" si="9"/>
        <v>22506.914313772635</v>
      </c>
      <c r="C55" s="46">
        <f t="shared" si="5"/>
        <v>1399.6446391582672</v>
      </c>
      <c r="D55" s="46">
        <f t="shared" si="6"/>
        <v>140.66821446107897</v>
      </c>
      <c r="E55" s="46">
        <f t="shared" si="7"/>
        <v>1258.9764246971881</v>
      </c>
      <c r="F55" s="46">
        <f t="shared" si="8"/>
        <v>21247.937889075445</v>
      </c>
    </row>
    <row r="56" spans="1:6" ht="15" customHeight="1" x14ac:dyDescent="0.25">
      <c r="A56" s="33">
        <v>45</v>
      </c>
      <c r="B56" s="46">
        <f t="shared" si="9"/>
        <v>21247.937889075445</v>
      </c>
      <c r="C56" s="46">
        <f t="shared" si="5"/>
        <v>1399.6446391582672</v>
      </c>
      <c r="D56" s="46">
        <f t="shared" si="6"/>
        <v>132.79961180672151</v>
      </c>
      <c r="E56" s="46">
        <f t="shared" si="7"/>
        <v>1266.8450273515457</v>
      </c>
      <c r="F56" s="46">
        <f t="shared" si="8"/>
        <v>19981.092861723901</v>
      </c>
    </row>
    <row r="57" spans="1:6" ht="15" customHeight="1" x14ac:dyDescent="0.25">
      <c r="A57" s="33">
        <v>46</v>
      </c>
      <c r="B57" s="46">
        <f t="shared" si="9"/>
        <v>19981.092861723901</v>
      </c>
      <c r="C57" s="46">
        <f t="shared" si="5"/>
        <v>1399.6446391582672</v>
      </c>
      <c r="D57" s="46">
        <f t="shared" si="6"/>
        <v>124.88183038577438</v>
      </c>
      <c r="E57" s="46">
        <f t="shared" si="7"/>
        <v>1274.7628087724929</v>
      </c>
      <c r="F57" s="46">
        <f t="shared" si="8"/>
        <v>18706.330052951409</v>
      </c>
    </row>
    <row r="58" spans="1:6" ht="15" customHeight="1" x14ac:dyDescent="0.25">
      <c r="A58" s="33">
        <v>47</v>
      </c>
      <c r="B58" s="46">
        <f t="shared" si="9"/>
        <v>18706.330052951409</v>
      </c>
      <c r="C58" s="46">
        <f t="shared" si="5"/>
        <v>1399.6446391582672</v>
      </c>
      <c r="D58" s="46">
        <f t="shared" si="6"/>
        <v>116.91456283094629</v>
      </c>
      <c r="E58" s="46">
        <f t="shared" si="7"/>
        <v>1282.7300763273208</v>
      </c>
      <c r="F58" s="46">
        <f t="shared" si="8"/>
        <v>17423.599976624089</v>
      </c>
    </row>
    <row r="59" spans="1:6" ht="15" customHeight="1" x14ac:dyDescent="0.25">
      <c r="A59" s="33">
        <v>48</v>
      </c>
      <c r="B59" s="46">
        <f t="shared" si="9"/>
        <v>17423.599976624089</v>
      </c>
      <c r="C59" s="46">
        <f t="shared" si="5"/>
        <v>1399.6446391582672</v>
      </c>
      <c r="D59" s="46">
        <f t="shared" si="6"/>
        <v>108.89749985390056</v>
      </c>
      <c r="E59" s="46">
        <f t="shared" si="7"/>
        <v>1290.7471393043666</v>
      </c>
      <c r="F59" s="46">
        <f t="shared" si="8"/>
        <v>16132.852837319722</v>
      </c>
    </row>
    <row r="60" spans="1:6" ht="15" customHeight="1" x14ac:dyDescent="0.25">
      <c r="A60" s="33">
        <v>49</v>
      </c>
      <c r="B60" s="46">
        <f t="shared" si="9"/>
        <v>16132.852837319722</v>
      </c>
      <c r="C60" s="46">
        <f t="shared" si="5"/>
        <v>1399.6446391582672</v>
      </c>
      <c r="D60" s="46">
        <f t="shared" si="6"/>
        <v>100.83033023324826</v>
      </c>
      <c r="E60" s="46">
        <f t="shared" si="7"/>
        <v>1298.8143089250188</v>
      </c>
      <c r="F60" s="46">
        <f t="shared" si="8"/>
        <v>14834.038528394703</v>
      </c>
    </row>
    <row r="61" spans="1:6" ht="15" customHeight="1" x14ac:dyDescent="0.25">
      <c r="A61" s="33">
        <v>50</v>
      </c>
      <c r="B61" s="46">
        <f t="shared" si="9"/>
        <v>14834.038528394703</v>
      </c>
      <c r="C61" s="46">
        <f t="shared" si="5"/>
        <v>1399.6446391582672</v>
      </c>
      <c r="D61" s="46">
        <f t="shared" si="6"/>
        <v>92.712740802466897</v>
      </c>
      <c r="E61" s="46">
        <f t="shared" si="7"/>
        <v>1306.9318983558003</v>
      </c>
      <c r="F61" s="46">
        <f t="shared" si="8"/>
        <v>13527.106630038903</v>
      </c>
    </row>
    <row r="62" spans="1:6" ht="15" customHeight="1" x14ac:dyDescent="0.25">
      <c r="A62" s="33">
        <v>51</v>
      </c>
      <c r="B62" s="46">
        <f t="shared" si="9"/>
        <v>13527.106630038903</v>
      </c>
      <c r="C62" s="46">
        <f t="shared" si="5"/>
        <v>1399.6446391582672</v>
      </c>
      <c r="D62" s="46">
        <f t="shared" si="6"/>
        <v>84.544416437743138</v>
      </c>
      <c r="E62" s="46">
        <f t="shared" si="7"/>
        <v>1315.100222720524</v>
      </c>
      <c r="F62" s="46">
        <f t="shared" si="8"/>
        <v>12212.006407318378</v>
      </c>
    </row>
    <row r="63" spans="1:6" ht="15" customHeight="1" x14ac:dyDescent="0.25">
      <c r="A63" s="33">
        <v>52</v>
      </c>
      <c r="B63" s="46">
        <f t="shared" si="9"/>
        <v>12212.006407318378</v>
      </c>
      <c r="C63" s="46">
        <f t="shared" si="5"/>
        <v>1399.6446391582672</v>
      </c>
      <c r="D63" s="46">
        <f t="shared" si="6"/>
        <v>76.325040045739868</v>
      </c>
      <c r="E63" s="46">
        <f t="shared" si="7"/>
        <v>1323.3195991125274</v>
      </c>
      <c r="F63" s="46">
        <f t="shared" si="8"/>
        <v>10888.686808205852</v>
      </c>
    </row>
    <row r="64" spans="1:6" ht="15" customHeight="1" x14ac:dyDescent="0.25">
      <c r="A64" s="33">
        <v>53</v>
      </c>
      <c r="B64" s="46">
        <f t="shared" si="9"/>
        <v>10888.686808205852</v>
      </c>
      <c r="C64" s="46">
        <f t="shared" si="5"/>
        <v>1399.6446391582672</v>
      </c>
      <c r="D64" s="46">
        <f t="shared" si="6"/>
        <v>68.054292551286565</v>
      </c>
      <c r="E64" s="46">
        <f t="shared" si="7"/>
        <v>1331.5903466069806</v>
      </c>
      <c r="F64" s="46">
        <f t="shared" si="8"/>
        <v>9557.0964615988705</v>
      </c>
    </row>
    <row r="65" spans="1:6" ht="15" customHeight="1" x14ac:dyDescent="0.25">
      <c r="A65" s="33">
        <v>54</v>
      </c>
      <c r="B65" s="46">
        <f t="shared" si="9"/>
        <v>9557.0964615988705</v>
      </c>
      <c r="C65" s="46">
        <f t="shared" si="5"/>
        <v>1399.6446391582672</v>
      </c>
      <c r="D65" s="46">
        <f t="shared" si="6"/>
        <v>59.731852884992939</v>
      </c>
      <c r="E65" s="46">
        <f t="shared" si="7"/>
        <v>1339.9127862732742</v>
      </c>
      <c r="F65" s="46">
        <f t="shared" si="8"/>
        <v>8217.1836753255957</v>
      </c>
    </row>
    <row r="66" spans="1:6" ht="15" customHeight="1" x14ac:dyDescent="0.25">
      <c r="A66" s="33">
        <v>55</v>
      </c>
      <c r="B66" s="46">
        <f t="shared" si="9"/>
        <v>8217.1836753255957</v>
      </c>
      <c r="C66" s="46">
        <f t="shared" si="5"/>
        <v>1399.6446391582672</v>
      </c>
      <c r="D66" s="46">
        <f t="shared" si="6"/>
        <v>51.357397970784973</v>
      </c>
      <c r="E66" s="46">
        <f t="shared" si="7"/>
        <v>1348.2872411874823</v>
      </c>
      <c r="F66" s="46">
        <f t="shared" si="8"/>
        <v>6868.8964341381134</v>
      </c>
    </row>
    <row r="67" spans="1:6" ht="15" customHeight="1" x14ac:dyDescent="0.25">
      <c r="A67" s="33">
        <v>56</v>
      </c>
      <c r="B67" s="46">
        <f t="shared" si="9"/>
        <v>6868.8964341381134</v>
      </c>
      <c r="C67" s="46">
        <f t="shared" si="5"/>
        <v>1399.6446391582672</v>
      </c>
      <c r="D67" s="46">
        <f t="shared" si="6"/>
        <v>42.930602713363207</v>
      </c>
      <c r="E67" s="46">
        <f t="shared" si="7"/>
        <v>1356.714036444904</v>
      </c>
      <c r="F67" s="46">
        <f t="shared" si="8"/>
        <v>5512.1823976932092</v>
      </c>
    </row>
    <row r="68" spans="1:6" ht="15" customHeight="1" x14ac:dyDescent="0.25">
      <c r="A68" s="33">
        <v>57</v>
      </c>
      <c r="B68" s="46">
        <f t="shared" si="9"/>
        <v>5512.1823976932092</v>
      </c>
      <c r="C68" s="46">
        <f t="shared" si="5"/>
        <v>1399.6446391582672</v>
      </c>
      <c r="D68" s="46">
        <f t="shared" si="6"/>
        <v>34.451139985582557</v>
      </c>
      <c r="E68" s="46">
        <f t="shared" si="7"/>
        <v>1365.1934991726846</v>
      </c>
      <c r="F68" s="46">
        <f t="shared" si="8"/>
        <v>4146.9888985205243</v>
      </c>
    </row>
    <row r="69" spans="1:6" ht="15" customHeight="1" x14ac:dyDescent="0.25">
      <c r="A69" s="33">
        <v>58</v>
      </c>
      <c r="B69" s="46">
        <f t="shared" si="9"/>
        <v>4146.9888985205243</v>
      </c>
      <c r="C69" s="46">
        <f t="shared" si="5"/>
        <v>1399.6446391582672</v>
      </c>
      <c r="D69" s="46">
        <f t="shared" si="6"/>
        <v>25.918680615753274</v>
      </c>
      <c r="E69" s="46">
        <f t="shared" si="7"/>
        <v>1373.7259585425138</v>
      </c>
      <c r="F69" s="46">
        <f t="shared" si="8"/>
        <v>2773.2629399780108</v>
      </c>
    </row>
    <row r="70" spans="1:6" ht="15" customHeight="1" x14ac:dyDescent="0.25">
      <c r="A70" s="33">
        <v>59</v>
      </c>
      <c r="B70" s="46">
        <f t="shared" si="9"/>
        <v>2773.2629399780108</v>
      </c>
      <c r="C70" s="46">
        <f t="shared" si="5"/>
        <v>1399.6446391582672</v>
      </c>
      <c r="D70" s="46">
        <f t="shared" si="6"/>
        <v>17.332893374862568</v>
      </c>
      <c r="E70" s="46">
        <f t="shared" si="7"/>
        <v>1382.3117457834046</v>
      </c>
      <c r="F70" s="46">
        <f t="shared" si="8"/>
        <v>1390.9511941946062</v>
      </c>
    </row>
    <row r="71" spans="1:6" ht="15" customHeight="1" x14ac:dyDescent="0.25">
      <c r="A71" s="33">
        <v>60</v>
      </c>
      <c r="B71" s="46">
        <f t="shared" si="9"/>
        <v>1390.9511941946062</v>
      </c>
      <c r="C71" s="46">
        <f t="shared" si="5"/>
        <v>1399.6446391582672</v>
      </c>
      <c r="D71" s="46">
        <f t="shared" si="6"/>
        <v>8.6934449637162885</v>
      </c>
      <c r="E71" s="46">
        <f t="shared" si="7"/>
        <v>1390.9511941945509</v>
      </c>
      <c r="F71" s="46">
        <f t="shared" si="8"/>
        <v>5.525180313270539E-11</v>
      </c>
    </row>
    <row r="73" spans="1:6" ht="15" customHeight="1" x14ac:dyDescent="0.25">
      <c r="A73" s="16" t="s">
        <v>378</v>
      </c>
      <c r="D73" s="76">
        <f>SUM(D12:D23)</f>
        <v>4833.0610521248163</v>
      </c>
      <c r="E73" s="76">
        <f>SUM(E12:E23)</f>
        <v>11962.67461777439</v>
      </c>
    </row>
    <row r="74" spans="1:6" ht="15" customHeight="1" x14ac:dyDescent="0.25">
      <c r="A74" s="16" t="s">
        <v>379</v>
      </c>
      <c r="D74" s="76">
        <f>SUM(D24:D35)</f>
        <v>3904.3675322779263</v>
      </c>
      <c r="E74" s="76">
        <f>SUM(E24:E35)</f>
        <v>12891.368137621281</v>
      </c>
    </row>
    <row r="75" spans="1:6" ht="15" customHeight="1" x14ac:dyDescent="0.25">
      <c r="A75" s="16" t="s">
        <v>380</v>
      </c>
      <c r="D75" s="76">
        <f>SUM(D36:D47)</f>
        <v>2903.577120944567</v>
      </c>
      <c r="E75" s="76">
        <f>SUM(E36:E47)</f>
        <v>13892.15854895464</v>
      </c>
    </row>
    <row r="76" spans="1:6" ht="15" customHeight="1" x14ac:dyDescent="0.25">
      <c r="A76" s="16" t="s">
        <v>381</v>
      </c>
      <c r="D76" s="76">
        <f>SUM(D48:D59)</f>
        <v>1825.0927490692027</v>
      </c>
      <c r="E76" s="76">
        <f>SUM(E48:E59)</f>
        <v>14970.642920830007</v>
      </c>
    </row>
    <row r="77" spans="1:6" ht="15" customHeight="1" x14ac:dyDescent="0.25">
      <c r="A77" s="16" t="s">
        <v>382</v>
      </c>
      <c r="D77" s="76">
        <f>SUM(D60:D71)</f>
        <v>662.88283257954049</v>
      </c>
      <c r="E77" s="76">
        <f>SUM(E60:E71)</f>
        <v>16132.852837319668</v>
      </c>
    </row>
  </sheetData>
  <mergeCells count="1">
    <mergeCell ref="A4:F4"/>
  </mergeCells>
  <dataValidations count="1">
    <dataValidation type="list" sqref="C1" xr:uid="{42501AD4-B054-49D5-8EA1-903BA8DA90C3}">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8"/>
  </sheetPr>
  <dimension ref="A1:K34"/>
  <sheetViews>
    <sheetView showGridLines="0" zoomScaleNormal="100" workbookViewId="0">
      <pane xSplit="1" ySplit="5" topLeftCell="B6" activePane="bottomRight" state="frozen"/>
      <selection pane="topRight" activeCell="B1" sqref="B1"/>
      <selection pane="bottomLeft" activeCell="A5" sqref="A5"/>
      <selection pane="bottomRight" sqref="A1:XFD1"/>
    </sheetView>
  </sheetViews>
  <sheetFormatPr defaultColWidth="8.7109375" defaultRowHeight="15" x14ac:dyDescent="0.25"/>
  <cols>
    <col min="1" max="1" width="59.140625" bestFit="1" customWidth="1"/>
    <col min="2" max="6" width="14" customWidth="1"/>
    <col min="7" max="7" width="40" customWidth="1"/>
  </cols>
  <sheetData>
    <row r="1" spans="1:11" ht="15.75" customHeight="1" x14ac:dyDescent="0.25">
      <c r="A1" s="133"/>
      <c r="B1" t="s">
        <v>0</v>
      </c>
      <c r="C1" s="130" t="s">
        <v>48</v>
      </c>
      <c r="E1" t="s">
        <v>540</v>
      </c>
      <c r="F1" t="s">
        <v>1</v>
      </c>
      <c r="G1" s="121">
        <f ca="1">TODAY()</f>
        <v>46233</v>
      </c>
    </row>
    <row r="2" spans="1:11" ht="15" customHeight="1" x14ac:dyDescent="0.3">
      <c r="A2" s="15"/>
      <c r="B2" s="128"/>
      <c r="C2" s="129"/>
      <c r="D2" s="5"/>
      <c r="E2" s="5"/>
      <c r="F2" s="5"/>
      <c r="G2" s="5"/>
      <c r="H2" s="5"/>
      <c r="I2" s="5"/>
      <c r="J2" s="5"/>
      <c r="K2" s="5"/>
    </row>
    <row r="3" spans="1:11" ht="15" customHeight="1" x14ac:dyDescent="0.3">
      <c r="A3" s="15" t="s">
        <v>383</v>
      </c>
    </row>
    <row r="4" spans="1:11" ht="20.25" x14ac:dyDescent="0.3">
      <c r="A4" s="15"/>
    </row>
    <row r="5" spans="1:11" ht="15" customHeight="1" x14ac:dyDescent="0.25">
      <c r="A5" s="1"/>
      <c r="B5" s="24" t="s">
        <v>10</v>
      </c>
      <c r="C5" s="24" t="s">
        <v>11</v>
      </c>
      <c r="D5" s="24" t="s">
        <v>12</v>
      </c>
      <c r="E5" s="24" t="s">
        <v>13</v>
      </c>
      <c r="F5" s="24" t="s">
        <v>14</v>
      </c>
      <c r="G5" s="24" t="s">
        <v>385</v>
      </c>
    </row>
    <row r="6" spans="1:11" ht="15" customHeight="1" x14ac:dyDescent="0.25">
      <c r="B6" s="50">
        <f>SUMIFS('monthly model engine'!$M$8:$M$67,'monthly model engine'!$B$8:$B$67,1)</f>
        <v>145109.22901041666</v>
      </c>
      <c r="C6" s="50">
        <f>SUMIFS('monthly model engine'!$M$8:$M$67,'monthly model engine'!$B$8:$B$67,2)</f>
        <v>206939.3794270833</v>
      </c>
      <c r="D6" s="50">
        <f>SUMIFS('monthly model engine'!$M$8:$M$67,'monthly model engine'!$B$8:$B$67,3)</f>
        <v>223494.52978124999</v>
      </c>
      <c r="E6" s="50">
        <f>SUMIFS('monthly model engine'!$M$8:$M$67,'monthly model engine'!$B$8:$B$67,4)</f>
        <v>236904.20156812499</v>
      </c>
      <c r="F6" s="50">
        <f>SUMIFS('monthly model engine'!$M$8:$M$67,'monthly model engine'!$B$8:$B$67,5)</f>
        <v>244011.32761516876</v>
      </c>
      <c r="G6" s="28"/>
    </row>
    <row r="7" spans="1:11" ht="15" customHeight="1" x14ac:dyDescent="0.25">
      <c r="A7" s="24" t="s">
        <v>384</v>
      </c>
      <c r="B7" s="50">
        <f>SUMIFS('monthly model engine'!$W$8:$W$67,'monthly model engine'!$B$8:$B$67,1)</f>
        <v>49470.031500000012</v>
      </c>
      <c r="C7" s="50">
        <f>SUMIFS('monthly model engine'!$W$8:$W$67,'monthly model engine'!$B$8:$B$67,2)</f>
        <v>78630.550799999997</v>
      </c>
      <c r="D7" s="50">
        <f>SUMIFS('monthly model engine'!$W$8:$W$67,'monthly model engine'!$B$8:$B$67,3)</f>
        <v>84920.994864000037</v>
      </c>
      <c r="E7" s="50">
        <f>SUMIFS('monthly model engine'!$W$8:$W$67,'monthly model engine'!$B$8:$B$67,4)</f>
        <v>90016.254555840016</v>
      </c>
      <c r="F7" s="50">
        <f>SUMIFS('monthly model engine'!$W$8:$W$67,'monthly model engine'!$B$8:$B$67,5)</f>
        <v>92716.74219251523</v>
      </c>
      <c r="G7" s="28"/>
    </row>
    <row r="8" spans="1:11" ht="15" customHeight="1" x14ac:dyDescent="0.25">
      <c r="A8" s="33" t="s">
        <v>242</v>
      </c>
      <c r="B8" s="49">
        <f>SUMIFS('monthly model engine'!$X$8:$X$67,'monthly model engine'!$B$8:$B$67,1)</f>
        <v>194579.26051041667</v>
      </c>
      <c r="C8" s="49">
        <f>SUMIFS('monthly model engine'!$X$8:$X$67,'monthly model engine'!$B$8:$B$67,2)</f>
        <v>285569.93022708333</v>
      </c>
      <c r="D8" s="49">
        <f>SUMIFS('monthly model engine'!$X$8:$X$67,'monthly model engine'!$B$8:$B$67,3)</f>
        <v>308415.52464524994</v>
      </c>
      <c r="E8" s="49">
        <f>SUMIFS('monthly model engine'!$X$8:$X$67,'monthly model engine'!$B$8:$B$67,4)</f>
        <v>326920.45612396504</v>
      </c>
      <c r="F8" s="49">
        <f>SUMIFS('monthly model engine'!$X$8:$X$67,'monthly model engine'!$B$8:$B$67,5)</f>
        <v>336728.06980768399</v>
      </c>
      <c r="G8" s="28"/>
    </row>
    <row r="9" spans="1:11" x14ac:dyDescent="0.25">
      <c r="A9" s="33" t="s">
        <v>386</v>
      </c>
    </row>
    <row r="10" spans="1:11" ht="15" customHeight="1" x14ac:dyDescent="0.25">
      <c r="A10" s="47" t="s">
        <v>244</v>
      </c>
      <c r="B10" s="50">
        <f>SUMIFS('monthly model engine'!$Y$8:$Y$67,'monthly model engine'!$B$8:$B$67,1)</f>
        <v>59069.823453124991</v>
      </c>
      <c r="C10" s="50">
        <f>SUMIFS('monthly model engine'!$Y$8:$Y$67,'monthly model engine'!$B$8:$B$67,2)</f>
        <v>86777.314028124994</v>
      </c>
      <c r="D10" s="50">
        <f>SUMIFS('monthly model engine'!$Y$8:$Y$67,'monthly model engine'!$B$8:$B$67,3)</f>
        <v>93719.499150374992</v>
      </c>
      <c r="E10" s="50">
        <f>SUMIFS('monthly model engine'!$Y$8:$Y$67,'monthly model engine'!$B$8:$B$67,4)</f>
        <v>99342.669099397492</v>
      </c>
      <c r="F10" s="50">
        <f>SUMIFS('monthly model engine'!$Y$8:$Y$67,'monthly model engine'!$B$8:$B$67,5)</f>
        <v>102322.94917237942</v>
      </c>
      <c r="G10" s="28"/>
    </row>
    <row r="11" spans="1:11" ht="15" customHeight="1" x14ac:dyDescent="0.25">
      <c r="B11" s="49">
        <f>SUMIFS('monthly model engine'!$Z$8:$Z$67,'monthly model engine'!$B$8:$B$67,1)</f>
        <v>135509.43705729168</v>
      </c>
      <c r="C11" s="49">
        <f>SUMIFS('monthly model engine'!$Z$8:$Z$67,'monthly model engine'!$B$8:$B$67,2)</f>
        <v>198792.61619895831</v>
      </c>
      <c r="D11" s="49">
        <f>SUMIFS('monthly model engine'!$Z$8:$Z$67,'monthly model engine'!$B$8:$B$67,3)</f>
        <v>214696.02549487501</v>
      </c>
      <c r="E11" s="49">
        <f>SUMIFS('monthly model engine'!$Z$8:$Z$67,'monthly model engine'!$B$8:$B$67,4)</f>
        <v>227577.78702456754</v>
      </c>
      <c r="F11" s="49">
        <f>SUMIFS('monthly model engine'!$Z$8:$Z$67,'monthly model engine'!$B$8:$B$67,5)</f>
        <v>234405.12063530454</v>
      </c>
      <c r="G11" s="28"/>
    </row>
    <row r="12" spans="1:11" x14ac:dyDescent="0.25">
      <c r="A12" s="33" t="s">
        <v>387</v>
      </c>
    </row>
    <row r="13" spans="1:11" ht="15" customHeight="1" x14ac:dyDescent="0.25">
      <c r="A13" s="47" t="s">
        <v>388</v>
      </c>
      <c r="B13" s="50">
        <f>SUMIFS('monthly model engine'!$AA$8:$AA$67,'monthly model engine'!$B$8:$B$67,1)</f>
        <v>24000</v>
      </c>
      <c r="C13" s="50">
        <f>SUMIFS('monthly model engine'!$AA$8:$AA$67,'monthly model engine'!$B$8:$B$67,2)</f>
        <v>24000</v>
      </c>
      <c r="D13" s="50">
        <f>SUMIFS('monthly model engine'!$AA$8:$AA$67,'monthly model engine'!$B$8:$B$67,3)</f>
        <v>24000</v>
      </c>
      <c r="E13" s="50">
        <f>SUMIFS('monthly model engine'!$AA$8:$AA$67,'monthly model engine'!$B$8:$B$67,4)</f>
        <v>24000</v>
      </c>
      <c r="F13" s="50">
        <f>SUMIFS('monthly model engine'!$AA$8:$AA$67,'monthly model engine'!$B$8:$B$67,5)</f>
        <v>24000</v>
      </c>
      <c r="G13" s="28"/>
    </row>
    <row r="14" spans="1:11" ht="15" customHeight="1" x14ac:dyDescent="0.25">
      <c r="B14" s="50">
        <f>SUMIFS('monthly model engine'!$AB$8:$AB$67,'monthly model engine'!$B$8:$B$67,1)</f>
        <v>1500</v>
      </c>
      <c r="C14" s="50">
        <f>SUMIFS('monthly model engine'!$AB$8:$AB$67,'monthly model engine'!$B$8:$B$67,2)</f>
        <v>1500</v>
      </c>
      <c r="D14" s="50">
        <f>SUMIFS('monthly model engine'!$AB$8:$AB$67,'monthly model engine'!$B$8:$B$67,3)</f>
        <v>1500</v>
      </c>
      <c r="E14" s="50">
        <f>SUMIFS('monthly model engine'!$AB$8:$AB$67,'monthly model engine'!$B$8:$B$67,4)</f>
        <v>1500</v>
      </c>
      <c r="F14" s="50">
        <f>SUMIFS('monthly model engine'!$AB$8:$AB$67,'monthly model engine'!$B$8:$B$67,5)</f>
        <v>1500</v>
      </c>
      <c r="G14" s="28"/>
    </row>
    <row r="15" spans="1:11" ht="15" customHeight="1" x14ac:dyDescent="0.25">
      <c r="A15" s="33" t="s">
        <v>389</v>
      </c>
      <c r="B15" s="50">
        <f>SUMIFS('monthly model engine'!$AC$8:$AC$67,'monthly model engine'!$B$8:$B$67,1)</f>
        <v>1800</v>
      </c>
      <c r="C15" s="50">
        <f>SUMIFS('monthly model engine'!$AC$8:$AC$67,'monthly model engine'!$B$8:$B$67,2)</f>
        <v>1800</v>
      </c>
      <c r="D15" s="50">
        <f>SUMIFS('monthly model engine'!$AC$8:$AC$67,'monthly model engine'!$B$8:$B$67,3)</f>
        <v>1800</v>
      </c>
      <c r="E15" s="50">
        <f>SUMIFS('monthly model engine'!$AC$8:$AC$67,'monthly model engine'!$B$8:$B$67,4)</f>
        <v>1800</v>
      </c>
      <c r="F15" s="50">
        <f>SUMIFS('monthly model engine'!$AC$8:$AC$67,'monthly model engine'!$B$8:$B$67,5)</f>
        <v>1800</v>
      </c>
      <c r="G15" s="28"/>
    </row>
    <row r="16" spans="1:11" ht="15" customHeight="1" x14ac:dyDescent="0.25">
      <c r="A16" s="33" t="s">
        <v>390</v>
      </c>
      <c r="B16" s="50">
        <f>SUMIFS('monthly model engine'!$AD$8:$AD$67,'monthly model engine'!$B$8:$B$67,1)</f>
        <v>81398.788250000027</v>
      </c>
      <c r="C16" s="50">
        <f>SUMIFS('monthly model engine'!$AD$8:$AD$67,'monthly model engine'!$B$8:$B$67,2)</f>
        <v>81398.788250000027</v>
      </c>
      <c r="D16" s="50">
        <f>SUMIFS('monthly model engine'!$AD$8:$AD$67,'monthly model engine'!$B$8:$B$67,3)</f>
        <v>81398.788250000027</v>
      </c>
      <c r="E16" s="50">
        <f>SUMIFS('monthly model engine'!$AD$8:$AD$67,'monthly model engine'!$B$8:$B$67,4)</f>
        <v>81398.788250000027</v>
      </c>
      <c r="F16" s="50">
        <f>SUMIFS('monthly model engine'!$AD$8:$AD$67,'monthly model engine'!$B$8:$B$67,5)</f>
        <v>81398.788250000027</v>
      </c>
      <c r="G16" s="28"/>
    </row>
    <row r="17" spans="1:7" ht="15" customHeight="1" x14ac:dyDescent="0.25">
      <c r="A17" s="33" t="s">
        <v>391</v>
      </c>
      <c r="B17" s="50">
        <f>SUMIFS('monthly model engine'!$AH$8:$AH$67,'monthly model engine'!$B$8:$B$67,1)</f>
        <v>5375</v>
      </c>
      <c r="C17" s="50">
        <f>SUMIFS('monthly model engine'!$AH$8:$AH$67,'monthly model engine'!$B$8:$B$67,2)</f>
        <v>6181.25</v>
      </c>
      <c r="D17" s="50">
        <f>SUMIFS('monthly model engine'!$AH$8:$AH$67,'monthly model engine'!$B$8:$B$67,3)</f>
        <v>6675.75</v>
      </c>
      <c r="E17" s="50">
        <f>SUMIFS('monthly model engine'!$AH$8:$AH$67,'monthly model engine'!$B$8:$B$67,4)</f>
        <v>7076.295000000001</v>
      </c>
      <c r="F17" s="50">
        <f>SUMIFS('monthly model engine'!$AH$8:$AH$67,'monthly model engine'!$B$8:$B$67,5)</f>
        <v>7288.58385</v>
      </c>
      <c r="G17" s="28"/>
    </row>
    <row r="18" spans="1:7" ht="15" customHeight="1" x14ac:dyDescent="0.25">
      <c r="A18" s="33" t="s">
        <v>392</v>
      </c>
      <c r="B18" s="50">
        <f>SUMIFS('monthly model engine'!$AI$8:$AI$67,'monthly model engine'!$B$8:$B$67,1)</f>
        <v>1800</v>
      </c>
      <c r="C18" s="50">
        <f>SUMIFS('monthly model engine'!$AI$8:$AI$67,'monthly model engine'!$B$8:$B$67,2)</f>
        <v>1800</v>
      </c>
      <c r="D18" s="50">
        <f>SUMIFS('monthly model engine'!$AI$8:$AI$67,'monthly model engine'!$B$8:$B$67,3)</f>
        <v>1800</v>
      </c>
      <c r="E18" s="50">
        <f>SUMIFS('monthly model engine'!$AI$8:$AI$67,'monthly model engine'!$B$8:$B$67,4)</f>
        <v>1800</v>
      </c>
      <c r="F18" s="50">
        <f>SUMIFS('monthly model engine'!$AI$8:$AI$67,'monthly model engine'!$B$8:$B$67,5)</f>
        <v>1800</v>
      </c>
      <c r="G18" s="28"/>
    </row>
    <row r="19" spans="1:7" ht="15" customHeight="1" x14ac:dyDescent="0.25">
      <c r="A19" s="33" t="s">
        <v>393</v>
      </c>
      <c r="B19" s="50">
        <f>SUMIFS('monthly model engine'!$AJ$8:$AJ$67,'monthly model engine'!$B$8:$B$67,1)</f>
        <v>6000</v>
      </c>
      <c r="C19" s="50">
        <f>SUMIFS('monthly model engine'!$AJ$8:$AJ$67,'monthly model engine'!$B$8:$B$67,2)</f>
        <v>6000</v>
      </c>
      <c r="D19" s="50">
        <f>SUMIFS('monthly model engine'!$AJ$8:$AJ$67,'monthly model engine'!$B$8:$B$67,3)</f>
        <v>6000</v>
      </c>
      <c r="E19" s="50">
        <f>SUMIFS('monthly model engine'!$AJ$8:$AJ$67,'monthly model engine'!$B$8:$B$67,4)</f>
        <v>6000</v>
      </c>
      <c r="F19" s="50">
        <f>SUMIFS('monthly model engine'!$AJ$8:$AJ$67,'monthly model engine'!$B$8:$B$67,5)</f>
        <v>6000</v>
      </c>
      <c r="G19" s="28"/>
    </row>
    <row r="20" spans="1:7" ht="15" customHeight="1" x14ac:dyDescent="0.25">
      <c r="A20" s="33" t="s">
        <v>394</v>
      </c>
      <c r="B20" s="50">
        <f>SUMIFS('monthly model engine'!$AK$8:$AK$67,'monthly model engine'!$B$8:$B$67,1)</f>
        <v>121873.78825000003</v>
      </c>
      <c r="C20" s="50">
        <f>SUMIFS('monthly model engine'!$AK$8:$AK$67,'monthly model engine'!$B$8:$B$67,2)</f>
        <v>122680.03825000003</v>
      </c>
      <c r="D20" s="50">
        <f>SUMIFS('monthly model engine'!$AK$8:$AK$67,'monthly model engine'!$B$8:$B$67,3)</f>
        <v>123174.53825000001</v>
      </c>
      <c r="E20" s="50">
        <f>SUMIFS('monthly model engine'!$AK$8:$AK$67,'monthly model engine'!$B$8:$B$67,4)</f>
        <v>123575.08324999998</v>
      </c>
      <c r="F20" s="50">
        <f>SUMIFS('monthly model engine'!$AK$8:$AK$67,'monthly model engine'!$B$8:$B$67,5)</f>
        <v>123787.37209999999</v>
      </c>
      <c r="G20" s="28"/>
    </row>
    <row r="21" spans="1:7" ht="15" customHeight="1" x14ac:dyDescent="0.25">
      <c r="A21" s="33" t="s">
        <v>395</v>
      </c>
      <c r="B21" s="50">
        <f>SUMIFS('monthly model engine'!$AN$8:$AN$67,'monthly model engine'!$B$8:$B$67,1)</f>
        <v>9242.5148742447927</v>
      </c>
      <c r="C21" s="50">
        <f>SUMIFS('monthly model engine'!$AN$8:$AN$67,'monthly model engine'!$B$8:$B$67,2)</f>
        <v>13564.571685786455</v>
      </c>
      <c r="D21" s="50">
        <f>SUMIFS('monthly model engine'!$AN$8:$AN$67,'monthly model engine'!$B$8:$B$67,3)</f>
        <v>14649.737420649375</v>
      </c>
      <c r="E21" s="50">
        <f>SUMIFS('monthly model engine'!$AN$8:$AN$67,'monthly model engine'!$B$8:$B$67,4)</f>
        <v>15528.721665888341</v>
      </c>
      <c r="F21" s="50">
        <f>SUMIFS('monthly model engine'!$AN$8:$AN$67,'monthly model engine'!$B$8:$B$67,5)</f>
        <v>15994.583315864991</v>
      </c>
      <c r="G21" s="28"/>
    </row>
    <row r="22" spans="1:7" ht="15" customHeight="1" x14ac:dyDescent="0.25">
      <c r="A22" s="33" t="s">
        <v>396</v>
      </c>
      <c r="B22" s="49">
        <f>SUMIFS('monthly model engine'!$AO$8:$AO$67,'monthly model engine'!$B$8:$B$67,1)</f>
        <v>131116.30312424479</v>
      </c>
      <c r="C22" s="49">
        <f>SUMIFS('monthly model engine'!$AO$8:$AO$67,'monthly model engine'!$B$8:$B$67,2)</f>
        <v>136244.60993578643</v>
      </c>
      <c r="D22" s="49">
        <f>SUMIFS('monthly model engine'!$AO$8:$AO$67,'monthly model engine'!$B$8:$B$67,3)</f>
        <v>137824.27567064937</v>
      </c>
      <c r="E22" s="49">
        <f>SUMIFS('monthly model engine'!$AO$8:$AO$67,'monthly model engine'!$B$8:$B$67,4)</f>
        <v>139103.80491588835</v>
      </c>
      <c r="F22" s="49">
        <f>SUMIFS('monthly model engine'!$AO$8:$AO$67,'monthly model engine'!$B$8:$B$67,5)</f>
        <v>139781.955415865</v>
      </c>
      <c r="G22" s="28"/>
    </row>
    <row r="23" spans="1:7" x14ac:dyDescent="0.25">
      <c r="A23" s="33" t="s">
        <v>397</v>
      </c>
    </row>
    <row r="24" spans="1:7" ht="18.75" customHeight="1" x14ac:dyDescent="0.25">
      <c r="A24" s="47" t="s">
        <v>259</v>
      </c>
      <c r="B24" s="49">
        <f>SUMIFS('monthly model engine'!$AP$8:$AP$67,'monthly model engine'!$B$8:$B$67,1)</f>
        <v>4393.1339330468782</v>
      </c>
      <c r="C24" s="49">
        <f>SUMIFS('monthly model engine'!$AP$8:$AP$67,'monthly model engine'!$B$8:$B$67,2)</f>
        <v>62548.006263171876</v>
      </c>
      <c r="D24" s="49">
        <f>SUMIFS('monthly model engine'!$AP$8:$AP$67,'monthly model engine'!$B$8:$B$67,3)</f>
        <v>76871.749824225626</v>
      </c>
      <c r="E24" s="49">
        <f>SUMIFS('monthly model engine'!$AP$8:$AP$67,'monthly model engine'!$B$8:$B$67,4)</f>
        <v>88473.982108679193</v>
      </c>
      <c r="F24" s="49">
        <f>SUMIFS('monthly model engine'!$AP$8:$AP$67,'monthly model engine'!$B$8:$B$67,5)</f>
        <v>94623.165219439543</v>
      </c>
      <c r="G24" s="28" t="s">
        <v>398</v>
      </c>
    </row>
    <row r="25" spans="1:7" ht="15" customHeight="1" x14ac:dyDescent="0.25">
      <c r="B25" s="50">
        <f>SUMIFS('monthly model engine'!$AQ$8:$AQ$67,'monthly model engine'!$B$8:$B$67,1)</f>
        <v>10999.999999999998</v>
      </c>
      <c r="C25" s="50">
        <f>SUMIFS('monthly model engine'!$AQ$8:$AQ$67,'monthly model engine'!$B$8:$B$67,2)</f>
        <v>10999.999999999998</v>
      </c>
      <c r="D25" s="50">
        <f>SUMIFS('monthly model engine'!$AQ$8:$AQ$67,'monthly model engine'!$B$8:$B$67,3)</f>
        <v>10999.999999999998</v>
      </c>
      <c r="E25" s="50">
        <f>SUMIFS('monthly model engine'!$AQ$8:$AQ$67,'monthly model engine'!$B$8:$B$67,4)</f>
        <v>10999.999999999998</v>
      </c>
      <c r="F25" s="50">
        <f>SUMIFS('monthly model engine'!$AQ$8:$AQ$67,'monthly model engine'!$B$8:$B$67,5)</f>
        <v>10999.999999999998</v>
      </c>
      <c r="G25" s="28"/>
    </row>
    <row r="26" spans="1:7" ht="15" customHeight="1" x14ac:dyDescent="0.25">
      <c r="A26" s="47" t="s">
        <v>20</v>
      </c>
      <c r="B26" s="50">
        <f>SUMIFS('monthly model engine'!$AR$8:$AR$67,'monthly model engine'!$B$8:$B$67,1)</f>
        <v>-4833.0610521248163</v>
      </c>
      <c r="C26" s="50">
        <f>SUMIFS('monthly model engine'!$AR$8:$AR$67,'monthly model engine'!$B$8:$B$67,2)</f>
        <v>-3904.3675322779263</v>
      </c>
      <c r="D26" s="50">
        <f>SUMIFS('monthly model engine'!$AR$8:$AR$67,'monthly model engine'!$B$8:$B$67,3)</f>
        <v>-2903.577120944567</v>
      </c>
      <c r="E26" s="50">
        <f>SUMIFS('monthly model engine'!$AR$8:$AR$67,'monthly model engine'!$B$8:$B$67,4)</f>
        <v>-1825.0927490692027</v>
      </c>
      <c r="F26" s="50">
        <f>SUMIFS('monthly model engine'!$AR$8:$AR$67,'monthly model engine'!$B$8:$B$67,5)</f>
        <v>-662.88283257954049</v>
      </c>
      <c r="G26" s="28"/>
    </row>
    <row r="27" spans="1:7" ht="15" customHeight="1" x14ac:dyDescent="0.25">
      <c r="A27" s="33" t="s">
        <v>261</v>
      </c>
      <c r="B27" s="50">
        <f>SUMIFS('monthly model engine'!$AS$8:$AS$67,'monthly model engine'!$B$8:$B$67,1)</f>
        <v>-11439.92711907794</v>
      </c>
      <c r="C27" s="50">
        <f>SUMIFS('monthly model engine'!$AS$8:$AS$67,'monthly model engine'!$B$8:$B$67,2)</f>
        <v>47643.638730893945</v>
      </c>
      <c r="D27" s="50">
        <f>SUMIFS('monthly model engine'!$AS$8:$AS$67,'monthly model engine'!$B$8:$B$67,3)</f>
        <v>62968.172703281052</v>
      </c>
      <c r="E27" s="50">
        <f>SUMIFS('monthly model engine'!$AS$8:$AS$67,'monthly model engine'!$B$8:$B$67,4)</f>
        <v>75648.889359609981</v>
      </c>
      <c r="F27" s="50">
        <f>SUMIFS('monthly model engine'!$AS$8:$AS$67,'monthly model engine'!$B$8:$B$67,5)</f>
        <v>82960.28238686001</v>
      </c>
      <c r="G27" s="28"/>
    </row>
    <row r="28" spans="1:7" ht="15" customHeight="1" x14ac:dyDescent="0.25">
      <c r="A28" s="33" t="s">
        <v>262</v>
      </c>
      <c r="B28" s="50">
        <f>SUMIFS('monthly model engine'!$AT$8:$AT$67,'monthly model engine'!$B$8:$B$67,1)</f>
        <v>-1816.7049340240826</v>
      </c>
      <c r="C28" s="50">
        <f>SUMIFS('monthly model engine'!$AT$8:$AT$67,'monthly model engine'!$B$8:$B$67,2)</f>
        <v>-11910.909682723486</v>
      </c>
      <c r="D28" s="50">
        <f>SUMIFS('monthly model engine'!$AT$8:$AT$67,'monthly model engine'!$B$8:$B$67,3)</f>
        <v>-15742.043175820263</v>
      </c>
      <c r="E28" s="50">
        <f>SUMIFS('monthly model engine'!$AT$8:$AT$67,'monthly model engine'!$B$8:$B$67,4)</f>
        <v>-18912.222339902495</v>
      </c>
      <c r="F28" s="50">
        <f>SUMIFS('monthly model engine'!$AT$8:$AT$67,'monthly model engine'!$B$8:$B$67,5)</f>
        <v>-20740.070596715002</v>
      </c>
      <c r="G28" s="28"/>
    </row>
    <row r="29" spans="1:7" ht="15" customHeight="1" x14ac:dyDescent="0.25">
      <c r="A29" s="33" t="s">
        <v>263</v>
      </c>
      <c r="B29" s="49">
        <f>SUMIFS('monthly model engine'!$AU$8:$AU$67,'monthly model engine'!$B$8:$B$67,1)</f>
        <v>-13256.632053102023</v>
      </c>
      <c r="C29" s="49">
        <f>SUMIFS('monthly model engine'!$AU$8:$AU$67,'monthly model engine'!$B$8:$B$67,2)</f>
        <v>35732.729048170455</v>
      </c>
      <c r="D29" s="49">
        <f>SUMIFS('monthly model engine'!$AU$8:$AU$67,'monthly model engine'!$B$8:$B$67,3)</f>
        <v>47226.129527460784</v>
      </c>
      <c r="E29" s="49">
        <f>SUMIFS('monthly model engine'!$AU$8:$AU$67,'monthly model engine'!$B$8:$B$67,4)</f>
        <v>56736.6670197075</v>
      </c>
      <c r="F29" s="49">
        <f>SUMIFS('monthly model engine'!$AU$8:$AU$67,'monthly model engine'!$B$8:$B$67,5)</f>
        <v>62220.211790145004</v>
      </c>
      <c r="G29" s="28"/>
    </row>
    <row r="30" spans="1:7" x14ac:dyDescent="0.25">
      <c r="A30" s="33" t="s">
        <v>264</v>
      </c>
    </row>
    <row r="31" spans="1:7" ht="15" customHeight="1" x14ac:dyDescent="0.25">
      <c r="A31" s="47" t="s">
        <v>265</v>
      </c>
      <c r="B31" s="77">
        <f>IFERROR(B24/B8,0)</f>
        <v>2.2577606274804887E-2</v>
      </c>
      <c r="C31" s="77">
        <f>IFERROR(C24/C8,0)</f>
        <v>0.21902868489491914</v>
      </c>
      <c r="D31" s="77">
        <f>IFERROR(D24/D8,0)</f>
        <v>0.24924734224272962</v>
      </c>
      <c r="E31" s="77">
        <f>IFERROR(E24/E8,0)</f>
        <v>0.27062846772467097</v>
      </c>
      <c r="F31" s="77">
        <f>IFERROR(F24/F8,0)</f>
        <v>0.28100765485182694</v>
      </c>
      <c r="G31" s="35"/>
    </row>
    <row r="32" spans="1:7" ht="15" customHeight="1" x14ac:dyDescent="0.25">
      <c r="B32" s="77">
        <f>IFERROR(B29/B8,0)</f>
        <v>-6.8129727794871225E-2</v>
      </c>
      <c r="C32" s="77">
        <f>IFERROR(C29/C8,0)</f>
        <v>0.125127771750184</v>
      </c>
      <c r="D32" s="77">
        <f>IFERROR(D29/D8,0)</f>
        <v>0.1531250075098583</v>
      </c>
      <c r="E32" s="77">
        <f>IFERROR(E29/E8,0)</f>
        <v>0.17354884332534246</v>
      </c>
      <c r="F32" s="77">
        <f>IFERROR(F29/F8,0)</f>
        <v>0.18477880927978749</v>
      </c>
      <c r="G32" s="35"/>
    </row>
    <row r="33" spans="1:1" x14ac:dyDescent="0.25">
      <c r="A33" s="33" t="s">
        <v>268</v>
      </c>
    </row>
    <row r="34" spans="1:1" x14ac:dyDescent="0.25">
      <c r="A34" s="33" t="s">
        <v>269</v>
      </c>
    </row>
  </sheetData>
  <dataValidations count="1">
    <dataValidation type="list" sqref="C1" xr:uid="{06080183-CE40-4D67-8FB7-3194099CC320}">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8"/>
  </sheetPr>
  <dimension ref="A1:K22"/>
  <sheetViews>
    <sheetView showGridLines="0" zoomScaleNormal="100" workbookViewId="0">
      <pane xSplit="1" ySplit="10" topLeftCell="B11" activePane="bottomRight" state="frozen"/>
      <selection pane="topRight" activeCell="B1" sqref="B1"/>
      <selection pane="bottomLeft" activeCell="A9" sqref="A9"/>
      <selection pane="bottomRight" sqref="A1:XFD1"/>
    </sheetView>
  </sheetViews>
  <sheetFormatPr defaultColWidth="8.7109375" defaultRowHeight="15" x14ac:dyDescent="0.25"/>
  <cols>
    <col min="1" max="1" width="36" customWidth="1"/>
    <col min="2" max="6" width="16" customWidth="1"/>
    <col min="7" max="7" width="40" customWidth="1"/>
  </cols>
  <sheetData>
    <row r="1" spans="1:11" ht="15.75" customHeight="1" x14ac:dyDescent="0.25">
      <c r="A1" s="133"/>
      <c r="B1" t="s">
        <v>0</v>
      </c>
      <c r="C1" s="130" t="s">
        <v>48</v>
      </c>
      <c r="E1" t="s">
        <v>540</v>
      </c>
      <c r="F1" t="s">
        <v>1</v>
      </c>
      <c r="G1" s="121">
        <f ca="1">TODAY()</f>
        <v>46233</v>
      </c>
    </row>
    <row r="2" spans="1:11" ht="19.5" customHeight="1" x14ac:dyDescent="0.3">
      <c r="A2" s="15"/>
      <c r="I2" s="146"/>
      <c r="J2" s="143"/>
      <c r="K2" s="145"/>
    </row>
    <row r="3" spans="1:11" ht="19.5" customHeight="1" x14ac:dyDescent="0.3">
      <c r="A3" s="15" t="s">
        <v>399</v>
      </c>
      <c r="I3" s="146"/>
      <c r="J3" s="143"/>
      <c r="K3" s="145"/>
    </row>
    <row r="4" spans="1:11" ht="15" customHeight="1" x14ac:dyDescent="0.25">
      <c r="A4" s="1"/>
    </row>
    <row r="6" spans="1:11" ht="15" customHeight="1" x14ac:dyDescent="0.25">
      <c r="A6" s="150" t="s">
        <v>400</v>
      </c>
      <c r="B6" s="150"/>
      <c r="C6" s="150"/>
      <c r="D6" s="150"/>
      <c r="E6" s="150"/>
      <c r="F6" s="150"/>
    </row>
    <row r="7" spans="1:11" ht="15" customHeight="1" x14ac:dyDescent="0.25">
      <c r="A7" s="54" t="s">
        <v>160</v>
      </c>
      <c r="B7" s="72">
        <f>Workings!$B$41</f>
        <v>40000</v>
      </c>
    </row>
    <row r="8" spans="1:11" ht="15" customHeight="1" x14ac:dyDescent="0.25">
      <c r="A8" s="54" t="s">
        <v>401</v>
      </c>
      <c r="B8" s="72">
        <f>Workings!$B$42</f>
        <v>69849.697062499996</v>
      </c>
    </row>
    <row r="9" spans="1:11" ht="15" customHeight="1" x14ac:dyDescent="0.25">
      <c r="A9" s="78" t="s">
        <v>402</v>
      </c>
      <c r="B9" s="79">
        <f>Workings!$B$46</f>
        <v>31074.697062499996</v>
      </c>
    </row>
    <row r="11" spans="1:11" ht="15" customHeight="1" x14ac:dyDescent="0.25">
      <c r="A11" s="24" t="s">
        <v>384</v>
      </c>
      <c r="B11" s="24" t="s">
        <v>10</v>
      </c>
      <c r="C11" s="24" t="s">
        <v>11</v>
      </c>
      <c r="D11" s="24" t="s">
        <v>12</v>
      </c>
      <c r="E11" s="24" t="s">
        <v>13</v>
      </c>
      <c r="F11" s="24" t="s">
        <v>14</v>
      </c>
      <c r="G11" s="24" t="s">
        <v>385</v>
      </c>
    </row>
    <row r="12" spans="1:11" ht="15" customHeight="1" x14ac:dyDescent="0.25">
      <c r="A12" s="47" t="s">
        <v>20</v>
      </c>
      <c r="B12" s="49">
        <f>SUMIFS('monthly model engine'!$AP$8:$AP$67,'monthly model engine'!$B$8:$B$67,1)</f>
        <v>4393.1339330468782</v>
      </c>
      <c r="C12" s="49">
        <f>SUMIFS('monthly model engine'!$AP$8:$AP$67,'monthly model engine'!$B$8:$B$67,2)</f>
        <v>62548.006263171876</v>
      </c>
      <c r="D12" s="49">
        <f>SUMIFS('monthly model engine'!$AP$8:$AP$67,'monthly model engine'!$B$8:$B$67,3)</f>
        <v>76871.749824225626</v>
      </c>
      <c r="E12" s="49">
        <f>SUMIFS('monthly model engine'!$AP$8:$AP$67,'monthly model engine'!$B$8:$B$67,4)</f>
        <v>88473.982108679193</v>
      </c>
      <c r="F12" s="49">
        <f>SUMIFS('monthly model engine'!$AP$8:$AP$67,'monthly model engine'!$B$8:$B$67,5)</f>
        <v>94623.165219439543</v>
      </c>
      <c r="G12" s="28"/>
    </row>
    <row r="13" spans="1:11" ht="15" customHeight="1" x14ac:dyDescent="0.25">
      <c r="A13" s="33" t="s">
        <v>261</v>
      </c>
      <c r="B13" s="50">
        <f>SUMIFS('monthly model engine'!$AQ$8:$AQ$67,'monthly model engine'!$B$8:$B$67,1)</f>
        <v>10999.999999999998</v>
      </c>
      <c r="C13" s="50">
        <f>SUMIFS('monthly model engine'!$AQ$8:$AQ$67,'monthly model engine'!$B$8:$B$67,2)</f>
        <v>10999.999999999998</v>
      </c>
      <c r="D13" s="50">
        <f>SUMIFS('monthly model engine'!$AQ$8:$AQ$67,'monthly model engine'!$B$8:$B$67,3)</f>
        <v>10999.999999999998</v>
      </c>
      <c r="E13" s="50">
        <f>SUMIFS('monthly model engine'!$AQ$8:$AQ$67,'monthly model engine'!$B$8:$B$67,4)</f>
        <v>10999.999999999998</v>
      </c>
      <c r="F13" s="50">
        <f>SUMIFS('monthly model engine'!$AQ$8:$AQ$67,'monthly model engine'!$B$8:$B$67,5)</f>
        <v>10999.999999999998</v>
      </c>
      <c r="G13" s="28"/>
    </row>
    <row r="14" spans="1:11" ht="15" customHeight="1" x14ac:dyDescent="0.25">
      <c r="A14" s="33" t="s">
        <v>262</v>
      </c>
      <c r="B14" s="50">
        <f>SUMIFS('monthly model engine'!$AR$8:$AR$67,'monthly model engine'!$B$8:$B$67,1)</f>
        <v>-4833.0610521248163</v>
      </c>
      <c r="C14" s="50">
        <f>SUMIFS('monthly model engine'!$AR$8:$AR$67,'monthly model engine'!$B$8:$B$67,2)</f>
        <v>-3904.3675322779263</v>
      </c>
      <c r="D14" s="50">
        <f>SUMIFS('monthly model engine'!$AR$8:$AR$67,'monthly model engine'!$B$8:$B$67,3)</f>
        <v>-2903.577120944567</v>
      </c>
      <c r="E14" s="50">
        <f>SUMIFS('monthly model engine'!$AR$8:$AR$67,'monthly model engine'!$B$8:$B$67,4)</f>
        <v>-1825.0927490692027</v>
      </c>
      <c r="F14" s="50">
        <f>SUMIFS('monthly model engine'!$AR$8:$AR$67,'monthly model engine'!$B$8:$B$67,5)</f>
        <v>-662.88283257954049</v>
      </c>
      <c r="G14" s="28"/>
    </row>
    <row r="15" spans="1:11" ht="15" customHeight="1" x14ac:dyDescent="0.25">
      <c r="A15" s="33" t="s">
        <v>263</v>
      </c>
      <c r="B15" s="50">
        <f>SUMIFS('monthly model engine'!$AS$8:$AS$67,'monthly model engine'!$B$8:$B$67,1)</f>
        <v>-11439.92711907794</v>
      </c>
      <c r="C15" s="50">
        <f>SUMIFS('monthly model engine'!$AS$8:$AS$67,'monthly model engine'!$B$8:$B$67,2)</f>
        <v>47643.638730893945</v>
      </c>
      <c r="D15" s="50">
        <f>SUMIFS('monthly model engine'!$AS$8:$AS$67,'monthly model engine'!$B$8:$B$67,3)</f>
        <v>62968.172703281052</v>
      </c>
      <c r="E15" s="50">
        <f>SUMIFS('monthly model engine'!$AS$8:$AS$67,'monthly model engine'!$B$8:$B$67,4)</f>
        <v>75648.889359609981</v>
      </c>
      <c r="F15" s="50">
        <f>SUMIFS('monthly model engine'!$AS$8:$AS$67,'monthly model engine'!$B$8:$B$67,5)</f>
        <v>82960.28238686001</v>
      </c>
      <c r="G15" s="28"/>
    </row>
    <row r="16" spans="1:11" ht="15" customHeight="1" x14ac:dyDescent="0.25">
      <c r="A16" s="33" t="s">
        <v>264</v>
      </c>
      <c r="B16" s="50">
        <f>SUMIFS('monthly model engine'!$AT$8:$AT$67,'monthly model engine'!$B$8:$B$67,1)</f>
        <v>-1816.7049340240826</v>
      </c>
      <c r="C16" s="50">
        <f>SUMIFS('monthly model engine'!$AT$8:$AT$67,'monthly model engine'!$B$8:$B$67,2)</f>
        <v>-11910.909682723486</v>
      </c>
      <c r="D16" s="50">
        <f>SUMIFS('monthly model engine'!$AT$8:$AT$67,'monthly model engine'!$B$8:$B$67,3)</f>
        <v>-15742.043175820263</v>
      </c>
      <c r="E16" s="50">
        <f>SUMIFS('monthly model engine'!$AT$8:$AT$67,'monthly model engine'!$B$8:$B$67,4)</f>
        <v>-18912.222339902495</v>
      </c>
      <c r="F16" s="50">
        <f>SUMIFS('monthly model engine'!$AT$8:$AT$67,'monthly model engine'!$B$8:$B$67,5)</f>
        <v>-20740.070596715002</v>
      </c>
      <c r="G16" s="28"/>
    </row>
    <row r="17" spans="1:7" ht="15" customHeight="1" x14ac:dyDescent="0.25">
      <c r="A17" s="47" t="s">
        <v>403</v>
      </c>
      <c r="B17" s="49">
        <f>SUMIFS('monthly model engine'!$AU$8:$AU$67,'monthly model engine'!$B$8:$B$67,1)</f>
        <v>-13256.632053102023</v>
      </c>
      <c r="C17" s="49">
        <f>SUMIFS('monthly model engine'!$AU$8:$AU$67,'monthly model engine'!$B$8:$B$67,2)</f>
        <v>35732.729048170455</v>
      </c>
      <c r="D17" s="49">
        <f>SUMIFS('monthly model engine'!$AU$8:$AU$67,'monthly model engine'!$B$8:$B$67,3)</f>
        <v>47226.129527460784</v>
      </c>
      <c r="E17" s="49">
        <f>SUMIFS('monthly model engine'!$AU$8:$AU$67,'monthly model engine'!$B$8:$B$67,4)</f>
        <v>56736.6670197075</v>
      </c>
      <c r="F17" s="49">
        <f>SUMIFS('monthly model engine'!$AU$8:$AU$67,'monthly model engine'!$B$8:$B$67,5)</f>
        <v>62220.211790145004</v>
      </c>
      <c r="G17" s="28"/>
    </row>
    <row r="18" spans="1:7" ht="15" customHeight="1" x14ac:dyDescent="0.25">
      <c r="A18" s="33" t="s">
        <v>404</v>
      </c>
      <c r="B18" s="50">
        <f>SUMIFS('monthly model engine'!$AV$8:$AV$67,'monthly model engine'!$B$8:$B$67,1)</f>
        <v>-11962.67461777439</v>
      </c>
      <c r="C18" s="50">
        <f>SUMIFS('monthly model engine'!$AV$8:$AV$67,'monthly model engine'!$B$8:$B$67,2)</f>
        <v>-12891.368137621281</v>
      </c>
      <c r="D18" s="50">
        <f>SUMIFS('monthly model engine'!$AV$8:$AV$67,'monthly model engine'!$B$8:$B$67,3)</f>
        <v>-13892.15854895464</v>
      </c>
      <c r="E18" s="50">
        <f>SUMIFS('monthly model engine'!$AV$8:$AV$67,'monthly model engine'!$B$8:$B$67,4)</f>
        <v>-14970.642920830007</v>
      </c>
      <c r="F18" s="50">
        <f>SUMIFS('monthly model engine'!$AV$8:$AV$67,'monthly model engine'!$B$8:$B$67,5)</f>
        <v>-16132.852837319668</v>
      </c>
      <c r="G18" s="28"/>
    </row>
    <row r="19" spans="1:7" ht="15" customHeight="1" x14ac:dyDescent="0.25">
      <c r="A19" s="47" t="s">
        <v>405</v>
      </c>
      <c r="B19" s="49">
        <f>SUMIFS('monthly model engine'!$AW$8:$AW$67,'monthly model engine'!$B$8:$B$67,1)</f>
        <v>-14219.306670876416</v>
      </c>
      <c r="C19" s="49">
        <f>SUMIFS('monthly model engine'!$AW$8:$AW$67,'monthly model engine'!$B$8:$B$67,2)</f>
        <v>33841.360910549178</v>
      </c>
      <c r="D19" s="49">
        <f>SUMIFS('monthly model engine'!$AW$8:$AW$67,'monthly model engine'!$B$8:$B$67,3)</f>
        <v>44333.970978506142</v>
      </c>
      <c r="E19" s="49">
        <f>SUMIFS('monthly model engine'!$AW$8:$AW$67,'monthly model engine'!$B$8:$B$67,4)</f>
        <v>52766.024098877482</v>
      </c>
      <c r="F19" s="49">
        <f>SUMIFS('monthly model engine'!$AW$8:$AW$67,'monthly model engine'!$B$8:$B$67,5)</f>
        <v>57087.358952825351</v>
      </c>
      <c r="G19" s="28"/>
    </row>
    <row r="21" spans="1:7" ht="15" customHeight="1" x14ac:dyDescent="0.25">
      <c r="A21" s="33" t="s">
        <v>406</v>
      </c>
      <c r="B21" s="46">
        <f>B9</f>
        <v>31074.697062499996</v>
      </c>
      <c r="C21" s="46">
        <f>B22</f>
        <v>16855.390391623579</v>
      </c>
      <c r="D21" s="46">
        <f>C22</f>
        <v>50696.751302172757</v>
      </c>
      <c r="E21" s="46">
        <f>D22</f>
        <v>95030.722280678892</v>
      </c>
      <c r="F21" s="46">
        <f>E22</f>
        <v>147796.74637955637</v>
      </c>
      <c r="G21" s="35"/>
    </row>
    <row r="22" spans="1:7" ht="15" customHeight="1" x14ac:dyDescent="0.25">
      <c r="A22" s="23" t="s">
        <v>407</v>
      </c>
      <c r="B22" s="49">
        <f>B21+B19</f>
        <v>16855.390391623579</v>
      </c>
      <c r="C22" s="49">
        <f>C21+C19</f>
        <v>50696.751302172757</v>
      </c>
      <c r="D22" s="49">
        <f>D21+D19</f>
        <v>95030.722280678892</v>
      </c>
      <c r="E22" s="49">
        <f>E21+E19</f>
        <v>147796.74637955637</v>
      </c>
      <c r="F22" s="49">
        <f>F21+F19</f>
        <v>204884.10533238173</v>
      </c>
      <c r="G22" s="35"/>
    </row>
  </sheetData>
  <mergeCells count="1">
    <mergeCell ref="A6:F6"/>
  </mergeCells>
  <dataValidations count="1">
    <dataValidation type="list" sqref="C1" xr:uid="{CDB4E552-DFF5-40B8-8CA4-9A99C816DC6B}">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8"/>
  </sheetPr>
  <dimension ref="A1:G25"/>
  <sheetViews>
    <sheetView showGridLines="0" zoomScaleNormal="100" workbookViewId="0">
      <pane xSplit="1" ySplit="6" topLeftCell="B7" activePane="bottomRight" state="frozen"/>
      <selection pane="topRight" activeCell="B1" sqref="B1"/>
      <selection pane="bottomLeft" activeCell="A5" sqref="A5"/>
      <selection pane="bottomRight" sqref="A1:XFD1"/>
    </sheetView>
  </sheetViews>
  <sheetFormatPr defaultColWidth="8.7109375" defaultRowHeight="15" x14ac:dyDescent="0.25"/>
  <cols>
    <col min="1" max="1" width="34" customWidth="1"/>
    <col min="2" max="7" width="14" customWidth="1"/>
    <col min="8" max="8" width="40" customWidth="1"/>
  </cols>
  <sheetData>
    <row r="1" spans="1:7" ht="15.75" customHeight="1" x14ac:dyDescent="0.25">
      <c r="A1" s="133"/>
      <c r="B1" t="s">
        <v>0</v>
      </c>
      <c r="C1" s="130" t="s">
        <v>48</v>
      </c>
      <c r="E1" t="s">
        <v>540</v>
      </c>
      <c r="F1" t="s">
        <v>1</v>
      </c>
      <c r="G1" s="121">
        <f ca="1">TODAY()</f>
        <v>46233</v>
      </c>
    </row>
    <row r="2" spans="1:7" ht="15" customHeight="1" x14ac:dyDescent="0.25">
      <c r="A2" s="1"/>
    </row>
    <row r="3" spans="1:7" ht="15" customHeight="1" x14ac:dyDescent="0.3">
      <c r="A3" s="15" t="s">
        <v>26</v>
      </c>
    </row>
    <row r="4" spans="1:7" ht="15" customHeight="1" x14ac:dyDescent="0.25">
      <c r="A4" s="1"/>
    </row>
    <row r="6" spans="1:7" ht="23.25" customHeight="1" x14ac:dyDescent="0.25">
      <c r="A6" s="24"/>
      <c r="B6" s="24" t="s">
        <v>408</v>
      </c>
      <c r="C6" s="24" t="s">
        <v>10</v>
      </c>
      <c r="D6" s="24" t="s">
        <v>11</v>
      </c>
      <c r="E6" s="24" t="s">
        <v>12</v>
      </c>
      <c r="F6" s="24" t="s">
        <v>13</v>
      </c>
      <c r="G6" s="24" t="s">
        <v>14</v>
      </c>
    </row>
    <row r="7" spans="1:7" ht="15" customHeight="1" x14ac:dyDescent="0.25">
      <c r="A7" s="150" t="s">
        <v>409</v>
      </c>
      <c r="B7" s="150"/>
      <c r="C7" s="150"/>
      <c r="D7" s="150"/>
      <c r="E7" s="150"/>
      <c r="F7" s="150"/>
      <c r="G7" s="150"/>
    </row>
    <row r="8" spans="1:7" ht="15" customHeight="1" x14ac:dyDescent="0.25">
      <c r="A8" s="33" t="s">
        <v>410</v>
      </c>
      <c r="B8" s="50">
        <f>'Cashflow statement'!$B$9</f>
        <v>31074.697062499996</v>
      </c>
      <c r="C8" s="50">
        <f>'Cashflow statement'!B$22</f>
        <v>16855.390391623579</v>
      </c>
      <c r="D8" s="50">
        <f>'Cashflow statement'!C$22</f>
        <v>50696.751302172757</v>
      </c>
      <c r="E8" s="50">
        <f>'Cashflow statement'!D$22</f>
        <v>95030.722280678892</v>
      </c>
      <c r="F8" s="50">
        <f>'Cashflow statement'!E$22</f>
        <v>147796.74637955637</v>
      </c>
      <c r="G8" s="50">
        <f>'Cashflow statement'!F$22</f>
        <v>204884.10533238173</v>
      </c>
    </row>
    <row r="9" spans="1:7" ht="15" customHeight="1" x14ac:dyDescent="0.25">
      <c r="A9" s="33" t="s">
        <v>411</v>
      </c>
      <c r="B9" s="50">
        <f>'Startup Costs'!$D$24</f>
        <v>55000</v>
      </c>
      <c r="C9" s="50">
        <f>'Startup Costs'!$D$24</f>
        <v>55000</v>
      </c>
      <c r="D9" s="50">
        <f>'Startup Costs'!$D$24</f>
        <v>55000</v>
      </c>
      <c r="E9" s="50">
        <f>'Startup Costs'!$D$24</f>
        <v>55000</v>
      </c>
      <c r="F9" s="50">
        <f>'Startup Costs'!$D$24</f>
        <v>55000</v>
      </c>
      <c r="G9" s="50">
        <f>'Startup Costs'!$D$24</f>
        <v>55000</v>
      </c>
    </row>
    <row r="10" spans="1:7" ht="15" customHeight="1" x14ac:dyDescent="0.25">
      <c r="A10" s="33" t="s">
        <v>412</v>
      </c>
      <c r="B10" s="50">
        <v>0</v>
      </c>
      <c r="C10" s="50">
        <f>-('Cashflow statement'!B$13)</f>
        <v>-10999.999999999998</v>
      </c>
      <c r="D10" s="50">
        <f>-('Cashflow statement'!B$13+'Cashflow statement'!C$13)</f>
        <v>-21999.999999999996</v>
      </c>
      <c r="E10" s="50">
        <f>-('Cashflow statement'!B$13+'Cashflow statement'!C$13+'Cashflow statement'!D$13)</f>
        <v>-32999.999999999993</v>
      </c>
      <c r="F10" s="50">
        <f>-('Cashflow statement'!B$13+'Cashflow statement'!C$13+'Cashflow statement'!D$13+'Cashflow statement'!E$13)</f>
        <v>-43999.999999999993</v>
      </c>
      <c r="G10" s="50">
        <f>-('Cashflow statement'!B$13+'Cashflow statement'!C$13+'Cashflow statement'!D$13+'Cashflow statement'!E$13+'Cashflow statement'!F$13)</f>
        <v>-54999.999999999993</v>
      </c>
    </row>
    <row r="11" spans="1:7" ht="15" customHeight="1" x14ac:dyDescent="0.25">
      <c r="A11" s="23" t="s">
        <v>413</v>
      </c>
      <c r="B11" s="80">
        <f t="shared" ref="B11:G11" si="0">B9+B10</f>
        <v>55000</v>
      </c>
      <c r="C11" s="80">
        <f t="shared" si="0"/>
        <v>44000</v>
      </c>
      <c r="D11" s="80">
        <f t="shared" si="0"/>
        <v>33000</v>
      </c>
      <c r="E11" s="80">
        <f t="shared" si="0"/>
        <v>22000.000000000007</v>
      </c>
      <c r="F11" s="80">
        <f t="shared" si="0"/>
        <v>11000.000000000007</v>
      </c>
      <c r="G11" s="80">
        <f t="shared" si="0"/>
        <v>0</v>
      </c>
    </row>
    <row r="12" spans="1:7" ht="15" customHeight="1" x14ac:dyDescent="0.25">
      <c r="A12" s="78" t="s">
        <v>414</v>
      </c>
      <c r="B12" s="79">
        <f t="shared" ref="B12:G12" si="1">B8+B11</f>
        <v>86074.697062499996</v>
      </c>
      <c r="C12" s="79">
        <f t="shared" si="1"/>
        <v>60855.390391623579</v>
      </c>
      <c r="D12" s="79">
        <f t="shared" si="1"/>
        <v>83696.75130217275</v>
      </c>
      <c r="E12" s="79">
        <f t="shared" si="1"/>
        <v>117030.72228067889</v>
      </c>
      <c r="F12" s="79">
        <f t="shared" si="1"/>
        <v>158796.74637955637</v>
      </c>
      <c r="G12" s="79">
        <f t="shared" si="1"/>
        <v>204884.10533238173</v>
      </c>
    </row>
    <row r="14" spans="1:7" ht="15" customHeight="1" x14ac:dyDescent="0.25">
      <c r="A14" s="150" t="s">
        <v>415</v>
      </c>
      <c r="B14" s="150"/>
      <c r="C14" s="150"/>
      <c r="D14" s="150"/>
      <c r="E14" s="150"/>
      <c r="F14" s="150"/>
      <c r="G14" s="150"/>
    </row>
    <row r="15" spans="1:7" ht="15" customHeight="1" x14ac:dyDescent="0.25">
      <c r="A15" s="33" t="s">
        <v>416</v>
      </c>
      <c r="B15" s="50">
        <f>'Loan schedule'!$B$6</f>
        <v>69849.697062499996</v>
      </c>
      <c r="C15" s="50">
        <f>'Loan schedule'!$F$23</f>
        <v>57887.022444725633</v>
      </c>
      <c r="D15" s="50">
        <f>'Loan schedule'!$F$35</f>
        <v>44995.654307104363</v>
      </c>
      <c r="E15" s="50">
        <f>'Loan schedule'!$F$47</f>
        <v>31103.495758149722</v>
      </c>
      <c r="F15" s="50">
        <f>'Loan schedule'!$F$59</f>
        <v>16132.852837319722</v>
      </c>
      <c r="G15" s="50">
        <f>'Loan schedule'!$F$71</f>
        <v>5.525180313270539E-11</v>
      </c>
    </row>
    <row r="16" spans="1:7" ht="15" customHeight="1" x14ac:dyDescent="0.25">
      <c r="A16" s="23" t="s">
        <v>417</v>
      </c>
      <c r="B16" s="80">
        <f t="shared" ref="B16:G16" si="2">B15</f>
        <v>69849.697062499996</v>
      </c>
      <c r="C16" s="80">
        <f t="shared" si="2"/>
        <v>57887.022444725633</v>
      </c>
      <c r="D16" s="80">
        <f t="shared" si="2"/>
        <v>44995.654307104363</v>
      </c>
      <c r="E16" s="80">
        <f t="shared" si="2"/>
        <v>31103.495758149722</v>
      </c>
      <c r="F16" s="80">
        <f t="shared" si="2"/>
        <v>16132.852837319722</v>
      </c>
      <c r="G16" s="80">
        <f t="shared" si="2"/>
        <v>5.525180313270539E-11</v>
      </c>
    </row>
    <row r="18" spans="1:7" ht="15" customHeight="1" x14ac:dyDescent="0.25">
      <c r="A18" s="150" t="s">
        <v>418</v>
      </c>
      <c r="B18" s="150"/>
      <c r="C18" s="150"/>
      <c r="D18" s="150"/>
      <c r="E18" s="150"/>
      <c r="F18" s="150"/>
      <c r="G18" s="150"/>
    </row>
    <row r="19" spans="1:7" ht="15" customHeight="1" x14ac:dyDescent="0.25">
      <c r="A19" s="33" t="s">
        <v>160</v>
      </c>
      <c r="B19" s="50">
        <f>Assumptions!$C$51</f>
        <v>40000</v>
      </c>
      <c r="C19" s="50">
        <f>Assumptions!$C$51</f>
        <v>40000</v>
      </c>
      <c r="D19" s="50">
        <f>Assumptions!$C$51</f>
        <v>40000</v>
      </c>
      <c r="E19" s="50">
        <f>Assumptions!$C$51</f>
        <v>40000</v>
      </c>
      <c r="F19" s="50">
        <f>Assumptions!$C$51</f>
        <v>40000</v>
      </c>
      <c r="G19" s="50">
        <f>Assumptions!$C$51</f>
        <v>40000</v>
      </c>
    </row>
    <row r="20" spans="1:7" ht="15" customHeight="1" x14ac:dyDescent="0.25">
      <c r="A20" s="33" t="s">
        <v>419</v>
      </c>
      <c r="B20" s="50">
        <f>Workings!$B$45</f>
        <v>-23775</v>
      </c>
      <c r="C20" s="50">
        <f>B20+'Cashflow statement'!B$17</f>
        <v>-37031.632053102025</v>
      </c>
      <c r="D20" s="50">
        <f>C20+'Cashflow statement'!C$17</f>
        <v>-1298.9030049315697</v>
      </c>
      <c r="E20" s="50">
        <f>D20+'Cashflow statement'!D$17</f>
        <v>45927.226522529214</v>
      </c>
      <c r="F20" s="50">
        <f>E20+'Cashflow statement'!E$17</f>
        <v>102663.89354223671</v>
      </c>
      <c r="G20" s="50">
        <f>F20+'Cashflow statement'!F$17</f>
        <v>164884.1053323817</v>
      </c>
    </row>
    <row r="21" spans="1:7" ht="15" customHeight="1" x14ac:dyDescent="0.25">
      <c r="A21" s="23" t="s">
        <v>420</v>
      </c>
      <c r="B21" s="80">
        <f t="shared" ref="B21:G21" si="3">B19+B20</f>
        <v>16225</v>
      </c>
      <c r="C21" s="80">
        <f t="shared" si="3"/>
        <v>2968.3679468979753</v>
      </c>
      <c r="D21" s="80">
        <f t="shared" si="3"/>
        <v>38701.09699506843</v>
      </c>
      <c r="E21" s="80">
        <f t="shared" si="3"/>
        <v>85927.226522529207</v>
      </c>
      <c r="F21" s="80">
        <f t="shared" si="3"/>
        <v>142663.89354223671</v>
      </c>
      <c r="G21" s="80">
        <f t="shared" si="3"/>
        <v>204884.1053323817</v>
      </c>
    </row>
    <row r="23" spans="1:7" ht="15" customHeight="1" x14ac:dyDescent="0.25">
      <c r="A23" s="78" t="s">
        <v>421</v>
      </c>
      <c r="B23" s="79">
        <f t="shared" ref="B23:G23" si="4">B16+B21</f>
        <v>86074.697062499996</v>
      </c>
      <c r="C23" s="79">
        <f t="shared" si="4"/>
        <v>60855.390391623609</v>
      </c>
      <c r="D23" s="79">
        <f t="shared" si="4"/>
        <v>83696.751302172794</v>
      </c>
      <c r="E23" s="79">
        <f t="shared" si="4"/>
        <v>117030.72228067892</v>
      </c>
      <c r="F23" s="79">
        <f t="shared" si="4"/>
        <v>158796.74637955643</v>
      </c>
      <c r="G23" s="79">
        <f t="shared" si="4"/>
        <v>204884.10533238176</v>
      </c>
    </row>
    <row r="25" spans="1:7" ht="15" customHeight="1" x14ac:dyDescent="0.25">
      <c r="A25" s="33" t="s">
        <v>422</v>
      </c>
      <c r="B25" s="46">
        <f t="shared" ref="B25:G25" si="5">B12-B23</f>
        <v>0</v>
      </c>
      <c r="C25" s="46">
        <f t="shared" si="5"/>
        <v>0</v>
      </c>
      <c r="D25" s="46">
        <f t="shared" si="5"/>
        <v>0</v>
      </c>
      <c r="E25" s="46">
        <f t="shared" si="5"/>
        <v>0</v>
      </c>
      <c r="F25" s="46">
        <f t="shared" si="5"/>
        <v>0</v>
      </c>
      <c r="G25" s="46">
        <f t="shared" si="5"/>
        <v>0</v>
      </c>
    </row>
  </sheetData>
  <mergeCells count="3">
    <mergeCell ref="A7:G7"/>
    <mergeCell ref="A14:G14"/>
    <mergeCell ref="A18:G18"/>
  </mergeCells>
  <dataValidations count="1">
    <dataValidation type="list" sqref="C1" xr:uid="{7F4A76FE-6082-4A67-8049-E4423048B40B}">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G33"/>
  <sheetViews>
    <sheetView showGridLines="0" zoomScaleNormal="100" workbookViewId="0">
      <pane ySplit="6" topLeftCell="A7" activePane="bottomLeft" state="frozen"/>
      <selection pane="bottomLeft" activeCell="I6" sqref="I6"/>
    </sheetView>
  </sheetViews>
  <sheetFormatPr defaultColWidth="8.7109375" defaultRowHeight="15" x14ac:dyDescent="0.25"/>
  <cols>
    <col min="1" max="1" width="26" customWidth="1"/>
    <col min="2" max="4" width="13" customWidth="1"/>
    <col min="5" max="5" width="31.42578125" bestFit="1" customWidth="1"/>
    <col min="6" max="6" width="13" customWidth="1"/>
    <col min="7" max="7" width="15" customWidth="1"/>
  </cols>
  <sheetData>
    <row r="1" spans="1:7" ht="15.75" customHeight="1" x14ac:dyDescent="0.25">
      <c r="A1" s="133"/>
      <c r="B1" t="s">
        <v>0</v>
      </c>
      <c r="C1" s="130" t="s">
        <v>48</v>
      </c>
      <c r="E1" t="s">
        <v>540</v>
      </c>
      <c r="F1" t="s">
        <v>1</v>
      </c>
      <c r="G1" s="121">
        <f ca="1">TODAY()</f>
        <v>46233</v>
      </c>
    </row>
    <row r="2" spans="1:7" ht="15" customHeight="1" x14ac:dyDescent="0.25">
      <c r="A2" s="154"/>
      <c r="B2" s="154"/>
      <c r="C2" s="154"/>
      <c r="D2" s="154"/>
      <c r="E2" s="154"/>
      <c r="F2" s="154"/>
      <c r="G2" s="154"/>
    </row>
    <row r="3" spans="1:7" ht="15" customHeight="1" x14ac:dyDescent="0.3">
      <c r="A3" s="15" t="s">
        <v>423</v>
      </c>
      <c r="B3" s="1"/>
      <c r="C3" s="1"/>
      <c r="D3" s="1"/>
      <c r="E3" s="1"/>
      <c r="F3" s="1"/>
      <c r="G3" s="1"/>
    </row>
    <row r="4" spans="1:7" ht="15" customHeight="1" x14ac:dyDescent="0.25">
      <c r="A4" s="1"/>
      <c r="B4" s="1"/>
      <c r="C4" s="1"/>
      <c r="D4" s="1"/>
      <c r="E4" s="1"/>
      <c r="F4" s="1"/>
      <c r="G4" s="1"/>
    </row>
    <row r="6" spans="1:7" ht="15" customHeight="1" x14ac:dyDescent="0.25">
      <c r="A6" s="150" t="s">
        <v>527</v>
      </c>
      <c r="B6" s="150"/>
      <c r="C6" s="150"/>
      <c r="D6" s="150"/>
      <c r="E6" s="150"/>
      <c r="F6" s="150"/>
      <c r="G6" s="150"/>
    </row>
    <row r="7" spans="1:7" ht="15" customHeight="1" x14ac:dyDescent="0.25">
      <c r="A7" s="24" t="s">
        <v>30</v>
      </c>
      <c r="B7" s="24" t="s">
        <v>10</v>
      </c>
      <c r="C7" s="24" t="s">
        <v>11</v>
      </c>
      <c r="D7" s="24" t="s">
        <v>12</v>
      </c>
      <c r="E7" s="24" t="s">
        <v>13</v>
      </c>
      <c r="F7" s="24" t="s">
        <v>14</v>
      </c>
      <c r="G7" s="24" t="s">
        <v>424</v>
      </c>
    </row>
    <row r="8" spans="1:7" ht="18.75" customHeight="1" x14ac:dyDescent="0.25">
      <c r="A8" s="33" t="s">
        <v>34</v>
      </c>
      <c r="B8" s="50">
        <f>AVERAGEIFS('monthly model engine'!$X$8:$X$67,'monthly model engine'!$B$8:$B$67,1)</f>
        <v>16214.938375868056</v>
      </c>
      <c r="C8" s="50">
        <f>AVERAGEIFS('monthly model engine'!$X$8:$X$67,'monthly model engine'!$B$8:$B$67,2)</f>
        <v>23797.494185590276</v>
      </c>
      <c r="D8" s="50">
        <f>AVERAGEIFS('monthly model engine'!$X$8:$X$67,'monthly model engine'!$B$8:$B$67,3)</f>
        <v>25701.293720437494</v>
      </c>
      <c r="E8" s="50">
        <f>AVERAGEIFS('monthly model engine'!$X$8:$X$67,'monthly model engine'!$B$8:$B$67,4)</f>
        <v>27243.371343663752</v>
      </c>
      <c r="F8" s="50">
        <f>AVERAGEIFS('monthly model engine'!$X$8:$X$67,'monthly model engine'!$B$8:$B$67,5)</f>
        <v>28060.672483973667</v>
      </c>
      <c r="G8" s="80">
        <f>AVERAGE('monthly model engine'!$X$8:$X$67)</f>
        <v>24203.55402190665</v>
      </c>
    </row>
    <row r="9" spans="1:7" ht="15" customHeight="1" x14ac:dyDescent="0.25">
      <c r="A9" s="33" t="s">
        <v>35</v>
      </c>
      <c r="B9" s="50">
        <f>AVERAGEIFS('monthly model engine'!$Z$8:$Z$67,'monthly model engine'!$B$8:$B$67,1)</f>
        <v>11292.453088107641</v>
      </c>
      <c r="C9" s="50">
        <f>AVERAGEIFS('monthly model engine'!$Z$8:$Z$67,'monthly model engine'!$B$8:$B$67,2)</f>
        <v>16566.051349913192</v>
      </c>
      <c r="D9" s="50">
        <f>AVERAGEIFS('monthly model engine'!$Z$8:$Z$67,'monthly model engine'!$B$8:$B$67,3)</f>
        <v>17891.335457906251</v>
      </c>
      <c r="E9" s="50">
        <f>AVERAGEIFS('monthly model engine'!$Z$8:$Z$67,'monthly model engine'!$B$8:$B$67,4)</f>
        <v>18964.815585380627</v>
      </c>
      <c r="F9" s="50">
        <f>AVERAGEIFS('monthly model engine'!$Z$8:$Z$67,'monthly model engine'!$B$8:$B$67,5)</f>
        <v>19533.760052942045</v>
      </c>
      <c r="G9" s="80">
        <f>AVERAGE('monthly model engine'!$Z$8:$Z$67)</f>
        <v>16849.683106849952</v>
      </c>
    </row>
    <row r="10" spans="1:7" ht="15" customHeight="1" x14ac:dyDescent="0.25">
      <c r="A10" s="33" t="s">
        <v>37</v>
      </c>
      <c r="B10" s="50">
        <f>AVERAGEIFS('monthly model engine'!$AU$8:$AU$67,'monthly model engine'!$B$8:$B$67,1)</f>
        <v>-1104.719337758502</v>
      </c>
      <c r="C10" s="50">
        <f>AVERAGEIFS('monthly model engine'!$AU$8:$AU$67,'monthly model engine'!$B$8:$B$67,2)</f>
        <v>2977.7274206808711</v>
      </c>
      <c r="D10" s="50">
        <f>AVERAGEIFS('monthly model engine'!$AU$8:$AU$67,'monthly model engine'!$B$8:$B$67,3)</f>
        <v>3935.5107939550653</v>
      </c>
      <c r="E10" s="50">
        <f>AVERAGEIFS('monthly model engine'!$AU$8:$AU$67,'monthly model engine'!$B$8:$B$67,4)</f>
        <v>4728.0555849756247</v>
      </c>
      <c r="F10" s="50">
        <f>AVERAGEIFS('monthly model engine'!$AU$8:$AU$67,'monthly model engine'!$B$8:$B$67,5)</f>
        <v>5185.0176491787506</v>
      </c>
      <c r="G10" s="80">
        <f>AVERAGE('monthly model engine'!$AU$8:$AU$67)</f>
        <v>3144.3184222063619</v>
      </c>
    </row>
    <row r="11" spans="1:7" ht="15" customHeight="1" x14ac:dyDescent="0.25">
      <c r="A11" s="33" t="s">
        <v>36</v>
      </c>
      <c r="B11" s="50">
        <f>AVERAGEIFS('monthly model engine'!$AP$8:$AP$67,'monthly model engine'!$B$8:$B$67,1)</f>
        <v>366.0944944205732</v>
      </c>
      <c r="C11" s="50">
        <f>AVERAGEIFS('monthly model engine'!$AP$8:$AP$67,'monthly model engine'!$B$8:$B$67,2)</f>
        <v>5212.3338552643227</v>
      </c>
      <c r="D11" s="50">
        <f>AVERAGEIFS('monthly model engine'!$AP$8:$AP$67,'monthly model engine'!$B$8:$B$67,3)</f>
        <v>6405.9791520188019</v>
      </c>
      <c r="E11" s="50">
        <f>AVERAGEIFS('monthly model engine'!$AP$8:$AP$67,'monthly model engine'!$B$8:$B$67,4)</f>
        <v>7372.8318423899327</v>
      </c>
      <c r="F11" s="50">
        <f>AVERAGEIFS('monthly model engine'!$AP$8:$AP$67,'monthly model engine'!$B$8:$B$67,5)</f>
        <v>7885.2637682866289</v>
      </c>
      <c r="G11" s="80">
        <f>AVERAGE('monthly model engine'!$AP$8:$AP$67)</f>
        <v>5448.5006224760518</v>
      </c>
    </row>
    <row r="13" spans="1:7" ht="15" customHeight="1" x14ac:dyDescent="0.25">
      <c r="A13" s="150" t="s">
        <v>528</v>
      </c>
      <c r="B13" s="150"/>
      <c r="C13" s="150"/>
      <c r="D13" s="150"/>
      <c r="E13" s="150"/>
      <c r="F13" s="150"/>
      <c r="G13" s="150"/>
    </row>
    <row r="14" spans="1:7" ht="15" customHeight="1" x14ac:dyDescent="0.25">
      <c r="A14" s="24" t="s">
        <v>30</v>
      </c>
      <c r="B14" s="24" t="s">
        <v>10</v>
      </c>
      <c r="C14" s="24" t="s">
        <v>11</v>
      </c>
      <c r="D14" s="24" t="s">
        <v>12</v>
      </c>
      <c r="E14" s="24" t="s">
        <v>13</v>
      </c>
      <c r="F14" s="24" t="s">
        <v>14</v>
      </c>
      <c r="G14" s="24" t="s">
        <v>425</v>
      </c>
    </row>
    <row r="15" spans="1:7" ht="15" customHeight="1" x14ac:dyDescent="0.25">
      <c r="A15" s="33" t="s">
        <v>426</v>
      </c>
      <c r="B15" s="50">
        <f>SUMIFS('monthly model engine'!$X$8:$X$67,'monthly model engine'!$B$8:$B$67,1)</f>
        <v>194579.26051041667</v>
      </c>
      <c r="C15" s="50">
        <f>SUMIFS('monthly model engine'!$X$8:$X$67,'monthly model engine'!$B$8:$B$67,2)</f>
        <v>285569.93022708333</v>
      </c>
      <c r="D15" s="50">
        <f>SUMIFS('monthly model engine'!$X$8:$X$67,'monthly model engine'!$B$8:$B$67,3)</f>
        <v>308415.52464524994</v>
      </c>
      <c r="E15" s="50">
        <f>SUMIFS('monthly model engine'!$X$8:$X$67,'monthly model engine'!$B$8:$B$67,4)</f>
        <v>326920.45612396504</v>
      </c>
      <c r="F15" s="50">
        <f>SUMIFS('monthly model engine'!$X$8:$X$67,'monthly model engine'!$B$8:$B$67,5)</f>
        <v>336728.06980768399</v>
      </c>
      <c r="G15" s="80">
        <f>SUM('monthly model engine'!$X$8:$X$67)</f>
        <v>1452213.2413143991</v>
      </c>
    </row>
    <row r="16" spans="1:7" ht="15" customHeight="1" x14ac:dyDescent="0.25">
      <c r="A16" s="33" t="s">
        <v>427</v>
      </c>
      <c r="B16" s="50">
        <f>SUMIFS('monthly model engine'!$Z$8:$Z$67,'monthly model engine'!$B$8:$B$67,1)</f>
        <v>135509.43705729168</v>
      </c>
      <c r="C16" s="50">
        <f>SUMIFS('monthly model engine'!$Z$8:$Z$67,'monthly model engine'!$B$8:$B$67,2)</f>
        <v>198792.61619895831</v>
      </c>
      <c r="D16" s="50">
        <f>SUMIFS('monthly model engine'!$Z$8:$Z$67,'monthly model engine'!$B$8:$B$67,3)</f>
        <v>214696.02549487501</v>
      </c>
      <c r="E16" s="50">
        <f>SUMIFS('monthly model engine'!$Z$8:$Z$67,'monthly model engine'!$B$8:$B$67,4)</f>
        <v>227577.78702456754</v>
      </c>
      <c r="F16" s="50">
        <f>SUMIFS('monthly model engine'!$Z$8:$Z$67,'monthly model engine'!$B$8:$B$67,5)</f>
        <v>234405.12063530454</v>
      </c>
      <c r="G16" s="80">
        <f>SUM('monthly model engine'!$Z$8:$Z$67)</f>
        <v>1010980.9864109971</v>
      </c>
    </row>
    <row r="17" spans="1:7" ht="15" customHeight="1" x14ac:dyDescent="0.25">
      <c r="A17" s="33" t="s">
        <v>428</v>
      </c>
      <c r="B17" s="50">
        <f>SUMIFS('monthly model engine'!$AP$8:$AP$67,'monthly model engine'!$B$8:$B$67,1)</f>
        <v>4393.1339330468782</v>
      </c>
      <c r="C17" s="50">
        <f>SUMIFS('monthly model engine'!$AP$8:$AP$67,'monthly model engine'!$B$8:$B$67,2)</f>
        <v>62548.006263171876</v>
      </c>
      <c r="D17" s="50">
        <f>SUMIFS('monthly model engine'!$AP$8:$AP$67,'monthly model engine'!$B$8:$B$67,3)</f>
        <v>76871.749824225626</v>
      </c>
      <c r="E17" s="50">
        <f>SUMIFS('monthly model engine'!$AP$8:$AP$67,'monthly model engine'!$B$8:$B$67,4)</f>
        <v>88473.982108679193</v>
      </c>
      <c r="F17" s="50">
        <f>SUMIFS('monthly model engine'!$AP$8:$AP$67,'monthly model engine'!$B$8:$B$67,5)</f>
        <v>94623.165219439543</v>
      </c>
      <c r="G17" s="80">
        <f>SUM('monthly model engine'!$AP$8:$AP$67)</f>
        <v>326910.03734856308</v>
      </c>
    </row>
    <row r="18" spans="1:7" ht="15" customHeight="1" x14ac:dyDescent="0.25">
      <c r="A18" s="33" t="s">
        <v>429</v>
      </c>
      <c r="B18" s="50">
        <f>SUMIFS('monthly model engine'!$AU$8:$AU$67,'monthly model engine'!$B$8:$B$67,1)</f>
        <v>-13256.632053102023</v>
      </c>
      <c r="C18" s="50">
        <f>SUMIFS('monthly model engine'!$AU$8:$AU$67,'monthly model engine'!$B$8:$B$67,2)</f>
        <v>35732.729048170455</v>
      </c>
      <c r="D18" s="50">
        <f>SUMIFS('monthly model engine'!$AU$8:$AU$67,'monthly model engine'!$B$8:$B$67,3)</f>
        <v>47226.129527460784</v>
      </c>
      <c r="E18" s="50">
        <f>SUMIFS('monthly model engine'!$AU$8:$AU$67,'monthly model engine'!$B$8:$B$67,4)</f>
        <v>56736.6670197075</v>
      </c>
      <c r="F18" s="50">
        <f>SUMIFS('monthly model engine'!$AU$8:$AU$67,'monthly model engine'!$B$8:$B$67,5)</f>
        <v>62220.211790145004</v>
      </c>
      <c r="G18" s="80">
        <f>SUM('monthly model engine'!$AU$8:$AU$67)</f>
        <v>188659.1053323817</v>
      </c>
    </row>
    <row r="20" spans="1:7" ht="15" customHeight="1" x14ac:dyDescent="0.25">
      <c r="A20" s="150" t="s">
        <v>430</v>
      </c>
      <c r="B20" s="150"/>
      <c r="C20" s="150"/>
      <c r="D20" s="150"/>
      <c r="E20" s="150"/>
      <c r="F20" s="150"/>
      <c r="G20" s="150"/>
    </row>
    <row r="21" spans="1:7" ht="15" customHeight="1" x14ac:dyDescent="0.25">
      <c r="A21" s="24" t="s">
        <v>207</v>
      </c>
      <c r="B21" s="24" t="s">
        <v>10</v>
      </c>
      <c r="C21" s="24" t="s">
        <v>11</v>
      </c>
      <c r="D21" s="24" t="s">
        <v>12</v>
      </c>
      <c r="E21" s="24" t="s">
        <v>13</v>
      </c>
      <c r="F21" s="24" t="s">
        <v>14</v>
      </c>
      <c r="G21" s="24" t="s">
        <v>431</v>
      </c>
    </row>
    <row r="22" spans="1:7" ht="15" customHeight="1" x14ac:dyDescent="0.25">
      <c r="A22" s="33" t="s">
        <v>215</v>
      </c>
      <c r="B22" s="50">
        <f>SUMIFS('monthly model engine'!$X$8:$X$67,'monthly model engine'!$B$8:$B$67,1,'monthly model engine'!$C$8:$C$67,1)</f>
        <v>9137.8015083333339</v>
      </c>
      <c r="C22" s="50">
        <f>SUMIFS('monthly model engine'!$X$8:$X$67,'monthly model engine'!$B$8:$B$67,2,'monthly model engine'!$C$8:$C$67,1)</f>
        <v>22749.481029166665</v>
      </c>
      <c r="D22" s="50">
        <f>SUMIFS('monthly model engine'!$X$8:$X$67,'monthly model engine'!$B$8:$B$67,3,'monthly model engine'!$C$8:$C$67,1)</f>
        <v>24569.439511499997</v>
      </c>
      <c r="E22" s="50">
        <f>SUMIFS('monthly model engine'!$X$8:$X$67,'monthly model engine'!$B$8:$B$67,4,'monthly model engine'!$C$8:$C$67,1)</f>
        <v>26043.605882190004</v>
      </c>
      <c r="F22" s="50">
        <f>SUMIFS('monthly model engine'!$X$8:$X$67,'monthly model engine'!$B$8:$B$67,5,'monthly model engine'!$C$8:$C$67,1)</f>
        <v>26824.914058655697</v>
      </c>
      <c r="G22" s="80">
        <f>AVERAGEIFS('monthly model engine'!$X$8:$X$67,'monthly model engine'!$C$8:$C$67,1)</f>
        <v>21865.048397969142</v>
      </c>
    </row>
    <row r="23" spans="1:7" ht="15" customHeight="1" x14ac:dyDescent="0.25">
      <c r="A23" s="33" t="s">
        <v>217</v>
      </c>
      <c r="B23" s="50">
        <f>SUMIFS('monthly model engine'!$X$8:$X$67,'monthly model engine'!$B$8:$B$67,1,'monthly model engine'!$C$8:$C$67,2)</f>
        <v>10471.063065</v>
      </c>
      <c r="C23" s="50">
        <f>SUMIFS('monthly model engine'!$X$8:$X$67,'monthly model engine'!$B$8:$B$67,2,'monthly model engine'!$C$8:$C$67,2)</f>
        <v>22911.755324999998</v>
      </c>
      <c r="D23" s="50">
        <f>SUMIFS('monthly model engine'!$X$8:$X$67,'monthly model engine'!$B$8:$B$67,3,'monthly model engine'!$C$8:$C$67,2)</f>
        <v>24744.695750999999</v>
      </c>
      <c r="E23" s="50">
        <f>SUMIFS('monthly model engine'!$X$8:$X$67,'monthly model engine'!$B$8:$B$67,4,'monthly model engine'!$C$8:$C$67,2)</f>
        <v>26229.377496060002</v>
      </c>
      <c r="F23" s="50">
        <f>SUMIFS('monthly model engine'!$X$8:$X$67,'monthly model engine'!$B$8:$B$67,5,'monthly model engine'!$C$8:$C$67,2)</f>
        <v>27016.258820941803</v>
      </c>
      <c r="G23" s="80">
        <f>AVERAGEIFS('monthly model engine'!$X$8:$X$67,'monthly model engine'!$C$8:$C$67,2)</f>
        <v>22274.63009160036</v>
      </c>
    </row>
    <row r="24" spans="1:7" ht="15" customHeight="1" x14ac:dyDescent="0.25">
      <c r="A24" s="33" t="s">
        <v>219</v>
      </c>
      <c r="B24" s="50">
        <f>SUMIFS('monthly model engine'!$X$8:$X$67,'monthly model engine'!$B$8:$B$67,1,'monthly model engine'!$C$8:$C$67,3)</f>
        <v>11834.392641666665</v>
      </c>
      <c r="C24" s="50">
        <f>SUMIFS('monthly model engine'!$X$8:$X$67,'monthly model engine'!$B$8:$B$67,2,'monthly model engine'!$C$8:$C$67,3)</f>
        <v>22740.849320833331</v>
      </c>
      <c r="D24" s="50">
        <f>SUMIFS('monthly model engine'!$X$8:$X$67,'monthly model engine'!$B$8:$B$67,3,'monthly model engine'!$C$8:$C$67,3)</f>
        <v>24560.117266500001</v>
      </c>
      <c r="E24" s="50">
        <f>SUMIFS('monthly model engine'!$X$8:$X$67,'monthly model engine'!$B$8:$B$67,4,'monthly model engine'!$C$8:$C$67,3)</f>
        <v>26033.724302490002</v>
      </c>
      <c r="F24" s="50">
        <f>SUMIFS('monthly model engine'!$X$8:$X$67,'monthly model engine'!$B$8:$B$67,5,'monthly model engine'!$C$8:$C$67,3)</f>
        <v>26814.736031564698</v>
      </c>
      <c r="G24" s="80">
        <f>AVERAGEIFS('monthly model engine'!$X$8:$X$67,'monthly model engine'!$C$8:$C$67,3)</f>
        <v>22396.763912610939</v>
      </c>
    </row>
    <row r="25" spans="1:7" ht="15" customHeight="1" x14ac:dyDescent="0.25">
      <c r="A25" s="33" t="s">
        <v>221</v>
      </c>
      <c r="B25" s="50">
        <f>SUMIFS('monthly model engine'!$X$8:$X$67,'monthly model engine'!$B$8:$B$67,1,'monthly model engine'!$C$8:$C$67,4)</f>
        <v>13392.061133333336</v>
      </c>
      <c r="C25" s="50">
        <f>SUMIFS('monthly model engine'!$X$8:$X$67,'monthly model engine'!$B$8:$B$67,2,'monthly model engine'!$C$8:$C$67,4)</f>
        <v>23236.303916666664</v>
      </c>
      <c r="D25" s="50">
        <f>SUMIFS('monthly model engine'!$X$8:$X$67,'monthly model engine'!$B$8:$B$67,3,'monthly model engine'!$C$8:$C$67,4)</f>
        <v>25095.20823</v>
      </c>
      <c r="E25" s="50">
        <f>SUMIFS('monthly model engine'!$X$8:$X$67,'monthly model engine'!$B$8:$B$67,4,'monthly model engine'!$C$8:$C$67,4)</f>
        <v>26600.920723800002</v>
      </c>
      <c r="F25" s="50">
        <f>SUMIFS('monthly model engine'!$X$8:$X$67,'monthly model engine'!$B$8:$B$67,5,'monthly model engine'!$C$8:$C$67,4)</f>
        <v>27398.948345514007</v>
      </c>
      <c r="G25" s="80">
        <f>AVERAGEIFS('monthly model engine'!$X$8:$X$67,'monthly model engine'!$C$8:$C$67,4)</f>
        <v>23144.688469862806</v>
      </c>
    </row>
    <row r="26" spans="1:7" ht="15" customHeight="1" x14ac:dyDescent="0.25">
      <c r="A26" s="33" t="s">
        <v>223</v>
      </c>
      <c r="B26" s="50">
        <f>SUMIFS('monthly model engine'!$X$8:$X$67,'monthly model engine'!$B$8:$B$67,1,'monthly model engine'!$C$8:$C$67,5)</f>
        <v>14940.587615</v>
      </c>
      <c r="C26" s="50">
        <f>SUMIFS('monthly model engine'!$X$8:$X$67,'monthly model engine'!$B$8:$B$67,2,'monthly model engine'!$C$8:$C$67,5)</f>
        <v>23731.758512499997</v>
      </c>
      <c r="D26" s="50">
        <f>SUMIFS('monthly model engine'!$X$8:$X$67,'monthly model engine'!$B$8:$B$67,3,'monthly model engine'!$C$8:$C$67,5)</f>
        <v>25630.299193499995</v>
      </c>
      <c r="E26" s="50">
        <f>SUMIFS('monthly model engine'!$X$8:$X$67,'monthly model engine'!$B$8:$B$67,4,'monthly model engine'!$C$8:$C$67,5)</f>
        <v>27168.117145110002</v>
      </c>
      <c r="F26" s="50">
        <f>SUMIFS('monthly model engine'!$X$8:$X$67,'monthly model engine'!$B$8:$B$67,5,'monthly model engine'!$C$8:$C$67,5)</f>
        <v>27983.160659463305</v>
      </c>
      <c r="G26" s="80">
        <f>AVERAGEIFS('monthly model engine'!$X$8:$X$67,'monthly model engine'!$C$8:$C$67,5)</f>
        <v>23890.784625114662</v>
      </c>
    </row>
    <row r="27" spans="1:7" ht="15" customHeight="1" x14ac:dyDescent="0.25">
      <c r="A27" s="33" t="s">
        <v>225</v>
      </c>
      <c r="B27" s="50">
        <f>SUMIFS('monthly model engine'!$X$8:$X$67,'monthly model engine'!$B$8:$B$67,1,'monthly model engine'!$C$8:$C$67,6)</f>
        <v>17445.394426666666</v>
      </c>
      <c r="C27" s="50">
        <f>SUMIFS('monthly model engine'!$X$8:$X$67,'monthly model engine'!$B$8:$B$67,2,'monthly model engine'!$C$8:$C$67,6)</f>
        <v>25502.559370833333</v>
      </c>
      <c r="D27" s="50">
        <f>SUMIFS('monthly model engine'!$X$8:$X$67,'monthly model engine'!$B$8:$B$67,3,'monthly model engine'!$C$8:$C$67,6)</f>
        <v>27542.7641205</v>
      </c>
      <c r="E27" s="50">
        <f>SUMIFS('monthly model engine'!$X$8:$X$67,'monthly model engine'!$B$8:$B$67,4,'monthly model engine'!$C$8:$C$67,6)</f>
        <v>29195.329967730002</v>
      </c>
      <c r="F27" s="50">
        <f>SUMIFS('monthly model engine'!$X$8:$X$67,'monthly model engine'!$B$8:$B$67,5,'monthly model engine'!$C$8:$C$67,6)</f>
        <v>30071.189866761903</v>
      </c>
      <c r="G27" s="80">
        <f>AVERAGEIFS('monthly model engine'!$X$8:$X$67,'monthly model engine'!$C$8:$C$67,6)</f>
        <v>25951.447550498378</v>
      </c>
    </row>
    <row r="28" spans="1:7" ht="15" customHeight="1" x14ac:dyDescent="0.25">
      <c r="A28" s="33" t="s">
        <v>227</v>
      </c>
      <c r="B28" s="50">
        <f>SUMIFS('monthly model engine'!$X$8:$X$67,'monthly model engine'!$B$8:$B$67,1,'monthly model engine'!$C$8:$C$67,7)</f>
        <v>19038.187172916667</v>
      </c>
      <c r="C28" s="50">
        <f>SUMIFS('monthly model engine'!$X$8:$X$67,'monthly model engine'!$B$8:$B$67,2,'monthly model engine'!$C$8:$C$67,7)</f>
        <v>26071.128810416663</v>
      </c>
      <c r="D28" s="50">
        <f>SUMIFS('monthly model engine'!$X$8:$X$67,'monthly model engine'!$B$8:$B$67,3,'monthly model engine'!$C$8:$C$67,7)</f>
        <v>28156.81911525</v>
      </c>
      <c r="E28" s="50">
        <f>SUMIFS('monthly model engine'!$X$8:$X$67,'monthly model engine'!$B$8:$B$67,4,'monthly model engine'!$C$8:$C$67,7)</f>
        <v>29846.228262165005</v>
      </c>
      <c r="F28" s="50">
        <f>SUMIFS('monthly model engine'!$X$8:$X$67,'monthly model engine'!$B$8:$B$67,5,'monthly model engine'!$C$8:$C$67,7)</f>
        <v>30741.615110029954</v>
      </c>
      <c r="G28" s="80">
        <f>AVERAGEIFS('monthly model engine'!$X$8:$X$67,'monthly model engine'!$C$8:$C$67,7)</f>
        <v>26770.795694155659</v>
      </c>
    </row>
    <row r="29" spans="1:7" ht="15" customHeight="1" x14ac:dyDescent="0.25">
      <c r="A29" s="33" t="s">
        <v>229</v>
      </c>
      <c r="B29" s="50">
        <f>SUMIFS('monthly model engine'!$X$8:$X$67,'monthly model engine'!$B$8:$B$67,1,'monthly model engine'!$C$8:$C$67,8)</f>
        <v>18300.826649999999</v>
      </c>
      <c r="C29" s="50">
        <f>SUMIFS('monthly model engine'!$X$8:$X$67,'monthly model engine'!$B$8:$B$67,2,'monthly model engine'!$C$8:$C$67,8)</f>
        <v>23699.059891666664</v>
      </c>
      <c r="D29" s="50">
        <f>SUMIFS('monthly model engine'!$X$8:$X$67,'monthly model engine'!$B$8:$B$67,3,'monthly model engine'!$C$8:$C$67,8)</f>
        <v>25594.984683000002</v>
      </c>
      <c r="E29" s="50">
        <f>SUMIFS('monthly model engine'!$X$8:$X$67,'monthly model engine'!$B$8:$B$67,4,'monthly model engine'!$C$8:$C$67,8)</f>
        <v>27130.683763980003</v>
      </c>
      <c r="F29" s="50">
        <f>SUMIFS('monthly model engine'!$X$8:$X$67,'monthly model engine'!$B$8:$B$67,5,'monthly model engine'!$C$8:$C$67,8)</f>
        <v>27944.604276899405</v>
      </c>
      <c r="G29" s="80">
        <f>AVERAGEIFS('monthly model engine'!$X$8:$X$67,'monthly model engine'!$C$8:$C$67,8)</f>
        <v>24534.031853109216</v>
      </c>
    </row>
    <row r="30" spans="1:7" ht="15" customHeight="1" x14ac:dyDescent="0.25">
      <c r="A30" s="33" t="s">
        <v>231</v>
      </c>
      <c r="B30" s="50">
        <f>SUMIFS('monthly model engine'!$X$8:$X$67,'monthly model engine'!$B$8:$B$67,1,'monthly model engine'!$C$8:$C$67,9)</f>
        <v>18344.806008333333</v>
      </c>
      <c r="C30" s="50">
        <f>SUMIFS('monthly model engine'!$X$8:$X$67,'monthly model engine'!$B$8:$B$67,2,'monthly model engine'!$C$8:$C$67,9)</f>
        <v>22740.849320833331</v>
      </c>
      <c r="D30" s="50">
        <f>SUMIFS('monthly model engine'!$X$8:$X$67,'monthly model engine'!$B$8:$B$67,3,'monthly model engine'!$C$8:$C$67,9)</f>
        <v>24560.117266500001</v>
      </c>
      <c r="E30" s="50">
        <f>SUMIFS('monthly model engine'!$X$8:$X$67,'monthly model engine'!$B$8:$B$67,4,'monthly model engine'!$C$8:$C$67,9)</f>
        <v>26033.724302490002</v>
      </c>
      <c r="F30" s="50">
        <f>SUMIFS('monthly model engine'!$X$8:$X$67,'monthly model engine'!$B$8:$B$67,5,'monthly model engine'!$C$8:$C$67,9)</f>
        <v>26814.736031564698</v>
      </c>
      <c r="G30" s="80">
        <f>AVERAGEIFS('monthly model engine'!$X$8:$X$67,'monthly model engine'!$C$8:$C$67,9)</f>
        <v>23698.846585944273</v>
      </c>
    </row>
    <row r="31" spans="1:7" ht="15" customHeight="1" x14ac:dyDescent="0.25">
      <c r="A31" s="33" t="s">
        <v>233</v>
      </c>
      <c r="B31" s="50">
        <f>SUMIFS('monthly model engine'!$X$8:$X$67,'monthly model engine'!$B$8:$B$67,1,'monthly model engine'!$C$8:$C$67,10)</f>
        <v>19425.484016666665</v>
      </c>
      <c r="C31" s="50">
        <f>SUMIFS('monthly model engine'!$X$8:$X$67,'monthly model engine'!$B$8:$B$67,2,'monthly model engine'!$C$8:$C$67,10)</f>
        <v>23236.303916666664</v>
      </c>
      <c r="D31" s="50">
        <f>SUMIFS('monthly model engine'!$X$8:$X$67,'monthly model engine'!$B$8:$B$67,3,'monthly model engine'!$C$8:$C$67,10)</f>
        <v>25095.20823</v>
      </c>
      <c r="E31" s="50">
        <f>SUMIFS('monthly model engine'!$X$8:$X$67,'monthly model engine'!$B$8:$B$67,4,'monthly model engine'!$C$8:$C$67,10)</f>
        <v>26600.920723800002</v>
      </c>
      <c r="F31" s="50">
        <f>SUMIFS('monthly model engine'!$X$8:$X$67,'monthly model engine'!$B$8:$B$67,5,'monthly model engine'!$C$8:$C$67,10)</f>
        <v>27398.948345514007</v>
      </c>
      <c r="G31" s="80">
        <f>AVERAGEIFS('monthly model engine'!$X$8:$X$67,'monthly model engine'!$C$8:$C$67,10)</f>
        <v>24351.373046529468</v>
      </c>
    </row>
    <row r="32" spans="1:7" ht="15" customHeight="1" x14ac:dyDescent="0.25">
      <c r="A32" s="33" t="s">
        <v>235</v>
      </c>
      <c r="B32" s="50">
        <f>SUMIFS('monthly model engine'!$X$8:$X$67,'monthly model engine'!$B$8:$B$67,1,'monthly model engine'!$C$8:$C$67,11)</f>
        <v>20319.854272500001</v>
      </c>
      <c r="C32" s="50">
        <f>SUMIFS('monthly model engine'!$X$8:$X$67,'monthly model engine'!$B$8:$B$67,2,'monthly model engine'!$C$8:$C$67,11)</f>
        <v>23731.758512499997</v>
      </c>
      <c r="D32" s="50">
        <f>SUMIFS('monthly model engine'!$X$8:$X$67,'monthly model engine'!$B$8:$B$67,3,'monthly model engine'!$C$8:$C$67,11)</f>
        <v>25630.299193499995</v>
      </c>
      <c r="E32" s="50">
        <f>SUMIFS('monthly model engine'!$X$8:$X$67,'monthly model engine'!$B$8:$B$67,4,'monthly model engine'!$C$8:$C$67,11)</f>
        <v>27168.117145110002</v>
      </c>
      <c r="F32" s="50">
        <f>SUMIFS('monthly model engine'!$X$8:$X$67,'monthly model engine'!$B$8:$B$67,5,'monthly model engine'!$C$8:$C$67,11)</f>
        <v>27983.160659463305</v>
      </c>
      <c r="G32" s="80">
        <f>AVERAGEIFS('monthly model engine'!$X$8:$X$67,'monthly model engine'!$C$8:$C$67,11)</f>
        <v>24966.637956614661</v>
      </c>
    </row>
    <row r="33" spans="1:7" ht="15" customHeight="1" x14ac:dyDescent="0.25">
      <c r="A33" s="33" t="s">
        <v>237</v>
      </c>
      <c r="B33" s="50">
        <f>SUMIFS('monthly model engine'!$X$8:$X$67,'monthly model engine'!$B$8:$B$67,1,'monthly model engine'!$C$8:$C$67,12)</f>
        <v>21928.802000000003</v>
      </c>
      <c r="C33" s="50">
        <f>SUMIFS('monthly model engine'!$X$8:$X$67,'monthly model engine'!$B$8:$B$67,2,'monthly model engine'!$C$8:$C$67,12)</f>
        <v>25218.122299999999</v>
      </c>
      <c r="D33" s="50">
        <f>SUMIFS('monthly model engine'!$X$8:$X$67,'monthly model engine'!$B$8:$B$67,3,'monthly model engine'!$C$8:$C$67,12)</f>
        <v>27235.572084000003</v>
      </c>
      <c r="E33" s="50">
        <f>SUMIFS('monthly model engine'!$X$8:$X$67,'monthly model engine'!$B$8:$B$67,4,'monthly model engine'!$C$8:$C$67,12)</f>
        <v>28869.706409040005</v>
      </c>
      <c r="F33" s="50">
        <f>SUMIFS('monthly model engine'!$X$8:$X$67,'monthly model engine'!$B$8:$B$67,5,'monthly model engine'!$C$8:$C$67,12)</f>
        <v>29735.797601311198</v>
      </c>
      <c r="G33" s="80">
        <f>AVERAGEIFS('monthly model engine'!$X$8:$X$67,'monthly model engine'!$C$8:$C$67,12)</f>
        <v>26597.60007887024</v>
      </c>
    </row>
  </sheetData>
  <mergeCells count="4">
    <mergeCell ref="A2:G2"/>
    <mergeCell ref="A6:G6"/>
    <mergeCell ref="A13:G13"/>
    <mergeCell ref="A20:G20"/>
  </mergeCells>
  <dataValidations count="1">
    <dataValidation type="list" sqref="C1" xr:uid="{F1AE78C4-1E91-465E-BAE8-8D9F85CA6D12}">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75623"/>
  </sheetPr>
  <dimension ref="A1:K16"/>
  <sheetViews>
    <sheetView showGridLines="0" zoomScaleNormal="100" workbookViewId="0">
      <pane ySplit="4" topLeftCell="A5" activePane="bottomLeft" state="frozen"/>
      <selection pane="bottomLeft" activeCell="C5" sqref="C5"/>
    </sheetView>
  </sheetViews>
  <sheetFormatPr defaultColWidth="8.7109375" defaultRowHeight="15" x14ac:dyDescent="0.25"/>
  <cols>
    <col min="1" max="1" width="42" customWidth="1"/>
    <col min="2" max="2" width="18" customWidth="1"/>
    <col min="3" max="3" width="46" customWidth="1"/>
  </cols>
  <sheetData>
    <row r="1" spans="1:11" ht="19.5" customHeight="1" x14ac:dyDescent="0.3">
      <c r="A1" s="15" t="s">
        <v>432</v>
      </c>
      <c r="I1" s="146"/>
      <c r="J1" s="143"/>
      <c r="K1" s="145"/>
    </row>
    <row r="2" spans="1:11" ht="23.25" customHeight="1" x14ac:dyDescent="0.25">
      <c r="A2" s="155" t="s">
        <v>433</v>
      </c>
      <c r="B2" s="155"/>
      <c r="C2" s="155"/>
    </row>
    <row r="4" spans="1:11" ht="15" customHeight="1" x14ac:dyDescent="0.25">
      <c r="A4" s="24" t="s">
        <v>30</v>
      </c>
      <c r="B4" s="24" t="s">
        <v>78</v>
      </c>
      <c r="C4" s="24" t="s">
        <v>434</v>
      </c>
    </row>
    <row r="5" spans="1:11" ht="15" customHeight="1" x14ac:dyDescent="0.25">
      <c r="A5" s="33" t="s">
        <v>435</v>
      </c>
      <c r="B5" s="50">
        <f>'monthly model engine'!X$19</f>
        <v>21928.802000000003</v>
      </c>
      <c r="C5" s="28" t="s">
        <v>436</v>
      </c>
    </row>
    <row r="6" spans="1:11" ht="15" customHeight="1" x14ac:dyDescent="0.25">
      <c r="A6" s="33" t="s">
        <v>437</v>
      </c>
      <c r="B6" s="50">
        <f>'monthly model engine'!Y$19+'monthly model engine'!AN$19</f>
        <v>7685.4810949999992</v>
      </c>
      <c r="C6" s="28" t="s">
        <v>438</v>
      </c>
    </row>
    <row r="7" spans="1:11" ht="15" customHeight="1" x14ac:dyDescent="0.25">
      <c r="A7" s="33" t="s">
        <v>439</v>
      </c>
      <c r="B7" s="44">
        <f>1-B6/B5</f>
        <v>0.64952571987288688</v>
      </c>
      <c r="C7" s="28" t="s">
        <v>440</v>
      </c>
    </row>
    <row r="8" spans="1:11" ht="18.75" customHeight="1" x14ac:dyDescent="0.25">
      <c r="A8" s="33" t="s">
        <v>441</v>
      </c>
      <c r="B8" s="50">
        <f>'monthly model engine'!AK$19</f>
        <v>10358.232354166666</v>
      </c>
      <c r="C8" s="90" t="s">
        <v>442</v>
      </c>
    </row>
    <row r="9" spans="1:11" ht="15" customHeight="1" x14ac:dyDescent="0.25">
      <c r="A9" s="33" t="s">
        <v>443</v>
      </c>
      <c r="B9" s="50">
        <f>B8/B7</f>
        <v>15947.378275018558</v>
      </c>
      <c r="C9" s="28" t="s">
        <v>444</v>
      </c>
    </row>
    <row r="11" spans="1:11" ht="18.75" customHeight="1" x14ac:dyDescent="0.25">
      <c r="A11" s="33" t="s">
        <v>445</v>
      </c>
      <c r="B11" s="44">
        <f>'monthly model engine'!M$19/B5</f>
        <v>0.78860897189002832</v>
      </c>
      <c r="C11" s="90"/>
    </row>
    <row r="12" spans="1:11" ht="18.75" customHeight="1" x14ac:dyDescent="0.25">
      <c r="A12" s="33" t="s">
        <v>446</v>
      </c>
      <c r="B12" s="81">
        <f>(B9*B11)/('monthly model engine'!J$19*Assumptions!$C$20)</f>
        <v>56.724280033694839</v>
      </c>
      <c r="C12" s="90" t="s">
        <v>447</v>
      </c>
    </row>
    <row r="14" spans="1:11" ht="15" customHeight="1" x14ac:dyDescent="0.25">
      <c r="A14" s="16" t="s">
        <v>448</v>
      </c>
    </row>
    <row r="15" spans="1:11" ht="15" customHeight="1" x14ac:dyDescent="0.25">
      <c r="A15" s="54" t="s">
        <v>449</v>
      </c>
      <c r="B15" s="82">
        <f>Assumptions!$C$19</f>
        <v>65</v>
      </c>
    </row>
    <row r="16" spans="1:11" ht="15" customHeight="1" x14ac:dyDescent="0.25">
      <c r="A16" s="54" t="s">
        <v>450</v>
      </c>
      <c r="B16" s="83">
        <f>B15-B12</f>
        <v>8.2757199663051608</v>
      </c>
    </row>
  </sheetData>
  <mergeCells count="1">
    <mergeCell ref="A2:C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97B63"/>
  </sheetPr>
  <dimension ref="A1:K24"/>
  <sheetViews>
    <sheetView zoomScaleNormal="100" workbookViewId="0">
      <selection sqref="A1:XFD1"/>
    </sheetView>
  </sheetViews>
  <sheetFormatPr defaultColWidth="8.7109375" defaultRowHeight="15" x14ac:dyDescent="0.25"/>
  <cols>
    <col min="1" max="1" width="26.140625" customWidth="1"/>
    <col min="2" max="8" width="22" customWidth="1"/>
  </cols>
  <sheetData>
    <row r="1" spans="1:11" ht="15.75" customHeight="1" x14ac:dyDescent="0.25">
      <c r="A1" s="133"/>
      <c r="B1" t="s">
        <v>0</v>
      </c>
      <c r="C1" s="130" t="s">
        <v>48</v>
      </c>
      <c r="E1" t="s">
        <v>540</v>
      </c>
      <c r="F1" t="s">
        <v>1</v>
      </c>
      <c r="G1" s="121">
        <f ca="1">TODAY()</f>
        <v>46233</v>
      </c>
    </row>
    <row r="2" spans="1:11" x14ac:dyDescent="0.25">
      <c r="B2" s="128"/>
      <c r="C2" s="129"/>
      <c r="D2" s="5"/>
      <c r="E2" s="5"/>
      <c r="F2" s="5"/>
      <c r="G2" s="5"/>
      <c r="H2" s="5"/>
      <c r="I2" s="5"/>
      <c r="J2" s="5"/>
      <c r="K2" s="5"/>
    </row>
    <row r="4" spans="1:11" ht="15" customHeight="1" x14ac:dyDescent="0.25">
      <c r="A4" s="154"/>
      <c r="B4" s="154"/>
      <c r="C4" s="154"/>
      <c r="D4" s="154"/>
      <c r="E4" s="154"/>
      <c r="F4" s="154"/>
      <c r="G4" s="154"/>
      <c r="H4" s="154"/>
    </row>
    <row r="5" spans="1:11" ht="19.5" customHeight="1" x14ac:dyDescent="0.3">
      <c r="A5" s="15" t="s">
        <v>33</v>
      </c>
    </row>
    <row r="6" spans="1:11" ht="15" customHeight="1" x14ac:dyDescent="0.25">
      <c r="A6" s="1"/>
      <c r="B6" s="1"/>
      <c r="C6" s="1"/>
      <c r="D6" s="1"/>
      <c r="E6" s="1"/>
      <c r="F6" s="1"/>
      <c r="G6" s="1"/>
      <c r="H6" s="1"/>
    </row>
    <row r="8" spans="1:11" ht="15" customHeight="1" x14ac:dyDescent="0.25">
      <c r="A8" s="3" t="s">
        <v>32</v>
      </c>
    </row>
    <row r="9" spans="1:11" ht="15" customHeight="1" x14ac:dyDescent="0.25">
      <c r="A9" s="14" t="s">
        <v>30</v>
      </c>
      <c r="B9" s="14" t="s">
        <v>10</v>
      </c>
      <c r="C9" s="14" t="s">
        <v>11</v>
      </c>
      <c r="D9" s="14" t="s">
        <v>12</v>
      </c>
      <c r="E9" s="14" t="s">
        <v>13</v>
      </c>
      <c r="F9" s="14" t="s">
        <v>14</v>
      </c>
    </row>
    <row r="10" spans="1:11" ht="15" customHeight="1" x14ac:dyDescent="0.25">
      <c r="A10" s="20" t="s">
        <v>34</v>
      </c>
      <c r="B10" s="21">
        <f>'pivot Summary'!B8</f>
        <v>16214.938375868056</v>
      </c>
      <c r="C10" s="21">
        <f>'pivot Summary'!C8</f>
        <v>23797.494185590276</v>
      </c>
      <c r="D10" s="21">
        <f>'pivot Summary'!D8</f>
        <v>25701.293720437494</v>
      </c>
      <c r="E10" s="21">
        <f>'pivot Summary'!E8</f>
        <v>27243.371343663752</v>
      </c>
      <c r="F10" s="21">
        <f>'pivot Summary'!F8</f>
        <v>28060.672483973667</v>
      </c>
    </row>
    <row r="11" spans="1:11" ht="15" customHeight="1" x14ac:dyDescent="0.25">
      <c r="A11" s="20" t="s">
        <v>35</v>
      </c>
      <c r="B11" s="21">
        <f>'pivot Summary'!B9</f>
        <v>11292.453088107641</v>
      </c>
      <c r="C11" s="21">
        <f>'pivot Summary'!C9</f>
        <v>16566.051349913192</v>
      </c>
      <c r="D11" s="21">
        <f>'pivot Summary'!D9</f>
        <v>17891.335457906251</v>
      </c>
      <c r="E11" s="21">
        <f>'pivot Summary'!E9</f>
        <v>18964.815585380627</v>
      </c>
      <c r="F11" s="21">
        <f>'pivot Summary'!F9</f>
        <v>19533.760052942045</v>
      </c>
    </row>
    <row r="12" spans="1:11" ht="15" customHeight="1" x14ac:dyDescent="0.25">
      <c r="A12" s="20" t="s">
        <v>36</v>
      </c>
      <c r="B12" s="21">
        <f>'pivot Summary'!B11</f>
        <v>366.0944944205732</v>
      </c>
      <c r="C12" s="21">
        <f>'pivot Summary'!C11</f>
        <v>5212.3338552643227</v>
      </c>
      <c r="D12" s="21">
        <f>'pivot Summary'!D11</f>
        <v>6405.9791520188019</v>
      </c>
      <c r="E12" s="21">
        <f>'pivot Summary'!E11</f>
        <v>7372.8318423899327</v>
      </c>
      <c r="F12" s="21">
        <f>'pivot Summary'!F11</f>
        <v>7885.2637682866289</v>
      </c>
    </row>
    <row r="13" spans="1:11" ht="15" customHeight="1" x14ac:dyDescent="0.25">
      <c r="A13" s="20" t="s">
        <v>37</v>
      </c>
      <c r="B13" s="21">
        <f>'pivot Summary'!B10</f>
        <v>-1104.719337758502</v>
      </c>
      <c r="C13" s="21">
        <f>'pivot Summary'!C10</f>
        <v>2977.7274206808711</v>
      </c>
      <c r="D13" s="21">
        <f>'pivot Summary'!D10</f>
        <v>3935.5107939550653</v>
      </c>
      <c r="E13" s="21">
        <f>'pivot Summary'!E10</f>
        <v>4728.0555849756247</v>
      </c>
      <c r="F13" s="21">
        <f>'pivot Summary'!F10</f>
        <v>5185.0176491787506</v>
      </c>
    </row>
    <row r="16" spans="1:11" ht="15" customHeight="1" x14ac:dyDescent="0.25">
      <c r="A16" s="3" t="s">
        <v>38</v>
      </c>
    </row>
    <row r="17" spans="1:6" ht="15" customHeight="1" x14ac:dyDescent="0.25">
      <c r="A17" s="14" t="s">
        <v>30</v>
      </c>
      <c r="B17" s="14" t="s">
        <v>10</v>
      </c>
      <c r="C17" s="14" t="s">
        <v>11</v>
      </c>
      <c r="D17" s="14" t="s">
        <v>12</v>
      </c>
      <c r="E17" s="14" t="s">
        <v>13</v>
      </c>
      <c r="F17" s="14" t="s">
        <v>14</v>
      </c>
    </row>
    <row r="18" spans="1:6" ht="15" customHeight="1" x14ac:dyDescent="0.25">
      <c r="A18" s="20" t="s">
        <v>39</v>
      </c>
      <c r="B18" s="21">
        <f>'Income Statement'!B13</f>
        <v>24000</v>
      </c>
      <c r="C18" s="21">
        <f>'Income Statement'!C13</f>
        <v>24000</v>
      </c>
      <c r="D18" s="21">
        <f>'Income Statement'!D13</f>
        <v>24000</v>
      </c>
      <c r="E18" s="21">
        <f>'Income Statement'!E13</f>
        <v>24000</v>
      </c>
      <c r="F18" s="21">
        <f>'Income Statement'!F13</f>
        <v>24000</v>
      </c>
    </row>
    <row r="19" spans="1:6" ht="15" customHeight="1" x14ac:dyDescent="0.25">
      <c r="A19" s="20" t="s">
        <v>40</v>
      </c>
      <c r="B19" s="21">
        <f>'Income Statement'!B14</f>
        <v>1500</v>
      </c>
      <c r="C19" s="21">
        <f>'Income Statement'!C14</f>
        <v>1500</v>
      </c>
      <c r="D19" s="21">
        <f>'Income Statement'!D14</f>
        <v>1500</v>
      </c>
      <c r="E19" s="21">
        <f>'Income Statement'!E14</f>
        <v>1500</v>
      </c>
      <c r="F19" s="21">
        <f>'Income Statement'!F14</f>
        <v>1500</v>
      </c>
    </row>
    <row r="20" spans="1:6" ht="15" customHeight="1" x14ac:dyDescent="0.25">
      <c r="A20" s="20" t="s">
        <v>41</v>
      </c>
      <c r="B20" s="21">
        <f>'Income Statement'!B15</f>
        <v>1800</v>
      </c>
      <c r="C20" s="21">
        <f>'Income Statement'!C15</f>
        <v>1800</v>
      </c>
      <c r="D20" s="21">
        <f>'Income Statement'!D15</f>
        <v>1800</v>
      </c>
      <c r="E20" s="21">
        <f>'Income Statement'!E15</f>
        <v>1800</v>
      </c>
      <c r="F20" s="21">
        <f>'Income Statement'!F15</f>
        <v>1800</v>
      </c>
    </row>
    <row r="21" spans="1:6" ht="15" customHeight="1" x14ac:dyDescent="0.25">
      <c r="A21" s="20" t="s">
        <v>42</v>
      </c>
      <c r="B21" s="21">
        <f>'Income Statement'!B16</f>
        <v>81398.788250000027</v>
      </c>
      <c r="C21" s="21">
        <f>'Income Statement'!C16</f>
        <v>81398.788250000027</v>
      </c>
      <c r="D21" s="21">
        <f>'Income Statement'!D16</f>
        <v>81398.788250000027</v>
      </c>
      <c r="E21" s="21">
        <f>'Income Statement'!E16</f>
        <v>81398.788250000027</v>
      </c>
      <c r="F21" s="21">
        <f>'Income Statement'!F16</f>
        <v>81398.788250000027</v>
      </c>
    </row>
    <row r="22" spans="1:6" ht="15" customHeight="1" x14ac:dyDescent="0.25">
      <c r="A22" s="20" t="s">
        <v>43</v>
      </c>
      <c r="B22" s="21">
        <f>'Income Statement'!B17</f>
        <v>5375</v>
      </c>
      <c r="C22" s="21">
        <f>'Income Statement'!C17</f>
        <v>6181.25</v>
      </c>
      <c r="D22" s="21">
        <f>'Income Statement'!D17</f>
        <v>6675.75</v>
      </c>
      <c r="E22" s="21">
        <f>'Income Statement'!E17</f>
        <v>7076.295000000001</v>
      </c>
      <c r="F22" s="21">
        <f>'Income Statement'!F17</f>
        <v>7288.58385</v>
      </c>
    </row>
    <row r="23" spans="1:6" ht="15" customHeight="1" x14ac:dyDescent="0.25">
      <c r="A23" s="20" t="s">
        <v>44</v>
      </c>
      <c r="B23" s="21">
        <f>'Income Statement'!B18</f>
        <v>1800</v>
      </c>
      <c r="C23" s="21">
        <f>'Income Statement'!C18</f>
        <v>1800</v>
      </c>
      <c r="D23" s="21">
        <f>'Income Statement'!D18</f>
        <v>1800</v>
      </c>
      <c r="E23" s="21">
        <f>'Income Statement'!E18</f>
        <v>1800</v>
      </c>
      <c r="F23" s="21">
        <f>'Income Statement'!F18</f>
        <v>1800</v>
      </c>
    </row>
    <row r="24" spans="1:6" ht="15" customHeight="1" x14ac:dyDescent="0.25">
      <c r="A24" s="20" t="s">
        <v>45</v>
      </c>
      <c r="B24" s="21">
        <f>'Income Statement'!B19</f>
        <v>6000</v>
      </c>
      <c r="C24" s="21">
        <f>'Income Statement'!C19</f>
        <v>6000</v>
      </c>
      <c r="D24" s="21">
        <f>'Income Statement'!D19</f>
        <v>6000</v>
      </c>
      <c r="E24" s="21">
        <f>'Income Statement'!E19</f>
        <v>6000</v>
      </c>
      <c r="F24" s="21">
        <f>'Income Statement'!F19</f>
        <v>6000</v>
      </c>
    </row>
  </sheetData>
  <mergeCells count="1">
    <mergeCell ref="A4:H4"/>
  </mergeCells>
  <dataValidations count="1">
    <dataValidation type="list" sqref="C1" xr:uid="{7609B551-9140-40CC-8528-FF85B0864E84}">
      <formula1>"Worst,Base,Best"</formula1>
      <formula2>0</formula2>
    </dataValidation>
  </dataValidations>
  <pageMargins left="0.75" right="0.75" top="1" bottom="1"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08080"/>
  </sheetPr>
  <dimension ref="A1:I46"/>
  <sheetViews>
    <sheetView showGridLines="0" zoomScaleNormal="100" workbookViewId="0">
      <pane ySplit="4" topLeftCell="A5" activePane="bottomLeft" state="frozen"/>
      <selection pane="bottomLeft"/>
    </sheetView>
  </sheetViews>
  <sheetFormatPr defaultColWidth="8.7109375" defaultRowHeight="15" x14ac:dyDescent="0.25"/>
  <cols>
    <col min="1" max="1" width="46" customWidth="1"/>
    <col min="2" max="3" width="20" customWidth="1"/>
    <col min="4" max="4" width="46" customWidth="1"/>
    <col min="7" max="7" width="10.7109375" bestFit="1" customWidth="1"/>
  </cols>
  <sheetData>
    <row r="1" spans="1:9" ht="15.75" customHeight="1" x14ac:dyDescent="0.25">
      <c r="A1" s="133"/>
      <c r="B1" t="s">
        <v>0</v>
      </c>
      <c r="C1" s="130" t="s">
        <v>48</v>
      </c>
      <c r="D1" t="s">
        <v>540</v>
      </c>
      <c r="F1" t="s">
        <v>1</v>
      </c>
      <c r="G1" s="121">
        <f ca="1">TODAY()</f>
        <v>46233</v>
      </c>
    </row>
    <row r="2" spans="1:9" ht="15" customHeight="1" x14ac:dyDescent="0.3">
      <c r="A2" s="15"/>
      <c r="B2" s="150"/>
      <c r="C2" s="150"/>
      <c r="D2" s="150"/>
      <c r="E2" s="150"/>
      <c r="F2" s="150"/>
      <c r="G2" s="150"/>
      <c r="H2" s="150"/>
      <c r="I2" s="150"/>
    </row>
    <row r="3" spans="1:9" ht="20.25" x14ac:dyDescent="0.3">
      <c r="A3" s="15" t="s">
        <v>27</v>
      </c>
    </row>
    <row r="4" spans="1:9" ht="15" customHeight="1" x14ac:dyDescent="0.25">
      <c r="A4" s="154"/>
      <c r="B4" s="154"/>
      <c r="C4" s="154"/>
      <c r="D4" s="154"/>
    </row>
    <row r="6" spans="1:9" ht="15" customHeight="1" x14ac:dyDescent="0.25"/>
    <row r="7" spans="1:9" ht="15" customHeight="1" x14ac:dyDescent="0.25"/>
    <row r="8" spans="1:9" ht="15" customHeight="1" x14ac:dyDescent="0.25">
      <c r="A8" s="150" t="s">
        <v>451</v>
      </c>
      <c r="B8" s="150"/>
      <c r="C8" s="150"/>
      <c r="D8" s="150"/>
    </row>
    <row r="9" spans="1:9" ht="15" customHeight="1" x14ac:dyDescent="0.25">
      <c r="A9" s="24" t="s">
        <v>452</v>
      </c>
      <c r="B9" s="24" t="s">
        <v>10</v>
      </c>
      <c r="C9" s="24" t="s">
        <v>14</v>
      </c>
      <c r="D9" s="24" t="s">
        <v>453</v>
      </c>
    </row>
    <row r="10" spans="1:9" ht="15" customHeight="1" x14ac:dyDescent="0.25">
      <c r="A10" s="33" t="s">
        <v>267</v>
      </c>
      <c r="B10" s="44">
        <f>'Income Statement'!$B$11/'Income Statement'!$B$8</f>
        <v>0.69642281865922329</v>
      </c>
      <c r="C10" s="44">
        <f>'Income Statement'!$F$11/'Income Statement'!$F$8</f>
        <v>0.69612587025839778</v>
      </c>
      <c r="D10" s="28" t="s">
        <v>454</v>
      </c>
    </row>
    <row r="11" spans="1:9" ht="18.75" customHeight="1" x14ac:dyDescent="0.25">
      <c r="A11" s="33" t="s">
        <v>268</v>
      </c>
      <c r="B11" s="44">
        <f>'Income Statement'!$B$31</f>
        <v>2.2577606274804887E-2</v>
      </c>
      <c r="C11" s="44">
        <f>'Income Statement'!$F$31</f>
        <v>0.28100765485182694</v>
      </c>
      <c r="D11" s="28" t="s">
        <v>455</v>
      </c>
    </row>
    <row r="12" spans="1:9" x14ac:dyDescent="0.25">
      <c r="A12" s="33" t="s">
        <v>269</v>
      </c>
      <c r="B12" s="44">
        <f>'Income Statement'!$B$32</f>
        <v>-6.8129727794871225E-2</v>
      </c>
      <c r="C12" s="44">
        <f>'Income Statement'!$F$32</f>
        <v>0.18477880927978749</v>
      </c>
      <c r="D12" s="28" t="s">
        <v>456</v>
      </c>
    </row>
    <row r="13" spans="1:9" ht="23.25" x14ac:dyDescent="0.25">
      <c r="A13" s="33" t="s">
        <v>457</v>
      </c>
      <c r="B13" s="44">
        <f>'Income Statement'!$B$20/'Income Statement'!$B$8</f>
        <v>0.62634521238441854</v>
      </c>
      <c r="C13" s="44">
        <f>'Income Statement'!$F$20/'Income Statement'!$F$8</f>
        <v>0.36761821540657086</v>
      </c>
      <c r="D13" s="28" t="s">
        <v>458</v>
      </c>
    </row>
    <row r="15" spans="1:9" ht="15" customHeight="1" x14ac:dyDescent="0.25"/>
    <row r="16" spans="1:9" ht="15" customHeight="1" x14ac:dyDescent="0.25"/>
    <row r="17" spans="1:4" ht="15" customHeight="1" x14ac:dyDescent="0.25">
      <c r="A17" s="16" t="s">
        <v>459</v>
      </c>
    </row>
    <row r="18" spans="1:4" ht="15" customHeight="1" x14ac:dyDescent="0.25">
      <c r="A18" s="84" t="s">
        <v>29</v>
      </c>
      <c r="B18" s="84" t="s">
        <v>460</v>
      </c>
      <c r="C18" s="84" t="s">
        <v>461</v>
      </c>
      <c r="D18" s="84"/>
    </row>
    <row r="19" spans="1:4" ht="15" customHeight="1" x14ac:dyDescent="0.25">
      <c r="A19" s="33">
        <v>1</v>
      </c>
      <c r="B19" s="85">
        <v>0</v>
      </c>
      <c r="C19" s="86">
        <v>1</v>
      </c>
    </row>
    <row r="20" spans="1:4" ht="15" customHeight="1" x14ac:dyDescent="0.25">
      <c r="A20" s="33">
        <v>2</v>
      </c>
      <c r="B20" s="44">
        <f>Assumptions!$C$45</f>
        <v>0.15</v>
      </c>
      <c r="C20" s="86">
        <f>C19*(1+B20)</f>
        <v>1.1499999999999999</v>
      </c>
    </row>
    <row r="21" spans="1:4" ht="15" customHeight="1" x14ac:dyDescent="0.25">
      <c r="A21" s="33">
        <v>3</v>
      </c>
      <c r="B21" s="44">
        <f>Assumptions!$C$46</f>
        <v>0.08</v>
      </c>
      <c r="C21" s="86">
        <f>C20*(1+B21)</f>
        <v>1.242</v>
      </c>
    </row>
    <row r="22" spans="1:4" x14ac:dyDescent="0.25">
      <c r="A22" s="33">
        <v>4</v>
      </c>
      <c r="B22" s="44">
        <f>Assumptions!$C$55</f>
        <v>0.06</v>
      </c>
      <c r="C22" s="86">
        <f>C21*(1+B22)</f>
        <v>1.3165200000000001</v>
      </c>
    </row>
    <row r="23" spans="1:4" ht="15" customHeight="1" x14ac:dyDescent="0.25">
      <c r="A23" s="33">
        <v>5</v>
      </c>
      <c r="B23" s="44">
        <f>Assumptions!$C$56</f>
        <v>0.03</v>
      </c>
      <c r="C23" s="86">
        <f>C22*(1+B23)</f>
        <v>1.3560156000000001</v>
      </c>
    </row>
    <row r="24" spans="1:4" ht="15" customHeight="1" x14ac:dyDescent="0.25"/>
    <row r="25" spans="1:4" ht="15" customHeight="1" x14ac:dyDescent="0.25">
      <c r="A25" s="16" t="s">
        <v>462</v>
      </c>
    </row>
    <row r="26" spans="1:4" ht="15" customHeight="1" x14ac:dyDescent="0.25">
      <c r="A26" s="84" t="s">
        <v>207</v>
      </c>
      <c r="B26" s="84" t="s">
        <v>463</v>
      </c>
      <c r="C26" s="84" t="s">
        <v>464</v>
      </c>
      <c r="D26" s="84"/>
    </row>
    <row r="27" spans="1:4" ht="15" customHeight="1" x14ac:dyDescent="0.25">
      <c r="A27" s="33">
        <v>1</v>
      </c>
      <c r="B27" s="29">
        <v>0.5</v>
      </c>
      <c r="C27" s="29">
        <v>0.4</v>
      </c>
    </row>
    <row r="28" spans="1:4" ht="15" customHeight="1" x14ac:dyDescent="0.25">
      <c r="A28" s="33">
        <v>2</v>
      </c>
      <c r="B28" s="29">
        <v>0.55000000000000004</v>
      </c>
      <c r="C28" s="29">
        <v>0.48</v>
      </c>
    </row>
    <row r="29" spans="1:4" ht="15" customHeight="1" x14ac:dyDescent="0.25">
      <c r="A29" s="33">
        <v>3</v>
      </c>
      <c r="B29" s="29">
        <v>0.62</v>
      </c>
      <c r="C29" s="29">
        <v>0.55000000000000004</v>
      </c>
    </row>
    <row r="30" spans="1:4" ht="15" customHeight="1" x14ac:dyDescent="0.25">
      <c r="A30" s="33">
        <v>4</v>
      </c>
      <c r="B30" s="29">
        <v>0.68</v>
      </c>
      <c r="C30" s="29">
        <v>0.62</v>
      </c>
    </row>
    <row r="31" spans="1:4" ht="15" customHeight="1" x14ac:dyDescent="0.25">
      <c r="A31" s="33">
        <v>5</v>
      </c>
      <c r="B31" s="29">
        <v>0.74</v>
      </c>
      <c r="C31" s="29">
        <v>0.68</v>
      </c>
    </row>
    <row r="32" spans="1:4" ht="15" customHeight="1" x14ac:dyDescent="0.25">
      <c r="A32" s="33">
        <v>6</v>
      </c>
      <c r="B32" s="29">
        <v>0.8</v>
      </c>
      <c r="C32" s="29">
        <v>0.74</v>
      </c>
    </row>
    <row r="33" spans="1:3" ht="15" customHeight="1" x14ac:dyDescent="0.25">
      <c r="A33" s="33">
        <v>7</v>
      </c>
      <c r="B33" s="29">
        <v>0.85</v>
      </c>
      <c r="C33" s="29">
        <v>0.8</v>
      </c>
    </row>
    <row r="34" spans="1:3" ht="15" customHeight="1" x14ac:dyDescent="0.25">
      <c r="A34" s="33">
        <v>8</v>
      </c>
      <c r="B34" s="29">
        <v>0.9</v>
      </c>
      <c r="C34" s="29">
        <v>0.85</v>
      </c>
    </row>
    <row r="35" spans="1:3" ht="15" customHeight="1" x14ac:dyDescent="0.25">
      <c r="A35" s="33">
        <v>9</v>
      </c>
      <c r="B35" s="29">
        <v>0.94</v>
      </c>
      <c r="C35" s="29">
        <v>0.9</v>
      </c>
    </row>
    <row r="36" spans="1:3" ht="15" customHeight="1" x14ac:dyDescent="0.25">
      <c r="A36" s="33">
        <v>10</v>
      </c>
      <c r="B36" s="29">
        <v>0.97</v>
      </c>
      <c r="C36" s="29">
        <v>0.94</v>
      </c>
    </row>
    <row r="37" spans="1:3" x14ac:dyDescent="0.25">
      <c r="A37" s="33">
        <v>11</v>
      </c>
      <c r="B37" s="29">
        <v>0.99</v>
      </c>
      <c r="C37" s="29">
        <v>0.97</v>
      </c>
    </row>
    <row r="38" spans="1:3" ht="15" customHeight="1" x14ac:dyDescent="0.25">
      <c r="A38" s="33">
        <v>12</v>
      </c>
      <c r="B38" s="29">
        <v>1</v>
      </c>
      <c r="C38" s="29">
        <v>1</v>
      </c>
    </row>
    <row r="39" spans="1:3" ht="15" customHeight="1" x14ac:dyDescent="0.25"/>
    <row r="40" spans="1:3" ht="15" customHeight="1" x14ac:dyDescent="0.25">
      <c r="A40" s="16" t="s">
        <v>465</v>
      </c>
    </row>
    <row r="41" spans="1:3" ht="15" customHeight="1" x14ac:dyDescent="0.25">
      <c r="A41" s="33" t="s">
        <v>160</v>
      </c>
      <c r="B41" s="50">
        <f>Assumptions!$C$51</f>
        <v>40000</v>
      </c>
    </row>
    <row r="42" spans="1:3" ht="15" customHeight="1" x14ac:dyDescent="0.25">
      <c r="A42" s="33" t="s">
        <v>401</v>
      </c>
      <c r="B42" s="50">
        <f>'Loan schedule'!$B$6</f>
        <v>69849.697062499996</v>
      </c>
    </row>
    <row r="43" spans="1:3" ht="15" customHeight="1" x14ac:dyDescent="0.25">
      <c r="A43" s="33" t="s">
        <v>466</v>
      </c>
      <c r="B43" s="46">
        <f>B41+B42</f>
        <v>109849.6970625</v>
      </c>
    </row>
    <row r="44" spans="1:3" ht="15" customHeight="1" x14ac:dyDescent="0.25">
      <c r="A44" s="33" t="s">
        <v>467</v>
      </c>
      <c r="B44" s="50">
        <f>-'Startup Costs'!$D$24</f>
        <v>-55000</v>
      </c>
    </row>
    <row r="45" spans="1:3" x14ac:dyDescent="0.25">
      <c r="A45" s="33" t="s">
        <v>468</v>
      </c>
      <c r="B45" s="50">
        <f>-('Startup Costs'!$D$17-'Startup Costs'!$D$24)-'Startup Costs'!$D$19</f>
        <v>-23775</v>
      </c>
    </row>
    <row r="46" spans="1:3" x14ac:dyDescent="0.25">
      <c r="A46" s="23" t="s">
        <v>469</v>
      </c>
      <c r="B46" s="80">
        <f>B43+B44+B45</f>
        <v>31074.697062499996</v>
      </c>
    </row>
  </sheetData>
  <mergeCells count="4">
    <mergeCell ref="F2:I2"/>
    <mergeCell ref="A4:D4"/>
    <mergeCell ref="B2:E2"/>
    <mergeCell ref="A8:D8"/>
  </mergeCells>
  <dataValidations count="1">
    <dataValidation type="list" sqref="C1" xr:uid="{2FF4D509-B543-432B-854C-8AE1E625B9F0}">
      <formula1>"Worst,Base,Best"</formula1>
      <formula2>0</formula2>
    </dataValidation>
  </dataValidation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K51"/>
  <sheetViews>
    <sheetView showGridLines="0" zoomScaleNormal="100" workbookViewId="0">
      <pane ySplit="6" topLeftCell="A7" activePane="bottomLeft" state="frozen"/>
      <selection pane="bottomLeft" activeCell="B3" sqref="B3"/>
    </sheetView>
  </sheetViews>
  <sheetFormatPr defaultColWidth="8.7109375" defaultRowHeight="15" x14ac:dyDescent="0.25"/>
  <cols>
    <col min="1" max="1" width="38" customWidth="1"/>
    <col min="2" max="6" width="14" customWidth="1"/>
    <col min="7" max="7" width="46" customWidth="1"/>
  </cols>
  <sheetData>
    <row r="1" spans="1:11" ht="15.75" customHeight="1" x14ac:dyDescent="0.25">
      <c r="A1" s="133"/>
      <c r="B1" t="s">
        <v>0</v>
      </c>
      <c r="C1" s="130" t="s">
        <v>48</v>
      </c>
      <c r="D1" t="s">
        <v>540</v>
      </c>
      <c r="F1" t="s">
        <v>1</v>
      </c>
      <c r="G1" s="121">
        <f ca="1">TODAY()</f>
        <v>46233</v>
      </c>
    </row>
    <row r="2" spans="1:11" ht="19.5" customHeight="1" x14ac:dyDescent="0.3">
      <c r="A2" s="15"/>
      <c r="B2" s="150" t="str">
        <f>'Scenario Analysis'!$B$5</f>
        <v>Base</v>
      </c>
      <c r="C2" s="150"/>
      <c r="D2" s="150"/>
      <c r="E2" s="150"/>
      <c r="F2" s="150"/>
      <c r="G2" s="150"/>
      <c r="H2" s="150"/>
      <c r="I2" s="150"/>
      <c r="J2" s="143"/>
      <c r="K2" s="145"/>
    </row>
    <row r="3" spans="1:11" ht="19.5" customHeight="1" x14ac:dyDescent="0.3">
      <c r="A3" s="15" t="s">
        <v>28</v>
      </c>
      <c r="I3" s="146"/>
      <c r="J3" s="143"/>
      <c r="K3" s="145"/>
    </row>
    <row r="4" spans="1:11" ht="15" customHeight="1" x14ac:dyDescent="0.25">
      <c r="A4" s="154"/>
      <c r="B4" s="154"/>
      <c r="C4" s="154"/>
      <c r="D4" s="154"/>
      <c r="E4" s="154"/>
      <c r="F4" s="154"/>
      <c r="G4" s="154"/>
    </row>
    <row r="6" spans="1:11" ht="15" customHeight="1" x14ac:dyDescent="0.25">
      <c r="A6" s="150" t="s">
        <v>470</v>
      </c>
      <c r="B6" s="150"/>
      <c r="C6" s="150"/>
      <c r="D6" s="150"/>
      <c r="E6" s="150"/>
      <c r="F6" s="150"/>
      <c r="G6" s="150"/>
    </row>
    <row r="7" spans="1:11" ht="15" customHeight="1" x14ac:dyDescent="0.25">
      <c r="A7" s="24" t="s">
        <v>77</v>
      </c>
      <c r="B7" s="24" t="s">
        <v>78</v>
      </c>
      <c r="C7" s="24"/>
      <c r="D7" s="24"/>
      <c r="E7" s="24"/>
      <c r="F7" s="24"/>
      <c r="G7" s="24" t="s">
        <v>176</v>
      </c>
    </row>
    <row r="8" spans="1:11" ht="36.75" customHeight="1" x14ac:dyDescent="0.25">
      <c r="A8" s="33" t="s">
        <v>471</v>
      </c>
      <c r="B8" s="42">
        <v>0.2</v>
      </c>
      <c r="C8" s="35"/>
      <c r="D8" s="35"/>
      <c r="E8" s="35"/>
      <c r="F8" s="35"/>
      <c r="G8" s="28" t="s">
        <v>472</v>
      </c>
    </row>
    <row r="9" spans="1:11" ht="18.75" customHeight="1" x14ac:dyDescent="0.25">
      <c r="A9" s="33" t="s">
        <v>473</v>
      </c>
      <c r="B9" s="29">
        <v>0.02</v>
      </c>
      <c r="C9" s="35"/>
      <c r="D9" s="35"/>
      <c r="E9" s="35"/>
      <c r="F9" s="35"/>
      <c r="G9" s="37" t="s">
        <v>474</v>
      </c>
    </row>
    <row r="10" spans="1:11" ht="27.75" customHeight="1" x14ac:dyDescent="0.25">
      <c r="A10" s="33" t="s">
        <v>475</v>
      </c>
      <c r="B10" s="42">
        <v>0.02</v>
      </c>
      <c r="C10" s="35"/>
      <c r="D10" s="35"/>
      <c r="E10" s="35"/>
      <c r="F10" s="35"/>
      <c r="G10" s="99" t="s">
        <v>476</v>
      </c>
    </row>
    <row r="11" spans="1:11" ht="36.75" customHeight="1" x14ac:dyDescent="0.25">
      <c r="A11" s="33" t="s">
        <v>477</v>
      </c>
      <c r="B11" s="87">
        <v>2</v>
      </c>
      <c r="C11" s="35"/>
      <c r="D11" s="35"/>
      <c r="E11" s="35"/>
      <c r="F11" s="35"/>
      <c r="G11" s="37" t="s">
        <v>478</v>
      </c>
    </row>
    <row r="12" spans="1:11" ht="36.75" customHeight="1" x14ac:dyDescent="0.25">
      <c r="A12" s="33" t="s">
        <v>479</v>
      </c>
      <c r="B12" s="87">
        <v>3</v>
      </c>
      <c r="C12" s="35"/>
      <c r="D12" s="35"/>
      <c r="E12" s="35"/>
      <c r="F12" s="35"/>
      <c r="G12" s="37" t="s">
        <v>480</v>
      </c>
    </row>
    <row r="13" spans="1:11" ht="27.75" customHeight="1" x14ac:dyDescent="0.25">
      <c r="A13" s="33" t="s">
        <v>481</v>
      </c>
      <c r="B13" s="87">
        <v>4</v>
      </c>
      <c r="C13" s="35"/>
      <c r="D13" s="35"/>
      <c r="E13" s="35"/>
      <c r="F13" s="35"/>
      <c r="G13" s="37" t="s">
        <v>482</v>
      </c>
    </row>
    <row r="15" spans="1:11" ht="15" customHeight="1" x14ac:dyDescent="0.25">
      <c r="A15" s="150" t="s">
        <v>483</v>
      </c>
      <c r="B15" s="150"/>
      <c r="C15" s="150"/>
      <c r="D15" s="150"/>
      <c r="E15" s="150"/>
      <c r="F15" s="150"/>
      <c r="G15" s="150"/>
    </row>
    <row r="16" spans="1:11" ht="15" customHeight="1" x14ac:dyDescent="0.25">
      <c r="A16" s="24" t="s">
        <v>384</v>
      </c>
      <c r="B16" s="24" t="s">
        <v>10</v>
      </c>
      <c r="C16" s="24" t="s">
        <v>11</v>
      </c>
      <c r="D16" s="24" t="s">
        <v>12</v>
      </c>
      <c r="E16" s="24" t="s">
        <v>13</v>
      </c>
      <c r="F16" s="24" t="s">
        <v>14</v>
      </c>
    </row>
    <row r="17" spans="1:6" ht="15" customHeight="1" x14ac:dyDescent="0.25">
      <c r="A17" s="47" t="s">
        <v>20</v>
      </c>
      <c r="B17" s="49">
        <f>'Income Statement'!B$24</f>
        <v>4393.1339330468782</v>
      </c>
      <c r="C17" s="49">
        <f>'Income Statement'!C$24</f>
        <v>62548.006263171876</v>
      </c>
      <c r="D17" s="49">
        <f>'Income Statement'!D$24</f>
        <v>76871.749824225626</v>
      </c>
      <c r="E17" s="49">
        <f>'Income Statement'!E$24</f>
        <v>88473.982108679193</v>
      </c>
      <c r="F17" s="49">
        <f>'Income Statement'!F$24</f>
        <v>94623.165219439543</v>
      </c>
    </row>
    <row r="18" spans="1:6" ht="15" customHeight="1" x14ac:dyDescent="0.25">
      <c r="A18" s="33" t="s">
        <v>261</v>
      </c>
      <c r="B18" s="46">
        <f>'Income Statement'!B$25</f>
        <v>10999.999999999998</v>
      </c>
      <c r="C18" s="46">
        <f>'Income Statement'!C$25</f>
        <v>10999.999999999998</v>
      </c>
      <c r="D18" s="46">
        <f>'Income Statement'!D$25</f>
        <v>10999.999999999998</v>
      </c>
      <c r="E18" s="46">
        <f>'Income Statement'!E$25</f>
        <v>10999.999999999998</v>
      </c>
      <c r="F18" s="46">
        <f>'Income Statement'!F$25</f>
        <v>10999.999999999998</v>
      </c>
    </row>
    <row r="19" spans="1:6" ht="15" customHeight="1" x14ac:dyDescent="0.25">
      <c r="A19" s="33" t="s">
        <v>484</v>
      </c>
      <c r="B19" s="46">
        <f>B17-B18</f>
        <v>-6606.86606695312</v>
      </c>
      <c r="C19" s="46">
        <f>C17-C18</f>
        <v>51548.006263171876</v>
      </c>
      <c r="D19" s="46">
        <f>D17-D18</f>
        <v>65871.749824225626</v>
      </c>
      <c r="E19" s="46">
        <f>E17-E18</f>
        <v>77473.982108679193</v>
      </c>
      <c r="F19" s="46">
        <f>F17-F18</f>
        <v>83623.165219439543</v>
      </c>
    </row>
    <row r="20" spans="1:6" ht="15" customHeight="1" x14ac:dyDescent="0.25">
      <c r="A20" s="33" t="s">
        <v>485</v>
      </c>
      <c r="B20" s="46">
        <f>-MAX(B19,0)*Assumptions!$C$41</f>
        <v>0</v>
      </c>
      <c r="C20" s="46">
        <f>-MAX(C19,0)*Assumptions!$C$41</f>
        <v>-12887.001565792969</v>
      </c>
      <c r="D20" s="46">
        <f>-MAX(D19,0)*Assumptions!$C$41</f>
        <v>-16467.937456056407</v>
      </c>
      <c r="E20" s="46">
        <f>-MAX(E19,0)*Assumptions!$C$41</f>
        <v>-19368.495527169798</v>
      </c>
      <c r="F20" s="46">
        <f>-MAX(F19,0)*Assumptions!$C$41</f>
        <v>-20905.791304859886</v>
      </c>
    </row>
    <row r="21" spans="1:6" ht="15" customHeight="1" x14ac:dyDescent="0.25">
      <c r="A21" s="33" t="s">
        <v>486</v>
      </c>
      <c r="B21" s="46">
        <f>B19+B20</f>
        <v>-6606.86606695312</v>
      </c>
      <c r="C21" s="46">
        <f>C19+C20</f>
        <v>38661.004697378907</v>
      </c>
      <c r="D21" s="46">
        <f>D19+D20</f>
        <v>49403.812368169223</v>
      </c>
      <c r="E21" s="46">
        <f>E19+E20</f>
        <v>58105.486581509394</v>
      </c>
      <c r="F21" s="46">
        <f>F19+F20</f>
        <v>62717.373914579657</v>
      </c>
    </row>
    <row r="22" spans="1:6" ht="15" customHeight="1" x14ac:dyDescent="0.25">
      <c r="A22" s="33" t="s">
        <v>487</v>
      </c>
      <c r="B22" s="46">
        <f>B18</f>
        <v>10999.999999999998</v>
      </c>
      <c r="C22" s="46">
        <f>C18</f>
        <v>10999.999999999998</v>
      </c>
      <c r="D22" s="46">
        <f>D18</f>
        <v>10999.999999999998</v>
      </c>
      <c r="E22" s="46">
        <f>E18</f>
        <v>10999.999999999998</v>
      </c>
      <c r="F22" s="46">
        <f>F18</f>
        <v>10999.999999999998</v>
      </c>
    </row>
    <row r="23" spans="1:6" ht="15" customHeight="1" x14ac:dyDescent="0.25">
      <c r="A23" s="33" t="s">
        <v>488</v>
      </c>
      <c r="B23" s="46">
        <f>-'Income Statement'!B$8*$B$10</f>
        <v>-3891.5852102083336</v>
      </c>
      <c r="C23" s="46">
        <f>-'Income Statement'!C$8*$B$10</f>
        <v>-5711.3986045416668</v>
      </c>
      <c r="D23" s="46">
        <f>-'Income Statement'!D$8*$B$10</f>
        <v>-6168.3104929049987</v>
      </c>
      <c r="E23" s="46">
        <f>-'Income Statement'!E$8*$B$10</f>
        <v>-6538.409122479301</v>
      </c>
      <c r="F23" s="46">
        <f>-'Income Statement'!F$8*$B$10</f>
        <v>-6734.5613961536801</v>
      </c>
    </row>
    <row r="24" spans="1:6" ht="18.75" customHeight="1" x14ac:dyDescent="0.25">
      <c r="A24" s="47" t="s">
        <v>489</v>
      </c>
      <c r="B24" s="49">
        <f>B21+B22+B23</f>
        <v>501.54872283854456</v>
      </c>
      <c r="C24" s="49">
        <f>C21+C22+C23</f>
        <v>43949.606092837239</v>
      </c>
      <c r="D24" s="49">
        <f>D21+D22+D23</f>
        <v>54235.501875264221</v>
      </c>
      <c r="E24" s="49">
        <f>E21+E22+E23</f>
        <v>62567.077459030093</v>
      </c>
      <c r="F24" s="49">
        <f>F21+F22+F23</f>
        <v>66982.812518425984</v>
      </c>
    </row>
    <row r="25" spans="1:6" ht="15" customHeight="1" x14ac:dyDescent="0.25">
      <c r="A25" s="33" t="s">
        <v>490</v>
      </c>
      <c r="B25" s="46">
        <f>1/(1+$B$8)^1</f>
        <v>0.83333333333333337</v>
      </c>
      <c r="C25" s="46">
        <f>1/(1+$B$8)^2</f>
        <v>0.69444444444444442</v>
      </c>
      <c r="D25" s="46">
        <f>1/(1+$B$8)^3</f>
        <v>0.57870370370370372</v>
      </c>
      <c r="E25" s="46">
        <f>1/(1+$B$8)^4</f>
        <v>0.48225308641975312</v>
      </c>
      <c r="F25" s="46">
        <f>1/(1+$B$8)^5</f>
        <v>0.4018775720164609</v>
      </c>
    </row>
    <row r="26" spans="1:6" ht="15" customHeight="1" x14ac:dyDescent="0.25">
      <c r="A26" s="33" t="s">
        <v>491</v>
      </c>
      <c r="B26" s="46">
        <f>B24*B25</f>
        <v>417.95726903212051</v>
      </c>
      <c r="C26" s="46">
        <f>C24*C25</f>
        <v>30520.559786692527</v>
      </c>
      <c r="D26" s="46">
        <f>D24*D25</f>
        <v>31386.285807444572</v>
      </c>
      <c r="E26" s="46">
        <f>E24*E25</f>
        <v>30173.166212881028</v>
      </c>
      <c r="F26" s="46">
        <f>F24*F25</f>
        <v>26918.890061738839</v>
      </c>
    </row>
    <row r="28" spans="1:6" ht="15" customHeight="1" x14ac:dyDescent="0.25">
      <c r="A28" s="33" t="s">
        <v>492</v>
      </c>
      <c r="B28" s="80">
        <f>SUM(B26:F26)</f>
        <v>119416.85913778908</v>
      </c>
      <c r="C28" s="35"/>
      <c r="D28" s="35"/>
      <c r="E28" s="35"/>
      <c r="F28" s="35"/>
    </row>
    <row r="29" spans="1:6" ht="15" customHeight="1" x14ac:dyDescent="0.25">
      <c r="A29" s="33" t="s">
        <v>493</v>
      </c>
      <c r="B29" s="46">
        <f>F24*(1+$B$9)/($B$8-$B$9)</f>
        <v>379569.27093774726</v>
      </c>
      <c r="C29" s="35"/>
      <c r="D29" s="35"/>
      <c r="E29" s="35"/>
      <c r="F29" s="35"/>
    </row>
    <row r="30" spans="1:6" ht="15" customHeight="1" x14ac:dyDescent="0.25">
      <c r="A30" s="33" t="s">
        <v>494</v>
      </c>
      <c r="B30" s="46">
        <f>B29*F25</f>
        <v>152540.3770165201</v>
      </c>
      <c r="C30" s="35"/>
      <c r="D30" s="35"/>
      <c r="E30" s="35"/>
      <c r="F30" s="35"/>
    </row>
    <row r="31" spans="1:6" ht="15" customHeight="1" x14ac:dyDescent="0.25">
      <c r="A31" s="78" t="s">
        <v>495</v>
      </c>
      <c r="B31" s="79">
        <f>B28+B30</f>
        <v>271957.23615430918</v>
      </c>
    </row>
    <row r="32" spans="1:6" ht="15" customHeight="1" x14ac:dyDescent="0.25">
      <c r="A32" s="33" t="s">
        <v>496</v>
      </c>
      <c r="B32" s="50">
        <f>-('Loan schedule'!$B$6-Workings!$B$46)</f>
        <v>-38775</v>
      </c>
      <c r="C32" s="35"/>
      <c r="D32" s="35"/>
      <c r="E32" s="35"/>
      <c r="F32" s="35"/>
    </row>
    <row r="33" spans="1:7" ht="15" customHeight="1" x14ac:dyDescent="0.25">
      <c r="A33" s="32" t="s">
        <v>497</v>
      </c>
      <c r="B33" s="88">
        <f>B31+B32</f>
        <v>233182.23615430918</v>
      </c>
    </row>
    <row r="35" spans="1:7" ht="15" customHeight="1" x14ac:dyDescent="0.25">
      <c r="A35" s="150" t="s">
        <v>498</v>
      </c>
      <c r="B35" s="150"/>
      <c r="C35" s="150"/>
      <c r="D35" s="150"/>
      <c r="E35" s="150"/>
      <c r="F35" s="150"/>
      <c r="G35" s="150"/>
    </row>
    <row r="36" spans="1:7" ht="15" customHeight="1" x14ac:dyDescent="0.25">
      <c r="A36" s="24" t="s">
        <v>384</v>
      </c>
      <c r="B36" s="24" t="s">
        <v>499</v>
      </c>
      <c r="C36" s="24" t="s">
        <v>500</v>
      </c>
      <c r="D36" s="24" t="s">
        <v>501</v>
      </c>
      <c r="E36" s="24"/>
      <c r="F36" s="24"/>
    </row>
    <row r="37" spans="1:7" ht="15" customHeight="1" x14ac:dyDescent="0.25">
      <c r="A37" s="33" t="s">
        <v>502</v>
      </c>
      <c r="B37" s="50">
        <f>'Income Statement'!$F$24</f>
        <v>94623.165219439543</v>
      </c>
      <c r="C37" s="50">
        <f>'Income Statement'!$F$24</f>
        <v>94623.165219439543</v>
      </c>
      <c r="D37" s="50">
        <f>'Income Statement'!$F$24</f>
        <v>94623.165219439543</v>
      </c>
      <c r="E37" s="35"/>
      <c r="F37" s="35"/>
    </row>
    <row r="38" spans="1:7" ht="15" customHeight="1" x14ac:dyDescent="0.25">
      <c r="A38" s="33" t="s">
        <v>503</v>
      </c>
      <c r="B38" s="89">
        <f>$B$11</f>
        <v>2</v>
      </c>
      <c r="C38" s="89">
        <f>$B$12</f>
        <v>3</v>
      </c>
      <c r="D38" s="89">
        <f>$B$13</f>
        <v>4</v>
      </c>
      <c r="E38" s="35"/>
      <c r="F38" s="35"/>
    </row>
    <row r="39" spans="1:7" ht="15" customHeight="1" x14ac:dyDescent="0.25">
      <c r="A39" s="47" t="s">
        <v>504</v>
      </c>
      <c r="B39" s="49">
        <f>B37*B38</f>
        <v>189246.33043887909</v>
      </c>
      <c r="C39" s="49">
        <f>C37*C38</f>
        <v>283869.49565831863</v>
      </c>
      <c r="D39" s="49">
        <f>D37*D38</f>
        <v>378492.66087775817</v>
      </c>
      <c r="E39" s="35"/>
      <c r="F39" s="35"/>
    </row>
    <row r="40" spans="1:7" ht="15" customHeight="1" x14ac:dyDescent="0.25">
      <c r="A40" s="33" t="s">
        <v>505</v>
      </c>
      <c r="B40" s="50">
        <f>-('Loan schedule'!$F$71-'Balance Sheet'!$G$8)</f>
        <v>204884.10533238167</v>
      </c>
      <c r="C40" s="50">
        <f>-('Loan schedule'!$F$71-'Balance Sheet'!$G$8)</f>
        <v>204884.10533238167</v>
      </c>
      <c r="D40" s="50">
        <f>-('Loan schedule'!$F$71-'Balance Sheet'!$G$8)</f>
        <v>204884.10533238167</v>
      </c>
      <c r="E40" s="35"/>
      <c r="F40" s="35"/>
    </row>
    <row r="41" spans="1:7" ht="15" customHeight="1" x14ac:dyDescent="0.25">
      <c r="A41" s="32" t="s">
        <v>506</v>
      </c>
      <c r="B41" s="88">
        <f>B39+B40</f>
        <v>394130.43577126076</v>
      </c>
      <c r="C41" s="88">
        <f>C39+C40</f>
        <v>488753.6009907003</v>
      </c>
      <c r="D41" s="88">
        <f>D39+D40</f>
        <v>583376.76621013985</v>
      </c>
    </row>
    <row r="43" spans="1:7" ht="15" customHeight="1" x14ac:dyDescent="0.25">
      <c r="A43" s="150" t="s">
        <v>507</v>
      </c>
      <c r="B43" s="150"/>
      <c r="C43" s="150"/>
      <c r="D43" s="150"/>
      <c r="E43" s="150"/>
      <c r="F43" s="150"/>
      <c r="G43" s="150"/>
    </row>
    <row r="44" spans="1:7" ht="15" customHeight="1" x14ac:dyDescent="0.25">
      <c r="A44" s="33" t="s">
        <v>508</v>
      </c>
      <c r="B44" s="50">
        <f>B33</f>
        <v>233182.23615430918</v>
      </c>
      <c r="C44" s="35"/>
    </row>
    <row r="45" spans="1:7" ht="15" customHeight="1" x14ac:dyDescent="0.25">
      <c r="A45" s="33" t="s">
        <v>509</v>
      </c>
      <c r="B45" s="50">
        <f>B41</f>
        <v>394130.43577126076</v>
      </c>
      <c r="C45" s="50">
        <f>D41</f>
        <v>583376.76621013985</v>
      </c>
    </row>
    <row r="47" spans="1:7" ht="79.5" customHeight="1" x14ac:dyDescent="0.25">
      <c r="A47" s="31"/>
    </row>
    <row r="48" spans="1:7" ht="15" customHeight="1" x14ac:dyDescent="0.25"/>
    <row r="49" ht="15" customHeight="1" x14ac:dyDescent="0.25"/>
    <row r="50" ht="15" customHeight="1" x14ac:dyDescent="0.25"/>
    <row r="51" ht="15" customHeight="1" x14ac:dyDescent="0.25"/>
  </sheetData>
  <mergeCells count="7">
    <mergeCell ref="A35:G35"/>
    <mergeCell ref="A43:G43"/>
    <mergeCell ref="B2:E2"/>
    <mergeCell ref="F2:I2"/>
    <mergeCell ref="A4:G4"/>
    <mergeCell ref="A6:G6"/>
    <mergeCell ref="A15:G15"/>
  </mergeCells>
  <dataValidations count="1">
    <dataValidation type="list" sqref="C1" xr:uid="{6ED352D0-4D12-467F-8C86-656D96F49F44}">
      <formula1>"Worst,Base,Best"</formula1>
      <formula2>0</formula2>
    </dataValidation>
  </dataValidations>
  <hyperlinks>
    <hyperlink ref="G9" r:id="rId1" xr:uid="{00000000-0004-0000-1200-000002000000}"/>
    <hyperlink ref="G11" r:id="rId2" xr:uid="{00000000-0004-0000-1200-000003000000}"/>
    <hyperlink ref="G12" r:id="rId3" xr:uid="{00000000-0004-0000-1200-000004000000}"/>
    <hyperlink ref="G13" r:id="rId4" xr:uid="{00000000-0004-0000-1200-000005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 Page</vt:lpstr>
      <vt:lpstr>Summary</vt:lpstr>
      <vt:lpstr>Table of Content</vt:lpstr>
      <vt:lpstr>Dashboard</vt:lpstr>
      <vt:lpstr>Startup Costs</vt:lpstr>
      <vt:lpstr>Scenario Analysis</vt:lpstr>
      <vt:lpstr>Assumptions</vt:lpstr>
      <vt:lpstr>Seasonality Data Break down</vt:lpstr>
      <vt:lpstr>5-Year monthly</vt:lpstr>
      <vt:lpstr>Pivot Table</vt:lpstr>
      <vt:lpstr>monthly model engine</vt:lpstr>
      <vt:lpstr>Loan schedule</vt:lpstr>
      <vt:lpstr>Income Statement</vt:lpstr>
      <vt:lpstr>Cashflow statement</vt:lpstr>
      <vt:lpstr>Balance Sheet</vt:lpstr>
      <vt:lpstr>pivot Summary</vt:lpstr>
      <vt:lpstr>Break-Even</vt:lpstr>
      <vt:lpstr>Data</vt:lpstr>
      <vt:lpstr>Workings</vt:lpstr>
      <vt:lpstr>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Hauwa Muhammed</cp:lastModifiedBy>
  <cp:revision>37</cp:revision>
  <dcterms:created xsi:type="dcterms:W3CDTF">2026-07-10T23:33:10Z</dcterms:created>
  <dcterms:modified xsi:type="dcterms:W3CDTF">2026-07-29T23:53:10Z</dcterms:modified>
  <dc:language>en-US</dc:language>
</cp:coreProperties>
</file>