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2615" documentId="11_924805B546FA86936262E6F9983E8C1851038381" xr6:coauthVersionLast="47" xr6:coauthVersionMax="47" xr10:uidLastSave="{AC1CE5B4-4717-4998-91D8-44B6DC80026B}"/>
  <bookViews>
    <workbookView xWindow="240" yWindow="105" windowWidth="14805" windowHeight="801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1" l="1"/>
  <c r="AG68" i="1"/>
  <c r="AG67" i="1"/>
  <c r="AG66" i="1"/>
  <c r="AG65" i="1"/>
  <c r="AG63" i="1"/>
  <c r="AG62" i="1"/>
  <c r="AG61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AG58" i="1"/>
  <c r="Q59" i="1"/>
  <c r="K59" i="1"/>
  <c r="L59" i="1"/>
  <c r="AG56" i="1"/>
  <c r="AG55" i="1"/>
  <c r="AG54" i="1"/>
  <c r="AG53" i="1"/>
  <c r="AG51" i="1"/>
  <c r="AG50" i="1"/>
  <c r="AG49" i="1"/>
  <c r="AG25" i="1"/>
  <c r="AG33" i="1"/>
  <c r="AG18" i="1"/>
  <c r="AG10" i="1"/>
  <c r="AG13" i="1"/>
  <c r="AG11" i="1"/>
  <c r="AG39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47" i="1"/>
  <c r="AG38" i="1"/>
  <c r="AG46" i="1"/>
  <c r="AG36" i="1"/>
  <c r="AG35" i="1"/>
  <c r="AG32" i="1"/>
  <c r="AG45" i="1"/>
  <c r="AG31" i="1"/>
  <c r="AG44" i="1"/>
  <c r="AG24" i="1"/>
  <c r="AG41" i="1"/>
  <c r="AG3" i="1"/>
  <c r="AG8" i="1"/>
  <c r="AG57" i="1"/>
  <c r="AG9" i="1"/>
  <c r="AG22" i="1"/>
  <c r="AG43" i="1"/>
  <c r="AG42" i="1"/>
  <c r="AG28" i="1"/>
  <c r="AG4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Q39" i="1"/>
  <c r="L39" i="1"/>
  <c r="K39" i="1"/>
  <c r="AD13" i="1"/>
  <c r="AR3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<sst xmlns="http://schemas.openxmlformats.org/spreadsheetml/2006/main" count="545" uniqueCount="232">
  <si>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</si>
  <si>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</si>
  <si>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</si>
  <si>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</si>
  <si>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</si>
  <si>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</si>
  <si>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</si>
  <si>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</si>
  <si>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</si>
  <si>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</si>
  <si>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</si>
  <si>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</si>
  <si>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</si>
  <si>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</si>
  <si>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</si>
  <si>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</si>
  <si>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</si>
  <si>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</si>
  <si>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</si>
  <si>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</si>
  <si>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</si>
  <si>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</si>
  <si>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</si>
  <si>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</si>
  <si>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</si>
  <si>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</si>
  <si>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</si>
  <si>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</si>
  <si>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</si>
  <si>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</si>
  <si>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</si>
  <si>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</t>
  </si>
  <si>
    <t>time_to_exhaustion</t>
  </si>
  <si>
    <t>velocity_end</t>
  </si>
  <si>
    <t>elevation_end</t>
  </si>
  <si>
    <t>borg_end</t>
  </si>
  <si>
    <t>hf_max</t>
  </si>
  <si>
    <t>rer_max</t>
  </si>
  <si>
    <t>ve_max</t>
  </si>
  <si>
    <t>lac</t>
  </si>
  <si>
    <t>arbec_velocity</t>
  </si>
  <si>
    <t>arbec_mean_o2</t>
  </si>
  <si>
    <t>arbec_mean_o2x0.75</t>
  </si>
  <si>
    <t>arbec_pros_o2max</t>
  </si>
  <si>
    <t>arbec_mean_vo2_l_min</t>
  </si>
  <si>
    <t>vco2_ml_min</t>
  </si>
  <si>
    <t>arbec_mean_ve_l_min</t>
  </si>
  <si>
    <t>arbec_mean_RER</t>
  </si>
  <si>
    <t>arbec_mean_BF</t>
  </si>
  <si>
    <t>arbec_mean_HF</t>
  </si>
  <si>
    <t>total_mass</t>
  </si>
  <si>
    <t>lean_mass</t>
  </si>
  <si>
    <t>fat_mass</t>
  </si>
  <si>
    <t>fat_mass_upper</t>
  </si>
  <si>
    <t>bone_density</t>
  </si>
  <si>
    <t>vat_mass</t>
  </si>
  <si>
    <t>vat_volume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</si>
  <si>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</si>
  <si>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</si>
  <si>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</si>
  <si>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</si>
  <si>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</si>
  <si>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</si>
  <si>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</si>
  <si>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</si>
  <si>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</si>
  <si>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</si>
  <si>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</si>
  <si>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</si>
  <si>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</si>
  <si>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</si>
  <si>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</si>
  <si>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</si>
  <si>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</si>
  <si>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</si>
  <si>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</si>
  <si>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</si>
  <si>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</si>
  <si>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</si>
  <si>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</si>
  <si>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</si>
  <si>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</si>
  <si>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</si>
  <si>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</si>
  <si>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</si>
  <si>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</si>
  <si>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</si>
  <si>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</si>
  <si>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</si>
  <si>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</si>
  <si>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</si>
  <si>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</si>
  <si>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</si>
  <si>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</si>
  <si>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</si>
  <si>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</si>
  <si>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</si>
  <si>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</si>
  <si>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</si>
  <si>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</si>
  <si>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</si>
  <si>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</si>
  <si>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</si>
  <si>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</si>
  <si>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</si>
  <si>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</si>
  <si>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</si>
  <si>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</si>
  <si>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</si>
  <si>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</si>
  <si>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</si>
  <si>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</si>
  <si>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</si>
  <si>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</si>
  <si>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</si>
  <si>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</si>
  <si>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</si>
  <si>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</si>
  <si>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</si>
  <si>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</si>
  <si>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</si>
  <si>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</si>
  <si>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</si>
  <si>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</si>
  <si>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</si>
  <si>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</si>
  <si>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</si>
  <si>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</si>
  <si>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</si>
  <si>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</si>
  <si>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</si>
  <si>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</si>
  <si>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</si>
  <si>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</si>
  <si>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</si>
  <si>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</si>
  <si>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</si>
  <si>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</si>
  <si>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</si>
  <si>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</si>
  <si>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</si>
  <si>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</si>
  <si>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</si>
  <si>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</si>
  <si>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</si>
  <si>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</si>
  <si>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</si>
  <si>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</si>
  <si>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</si>
  <si>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</si>
  <si>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</si>
  <si>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</si>
  <si>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</si>
  <si>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</si>
  <si>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</si>
  <si>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</si>
  <si>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</si>
  <si>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</si>
  <si>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</si>
  <si>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</si>
  <si>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</si>
  <si>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</si>
  <si>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</si>
  <si>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</si>
  <si>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glucose</t>
  </si>
  <si>
    <t>triglycerides</t>
  </si>
  <si>
    <t>ldl</t>
  </si>
  <si>
    <t>hdl</t>
  </si>
  <si>
    <t>total_chol</t>
  </si>
  <si>
    <t>tr031 003</t>
  </si>
  <si>
    <t>fls</t>
  </si>
  <si>
    <t>pre</t>
  </si>
  <si>
    <t>ja</t>
  </si>
  <si>
    <t>V02maks/Maxpuls</t>
  </si>
  <si>
    <t>tr031 002</t>
  </si>
  <si>
    <t>nei</t>
  </si>
  <si>
    <t xml:space="preserve">tr031 005 </t>
  </si>
  <si>
    <t>NA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</si>
  <si>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</si>
  <si>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</si>
  <si>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</si>
  <si>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</si>
  <si>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</si>
  <si>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</si>
  <si>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</si>
  <si>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</si>
  <si>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</si>
  <si>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</si>
  <si>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</si>
  <si>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</si>
  <si>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</si>
  <si>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</si>
  <si>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</si>
  <si>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</si>
  <si>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</si>
  <si>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</si>
  <si>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</si>
  <si>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</si>
  <si>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</si>
  <si>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</si>
  <si>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</si>
  <si>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</si>
  <si>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</si>
  <si>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</si>
  <si>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</si>
  <si>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</si>
  <si>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</si>
  <si>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</si>
  <si>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</si>
  <si>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</si>
  <si>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</si>
  <si>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</si>
  <si>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</si>
  <si>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</si>
  <si>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</si>
  <si>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</si>
  <si>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finn ut</t>
  </si>
  <si>
    <t xml:space="preserve">*ikke dobbeltsjekka verdier herfra og ned </t>
  </si>
  <si>
    <t>*ikke dobbeltsjekka fra pc PWV herifra og ned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</si>
  <si>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</si>
  <si>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</si>
  <si>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</si>
  <si>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</si>
  <si>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</si>
  <si>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</si>
  <si>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</si>
  <si>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</t>
  </si>
  <si>
    <t>handgrip: velge det høyeste resultatet</t>
  </si>
  <si>
    <t>blodtrykk: snittet av de to nærmeste på systolisk</t>
  </si>
  <si>
    <t>livvidde (wc): snittet av de to nærmeste målingene</t>
  </si>
  <si>
    <t xml:space="preserve">blodprøver: glukose, triglyserider, ldl, hdl, totalkolesterol </t>
  </si>
  <si>
    <t>sex: kvinne = 1, mann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</si>
</sst>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2" fontId="0" fillId="0" borderId="0" xfId="0" applyNumberFormat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Border="1" applyAlignment="1"/>
    <xf numFmtId="164" fontId="0" fillId="0" borderId="0" xfId="0" applyNumberFormat="1" applyFont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77"/>
  <sheetViews>
    <sheetView tabSelected="1" workbookViewId="0">
      <pane xSplit="1" topLeftCell="AU13" activePane="topRight" state="frozen"/>
      <selection pane="topRight" activeCell="AY24" sqref="AY24"/>
    </sheetView>
  </sheetViews>
  <sheetFormatPr defaultRowHeight="15"/>
  <cols>
    <col min="1" max="1" width="12.140625" bestFit="1" customWidth="1"/>
    <col min="4" max="4" width="7.42578125" customWidth="1"/>
    <col min="5" max="6" width="10.42578125" customWidth="1"/>
    <col min="10" max="11" width="8.140625" customWidth="1"/>
    <col min="12" max="12" width="6.85546875" customWidth="1"/>
    <col min="21" max="22" width="17.85546875" customWidth="1"/>
    <col min="23" max="23" width="22.5703125" bestFit="1" customWidth="1"/>
    <col min="24" max="24" width="21.28515625" bestFit="1" customWidth="1"/>
    <col min="25" max="25" width="15.85546875" bestFit="1" customWidth="1"/>
    <col min="26" max="28" width="22.7109375" customWidth="1"/>
    <col min="29" max="29" width="24.42578125" customWidth="1"/>
    <col min="30" max="30" width="24.7109375" customWidth="1"/>
    <col min="31" max="33" width="23.7109375" customWidth="1"/>
    <col min="34" max="34" width="13.5703125" customWidth="1"/>
    <col min="35" max="35" width="15.5703125" customWidth="1"/>
    <col min="40" max="40" width="10.7109375" customWidth="1"/>
    <col min="41" max="41" width="14" bestFit="1" customWidth="1"/>
    <col min="42" max="42" width="15.42578125" bestFit="1" customWidth="1"/>
    <col min="43" max="43" width="20.28515625" bestFit="1" customWidth="1"/>
    <col min="44" max="44" width="18.140625" bestFit="1" customWidth="1"/>
    <col min="45" max="45" width="23.140625" bestFit="1" customWidth="1"/>
    <col min="46" max="46" width="14.7109375" bestFit="1" customWidth="1"/>
    <col min="47" max="47" width="23.140625" bestFit="1" customWidth="1"/>
    <col min="48" max="48" width="15.7109375" bestFit="1" customWidth="1"/>
    <col min="49" max="49" width="15.7109375" customWidth="1"/>
    <col min="50" max="50" width="15" bestFit="1" customWidth="1"/>
    <col min="51" max="51" width="15" customWidth="1"/>
    <col min="52" max="52" width="13.7109375" bestFit="1" customWidth="1"/>
    <col min="53" max="53" width="14" customWidth="1"/>
    <col min="54" max="54" width="15.42578125" bestFit="1" customWidth="1"/>
    <col min="55" max="55" width="13" bestFit="1" customWidth="1"/>
    <col min="56" max="56" width="11.42578125" bestFit="1" customWidth="1"/>
    <col min="57" max="57" width="11.140625" customWidth="1"/>
    <col min="64" max="64" width="12.42578125" bestFit="1" customWidth="1"/>
    <col min="65" max="65" width="10.85546875" bestFit="1" customWidth="1"/>
    <col min="68" max="68" width="11.140625" bestFit="1" customWidth="1"/>
    <col min="69" max="69" width="10.5703125" bestFit="1" customWidth="1"/>
    <col min="70" max="70" width="10.140625" bestFit="1" customWidth="1"/>
    <col min="71" max="71" width="15.7109375" bestFit="1" customWidth="1"/>
    <col min="73" max="73" width="14.42578125" bestFit="1" customWidth="1"/>
    <col min="74" max="74" width="15.7109375" bestFit="1" customWidth="1"/>
    <col min="77" max="77" width="11" bestFit="1" customWidth="1"/>
    <col min="78" max="78" width="20" bestFit="1" customWidth="1"/>
    <col min="84" max="84" width="10.85546875" bestFit="1" customWidth="1"/>
    <col min="89" max="89" width="13.85546875" bestFit="1" customWidth="1"/>
    <col min="90" max="90" width="9.85546875" bestFit="1" customWidth="1"/>
    <col min="91" max="91" width="12.28515625" bestFit="1" customWidth="1"/>
    <col min="92" max="92" width="19" bestFit="1" customWidth="1"/>
    <col min="93" max="93" width="13.42578125" bestFit="1" customWidth="1"/>
    <col min="94" max="94" width="15.42578125" bestFit="1" customWidth="1"/>
    <col min="99" max="99" width="12.28515625" bestFit="1" customWidth="1"/>
    <col min="101" max="101" width="10.85546875" bestFit="1" customWidth="1"/>
    <col min="104" max="104" width="11.5703125" customWidth="1"/>
    <col min="106" max="106" width="17.85546875" bestFit="1" customWidth="1"/>
    <col min="107" max="107" width="20.28515625" bestFit="1" customWidth="1"/>
    <col min="108" max="108" width="13.7109375" bestFit="1" customWidth="1"/>
    <col min="109" max="109" width="17.85546875" bestFit="1" customWidth="1"/>
    <col min="110" max="110" width="20.28515625" bestFit="1" customWidth="1"/>
    <col min="111" max="111" width="13.7109375" bestFit="1" customWidth="1"/>
    <col min="112" max="112" width="21.140625" bestFit="1" customWidth="1"/>
    <col min="113" max="113" width="23.7109375" bestFit="1" customWidth="1"/>
    <col min="114" max="114" width="17" bestFit="1" customWidth="1"/>
    <col min="115" max="115" width="18.85546875" bestFit="1" customWidth="1"/>
    <col min="116" max="116" width="21.28515625" bestFit="1" customWidth="1"/>
    <col min="117" max="117" width="14.7109375" bestFit="1" customWidth="1"/>
    <col min="118" max="118" width="17.85546875" bestFit="1" customWidth="1"/>
    <col min="119" max="119" width="20.28515625" bestFit="1" customWidth="1"/>
    <col min="120" max="120" width="13.85546875" bestFit="1" customWidth="1"/>
    <col min="121" max="121" width="22.85546875" bestFit="1" customWidth="1"/>
    <col min="122" max="122" width="25.28515625" bestFit="1" customWidth="1"/>
    <col min="123" max="123" width="18.7109375" bestFit="1" customWidth="1"/>
    <col min="124" max="124" width="22.5703125" bestFit="1" customWidth="1"/>
    <col min="125" max="125" width="25" bestFit="1" customWidth="1"/>
    <col min="126" max="126" width="18.5703125" bestFit="1" customWidth="1"/>
    <col min="127" max="127" width="16" bestFit="1" customWidth="1"/>
    <col min="128" max="128" width="18.5703125" bestFit="1" customWidth="1"/>
    <col min="129" max="129" width="12" bestFit="1" customWidth="1"/>
    <col min="130" max="130" width="17.7109375" bestFit="1" customWidth="1"/>
    <col min="131" max="131" width="20.140625" bestFit="1" customWidth="1"/>
    <col min="132" max="132" width="13.5703125" bestFit="1" customWidth="1"/>
    <col min="133" max="133" width="16.85546875" bestFit="1" customWidth="1"/>
    <col min="134" max="134" width="19.42578125" bestFit="1" customWidth="1"/>
    <col min="135" max="135" width="12.7109375" bestFit="1" customWidth="1"/>
    <col min="138" max="138" width="4.85546875" bestFit="1" customWidth="1"/>
    <col min="141" max="141" width="10" bestFit="1" customWidth="1"/>
    <col min="146" max="146" width="13" bestFit="1" customWidth="1"/>
    <col min="149" max="149" width="9.85546875" customWidth="1"/>
    <col min="150" max="150" width="14" bestFit="1" customWidth="1"/>
    <col min="153" max="153" width="15.28515625" bestFit="1" customWidth="1"/>
    <col min="154" max="154" width="9.85546875" bestFit="1" customWidth="1"/>
    <col min="155" max="155" width="11.140625" bestFit="1" customWidth="1"/>
    <col min="159" max="159" width="13.42578125" bestFit="1" customWidth="1"/>
    <col min="160" max="160" width="11.5703125" bestFit="1" customWidth="1"/>
    <col min="161" max="161" width="10.5703125" bestFit="1" customWidth="1"/>
    <col min="162" max="162" width="12.5703125" bestFit="1" customWidth="1"/>
    <col min="163" max="163" width="12.7109375" bestFit="1" customWidth="1"/>
    <col min="164" max="164" width="13.7109375" bestFit="1" customWidth="1"/>
    <col min="166" max="166" width="11.85546875" bestFit="1" customWidth="1"/>
    <col min="169" max="169" width="10" bestFit="1" customWidth="1"/>
  </cols>
  <sheetData>
    <row r="1" spans="1:1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9" t="s">
        <v>44</v>
      </c>
      <c r="AT1" t="s">
        <v>45</v>
      </c>
      <c r="AU1" s="8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s="2" t="s">
        <v>105</v>
      </c>
      <c r="DC1" t="s">
        <v>106</v>
      </c>
      <c r="DD1" t="s">
        <v>107</v>
      </c>
      <c r="DE1" s="2" t="s">
        <v>108</v>
      </c>
      <c r="DF1" t="s">
        <v>109</v>
      </c>
      <c r="DG1" t="s">
        <v>110</v>
      </c>
      <c r="DH1" s="2" t="s">
        <v>111</v>
      </c>
      <c r="DI1" t="s">
        <v>112</v>
      </c>
      <c r="DJ1" t="s">
        <v>113</v>
      </c>
      <c r="DK1" s="2" t="s">
        <v>114</v>
      </c>
      <c r="DL1" t="s">
        <v>115</v>
      </c>
      <c r="DM1" t="s">
        <v>116</v>
      </c>
      <c r="DN1" s="2" t="s">
        <v>117</v>
      </c>
      <c r="DO1" t="s">
        <v>118</v>
      </c>
      <c r="DP1" t="s">
        <v>119</v>
      </c>
      <c r="DQ1" s="2" t="s">
        <v>120</v>
      </c>
      <c r="DR1" t="s">
        <v>121</v>
      </c>
      <c r="DS1" t="s">
        <v>122</v>
      </c>
      <c r="DT1" s="2" t="s">
        <v>123</v>
      </c>
      <c r="DU1" t="s">
        <v>124</v>
      </c>
      <c r="DV1" t="s">
        <v>125</v>
      </c>
      <c r="DW1" s="2" t="s">
        <v>126</v>
      </c>
      <c r="DX1" t="s">
        <v>127</v>
      </c>
      <c r="DY1" t="s">
        <v>128</v>
      </c>
      <c r="DZ1" s="2" t="s">
        <v>129</v>
      </c>
      <c r="EA1" t="s">
        <v>130</v>
      </c>
      <c r="EB1" t="s">
        <v>131</v>
      </c>
      <c r="EC1" s="2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</row>
    <row r="2" spans="1:169">
      <c r="A2" s="3" t="s">
        <v>169</v>
      </c>
      <c r="B2" t="s">
        <v>170</v>
      </c>
      <c r="C2" t="s">
        <v>171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172</v>
      </c>
      <c r="U2" s="4">
        <v>20</v>
      </c>
      <c r="V2" s="4">
        <v>23</v>
      </c>
      <c r="W2" s="4">
        <v>6.8</v>
      </c>
      <c r="X2" s="4">
        <v>0</v>
      </c>
      <c r="Z2" s="4">
        <v>2587</v>
      </c>
      <c r="AA2" s="4">
        <v>2632.0833333333335</v>
      </c>
      <c r="AB2" s="4">
        <v>2653.6666666666665</v>
      </c>
      <c r="AC2" s="4">
        <v>34.35</v>
      </c>
      <c r="AD2" s="4">
        <f>AA2/N2</f>
        <v>34.954625940681723</v>
      </c>
      <c r="AE2" s="4">
        <f>AB2/N2</f>
        <v>35.241257193448426</v>
      </c>
      <c r="AF2" s="4" t="s">
        <v>173</v>
      </c>
      <c r="AG2" s="4">
        <f>12*60+40</f>
        <v>760</v>
      </c>
      <c r="AH2">
        <v>5.3</v>
      </c>
      <c r="AI2">
        <v>20</v>
      </c>
      <c r="AJ2">
        <v>20</v>
      </c>
      <c r="AK2">
        <v>190</v>
      </c>
      <c r="AL2" s="1">
        <v>1.17</v>
      </c>
      <c r="AM2" s="5">
        <v>108</v>
      </c>
      <c r="AN2" s="1">
        <v>10.47</v>
      </c>
      <c r="AO2" s="4">
        <v>3.5</v>
      </c>
      <c r="AP2" s="1">
        <f>AS2/N2*1</f>
        <v>16.688977423638779</v>
      </c>
      <c r="AQ2" s="1">
        <f>AS2/N2*0.75</f>
        <v>12.516733067729085</v>
      </c>
      <c r="AR2" s="1">
        <f>AS2/AA2*100</f>
        <v>47.744688934620868</v>
      </c>
      <c r="AS2" s="1">
        <v>1256.68</v>
      </c>
      <c r="AT2" s="1">
        <v>979.28</v>
      </c>
      <c r="AU2" s="1">
        <v>36.24</v>
      </c>
      <c r="AV2" s="1">
        <v>0.78120000000000001</v>
      </c>
      <c r="AW2" s="1">
        <v>27.224</v>
      </c>
      <c r="AY2" s="15">
        <v>75387.318530000004</v>
      </c>
      <c r="AZ2" s="14">
        <v>45306.021549999998</v>
      </c>
      <c r="BA2" s="14">
        <v>27331.706150000002</v>
      </c>
      <c r="BB2" s="14">
        <v>13500.91029</v>
      </c>
      <c r="BD2" s="13"/>
      <c r="BE2" s="13"/>
      <c r="BF2">
        <v>124</v>
      </c>
      <c r="BG2">
        <v>28</v>
      </c>
      <c r="BH2">
        <v>6</v>
      </c>
      <c r="BI2">
        <v>23</v>
      </c>
      <c r="BJ2">
        <v>22</v>
      </c>
      <c r="BK2" s="4">
        <v>6.3</v>
      </c>
      <c r="BL2">
        <v>190</v>
      </c>
      <c r="BM2">
        <v>1244</v>
      </c>
      <c r="BN2">
        <v>409</v>
      </c>
      <c r="BO2">
        <v>891</v>
      </c>
      <c r="BP2">
        <v>436</v>
      </c>
      <c r="BQ2">
        <v>926</v>
      </c>
    </row>
    <row r="3" spans="1:169">
      <c r="A3" t="s">
        <v>174</v>
      </c>
      <c r="B3" t="s">
        <v>170</v>
      </c>
      <c r="C3" t="s">
        <v>171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0">AVERAGE(G3,I3)</f>
        <v>145</v>
      </c>
      <c r="L3" s="5">
        <f t="shared" ref="L3:L38" si="1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2">AVERAGE(O3,P3)</f>
        <v>105.6</v>
      </c>
      <c r="R3">
        <v>40</v>
      </c>
      <c r="S3">
        <v>42.8</v>
      </c>
      <c r="T3" s="7" t="s">
        <v>175</v>
      </c>
      <c r="U3" s="4">
        <v>-14</v>
      </c>
      <c r="V3" s="4">
        <v>-11.5</v>
      </c>
      <c r="W3" s="4">
        <v>6</v>
      </c>
      <c r="X3" s="4">
        <v>-10.4</v>
      </c>
      <c r="Z3" s="4">
        <v>2937.5</v>
      </c>
      <c r="AA3" s="4">
        <v>2962.4166666666665</v>
      </c>
      <c r="AB3" s="4">
        <v>3017.6666666666665</v>
      </c>
      <c r="AC3" s="4">
        <v>34.200000000000003</v>
      </c>
      <c r="AD3" s="4">
        <f>AA3/N3</f>
        <v>34.486806363989132</v>
      </c>
      <c r="AE3" s="4">
        <f t="shared" ref="AE3:AE39" si="3">AB3/N3</f>
        <v>35.129996119518815</v>
      </c>
      <c r="AF3" s="4"/>
      <c r="AG3" s="4">
        <f>12.5*60+5</f>
        <v>755</v>
      </c>
      <c r="AH3">
        <v>5.3</v>
      </c>
      <c r="AI3">
        <v>20</v>
      </c>
      <c r="AJ3">
        <v>19</v>
      </c>
      <c r="AK3">
        <v>198</v>
      </c>
      <c r="AL3" s="1">
        <v>1.23</v>
      </c>
      <c r="AM3" s="5">
        <v>151</v>
      </c>
      <c r="AN3" s="1">
        <v>13.74</v>
      </c>
      <c r="AO3" s="4">
        <v>3.5</v>
      </c>
      <c r="AP3" s="1">
        <f t="shared" ref="AP3:AP39" si="4">AS3/N3*1</f>
        <v>15.712689173457507</v>
      </c>
      <c r="AQ3" s="1">
        <f t="shared" ref="AQ3:AQ39" si="5">AS3/N3*0.75</f>
        <v>11.784516880093131</v>
      </c>
      <c r="AR3" s="1">
        <f t="shared" ref="AR3:AR38" si="6">AS3/AA3*100</f>
        <v>45.561450392416106</v>
      </c>
      <c r="AS3" s="1">
        <v>1349.72</v>
      </c>
      <c r="AT3" s="1">
        <v>1128.56</v>
      </c>
      <c r="AU3" s="1">
        <v>39.08</v>
      </c>
      <c r="AV3" s="1">
        <v>0.8368000000000001</v>
      </c>
      <c r="AW3" s="1">
        <v>23.791999999999998</v>
      </c>
      <c r="AY3" s="15">
        <v>86097.775930000003</v>
      </c>
      <c r="AZ3" s="14">
        <v>50044.61679</v>
      </c>
      <c r="BA3" s="14">
        <v>33277.395729999997</v>
      </c>
      <c r="BB3" s="14">
        <v>20969.419829999999</v>
      </c>
      <c r="BD3" s="13"/>
      <c r="BE3" s="13"/>
      <c r="BF3">
        <v>127</v>
      </c>
      <c r="BG3">
        <v>28</v>
      </c>
      <c r="BH3">
        <v>5</v>
      </c>
      <c r="BI3">
        <v>17</v>
      </c>
      <c r="BJ3">
        <v>22</v>
      </c>
      <c r="BK3" s="4">
        <v>8.1</v>
      </c>
      <c r="BL3">
        <v>215</v>
      </c>
      <c r="BM3">
        <v>797</v>
      </c>
      <c r="BN3">
        <v>481</v>
      </c>
      <c r="BO3">
        <v>1156</v>
      </c>
      <c r="BP3">
        <v>478</v>
      </c>
      <c r="BQ3">
        <v>1137</v>
      </c>
    </row>
    <row r="4" spans="1:169">
      <c r="A4" t="s">
        <v>176</v>
      </c>
      <c r="B4" t="s">
        <v>170</v>
      </c>
      <c r="C4" t="s">
        <v>171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0"/>
        <v>153.5</v>
      </c>
      <c r="L4" s="5">
        <f t="shared" si="1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2"/>
        <v>106</v>
      </c>
      <c r="R4" s="5">
        <v>25</v>
      </c>
      <c r="S4">
        <v>13.5</v>
      </c>
      <c r="T4" s="7" t="s">
        <v>175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1901.0833333333333</v>
      </c>
      <c r="AB4" s="4">
        <v>1914.8333333333333</v>
      </c>
      <c r="AC4" s="4">
        <v>22.2</v>
      </c>
      <c r="AD4" s="4">
        <f>AA4/N4</f>
        <v>22.028775589030513</v>
      </c>
      <c r="AE4" s="4">
        <f t="shared" si="3"/>
        <v>22.188103514870605</v>
      </c>
      <c r="AF4" s="4"/>
      <c r="AG4" s="4">
        <v>600</v>
      </c>
      <c r="AH4">
        <v>3.8</v>
      </c>
      <c r="AI4">
        <v>16</v>
      </c>
      <c r="AJ4">
        <v>18</v>
      </c>
      <c r="AK4">
        <v>163</v>
      </c>
      <c r="AL4" s="1">
        <v>1.0900000000000001</v>
      </c>
      <c r="AM4" s="5">
        <v>70</v>
      </c>
      <c r="AN4" s="1">
        <v>6.3</v>
      </c>
      <c r="AO4" s="4">
        <v>3</v>
      </c>
      <c r="AP4" s="1">
        <f t="shared" si="4"/>
        <v>13.810892236384706</v>
      </c>
      <c r="AQ4" s="1">
        <f t="shared" si="5"/>
        <v>10.358169177288531</v>
      </c>
      <c r="AR4" s="1">
        <f t="shared" si="6"/>
        <v>62.694779292508663</v>
      </c>
      <c r="AS4" s="1">
        <v>1191.8800000000001</v>
      </c>
      <c r="AT4" s="1">
        <v>918.52</v>
      </c>
      <c r="AU4" s="1">
        <v>35.76</v>
      </c>
      <c r="AV4" s="1">
        <v>0.77159999999999984</v>
      </c>
      <c r="AW4" s="1">
        <v>22.932000000000006</v>
      </c>
      <c r="AY4" s="15">
        <v>85628.58</v>
      </c>
      <c r="AZ4" s="14">
        <v>47925.074289999997</v>
      </c>
      <c r="BA4" s="14">
        <v>35358.288919999999</v>
      </c>
      <c r="BB4" s="14">
        <v>22984.148710000001</v>
      </c>
      <c r="BD4" s="13"/>
      <c r="BE4" s="13"/>
      <c r="BF4">
        <v>118</v>
      </c>
      <c r="BG4">
        <v>38</v>
      </c>
      <c r="BH4">
        <v>8</v>
      </c>
      <c r="BI4">
        <v>21</v>
      </c>
      <c r="BJ4">
        <v>19</v>
      </c>
      <c r="BK4" s="6">
        <v>11.4</v>
      </c>
      <c r="BL4" s="7">
        <v>190</v>
      </c>
      <c r="BM4" s="7" t="s">
        <v>177</v>
      </c>
      <c r="BN4">
        <v>172</v>
      </c>
      <c r="BO4">
        <v>838</v>
      </c>
      <c r="BP4">
        <v>184</v>
      </c>
      <c r="BQ4">
        <v>860</v>
      </c>
    </row>
    <row r="5" spans="1:169">
      <c r="A5" t="s">
        <v>178</v>
      </c>
      <c r="B5" t="s">
        <v>179</v>
      </c>
      <c r="C5" t="s">
        <v>171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0"/>
        <v>164.5</v>
      </c>
      <c r="L5" s="5">
        <f t="shared" si="1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2"/>
        <v>121</v>
      </c>
      <c r="R5" s="5">
        <v>21</v>
      </c>
      <c r="S5">
        <v>5.8</v>
      </c>
      <c r="T5" s="7" t="s">
        <v>175</v>
      </c>
      <c r="U5" s="4">
        <v>3</v>
      </c>
      <c r="V5" s="4">
        <v>3</v>
      </c>
      <c r="W5" s="4">
        <v>-35</v>
      </c>
      <c r="X5" s="4">
        <v>-34</v>
      </c>
      <c r="Z5" s="4">
        <v>2004</v>
      </c>
      <c r="AA5" s="4">
        <v>2005</v>
      </c>
      <c r="AB5" s="4">
        <v>2037.5</v>
      </c>
      <c r="AC5" s="4">
        <v>19.600000000000001</v>
      </c>
      <c r="AD5" s="4">
        <f>AA5/N5</f>
        <v>19.61839530332681</v>
      </c>
      <c r="AE5" s="4">
        <f t="shared" si="3"/>
        <v>19.936399217221133</v>
      </c>
      <c r="AF5" s="4"/>
      <c r="AG5" s="4">
        <f>8.5*60</f>
        <v>510</v>
      </c>
      <c r="AH5">
        <v>3.8</v>
      </c>
      <c r="AI5">
        <v>14</v>
      </c>
      <c r="AJ5">
        <v>17</v>
      </c>
      <c r="AK5">
        <v>163</v>
      </c>
      <c r="AL5" s="1">
        <v>0.98</v>
      </c>
      <c r="AM5" s="5">
        <v>59</v>
      </c>
      <c r="AN5" s="1">
        <v>5.38</v>
      </c>
      <c r="AO5" s="4">
        <v>3</v>
      </c>
      <c r="AP5" s="1">
        <f t="shared" si="4"/>
        <v>13.991389432485324</v>
      </c>
      <c r="AQ5" s="1">
        <f t="shared" si="5"/>
        <v>10.493542074363994</v>
      </c>
      <c r="AR5" s="1">
        <f t="shared" si="6"/>
        <v>71.317705735660851</v>
      </c>
      <c r="AS5" s="1">
        <v>1429.92</v>
      </c>
      <c r="AT5" s="1">
        <v>1100.24</v>
      </c>
      <c r="AU5" s="1">
        <v>37.36</v>
      </c>
      <c r="AV5" s="1">
        <v>0.76919999999999988</v>
      </c>
      <c r="AW5" s="1">
        <v>23.48</v>
      </c>
      <c r="AY5" s="15">
        <v>100311.59</v>
      </c>
      <c r="AZ5" s="14">
        <v>46882.907229999997</v>
      </c>
      <c r="BA5" s="16">
        <v>51204.995320000002</v>
      </c>
      <c r="BB5" s="14">
        <v>34117.10671</v>
      </c>
      <c r="BD5" s="13"/>
      <c r="BE5" s="13"/>
      <c r="BF5">
        <v>131</v>
      </c>
      <c r="BG5">
        <v>44</v>
      </c>
      <c r="BH5">
        <v>12</v>
      </c>
      <c r="BI5">
        <v>27</v>
      </c>
      <c r="BJ5">
        <v>18</v>
      </c>
      <c r="BK5" s="6">
        <v>12.2</v>
      </c>
      <c r="BL5" s="7">
        <v>200</v>
      </c>
      <c r="BM5" s="7">
        <v>528</v>
      </c>
      <c r="BN5">
        <v>269</v>
      </c>
      <c r="BO5">
        <v>1091</v>
      </c>
      <c r="BP5">
        <v>318</v>
      </c>
      <c r="BQ5">
        <v>1237</v>
      </c>
    </row>
    <row r="6" spans="1:169">
      <c r="A6" t="s">
        <v>180</v>
      </c>
      <c r="B6" t="s">
        <v>179</v>
      </c>
      <c r="C6" t="s">
        <v>171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0"/>
        <v>128</v>
      </c>
      <c r="L6">
        <f t="shared" si="1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2"/>
        <v>91.5</v>
      </c>
      <c r="R6" s="5">
        <v>27</v>
      </c>
      <c r="S6">
        <v>73.5</v>
      </c>
      <c r="T6" s="7" t="s">
        <v>172</v>
      </c>
      <c r="U6" s="4">
        <v>12.5</v>
      </c>
      <c r="V6" s="4">
        <v>11</v>
      </c>
      <c r="W6" s="4">
        <v>10</v>
      </c>
      <c r="X6" s="4">
        <v>5.5</v>
      </c>
      <c r="Z6" s="4">
        <v>3131</v>
      </c>
      <c r="AA6" s="4">
        <v>3084.5</v>
      </c>
      <c r="AB6" s="4">
        <v>3138.6666666666665</v>
      </c>
      <c r="AC6" s="4">
        <v>35.85</v>
      </c>
      <c r="AD6" s="4">
        <f>AA6/N6</f>
        <v>35.82462253193961</v>
      </c>
      <c r="AE6" s="4">
        <f t="shared" si="3"/>
        <v>36.453735965931088</v>
      </c>
      <c r="AF6" s="4"/>
      <c r="AG6" s="4">
        <f>13*60+5</f>
        <v>785</v>
      </c>
      <c r="AH6">
        <v>5.3</v>
      </c>
      <c r="AI6">
        <v>20</v>
      </c>
      <c r="AJ6">
        <v>18</v>
      </c>
      <c r="AK6">
        <v>180</v>
      </c>
      <c r="AL6" s="1">
        <v>1.1599999999999999</v>
      </c>
      <c r="AM6" s="5">
        <v>106</v>
      </c>
      <c r="AN6" s="1">
        <v>7.45</v>
      </c>
      <c r="AO6" s="4">
        <v>3.5</v>
      </c>
      <c r="AP6" s="1">
        <f t="shared" si="4"/>
        <v>15.484522547088826</v>
      </c>
      <c r="AQ6" s="1">
        <f t="shared" si="5"/>
        <v>11.613391910316619</v>
      </c>
      <c r="AR6" s="1">
        <f t="shared" si="6"/>
        <v>43.223128264041101</v>
      </c>
      <c r="AS6" s="1">
        <v>1333.2173913043478</v>
      </c>
      <c r="AT6" s="1">
        <v>1036.8695652173913</v>
      </c>
      <c r="AU6" s="1">
        <v>30.304347826086957</v>
      </c>
      <c r="AV6" s="1">
        <v>0.77739130434782588</v>
      </c>
      <c r="AW6" s="1">
        <v>14.056521739130437</v>
      </c>
      <c r="AY6" s="15">
        <v>85980.21</v>
      </c>
      <c r="AZ6" s="14">
        <v>47561.21387</v>
      </c>
      <c r="BA6" s="14">
        <v>35508.400719999998</v>
      </c>
      <c r="BB6" s="14">
        <v>20702.070400000001</v>
      </c>
      <c r="BD6" s="13"/>
      <c r="BE6" s="13"/>
      <c r="BF6">
        <v>115</v>
      </c>
      <c r="BG6">
        <v>29</v>
      </c>
      <c r="BH6">
        <v>4</v>
      </c>
      <c r="BI6">
        <v>13</v>
      </c>
      <c r="BJ6">
        <v>9</v>
      </c>
      <c r="BK6" s="6">
        <v>7.9</v>
      </c>
      <c r="BL6" s="7">
        <v>110</v>
      </c>
      <c r="BM6" s="7">
        <v>387</v>
      </c>
      <c r="BN6">
        <v>218</v>
      </c>
      <c r="BO6">
        <v>552</v>
      </c>
      <c r="BP6" s="7" t="s">
        <v>177</v>
      </c>
      <c r="BQ6" s="7" t="s">
        <v>177</v>
      </c>
    </row>
    <row r="7" spans="1:169">
      <c r="A7" t="s">
        <v>181</v>
      </c>
      <c r="B7" t="s">
        <v>179</v>
      </c>
      <c r="C7" t="s">
        <v>171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0"/>
        <v>161</v>
      </c>
      <c r="L7">
        <f t="shared" si="1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2"/>
        <v>95</v>
      </c>
      <c r="R7">
        <v>45</v>
      </c>
      <c r="S7" s="4">
        <v>66</v>
      </c>
      <c r="T7" s="7" t="s">
        <v>172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2528.3333333333335</v>
      </c>
      <c r="AB7" s="4">
        <v>2559.8333333333335</v>
      </c>
      <c r="AC7" s="4">
        <v>33.1</v>
      </c>
      <c r="AD7" s="4">
        <f>AA7/N7</f>
        <v>33.355321020228672</v>
      </c>
      <c r="AE7" s="4">
        <f t="shared" si="3"/>
        <v>33.770888302550574</v>
      </c>
      <c r="AF7" s="4"/>
      <c r="AG7" s="4">
        <f>14*60</f>
        <v>840</v>
      </c>
      <c r="AH7">
        <v>4.8</v>
      </c>
      <c r="AI7">
        <v>20</v>
      </c>
      <c r="AJ7">
        <v>20</v>
      </c>
      <c r="AK7">
        <v>173</v>
      </c>
      <c r="AL7" s="1">
        <v>1.1200000000000001</v>
      </c>
      <c r="AM7" s="5">
        <v>101</v>
      </c>
      <c r="AN7" s="1">
        <v>6.7</v>
      </c>
      <c r="AO7" s="4">
        <v>3</v>
      </c>
      <c r="AP7" s="1">
        <f t="shared" si="4"/>
        <v>16.139313984168865</v>
      </c>
      <c r="AQ7" s="1">
        <f t="shared" si="5"/>
        <v>12.104485488126649</v>
      </c>
      <c r="AR7" s="1">
        <f t="shared" si="6"/>
        <v>48.386025049439681</v>
      </c>
      <c r="AS7" s="1">
        <v>1223.3599999999999</v>
      </c>
      <c r="AT7" s="1">
        <v>1031.5999999999999</v>
      </c>
      <c r="AU7" s="1">
        <v>34.840000000000003</v>
      </c>
      <c r="AV7" s="1">
        <v>0.84600000000000009</v>
      </c>
      <c r="AW7" s="1">
        <v>20.715999999999998</v>
      </c>
      <c r="AY7" s="15">
        <v>74978.97107</v>
      </c>
      <c r="AZ7" s="4">
        <v>51879.2742</v>
      </c>
      <c r="BA7" s="14">
        <v>20265.14615</v>
      </c>
      <c r="BB7" s="14">
        <v>11478.44925</v>
      </c>
      <c r="BD7" s="13"/>
      <c r="BE7" s="13"/>
      <c r="BF7">
        <v>152</v>
      </c>
      <c r="BG7">
        <v>51</v>
      </c>
      <c r="BH7">
        <v>12</v>
      </c>
      <c r="BI7">
        <v>24</v>
      </c>
      <c r="BJ7">
        <v>17</v>
      </c>
      <c r="BK7" s="6">
        <v>8.8000000000000007</v>
      </c>
      <c r="BL7" s="7">
        <v>255</v>
      </c>
      <c r="BM7" s="7">
        <v>277</v>
      </c>
      <c r="BN7">
        <v>514</v>
      </c>
      <c r="BO7">
        <v>989</v>
      </c>
      <c r="BP7">
        <v>490</v>
      </c>
      <c r="BQ7">
        <v>1006</v>
      </c>
    </row>
    <row r="8" spans="1:169">
      <c r="A8" t="s">
        <v>182</v>
      </c>
      <c r="B8" t="s">
        <v>170</v>
      </c>
      <c r="C8" t="s">
        <v>171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0"/>
        <v>163.5</v>
      </c>
      <c r="L8" s="5">
        <f t="shared" si="1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2"/>
        <v>145.5</v>
      </c>
      <c r="R8" s="5">
        <v>89</v>
      </c>
      <c r="S8" s="4">
        <v>64</v>
      </c>
      <c r="T8" s="7" t="s">
        <v>172</v>
      </c>
      <c r="U8" s="4">
        <v>-12.5</v>
      </c>
      <c r="V8" s="4">
        <v>-2.5</v>
      </c>
      <c r="W8" s="4">
        <v>-3.5</v>
      </c>
      <c r="X8" s="4">
        <v>-3</v>
      </c>
      <c r="Z8" s="4">
        <v>3715</v>
      </c>
      <c r="AA8" s="4">
        <v>3737.4166666666665</v>
      </c>
      <c r="AB8" s="4">
        <v>3757</v>
      </c>
      <c r="AC8" s="4">
        <v>24.75</v>
      </c>
      <c r="AD8" s="4">
        <f>AA8/N8</f>
        <v>24.966043197506124</v>
      </c>
      <c r="AE8" s="4">
        <f t="shared" si="3"/>
        <v>25.096860387441552</v>
      </c>
      <c r="AF8" s="4"/>
      <c r="AG8" s="4">
        <f>8.5*60+5</f>
        <v>515</v>
      </c>
      <c r="AH8" s="4">
        <v>4.8</v>
      </c>
      <c r="AI8">
        <v>12</v>
      </c>
      <c r="AJ8">
        <v>19</v>
      </c>
      <c r="AK8">
        <v>198</v>
      </c>
      <c r="AL8" s="1">
        <v>1.17</v>
      </c>
      <c r="AM8" s="5">
        <v>126</v>
      </c>
      <c r="AN8" s="1">
        <v>4.6399999999999997</v>
      </c>
      <c r="AO8" s="4">
        <v>3.5</v>
      </c>
      <c r="AP8" s="1">
        <f t="shared" si="4"/>
        <v>16.020574482297931</v>
      </c>
      <c r="AQ8" s="1">
        <f t="shared" si="5"/>
        <v>12.015430861723448</v>
      </c>
      <c r="AR8" s="1">
        <f t="shared" si="6"/>
        <v>64.169457512988032</v>
      </c>
      <c r="AS8" s="1">
        <v>2398.2800000000002</v>
      </c>
      <c r="AT8" s="1">
        <v>1928.2</v>
      </c>
      <c r="AU8" s="1">
        <v>54.48</v>
      </c>
      <c r="AV8" s="1">
        <v>0.80279999999999985</v>
      </c>
      <c r="AW8" s="1">
        <v>18.779999999999994</v>
      </c>
      <c r="AY8" s="15">
        <v>150206.23000000001</v>
      </c>
      <c r="AZ8" s="14">
        <v>82789.589590000003</v>
      </c>
      <c r="BA8" s="14">
        <v>64095.72913</v>
      </c>
      <c r="BB8" s="14">
        <v>42715.55816</v>
      </c>
      <c r="BD8" s="13"/>
      <c r="BE8" s="13"/>
      <c r="BF8">
        <v>143</v>
      </c>
      <c r="BG8">
        <v>44</v>
      </c>
      <c r="BH8">
        <v>15</v>
      </c>
      <c r="BI8">
        <v>34</v>
      </c>
      <c r="BJ8">
        <v>33</v>
      </c>
      <c r="BK8" s="6">
        <v>9.5</v>
      </c>
      <c r="BL8" s="7">
        <v>360</v>
      </c>
      <c r="BM8" s="7">
        <v>378</v>
      </c>
      <c r="BN8">
        <v>767</v>
      </c>
      <c r="BO8">
        <v>1975</v>
      </c>
      <c r="BP8">
        <v>784</v>
      </c>
      <c r="BQ8">
        <v>2068</v>
      </c>
    </row>
    <row r="9" spans="1:169">
      <c r="A9" t="s">
        <v>183</v>
      </c>
      <c r="B9" t="s">
        <v>170</v>
      </c>
      <c r="C9" t="s">
        <v>171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0"/>
        <v>135</v>
      </c>
      <c r="L9" s="5">
        <f t="shared" si="1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2"/>
        <v>101.5</v>
      </c>
      <c r="R9">
        <v>28</v>
      </c>
      <c r="S9" s="4">
        <v>64</v>
      </c>
      <c r="T9" s="7" t="s">
        <v>172</v>
      </c>
      <c r="U9" s="4">
        <v>16</v>
      </c>
      <c r="V9" s="4">
        <v>12.5</v>
      </c>
      <c r="W9" s="4">
        <v>6</v>
      </c>
      <c r="X9" s="4">
        <v>6</v>
      </c>
      <c r="Z9" s="4">
        <v>1623</v>
      </c>
      <c r="AA9" s="4">
        <v>1636.5833333333333</v>
      </c>
      <c r="AB9" s="4">
        <v>1693.3333333333333</v>
      </c>
      <c r="AC9" s="4">
        <v>23.75</v>
      </c>
      <c r="AD9" s="4">
        <f>AA9/N9</f>
        <v>23.926656920077971</v>
      </c>
      <c r="AE9" s="4">
        <f t="shared" si="3"/>
        <v>24.756335282651069</v>
      </c>
      <c r="AF9" s="4"/>
      <c r="AG9" s="4">
        <f>7*60+40</f>
        <v>460</v>
      </c>
      <c r="AH9">
        <v>4.8</v>
      </c>
      <c r="AI9">
        <v>12</v>
      </c>
      <c r="AJ9">
        <v>17</v>
      </c>
      <c r="AK9">
        <v>134</v>
      </c>
      <c r="AL9" s="1">
        <v>1.27</v>
      </c>
      <c r="AM9" s="5">
        <v>74</v>
      </c>
      <c r="AN9" s="1">
        <v>7.02</v>
      </c>
      <c r="AO9" s="4">
        <v>3.5</v>
      </c>
      <c r="AP9" s="1">
        <f t="shared" si="4"/>
        <v>15.264327485380115</v>
      </c>
      <c r="AQ9" s="1">
        <f t="shared" si="5"/>
        <v>11.448245614035086</v>
      </c>
      <c r="AR9" s="1">
        <f t="shared" si="6"/>
        <v>63.796323641733288</v>
      </c>
      <c r="AS9" s="1">
        <v>1044.08</v>
      </c>
      <c r="AT9" s="1">
        <v>870.48</v>
      </c>
      <c r="AU9" s="1">
        <v>28.92</v>
      </c>
      <c r="AV9" s="1">
        <v>0.83440000000000003</v>
      </c>
      <c r="AW9" s="1">
        <v>20.239999999999998</v>
      </c>
      <c r="AY9" s="15">
        <v>68902.351429999995</v>
      </c>
      <c r="AZ9" s="14">
        <v>35385.26339</v>
      </c>
      <c r="BA9" s="14">
        <v>31667.448659999998</v>
      </c>
      <c r="BB9" s="14">
        <v>16487.502769999999</v>
      </c>
      <c r="BD9" s="13"/>
      <c r="BE9" s="13"/>
      <c r="BF9">
        <v>109</v>
      </c>
      <c r="BG9">
        <v>40</v>
      </c>
      <c r="BH9">
        <v>21</v>
      </c>
      <c r="BI9">
        <v>51</v>
      </c>
      <c r="BJ9">
        <v>45</v>
      </c>
      <c r="BK9" s="6" t="s">
        <v>177</v>
      </c>
      <c r="BL9" s="7">
        <v>135</v>
      </c>
      <c r="BM9" s="7">
        <v>440</v>
      </c>
      <c r="BN9">
        <v>200</v>
      </c>
      <c r="BO9">
        <v>589</v>
      </c>
      <c r="BP9">
        <v>210</v>
      </c>
      <c r="BQ9">
        <v>657</v>
      </c>
    </row>
    <row r="10" spans="1:169">
      <c r="A10" t="s">
        <v>184</v>
      </c>
      <c r="B10" t="s">
        <v>179</v>
      </c>
      <c r="C10" t="s">
        <v>171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0"/>
        <v>126</v>
      </c>
      <c r="L10">
        <f t="shared" si="1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2"/>
        <v>102.5</v>
      </c>
      <c r="R10">
        <v>25</v>
      </c>
      <c r="S10">
        <v>48.6</v>
      </c>
      <c r="T10" s="7" t="s">
        <v>175</v>
      </c>
      <c r="U10" s="4">
        <v>2</v>
      </c>
      <c r="V10" s="4">
        <v>5.3</v>
      </c>
      <c r="W10" s="4">
        <v>-23</v>
      </c>
      <c r="X10" s="4">
        <v>-20</v>
      </c>
      <c r="Z10" s="4">
        <v>2328.5</v>
      </c>
      <c r="AA10" s="4">
        <v>2303.25</v>
      </c>
      <c r="AB10" s="4">
        <v>2389</v>
      </c>
      <c r="AC10" s="4">
        <v>27.85</v>
      </c>
      <c r="AD10" s="4">
        <f>AA10/N10</f>
        <v>27.550837320574164</v>
      </c>
      <c r="AE10" s="4">
        <f t="shared" si="3"/>
        <v>28.576555023923447</v>
      </c>
      <c r="AF10" s="4"/>
      <c r="AG10" s="4">
        <f>9*60+32</f>
        <v>572</v>
      </c>
      <c r="AH10">
        <v>4.8</v>
      </c>
      <c r="AI10">
        <v>14</v>
      </c>
      <c r="AJ10">
        <v>19</v>
      </c>
      <c r="AK10">
        <v>190</v>
      </c>
      <c r="AL10" s="1">
        <v>1.1299999999999999</v>
      </c>
      <c r="AM10" s="5">
        <v>75</v>
      </c>
      <c r="AN10" s="1">
        <v>8.68</v>
      </c>
      <c r="AO10" s="4">
        <v>3.5</v>
      </c>
      <c r="AP10" s="1">
        <f t="shared" si="4"/>
        <v>17.84258373205742</v>
      </c>
      <c r="AQ10" s="1">
        <f t="shared" si="5"/>
        <v>13.381937799043065</v>
      </c>
      <c r="AR10" s="1">
        <f t="shared" si="6"/>
        <v>64.762400955172041</v>
      </c>
      <c r="AS10" s="1">
        <v>1491.64</v>
      </c>
      <c r="AT10" s="1">
        <v>1066.8399999999999</v>
      </c>
      <c r="AU10" s="1">
        <v>32.08</v>
      </c>
      <c r="AV10" s="1">
        <v>0.71560000000000012</v>
      </c>
      <c r="AW10" s="1">
        <v>18.175999999999998</v>
      </c>
      <c r="AY10" s="15">
        <v>83973.88</v>
      </c>
      <c r="AZ10" s="14">
        <v>45417.0556</v>
      </c>
      <c r="BA10" s="14">
        <v>36266.638529999997</v>
      </c>
      <c r="BB10" s="14">
        <v>19335.514569999999</v>
      </c>
      <c r="BD10" s="13"/>
      <c r="BE10" s="13"/>
      <c r="BF10">
        <v>115</v>
      </c>
      <c r="BG10">
        <v>38</v>
      </c>
      <c r="BH10">
        <v>9</v>
      </c>
      <c r="BI10">
        <v>23</v>
      </c>
      <c r="BJ10">
        <v>24</v>
      </c>
      <c r="BK10" s="6">
        <v>6</v>
      </c>
      <c r="BL10" s="7">
        <v>220</v>
      </c>
      <c r="BM10" s="7">
        <v>504</v>
      </c>
      <c r="BN10">
        <v>402</v>
      </c>
      <c r="BO10">
        <v>1131</v>
      </c>
      <c r="BP10">
        <v>407</v>
      </c>
      <c r="BQ10">
        <v>1057</v>
      </c>
    </row>
    <row r="11" spans="1:169">
      <c r="A11" t="s">
        <v>185</v>
      </c>
      <c r="B11" t="s">
        <v>179</v>
      </c>
      <c r="C11" t="s">
        <v>171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0"/>
        <v>118.5</v>
      </c>
      <c r="L11">
        <f t="shared" si="1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2"/>
        <v>76.25</v>
      </c>
      <c r="R11">
        <v>12</v>
      </c>
      <c r="S11" s="4">
        <v>65</v>
      </c>
      <c r="T11" s="7" t="s">
        <v>172</v>
      </c>
      <c r="U11" s="4">
        <v>7</v>
      </c>
      <c r="V11" s="4">
        <v>17.5</v>
      </c>
      <c r="W11" s="4">
        <v>3</v>
      </c>
      <c r="X11" s="4">
        <v>0</v>
      </c>
      <c r="Z11" s="4">
        <v>1711</v>
      </c>
      <c r="AA11" s="4">
        <v>1720.3333333333333</v>
      </c>
      <c r="AB11" s="4">
        <v>1760.1666666666667</v>
      </c>
      <c r="AC11" s="4">
        <v>31.9</v>
      </c>
      <c r="AD11" s="4">
        <f>AA11/N11</f>
        <v>32.095771144278608</v>
      </c>
      <c r="AE11" s="4">
        <f t="shared" si="3"/>
        <v>32.838930348258707</v>
      </c>
      <c r="AF11" s="4"/>
      <c r="AG11" s="4">
        <f>10.5*60</f>
        <v>630</v>
      </c>
      <c r="AH11">
        <v>4.8</v>
      </c>
      <c r="AI11">
        <v>16</v>
      </c>
      <c r="AJ11">
        <v>19</v>
      </c>
      <c r="AK11">
        <v>184</v>
      </c>
      <c r="AL11" s="1">
        <v>1.1299999999999999</v>
      </c>
      <c r="AM11" s="5">
        <v>62</v>
      </c>
      <c r="AN11" s="1">
        <v>12.24</v>
      </c>
      <c r="AO11" s="4">
        <v>3.5</v>
      </c>
      <c r="AP11" s="1">
        <f t="shared" si="4"/>
        <v>17.564179104477613</v>
      </c>
      <c r="AQ11" s="1">
        <f t="shared" si="5"/>
        <v>13.173134328358209</v>
      </c>
      <c r="AR11" s="1">
        <f t="shared" si="6"/>
        <v>54.724278240651046</v>
      </c>
      <c r="AS11" s="1">
        <v>941.44</v>
      </c>
      <c r="AT11" s="1">
        <v>705.84</v>
      </c>
      <c r="AU11" s="1">
        <v>22.08</v>
      </c>
      <c r="AV11" s="1">
        <v>0.74959999999999993</v>
      </c>
      <c r="AW11" s="1">
        <v>28.244000000000007</v>
      </c>
      <c r="AY11" s="15">
        <v>53018.40597</v>
      </c>
      <c r="AZ11" s="14">
        <v>30461.861420000001</v>
      </c>
      <c r="BA11" s="14">
        <v>20708.731339999998</v>
      </c>
      <c r="BB11" s="14">
        <v>10569.18007</v>
      </c>
      <c r="BD11" s="13"/>
      <c r="BE11" s="13"/>
      <c r="BF11">
        <v>103</v>
      </c>
      <c r="BG11">
        <v>31</v>
      </c>
      <c r="BH11">
        <v>5</v>
      </c>
      <c r="BI11">
        <v>16</v>
      </c>
      <c r="BJ11">
        <v>12</v>
      </c>
      <c r="BK11" s="6">
        <v>5</v>
      </c>
      <c r="BL11" s="7">
        <v>180</v>
      </c>
      <c r="BM11" s="7" t="s">
        <v>177</v>
      </c>
      <c r="BN11">
        <v>292</v>
      </c>
      <c r="BO11">
        <v>907</v>
      </c>
      <c r="BP11">
        <v>303</v>
      </c>
      <c r="BQ11">
        <v>864</v>
      </c>
    </row>
    <row r="12" spans="1:169">
      <c r="A12" t="s">
        <v>186</v>
      </c>
      <c r="B12" t="s">
        <v>179</v>
      </c>
      <c r="C12" t="s">
        <v>171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0"/>
        <v>136</v>
      </c>
      <c r="L12" s="5">
        <f t="shared" si="1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2"/>
        <v>92.55</v>
      </c>
      <c r="R12" s="5">
        <v>29</v>
      </c>
      <c r="S12">
        <v>51.7</v>
      </c>
      <c r="T12" s="7" t="s">
        <v>175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2460.25</v>
      </c>
      <c r="AB12" s="4">
        <v>2466.6666666666665</v>
      </c>
      <c r="AC12" s="4">
        <v>29.6</v>
      </c>
      <c r="AD12" s="4">
        <f>AA12/N12</f>
        <v>29.605896510228643</v>
      </c>
      <c r="AE12" s="4">
        <f t="shared" si="3"/>
        <v>29.683112715603691</v>
      </c>
      <c r="AF12" s="4"/>
      <c r="AG12" s="4">
        <f>60*13+10</f>
        <v>790</v>
      </c>
      <c r="AH12">
        <v>4.3</v>
      </c>
      <c r="AI12">
        <v>20</v>
      </c>
      <c r="AJ12">
        <v>19</v>
      </c>
      <c r="AK12">
        <v>184</v>
      </c>
      <c r="AL12" s="1">
        <v>1.17</v>
      </c>
      <c r="AM12" s="5">
        <v>90</v>
      </c>
      <c r="AN12" s="1">
        <v>6.99</v>
      </c>
      <c r="AO12" s="4">
        <v>3</v>
      </c>
      <c r="AP12" s="1">
        <f t="shared" si="4"/>
        <v>14.690252707581228</v>
      </c>
      <c r="AQ12" s="1">
        <f t="shared" si="5"/>
        <v>11.017689530685921</v>
      </c>
      <c r="AR12" s="1">
        <f t="shared" si="6"/>
        <v>49.619347627273655</v>
      </c>
      <c r="AS12" s="1">
        <v>1220.76</v>
      </c>
      <c r="AT12" s="1">
        <v>962.72</v>
      </c>
      <c r="AU12" s="1">
        <v>33.159999999999997</v>
      </c>
      <c r="AV12" s="1">
        <v>0.78959999999999975</v>
      </c>
      <c r="AW12" s="1">
        <v>21.131999999999998</v>
      </c>
      <c r="AY12" s="15">
        <v>83013.406629999998</v>
      </c>
      <c r="AZ12" s="14">
        <v>49894.368199999997</v>
      </c>
      <c r="BA12" s="14">
        <v>30858.66632</v>
      </c>
      <c r="BB12" s="14">
        <v>16130.965039999999</v>
      </c>
      <c r="BD12" s="13"/>
      <c r="BE12" s="13"/>
      <c r="BF12">
        <v>114</v>
      </c>
      <c r="BG12">
        <v>30</v>
      </c>
      <c r="BH12">
        <v>5</v>
      </c>
      <c r="BI12">
        <v>17</v>
      </c>
      <c r="BJ12">
        <v>15</v>
      </c>
      <c r="BK12" s="6">
        <v>9</v>
      </c>
      <c r="BL12" s="7">
        <v>186</v>
      </c>
      <c r="BM12" s="7">
        <v>267</v>
      </c>
      <c r="BN12">
        <v>315</v>
      </c>
      <c r="BO12">
        <v>1026</v>
      </c>
      <c r="BP12">
        <v>336</v>
      </c>
      <c r="BQ12">
        <v>1054</v>
      </c>
    </row>
    <row r="13" spans="1:169">
      <c r="A13" t="s">
        <v>187</v>
      </c>
      <c r="B13" t="s">
        <v>179</v>
      </c>
      <c r="C13" t="s">
        <v>171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0"/>
        <v>126</v>
      </c>
      <c r="L13">
        <f t="shared" si="1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2"/>
        <v>79.5</v>
      </c>
      <c r="R13">
        <v>53</v>
      </c>
      <c r="S13">
        <v>66.3</v>
      </c>
      <c r="T13" s="7" t="s">
        <v>172</v>
      </c>
      <c r="U13" s="4">
        <v>12.1</v>
      </c>
      <c r="V13" s="4">
        <v>12.5</v>
      </c>
      <c r="W13" s="4">
        <v>-8</v>
      </c>
      <c r="X13" s="4">
        <v>2.5</v>
      </c>
      <c r="Y13" s="4"/>
      <c r="Z13" s="4">
        <v>2589.5</v>
      </c>
      <c r="AA13" s="4">
        <v>2716.1666666666665</v>
      </c>
      <c r="AB13" s="4">
        <v>2747.3333333333335</v>
      </c>
      <c r="AC13" s="4">
        <v>36</v>
      </c>
      <c r="AD13" s="4">
        <f>AA13/N13</f>
        <v>37.77700509967547</v>
      </c>
      <c r="AE13" s="4">
        <f t="shared" si="3"/>
        <v>38.210477515067225</v>
      </c>
      <c r="AF13" s="4"/>
      <c r="AG13" s="4">
        <f>12*60</f>
        <v>720</v>
      </c>
      <c r="AH13">
        <v>4.8</v>
      </c>
      <c r="AI13">
        <v>20</v>
      </c>
      <c r="AJ13">
        <v>20</v>
      </c>
      <c r="AK13">
        <v>157</v>
      </c>
      <c r="AL13" s="1">
        <v>1.1599999999999999</v>
      </c>
      <c r="AM13" s="5">
        <v>160</v>
      </c>
      <c r="AN13" s="1">
        <v>9.02</v>
      </c>
      <c r="AO13" s="4">
        <v>3.5</v>
      </c>
      <c r="AP13" s="1">
        <f t="shared" si="4"/>
        <v>16.320445062586927</v>
      </c>
      <c r="AQ13" s="1">
        <f t="shared" si="5"/>
        <v>12.240333796940195</v>
      </c>
      <c r="AR13" s="1">
        <f t="shared" si="6"/>
        <v>43.202061729152611</v>
      </c>
      <c r="AS13" s="1">
        <v>1173.44</v>
      </c>
      <c r="AT13" s="1">
        <v>915.84</v>
      </c>
      <c r="AU13" s="1">
        <v>33.04</v>
      </c>
      <c r="AV13" s="1">
        <v>0.7799999999999998</v>
      </c>
      <c r="AW13" s="1">
        <v>17.920000000000002</v>
      </c>
      <c r="AY13" s="15">
        <v>72867.525469999993</v>
      </c>
      <c r="AZ13" s="4">
        <v>53640.089789999998</v>
      </c>
      <c r="BA13" s="14">
        <v>16028.282149999999</v>
      </c>
      <c r="BB13" s="14">
        <v>7905.1714540000003</v>
      </c>
      <c r="BD13" s="13"/>
      <c r="BE13" s="13"/>
      <c r="BF13">
        <v>103</v>
      </c>
      <c r="BG13">
        <v>30</v>
      </c>
      <c r="BH13">
        <v>-2</v>
      </c>
      <c r="BI13">
        <v>-6</v>
      </c>
      <c r="BJ13">
        <v>-1</v>
      </c>
      <c r="BK13" s="6">
        <v>6.7</v>
      </c>
      <c r="BL13" s="7">
        <v>275</v>
      </c>
      <c r="BM13" s="7">
        <v>1100</v>
      </c>
      <c r="BN13">
        <v>598</v>
      </c>
      <c r="BO13">
        <v>1058</v>
      </c>
      <c r="BP13">
        <v>578</v>
      </c>
      <c r="BQ13">
        <v>1117</v>
      </c>
    </row>
    <row r="14" spans="1:169">
      <c r="A14" t="s">
        <v>188</v>
      </c>
      <c r="B14" t="s">
        <v>170</v>
      </c>
      <c r="C14" t="s">
        <v>171</v>
      </c>
      <c r="D14">
        <v>2</v>
      </c>
      <c r="E14" s="5">
        <v>47</v>
      </c>
      <c r="F14" s="17">
        <v>97.5</v>
      </c>
      <c r="G14">
        <v>148</v>
      </c>
      <c r="H14">
        <v>101</v>
      </c>
      <c r="I14">
        <v>153</v>
      </c>
      <c r="J14">
        <v>105</v>
      </c>
      <c r="K14" s="5">
        <f t="shared" si="0"/>
        <v>150.5</v>
      </c>
      <c r="L14">
        <f t="shared" si="1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2"/>
        <v>120.5</v>
      </c>
      <c r="R14" s="5">
        <v>45</v>
      </c>
      <c r="S14">
        <v>43.4</v>
      </c>
      <c r="T14" s="7" t="s">
        <v>175</v>
      </c>
      <c r="U14" s="4">
        <v>0</v>
      </c>
      <c r="V14" s="4">
        <v>5.0999999999999996</v>
      </c>
      <c r="W14" s="4">
        <v>-6</v>
      </c>
      <c r="X14" s="4">
        <v>-8.5</v>
      </c>
      <c r="Z14" s="4">
        <v>2579</v>
      </c>
      <c r="AA14" s="4">
        <v>2610.8333333333335</v>
      </c>
      <c r="AB14" s="4">
        <v>2650.5</v>
      </c>
      <c r="AC14" s="4">
        <v>24.6</v>
      </c>
      <c r="AD14" s="4">
        <f>AA14/N14</f>
        <v>24.912531806615778</v>
      </c>
      <c r="AE14" s="4">
        <f t="shared" si="3"/>
        <v>25.291030534351147</v>
      </c>
      <c r="AF14" s="4"/>
      <c r="AG14" s="4">
        <v>600</v>
      </c>
      <c r="AH14">
        <v>4.8</v>
      </c>
      <c r="AI14">
        <v>16</v>
      </c>
      <c r="AJ14">
        <v>15</v>
      </c>
      <c r="AK14">
        <v>167</v>
      </c>
      <c r="AL14" s="1">
        <v>1.29</v>
      </c>
      <c r="AM14" s="5">
        <v>48.6</v>
      </c>
      <c r="AN14" s="1">
        <v>8.3000000000000007</v>
      </c>
      <c r="AO14" s="4">
        <v>3.5</v>
      </c>
      <c r="AP14" s="1">
        <f t="shared" si="4"/>
        <v>14.393129770992367</v>
      </c>
      <c r="AQ14" s="1">
        <f t="shared" si="5"/>
        <v>10.794847328244275</v>
      </c>
      <c r="AR14" s="1">
        <f t="shared" si="6"/>
        <v>57.774656878391319</v>
      </c>
      <c r="AS14" s="1">
        <v>1508.4</v>
      </c>
      <c r="AT14" s="1">
        <v>1323</v>
      </c>
      <c r="AU14" s="1">
        <v>42.56</v>
      </c>
      <c r="AV14" s="1">
        <v>0.87760000000000005</v>
      </c>
      <c r="AW14" s="1">
        <v>23.188000000000006</v>
      </c>
      <c r="AY14" s="15">
        <v>105588.37</v>
      </c>
      <c r="AZ14" s="14">
        <v>58651.481399999997</v>
      </c>
      <c r="BA14" s="14">
        <v>43989.92252</v>
      </c>
      <c r="BB14" s="14">
        <v>27465.726859999999</v>
      </c>
      <c r="BD14" s="13"/>
      <c r="BE14" s="13"/>
      <c r="BF14">
        <v>128</v>
      </c>
      <c r="BG14">
        <v>38</v>
      </c>
      <c r="BH14">
        <v>13</v>
      </c>
      <c r="BI14">
        <v>35</v>
      </c>
      <c r="BJ14">
        <v>33</v>
      </c>
      <c r="BK14" s="6" t="s">
        <v>177</v>
      </c>
      <c r="BL14" s="7">
        <v>320</v>
      </c>
      <c r="BM14" s="7">
        <v>535</v>
      </c>
      <c r="BN14">
        <v>467</v>
      </c>
      <c r="BO14">
        <v>1629</v>
      </c>
      <c r="BP14">
        <v>493</v>
      </c>
      <c r="BQ14">
        <v>1653</v>
      </c>
    </row>
    <row r="15" spans="1:169">
      <c r="A15" t="s">
        <v>189</v>
      </c>
      <c r="B15" t="s">
        <v>179</v>
      </c>
      <c r="C15" t="s">
        <v>171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0"/>
        <v>155</v>
      </c>
      <c r="L15">
        <f t="shared" si="1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2"/>
        <v>114.5</v>
      </c>
      <c r="R15">
        <v>30</v>
      </c>
      <c r="S15" s="4">
        <v>11</v>
      </c>
      <c r="T15" s="7" t="s">
        <v>175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v>22.8</v>
      </c>
      <c r="AD15" s="4">
        <f>AA15/N15</f>
        <v>22.665740740740741</v>
      </c>
      <c r="AE15" s="4">
        <f t="shared" si="3"/>
        <v>23.042592592592595</v>
      </c>
      <c r="AF15" s="4"/>
      <c r="AG15" s="4">
        <f>635</f>
        <v>635</v>
      </c>
      <c r="AH15">
        <v>3.8</v>
      </c>
      <c r="AI15">
        <v>18</v>
      </c>
      <c r="AJ15">
        <v>18</v>
      </c>
      <c r="AK15">
        <v>123</v>
      </c>
      <c r="AL15" s="1">
        <v>1.02</v>
      </c>
      <c r="AM15" s="5">
        <v>63</v>
      </c>
      <c r="AN15" s="1">
        <v>4.71</v>
      </c>
      <c r="AO15" s="4">
        <v>3</v>
      </c>
      <c r="AP15" s="1">
        <f t="shared" si="4"/>
        <v>14.770222222222221</v>
      </c>
      <c r="AQ15" s="1">
        <f t="shared" si="5"/>
        <v>11.077666666666666</v>
      </c>
      <c r="AR15" s="1">
        <f t="shared" si="6"/>
        <v>65.165407083622696</v>
      </c>
      <c r="AS15" s="1">
        <v>1329.32</v>
      </c>
      <c r="AT15" s="1">
        <v>1111.2</v>
      </c>
      <c r="AU15" s="1">
        <v>41.44</v>
      </c>
      <c r="AV15" s="1">
        <v>0.83600000000000008</v>
      </c>
      <c r="AW15" s="1">
        <v>27.664000000000005</v>
      </c>
      <c r="AY15" s="15">
        <v>90288.38</v>
      </c>
      <c r="AZ15" s="14">
        <v>57568.732530000001</v>
      </c>
      <c r="BA15" s="14">
        <v>29446.394100000001</v>
      </c>
      <c r="BB15" s="14">
        <v>18188.567660000001</v>
      </c>
      <c r="BD15" s="13"/>
      <c r="BE15" s="13"/>
      <c r="BF15">
        <v>112</v>
      </c>
      <c r="BG15">
        <v>39</v>
      </c>
      <c r="BH15">
        <v>9</v>
      </c>
      <c r="BI15">
        <v>22</v>
      </c>
      <c r="BJ15">
        <v>18</v>
      </c>
      <c r="BK15" s="6">
        <v>9.6999999999999993</v>
      </c>
      <c r="BL15" s="7">
        <v>240</v>
      </c>
      <c r="BM15" s="7">
        <v>543</v>
      </c>
      <c r="BN15">
        <v>373</v>
      </c>
      <c r="BO15">
        <v>959</v>
      </c>
      <c r="BP15">
        <v>345</v>
      </c>
      <c r="BQ15">
        <v>974</v>
      </c>
    </row>
    <row r="16" spans="1:169">
      <c r="A16" t="s">
        <v>190</v>
      </c>
      <c r="B16" t="s">
        <v>179</v>
      </c>
      <c r="C16" t="s">
        <v>171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0"/>
        <v>160.5</v>
      </c>
      <c r="L16" s="5">
        <f t="shared" si="1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2"/>
        <v>116.5</v>
      </c>
      <c r="R16" s="5">
        <v>50</v>
      </c>
      <c r="S16">
        <v>12.8</v>
      </c>
      <c r="T16" s="7" t="s">
        <v>175</v>
      </c>
      <c r="U16" s="4">
        <v>-12</v>
      </c>
      <c r="V16" s="4">
        <v>-10.5</v>
      </c>
      <c r="W16" s="4">
        <v>-12.5</v>
      </c>
      <c r="X16" s="4">
        <v>-7.3</v>
      </c>
      <c r="Y16" s="4"/>
      <c r="Z16" s="4">
        <v>3146</v>
      </c>
      <c r="AA16" s="4">
        <v>3148.6666666666665</v>
      </c>
      <c r="AB16" s="4">
        <v>3217.8333333333335</v>
      </c>
      <c r="AC16" s="4">
        <v>28.7</v>
      </c>
      <c r="AD16" s="4">
        <f>AA16/N16</f>
        <v>28.807563281488257</v>
      </c>
      <c r="AE16" s="4">
        <f t="shared" si="3"/>
        <v>29.440378164074414</v>
      </c>
      <c r="AF16" s="4"/>
      <c r="AG16" s="4">
        <f>13*60+35</f>
        <v>815</v>
      </c>
      <c r="AH16">
        <v>4.8</v>
      </c>
      <c r="AI16">
        <v>20</v>
      </c>
      <c r="AJ16">
        <v>19</v>
      </c>
      <c r="AK16">
        <v>175</v>
      </c>
      <c r="AL16" s="1">
        <v>1.24</v>
      </c>
      <c r="AM16" s="5">
        <v>120</v>
      </c>
      <c r="AN16" s="1">
        <v>11.05</v>
      </c>
      <c r="AO16" s="4">
        <v>3</v>
      </c>
      <c r="AP16" s="1">
        <f t="shared" si="4"/>
        <v>14.376578225068618</v>
      </c>
      <c r="AQ16" s="1">
        <f t="shared" si="5"/>
        <v>10.782433668801463</v>
      </c>
      <c r="AR16" s="1">
        <f t="shared" si="6"/>
        <v>49.905568494600885</v>
      </c>
      <c r="AS16" s="1">
        <v>1571.36</v>
      </c>
      <c r="AT16" s="1">
        <v>1284.8</v>
      </c>
      <c r="AU16" s="1">
        <v>38</v>
      </c>
      <c r="AV16" s="1">
        <v>0.81760000000000033</v>
      </c>
      <c r="AW16" s="1">
        <v>15.436</v>
      </c>
      <c r="AY16" s="15">
        <v>107964.01</v>
      </c>
      <c r="AZ16" s="14">
        <v>64762.828930000003</v>
      </c>
      <c r="BA16" s="14">
        <v>40117.348859999998</v>
      </c>
      <c r="BB16" s="14">
        <v>25169.46963</v>
      </c>
      <c r="BD16" s="13"/>
      <c r="BE16" s="13"/>
      <c r="BF16">
        <v>142</v>
      </c>
      <c r="BG16">
        <v>45</v>
      </c>
      <c r="BH16">
        <v>11</v>
      </c>
      <c r="BI16">
        <v>26</v>
      </c>
      <c r="BJ16">
        <v>15</v>
      </c>
      <c r="BK16" s="6">
        <v>14.1</v>
      </c>
      <c r="BL16" s="7">
        <v>285</v>
      </c>
      <c r="BM16" s="7">
        <v>858</v>
      </c>
      <c r="BN16">
        <v>704</v>
      </c>
      <c r="BO16">
        <v>1343</v>
      </c>
      <c r="BP16">
        <v>673</v>
      </c>
      <c r="BQ16">
        <v>1306</v>
      </c>
    </row>
    <row r="17" spans="1:69">
      <c r="A17" t="s">
        <v>191</v>
      </c>
      <c r="B17" t="s">
        <v>179</v>
      </c>
      <c r="C17" t="s">
        <v>171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0"/>
        <v>139.5</v>
      </c>
      <c r="L17" s="5">
        <f t="shared" si="1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2"/>
        <v>97.8</v>
      </c>
      <c r="R17">
        <v>41</v>
      </c>
      <c r="S17">
        <v>8.6999999999999993</v>
      </c>
      <c r="T17" s="7" t="s">
        <v>175</v>
      </c>
      <c r="U17" s="4">
        <v>-19.8</v>
      </c>
      <c r="V17" s="4">
        <v>-19.399999999999999</v>
      </c>
      <c r="W17" s="4">
        <v>-34.5</v>
      </c>
      <c r="X17" s="4">
        <v>-15.2</v>
      </c>
      <c r="Y17">
        <v>11</v>
      </c>
      <c r="Z17" s="4">
        <v>2581.5</v>
      </c>
      <c r="AA17" s="4">
        <v>2610.1666666666665</v>
      </c>
      <c r="AB17" s="4">
        <v>2656.5</v>
      </c>
      <c r="AC17" s="4">
        <v>30.65</v>
      </c>
      <c r="AD17" s="4">
        <f>AA17/N17</f>
        <v>30.999604117181313</v>
      </c>
      <c r="AE17" s="4">
        <f t="shared" si="3"/>
        <v>31.549881235154395</v>
      </c>
      <c r="AF17" s="4"/>
      <c r="AG17" s="4">
        <f>14*60</f>
        <v>840</v>
      </c>
      <c r="AH17">
        <v>4.8</v>
      </c>
      <c r="AI17">
        <v>20</v>
      </c>
      <c r="AJ17">
        <v>19</v>
      </c>
      <c r="AK17">
        <v>199</v>
      </c>
      <c r="AL17" s="1">
        <v>1.28</v>
      </c>
      <c r="AM17" s="5">
        <v>120</v>
      </c>
      <c r="AN17" s="1">
        <v>7.07</v>
      </c>
      <c r="AO17" s="4">
        <v>3</v>
      </c>
      <c r="AP17" s="1">
        <f t="shared" si="4"/>
        <v>15.01900237529691</v>
      </c>
      <c r="AQ17" s="1">
        <f t="shared" si="5"/>
        <v>11.264251781472684</v>
      </c>
      <c r="AR17" s="1">
        <f t="shared" si="6"/>
        <v>48.449013472958299</v>
      </c>
      <c r="AS17" s="1">
        <v>1264.5999999999999</v>
      </c>
      <c r="AT17" s="1">
        <v>1030.1199999999999</v>
      </c>
      <c r="AU17" s="1">
        <v>38.24</v>
      </c>
      <c r="AV17" s="1">
        <v>0.81640000000000013</v>
      </c>
      <c r="AW17" s="1">
        <v>24.748000000000001</v>
      </c>
      <c r="AY17" s="15">
        <v>82548.38162</v>
      </c>
      <c r="AZ17" s="14">
        <v>55000.623299999999</v>
      </c>
      <c r="BA17" s="14">
        <v>24343.168180000001</v>
      </c>
      <c r="BB17" s="14">
        <v>13671.18845</v>
      </c>
      <c r="BD17" s="13"/>
      <c r="BE17" s="13"/>
      <c r="BF17">
        <v>111</v>
      </c>
      <c r="BG17">
        <v>30</v>
      </c>
      <c r="BH17">
        <v>9</v>
      </c>
      <c r="BI17">
        <v>31</v>
      </c>
      <c r="BJ17">
        <v>31</v>
      </c>
      <c r="BK17" s="6">
        <v>7.6</v>
      </c>
      <c r="BL17" s="7">
        <v>195</v>
      </c>
      <c r="BM17" s="7" t="s">
        <v>177</v>
      </c>
      <c r="BN17">
        <v>428</v>
      </c>
      <c r="BO17">
        <v>988</v>
      </c>
      <c r="BP17">
        <v>458</v>
      </c>
      <c r="BQ17">
        <v>1021</v>
      </c>
    </row>
    <row r="18" spans="1:69">
      <c r="A18" t="s">
        <v>192</v>
      </c>
      <c r="B18" t="s">
        <v>179</v>
      </c>
      <c r="C18" t="s">
        <v>171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0"/>
        <v>140.5</v>
      </c>
      <c r="L18">
        <f t="shared" si="1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2"/>
        <v>74.25</v>
      </c>
      <c r="R18">
        <v>30</v>
      </c>
      <c r="S18" s="4">
        <v>69</v>
      </c>
      <c r="T18" s="7" t="s">
        <v>172</v>
      </c>
      <c r="U18" s="4">
        <v>6.5</v>
      </c>
      <c r="V18" s="4">
        <v>8</v>
      </c>
      <c r="W18" s="4">
        <v>4.5</v>
      </c>
      <c r="X18" s="4">
        <v>-4</v>
      </c>
      <c r="Y18" s="4"/>
      <c r="Z18" s="4">
        <v>2592</v>
      </c>
      <c r="AA18" s="4">
        <v>2603.3333333333335</v>
      </c>
      <c r="AB18" s="4">
        <v>2655</v>
      </c>
      <c r="AC18" s="4">
        <v>43.2</v>
      </c>
      <c r="AD18" s="4">
        <f>AA18/N18</f>
        <v>43.4613244296049</v>
      </c>
      <c r="AE18" s="4">
        <f t="shared" si="3"/>
        <v>44.323873121869781</v>
      </c>
      <c r="AF18" s="4"/>
      <c r="AG18" s="4">
        <f>15*60</f>
        <v>900</v>
      </c>
      <c r="AH18">
        <v>6.3</v>
      </c>
      <c r="AI18">
        <v>20</v>
      </c>
      <c r="AJ18">
        <v>19</v>
      </c>
      <c r="AK18">
        <v>174</v>
      </c>
      <c r="AL18" s="1">
        <v>1.2</v>
      </c>
      <c r="AM18" s="5">
        <v>91</v>
      </c>
      <c r="AN18" s="1">
        <v>5.7</v>
      </c>
      <c r="AO18" s="4">
        <v>3.5</v>
      </c>
      <c r="AP18" s="1">
        <f t="shared" si="4"/>
        <v>18.574958263772956</v>
      </c>
      <c r="AQ18" s="1">
        <f t="shared" si="5"/>
        <v>13.931218697829717</v>
      </c>
      <c r="AR18" s="1">
        <f t="shared" si="6"/>
        <v>42.739052496798976</v>
      </c>
      <c r="AS18" s="1">
        <v>1112.6400000000001</v>
      </c>
      <c r="AT18" s="1">
        <v>965.8</v>
      </c>
      <c r="AU18" s="1">
        <v>29.64</v>
      </c>
      <c r="AV18" s="1">
        <v>0.86879999999999991</v>
      </c>
      <c r="AW18" s="1">
        <v>20.475999999999999</v>
      </c>
      <c r="AY18" s="15">
        <v>59276.804479999999</v>
      </c>
      <c r="AZ18" s="14">
        <v>42628.06596</v>
      </c>
      <c r="BA18" s="14">
        <v>14230.982379999999</v>
      </c>
      <c r="BB18" s="14">
        <v>6245.3818069999998</v>
      </c>
      <c r="BD18" s="13"/>
      <c r="BE18" s="13"/>
      <c r="BF18">
        <v>136</v>
      </c>
      <c r="BG18">
        <v>49</v>
      </c>
      <c r="BH18">
        <v>14</v>
      </c>
      <c r="BI18">
        <v>28</v>
      </c>
      <c r="BJ18">
        <v>17</v>
      </c>
      <c r="BK18" s="6">
        <v>6</v>
      </c>
      <c r="BL18" s="7">
        <v>160</v>
      </c>
      <c r="BM18" s="7">
        <v>388</v>
      </c>
      <c r="BN18">
        <v>259</v>
      </c>
      <c r="BO18">
        <v>975</v>
      </c>
      <c r="BP18">
        <v>250</v>
      </c>
      <c r="BQ18">
        <v>902</v>
      </c>
    </row>
    <row r="19" spans="1:69">
      <c r="A19" t="s">
        <v>193</v>
      </c>
      <c r="B19" t="s">
        <v>170</v>
      </c>
      <c r="C19" t="s">
        <v>171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0"/>
        <v>115</v>
      </c>
      <c r="L19" s="5">
        <f t="shared" si="1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2"/>
        <v>119.05000000000001</v>
      </c>
      <c r="R19">
        <v>28</v>
      </c>
      <c r="S19">
        <v>31.6</v>
      </c>
      <c r="T19" s="7" t="s">
        <v>175</v>
      </c>
      <c r="U19" s="4">
        <v>5.2</v>
      </c>
      <c r="V19" s="4">
        <v>7.2</v>
      </c>
      <c r="W19" s="4">
        <v>-16</v>
      </c>
      <c r="X19" s="4">
        <v>-29.7</v>
      </c>
      <c r="Z19" s="4">
        <v>1744</v>
      </c>
      <c r="AA19" s="4">
        <v>1753.8333333333333</v>
      </c>
      <c r="AB19" s="4">
        <v>1858.1666666666667</v>
      </c>
      <c r="AC19" s="4">
        <v>13.9</v>
      </c>
      <c r="AD19" s="4">
        <f>AA19/N19</f>
        <v>13.97476759628154</v>
      </c>
      <c r="AE19" s="4">
        <f t="shared" si="3"/>
        <v>14.806108897742364</v>
      </c>
      <c r="AF19" s="4"/>
      <c r="AG19" s="4">
        <f>3*60+25</f>
        <v>205</v>
      </c>
      <c r="AH19">
        <v>3.5</v>
      </c>
      <c r="AI19">
        <v>6</v>
      </c>
      <c r="AJ19">
        <v>19</v>
      </c>
      <c r="AK19">
        <v>159</v>
      </c>
      <c r="AL19" s="1">
        <v>1.1399999999999999</v>
      </c>
      <c r="AM19" s="5">
        <v>70</v>
      </c>
      <c r="AN19" s="1">
        <v>8.9600000000000009</v>
      </c>
      <c r="AO19" s="4">
        <v>3.5</v>
      </c>
      <c r="AP19" s="1">
        <f t="shared" si="4"/>
        <v>13.851121828475572</v>
      </c>
      <c r="AQ19" s="1">
        <f t="shared" si="5"/>
        <v>10.388341371356679</v>
      </c>
      <c r="AR19" s="1">
        <f t="shared" si="6"/>
        <v>99.115221294707837</v>
      </c>
      <c r="AS19" s="1">
        <v>1738.3157894736842</v>
      </c>
      <c r="AT19" s="1">
        <v>1918.0526315789473</v>
      </c>
      <c r="AU19" s="1">
        <v>66.21052631578948</v>
      </c>
      <c r="AV19" s="1">
        <v>1.1063157894736844</v>
      </c>
      <c r="AW19" s="1">
        <v>29.994736842105269</v>
      </c>
      <c r="AY19" s="15">
        <v>123884.22</v>
      </c>
      <c r="AZ19" s="14">
        <v>54932.041879999997</v>
      </c>
      <c r="BA19" s="14">
        <v>66285.17254</v>
      </c>
      <c r="BB19" s="14">
        <v>39515.747750000002</v>
      </c>
      <c r="BD19" s="13"/>
      <c r="BE19" s="13"/>
      <c r="BF19">
        <v>104</v>
      </c>
      <c r="BG19">
        <v>46</v>
      </c>
      <c r="BH19">
        <v>20</v>
      </c>
      <c r="BI19">
        <v>43</v>
      </c>
      <c r="BJ19">
        <v>32</v>
      </c>
      <c r="BK19" s="6" t="s">
        <v>177</v>
      </c>
      <c r="BL19" s="7">
        <v>150</v>
      </c>
      <c r="BM19" s="7">
        <v>275</v>
      </c>
      <c r="BN19">
        <v>253</v>
      </c>
      <c r="BO19">
        <v>1339</v>
      </c>
      <c r="BP19">
        <v>258</v>
      </c>
      <c r="BQ19">
        <v>1426</v>
      </c>
    </row>
    <row r="20" spans="1:69">
      <c r="A20" t="s">
        <v>194</v>
      </c>
      <c r="B20" t="s">
        <v>179</v>
      </c>
      <c r="C20" t="s">
        <v>171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0"/>
        <v>136</v>
      </c>
      <c r="L20" s="5">
        <f t="shared" si="1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2"/>
        <v>113.05</v>
      </c>
      <c r="R20">
        <v>51</v>
      </c>
      <c r="S20">
        <v>4.2</v>
      </c>
      <c r="T20" s="7" t="s">
        <v>175</v>
      </c>
      <c r="U20">
        <v>7.2</v>
      </c>
      <c r="V20" s="4">
        <v>8</v>
      </c>
      <c r="W20" s="7" t="s">
        <v>177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2662.75</v>
      </c>
      <c r="AC20" s="4">
        <v>26.6</v>
      </c>
      <c r="AD20" s="4">
        <f>AA20/N20</f>
        <v>27.127749576988158</v>
      </c>
      <c r="AE20" s="4">
        <f t="shared" si="3"/>
        <v>27.032994923857867</v>
      </c>
      <c r="AF20" s="4"/>
      <c r="AG20" s="4">
        <f>12.5*60</f>
        <v>750</v>
      </c>
      <c r="AH20">
        <v>4.3</v>
      </c>
      <c r="AI20">
        <v>20</v>
      </c>
      <c r="AJ20">
        <v>20</v>
      </c>
      <c r="AK20">
        <v>170</v>
      </c>
      <c r="AL20" s="1">
        <v>1.02</v>
      </c>
      <c r="AM20" s="5">
        <v>92</v>
      </c>
      <c r="AN20" s="1">
        <v>5.25</v>
      </c>
      <c r="AO20" s="4">
        <v>3</v>
      </c>
      <c r="AP20" s="1">
        <f t="shared" si="4"/>
        <v>15.189441624365482</v>
      </c>
      <c r="AQ20" s="1">
        <f t="shared" si="5"/>
        <v>11.392081218274111</v>
      </c>
      <c r="AR20" s="1">
        <f t="shared" si="6"/>
        <v>55.992265710276001</v>
      </c>
      <c r="AS20" s="1">
        <v>1496.16</v>
      </c>
      <c r="AT20" s="1">
        <v>1095.56</v>
      </c>
      <c r="AU20" s="1">
        <v>40.4</v>
      </c>
      <c r="AV20" s="1">
        <v>0.73159999999999992</v>
      </c>
      <c r="AW20" s="1">
        <v>23.875999999999994</v>
      </c>
      <c r="AY20" s="15">
        <v>96478.7</v>
      </c>
      <c r="AZ20" s="14">
        <v>62395.290309999997</v>
      </c>
      <c r="BA20" s="14">
        <v>31412.463070000002</v>
      </c>
      <c r="BB20" s="14">
        <v>21251.014770000002</v>
      </c>
      <c r="BD20" s="13"/>
      <c r="BE20" s="13"/>
      <c r="BF20">
        <v>121</v>
      </c>
      <c r="BG20">
        <v>47</v>
      </c>
      <c r="BH20">
        <v>17</v>
      </c>
      <c r="BI20">
        <v>37</v>
      </c>
      <c r="BJ20">
        <v>34</v>
      </c>
      <c r="BK20" s="6">
        <v>9.9</v>
      </c>
      <c r="BL20" s="7">
        <v>260</v>
      </c>
      <c r="BM20" s="7">
        <v>616</v>
      </c>
      <c r="BN20">
        <v>419</v>
      </c>
      <c r="BO20">
        <v>1551</v>
      </c>
      <c r="BP20">
        <v>381</v>
      </c>
      <c r="BQ20">
        <v>1707</v>
      </c>
    </row>
    <row r="21" spans="1:69">
      <c r="A21" t="s">
        <v>195</v>
      </c>
      <c r="B21" t="s">
        <v>179</v>
      </c>
      <c r="C21" t="s">
        <v>171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0"/>
        <v>167</v>
      </c>
      <c r="L21">
        <f t="shared" si="1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2"/>
        <v>78.349999999999994</v>
      </c>
      <c r="R21" s="5">
        <v>30</v>
      </c>
      <c r="S21">
        <v>3.3</v>
      </c>
      <c r="T21" s="7" t="s">
        <v>175</v>
      </c>
      <c r="U21" s="4">
        <v>2.2000000000000002</v>
      </c>
      <c r="V21" s="4">
        <v>2.9</v>
      </c>
      <c r="W21" s="4">
        <v>3.3</v>
      </c>
      <c r="X21" s="4">
        <v>-5</v>
      </c>
      <c r="Z21" s="4">
        <v>2167.5</v>
      </c>
      <c r="AA21" s="4">
        <v>2187.5833333333335</v>
      </c>
      <c r="AB21" s="4">
        <v>2226</v>
      </c>
      <c r="AC21" s="4">
        <v>36.5</v>
      </c>
      <c r="AD21" s="4">
        <f>AA21/N21</f>
        <v>36.890106801573921</v>
      </c>
      <c r="AE21" s="4">
        <f t="shared" si="3"/>
        <v>37.537942664418217</v>
      </c>
      <c r="AF21" s="4"/>
      <c r="AG21" s="4">
        <f>13*60+35</f>
        <v>815</v>
      </c>
      <c r="AH21">
        <v>4.8</v>
      </c>
      <c r="AI21">
        <v>20</v>
      </c>
      <c r="AJ21">
        <v>19</v>
      </c>
      <c r="AK21">
        <v>166</v>
      </c>
      <c r="AL21" s="1">
        <v>1.1599999999999999</v>
      </c>
      <c r="AM21" s="5">
        <v>87</v>
      </c>
      <c r="AN21" s="1">
        <v>7.86</v>
      </c>
      <c r="AO21" s="4">
        <v>3</v>
      </c>
      <c r="AP21" s="1">
        <f t="shared" si="4"/>
        <v>18.828330522765601</v>
      </c>
      <c r="AQ21" s="1">
        <f t="shared" si="5"/>
        <v>14.121247892074202</v>
      </c>
      <c r="AR21" s="1">
        <f t="shared" si="6"/>
        <v>51.038969944002133</v>
      </c>
      <c r="AS21" s="1">
        <v>1116.52</v>
      </c>
      <c r="AT21" s="1">
        <v>913.2</v>
      </c>
      <c r="AU21" s="1">
        <v>30.4</v>
      </c>
      <c r="AV21" s="1">
        <v>0.81880000000000008</v>
      </c>
      <c r="AW21" s="1">
        <v>27.228000000000005</v>
      </c>
      <c r="AY21" s="15">
        <v>59786.891109999997</v>
      </c>
      <c r="AZ21" s="14">
        <v>36924.660900000003</v>
      </c>
      <c r="BA21" s="14">
        <v>20825.374940000002</v>
      </c>
      <c r="BB21" s="14">
        <v>9984.3160559999997</v>
      </c>
      <c r="BD21" s="13"/>
      <c r="BE21" s="13"/>
      <c r="BF21">
        <v>133</v>
      </c>
      <c r="BG21">
        <v>52</v>
      </c>
      <c r="BH21">
        <v>17</v>
      </c>
      <c r="BI21">
        <v>33</v>
      </c>
      <c r="BJ21">
        <v>25</v>
      </c>
      <c r="BK21" s="4">
        <v>8.6999999999999993</v>
      </c>
      <c r="BL21">
        <v>145</v>
      </c>
      <c r="BM21">
        <v>568</v>
      </c>
      <c r="BN21">
        <v>268</v>
      </c>
      <c r="BO21">
        <v>761</v>
      </c>
      <c r="BP21">
        <v>263</v>
      </c>
      <c r="BQ21">
        <v>738</v>
      </c>
    </row>
    <row r="22" spans="1:69">
      <c r="A22" t="s">
        <v>196</v>
      </c>
      <c r="B22" t="s">
        <v>170</v>
      </c>
      <c r="C22" t="s">
        <v>171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0"/>
        <v>125</v>
      </c>
      <c r="L22">
        <f t="shared" si="1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2"/>
        <v>107.7</v>
      </c>
      <c r="R22">
        <v>29</v>
      </c>
      <c r="S22">
        <v>5.7</v>
      </c>
      <c r="T22" s="7" t="s">
        <v>175</v>
      </c>
      <c r="U22" s="4">
        <v>-17.5</v>
      </c>
      <c r="V22" s="4">
        <v>-15.5</v>
      </c>
      <c r="W22" s="4">
        <v>-49.5</v>
      </c>
      <c r="X22" s="4">
        <v>-60</v>
      </c>
      <c r="Z22" s="4">
        <v>2703.5</v>
      </c>
      <c r="AA22" s="4">
        <v>2634.5833333333335</v>
      </c>
      <c r="AB22" s="4">
        <v>2726.0833333333335</v>
      </c>
      <c r="AC22" s="4">
        <v>29.5</v>
      </c>
      <c r="AD22" s="4">
        <f>AA22/N22</f>
        <v>28.730461650308978</v>
      </c>
      <c r="AE22" s="4">
        <f t="shared" si="3"/>
        <v>29.728280625227193</v>
      </c>
      <c r="AF22" s="4"/>
      <c r="AG22" s="4">
        <f>12*60</f>
        <v>720</v>
      </c>
      <c r="AH22">
        <v>3.8</v>
      </c>
      <c r="AI22">
        <v>20</v>
      </c>
      <c r="AJ22">
        <v>17</v>
      </c>
      <c r="AK22">
        <v>144</v>
      </c>
      <c r="AL22" s="1">
        <v>1.05</v>
      </c>
      <c r="AM22" s="5">
        <v>79</v>
      </c>
      <c r="AN22" s="1">
        <v>3.52</v>
      </c>
      <c r="AO22" s="4">
        <v>3</v>
      </c>
      <c r="AP22" s="1">
        <f t="shared" si="4"/>
        <v>15.236641221374045</v>
      </c>
      <c r="AQ22" s="1">
        <f t="shared" si="5"/>
        <v>11.427480916030534</v>
      </c>
      <c r="AR22" s="1">
        <f t="shared" si="6"/>
        <v>53.033053930096472</v>
      </c>
      <c r="AS22" s="1">
        <v>1397.2</v>
      </c>
      <c r="AT22" s="1">
        <v>1073.52</v>
      </c>
      <c r="AU22" s="1">
        <v>34</v>
      </c>
      <c r="AV22" s="1">
        <v>0.76880000000000015</v>
      </c>
      <c r="AW22" s="1">
        <v>20.227999999999998</v>
      </c>
      <c r="AY22" s="15">
        <v>90898.37</v>
      </c>
      <c r="AZ22" s="14">
        <v>57312.592349999999</v>
      </c>
      <c r="BA22" s="14">
        <v>30492.426530000001</v>
      </c>
      <c r="BB22" s="14">
        <v>20830.70894</v>
      </c>
      <c r="BD22" s="13"/>
      <c r="BE22" s="13"/>
      <c r="BF22">
        <v>119</v>
      </c>
      <c r="BG22">
        <v>43</v>
      </c>
      <c r="BH22">
        <v>5</v>
      </c>
      <c r="BI22">
        <v>11</v>
      </c>
      <c r="BJ22">
        <v>7</v>
      </c>
      <c r="BK22" s="4">
        <v>8</v>
      </c>
      <c r="BL22">
        <v>250</v>
      </c>
      <c r="BM22">
        <v>294</v>
      </c>
      <c r="BN22">
        <v>264</v>
      </c>
      <c r="BO22">
        <v>1098</v>
      </c>
      <c r="BP22">
        <v>293</v>
      </c>
      <c r="BQ22">
        <v>1186</v>
      </c>
    </row>
    <row r="23" spans="1:69">
      <c r="A23" t="s">
        <v>197</v>
      </c>
      <c r="B23" t="s">
        <v>179</v>
      </c>
      <c r="C23" t="s">
        <v>171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0"/>
        <v>149</v>
      </c>
      <c r="L23" s="5">
        <f t="shared" si="1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2"/>
        <v>89.35</v>
      </c>
      <c r="R23">
        <v>58</v>
      </c>
      <c r="S23">
        <v>87.3</v>
      </c>
      <c r="T23" s="7" t="s">
        <v>172</v>
      </c>
      <c r="U23" s="4">
        <v>27.3</v>
      </c>
      <c r="V23" s="4">
        <v>24.5</v>
      </c>
      <c r="W23" s="4">
        <v>19.5</v>
      </c>
      <c r="X23" s="4">
        <v>15</v>
      </c>
      <c r="Z23" s="4">
        <v>4555</v>
      </c>
      <c r="AA23" s="4">
        <v>4632.25</v>
      </c>
      <c r="AB23" s="4">
        <v>4690.5</v>
      </c>
      <c r="AC23" s="4">
        <v>48.6</v>
      </c>
      <c r="AD23" s="4">
        <f>AA23/N23</f>
        <v>49.437033084311629</v>
      </c>
      <c r="AE23" s="4">
        <f t="shared" si="3"/>
        <v>50.058697972251863</v>
      </c>
      <c r="AF23" s="4"/>
      <c r="AG23" s="4">
        <f>16.5*60</f>
        <v>990</v>
      </c>
      <c r="AH23">
        <v>7.3</v>
      </c>
      <c r="AI23">
        <v>20</v>
      </c>
      <c r="AJ23">
        <v>19</v>
      </c>
      <c r="AK23">
        <v>190</v>
      </c>
      <c r="AL23" s="1">
        <v>1.26</v>
      </c>
      <c r="AM23" s="5">
        <v>173</v>
      </c>
      <c r="AN23" s="1">
        <v>10.210000000000001</v>
      </c>
      <c r="AO23" s="4">
        <v>3.5</v>
      </c>
      <c r="AP23" s="1">
        <f t="shared" si="4"/>
        <v>16.912273212379937</v>
      </c>
      <c r="AQ23" s="1">
        <f t="shared" si="5"/>
        <v>12.684204909284952</v>
      </c>
      <c r="AR23" s="1">
        <f t="shared" si="6"/>
        <v>34.209725295482755</v>
      </c>
      <c r="AS23" s="1">
        <v>1584.68</v>
      </c>
      <c r="AT23" s="1">
        <v>1243.28</v>
      </c>
      <c r="AU23" s="1">
        <v>39.880000000000003</v>
      </c>
      <c r="AV23" s="1">
        <v>0.78639999999999999</v>
      </c>
      <c r="AW23" s="1">
        <v>25.872000000000003</v>
      </c>
      <c r="AY23" s="15">
        <v>93561.912110000005</v>
      </c>
      <c r="AZ23" s="14">
        <v>69720.493180000005</v>
      </c>
      <c r="BA23" s="14">
        <v>20244.297640000001</v>
      </c>
      <c r="BB23" s="14">
        <v>10663.689990000001</v>
      </c>
      <c r="BD23" s="13"/>
      <c r="BE23" s="13"/>
      <c r="BF23">
        <v>118</v>
      </c>
      <c r="BG23">
        <v>39</v>
      </c>
      <c r="BH23">
        <v>5</v>
      </c>
      <c r="BI23">
        <v>14</v>
      </c>
      <c r="BJ23">
        <v>9</v>
      </c>
      <c r="BK23" s="4">
        <v>7.5</v>
      </c>
      <c r="BL23">
        <v>390</v>
      </c>
      <c r="BM23">
        <v>855</v>
      </c>
      <c r="BN23">
        <v>850</v>
      </c>
      <c r="BO23">
        <v>2113</v>
      </c>
      <c r="BP23">
        <v>905</v>
      </c>
      <c r="BQ23">
        <v>2049</v>
      </c>
    </row>
    <row r="24" spans="1:69">
      <c r="A24" t="s">
        <v>198</v>
      </c>
      <c r="B24" t="s">
        <v>170</v>
      </c>
      <c r="C24" t="s">
        <v>171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0"/>
        <v>114</v>
      </c>
      <c r="L24" s="5">
        <f t="shared" si="1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2"/>
        <v>90.55</v>
      </c>
      <c r="R24" s="5">
        <v>25</v>
      </c>
      <c r="S24">
        <v>18.8</v>
      </c>
      <c r="T24" s="7" t="s">
        <v>175</v>
      </c>
      <c r="U24" s="4">
        <v>-14.7</v>
      </c>
      <c r="V24" s="4">
        <v>-18</v>
      </c>
      <c r="W24" s="4">
        <v>3.4</v>
      </c>
      <c r="X24" s="4">
        <v>-21</v>
      </c>
      <c r="Z24" s="4">
        <v>2028</v>
      </c>
      <c r="AA24" s="4">
        <v>2049.33</v>
      </c>
      <c r="AB24" s="4">
        <v>2080.5</v>
      </c>
      <c r="AC24" s="4">
        <v>24.6</v>
      </c>
      <c r="AD24" s="4">
        <f>AA24/N24</f>
        <v>24.87050970873786</v>
      </c>
      <c r="AE24" s="4">
        <f t="shared" si="3"/>
        <v>25.248786407766989</v>
      </c>
      <c r="AF24" s="4"/>
      <c r="AG24" s="4">
        <f>10.5*60+5</f>
        <v>635</v>
      </c>
      <c r="AH24">
        <v>3.8</v>
      </c>
      <c r="AI24">
        <v>18</v>
      </c>
      <c r="AJ24">
        <v>17</v>
      </c>
      <c r="AK24">
        <v>172</v>
      </c>
      <c r="AL24" s="1">
        <v>1.1599999999999999</v>
      </c>
      <c r="AM24" s="5">
        <v>78</v>
      </c>
      <c r="AN24" s="1">
        <v>6.92</v>
      </c>
      <c r="AO24" s="4">
        <v>3</v>
      </c>
      <c r="AP24" s="1">
        <f t="shared" si="4"/>
        <v>13.089320388349513</v>
      </c>
      <c r="AQ24" s="1">
        <f t="shared" si="5"/>
        <v>9.816990291262135</v>
      </c>
      <c r="AR24" s="1">
        <f t="shared" si="6"/>
        <v>52.629883913278974</v>
      </c>
      <c r="AS24" s="1">
        <v>1078.56</v>
      </c>
      <c r="AT24" s="1">
        <v>902.64</v>
      </c>
      <c r="AU24" s="1">
        <v>32.64</v>
      </c>
      <c r="AV24" s="1">
        <v>0.8368000000000001</v>
      </c>
      <c r="AW24" s="1">
        <v>21.588000000000001</v>
      </c>
      <c r="AY24" s="15">
        <v>81656.970499999996</v>
      </c>
      <c r="AZ24" s="14">
        <v>42701.58</v>
      </c>
      <c r="BA24" s="14">
        <v>36622.86</v>
      </c>
      <c r="BB24" s="14">
        <v>19029.759999999998</v>
      </c>
      <c r="BD24" s="13"/>
      <c r="BE24" s="13"/>
      <c r="BF24">
        <v>100</v>
      </c>
      <c r="BG24">
        <v>23</v>
      </c>
      <c r="BH24">
        <v>8</v>
      </c>
      <c r="BI24">
        <v>33</v>
      </c>
      <c r="BJ24">
        <v>40</v>
      </c>
      <c r="BK24" s="4">
        <v>7.4</v>
      </c>
      <c r="BL24">
        <v>170</v>
      </c>
      <c r="BM24">
        <v>789</v>
      </c>
      <c r="BN24">
        <v>330</v>
      </c>
      <c r="BO24">
        <v>909</v>
      </c>
      <c r="BP24">
        <v>358</v>
      </c>
      <c r="BQ24">
        <v>949</v>
      </c>
    </row>
    <row r="25" spans="1:69">
      <c r="A25" t="s">
        <v>199</v>
      </c>
      <c r="B25" t="s">
        <v>170</v>
      </c>
      <c r="C25" t="s">
        <v>171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0"/>
        <v>160</v>
      </c>
      <c r="L25" s="5">
        <f t="shared" si="1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2"/>
        <v>111.4</v>
      </c>
      <c r="R25" s="5">
        <v>35</v>
      </c>
      <c r="S25">
        <v>52.5</v>
      </c>
      <c r="T25" s="7" t="s">
        <v>175</v>
      </c>
      <c r="U25">
        <v>1.8</v>
      </c>
      <c r="V25">
        <v>1.7</v>
      </c>
      <c r="W25">
        <v>-2.8</v>
      </c>
      <c r="X25">
        <v>-9.5</v>
      </c>
      <c r="Z25" s="4">
        <v>2871.5</v>
      </c>
      <c r="AA25" s="4">
        <v>2900.75</v>
      </c>
      <c r="AB25" s="4">
        <v>2969.3333333333335</v>
      </c>
      <c r="AC25" s="4">
        <v>27.4</v>
      </c>
      <c r="AD25" s="4">
        <f>AA25/N25</f>
        <v>27.705348615090735</v>
      </c>
      <c r="AE25" s="4">
        <f t="shared" si="3"/>
        <v>28.360394778732889</v>
      </c>
      <c r="AF25" s="4"/>
      <c r="AG25" s="4">
        <f>10*60+15</f>
        <v>615</v>
      </c>
      <c r="AH25">
        <v>4.8</v>
      </c>
      <c r="AI25">
        <v>16</v>
      </c>
      <c r="AJ25">
        <v>19</v>
      </c>
      <c r="AK25">
        <v>196</v>
      </c>
      <c r="AL25" s="1">
        <v>1.26</v>
      </c>
      <c r="AM25" s="5">
        <v>115</v>
      </c>
      <c r="AN25" s="1">
        <v>9.8800000000000008</v>
      </c>
      <c r="AO25" s="4">
        <v>3.5</v>
      </c>
      <c r="AP25" s="1">
        <f t="shared" si="4"/>
        <v>16.617382999044889</v>
      </c>
      <c r="AQ25" s="1">
        <f t="shared" si="5"/>
        <v>12.463037249283666</v>
      </c>
      <c r="AR25" s="1">
        <f t="shared" si="6"/>
        <v>59.97897095578729</v>
      </c>
      <c r="AS25" s="1">
        <v>1739.84</v>
      </c>
      <c r="AT25" s="1">
        <v>1386.36</v>
      </c>
      <c r="AU25" s="1">
        <v>45.12</v>
      </c>
      <c r="AV25" s="1">
        <v>0.79679999999999973</v>
      </c>
      <c r="AW25" s="1">
        <v>25.268000000000001</v>
      </c>
      <c r="AY25" s="15">
        <v>105626.26</v>
      </c>
      <c r="AZ25" s="14">
        <v>57566.921260000003</v>
      </c>
      <c r="BA25" s="14">
        <v>44951.877560000001</v>
      </c>
      <c r="BB25" s="14">
        <v>26329.804789999998</v>
      </c>
      <c r="BD25" s="13"/>
      <c r="BE25" s="13"/>
      <c r="BF25">
        <v>118</v>
      </c>
      <c r="BG25">
        <v>26</v>
      </c>
      <c r="BH25">
        <v>10</v>
      </c>
      <c r="BI25">
        <v>39</v>
      </c>
      <c r="BJ25">
        <v>44</v>
      </c>
      <c r="BK25" s="4">
        <v>7.2</v>
      </c>
      <c r="BL25">
        <v>245</v>
      </c>
      <c r="BM25">
        <v>412</v>
      </c>
      <c r="BN25">
        <v>418</v>
      </c>
      <c r="BO25">
        <v>1541</v>
      </c>
      <c r="BP25">
        <v>396</v>
      </c>
      <c r="BQ25">
        <v>1423</v>
      </c>
    </row>
    <row r="26" spans="1:69">
      <c r="A26" t="s">
        <v>200</v>
      </c>
      <c r="B26" t="s">
        <v>179</v>
      </c>
      <c r="C26" t="s">
        <v>171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0"/>
        <v>166.5</v>
      </c>
      <c r="L26">
        <f t="shared" si="1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2"/>
        <v>88.75</v>
      </c>
      <c r="R26" s="5">
        <v>53</v>
      </c>
      <c r="S26" s="4">
        <v>65</v>
      </c>
      <c r="T26" s="7" t="s">
        <v>172</v>
      </c>
      <c r="U26" s="4">
        <v>8</v>
      </c>
      <c r="V26" s="4">
        <v>8.5</v>
      </c>
      <c r="W26" s="4">
        <v>7.5</v>
      </c>
      <c r="X26" s="4">
        <v>3.5</v>
      </c>
      <c r="Z26" s="4">
        <v>2983</v>
      </c>
      <c r="AA26" s="4">
        <v>3035.0833333333335</v>
      </c>
      <c r="AB26" s="4">
        <v>3116</v>
      </c>
      <c r="AC26" s="4">
        <v>37.200000000000003</v>
      </c>
      <c r="AD26" s="4">
        <f>AA26/N26</f>
        <v>37.843931837073981</v>
      </c>
      <c r="AE26" s="4">
        <f t="shared" si="3"/>
        <v>38.852867830423939</v>
      </c>
      <c r="AF26" s="4"/>
      <c r="AG26" s="4">
        <f>14*60+5</f>
        <v>845</v>
      </c>
      <c r="AH26">
        <v>4.8</v>
      </c>
      <c r="AI26">
        <v>20</v>
      </c>
      <c r="AJ26">
        <v>20</v>
      </c>
      <c r="AK26" s="7" t="s">
        <v>177</v>
      </c>
      <c r="AL26" s="1">
        <v>1.33</v>
      </c>
      <c r="AM26" s="5">
        <v>155</v>
      </c>
      <c r="AN26" s="1">
        <v>9.93</v>
      </c>
      <c r="AO26" s="4">
        <v>3</v>
      </c>
      <c r="AP26" s="1">
        <f t="shared" si="4"/>
        <v>16.990024937655857</v>
      </c>
      <c r="AQ26" s="1">
        <f t="shared" si="5"/>
        <v>12.742518703241892</v>
      </c>
      <c r="AR26" s="1">
        <f t="shared" si="6"/>
        <v>44.894978171933772</v>
      </c>
      <c r="AS26" s="1">
        <v>1362.6</v>
      </c>
      <c r="AT26" s="1">
        <v>1215.44</v>
      </c>
      <c r="AU26" s="1">
        <v>40.68</v>
      </c>
      <c r="AV26" s="1">
        <v>0.89439999999999997</v>
      </c>
      <c r="AW26" s="1">
        <v>22.772000000000002</v>
      </c>
      <c r="AY26" s="15">
        <v>79257.789980000001</v>
      </c>
      <c r="AZ26" s="14">
        <v>54357.578750000001</v>
      </c>
      <c r="BA26" s="14">
        <v>21705.344450000001</v>
      </c>
      <c r="BB26" s="14">
        <v>12077.385469999999</v>
      </c>
      <c r="BD26" s="13"/>
      <c r="BE26" s="13"/>
      <c r="BF26">
        <v>123</v>
      </c>
      <c r="BG26">
        <v>38</v>
      </c>
      <c r="BH26">
        <v>9</v>
      </c>
      <c r="BI26">
        <v>24</v>
      </c>
      <c r="BJ26">
        <v>15</v>
      </c>
      <c r="BK26" s="4">
        <v>7.2</v>
      </c>
      <c r="BL26">
        <v>280</v>
      </c>
      <c r="BM26">
        <v>589</v>
      </c>
      <c r="BN26">
        <v>480</v>
      </c>
      <c r="BO26">
        <v>1326</v>
      </c>
      <c r="BP26">
        <v>460</v>
      </c>
      <c r="BQ26">
        <v>1312</v>
      </c>
    </row>
    <row r="27" spans="1:69">
      <c r="A27" t="s">
        <v>201</v>
      </c>
      <c r="B27" t="s">
        <v>179</v>
      </c>
      <c r="C27" t="s">
        <v>171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0"/>
        <v>154</v>
      </c>
      <c r="L27">
        <f t="shared" si="1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2"/>
        <v>85</v>
      </c>
      <c r="R27" s="5">
        <v>21</v>
      </c>
      <c r="S27" s="4">
        <v>66</v>
      </c>
      <c r="T27" s="7" t="s">
        <v>172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1940</v>
      </c>
      <c r="AB27" s="4">
        <v>1971.6666666666667</v>
      </c>
      <c r="AC27" s="4">
        <v>25.8</v>
      </c>
      <c r="AD27" s="4">
        <f>AA27/N27</f>
        <v>25.661375661375665</v>
      </c>
      <c r="AE27" s="4">
        <f t="shared" si="3"/>
        <v>26.08024691358025</v>
      </c>
      <c r="AF27" s="4"/>
      <c r="AG27">
        <f>60*11+50</f>
        <v>710</v>
      </c>
      <c r="AH27">
        <v>3.8</v>
      </c>
      <c r="AI27">
        <v>18</v>
      </c>
      <c r="AJ27">
        <v>20</v>
      </c>
      <c r="AK27">
        <v>170</v>
      </c>
      <c r="AL27" s="1">
        <v>1.1499999999999999</v>
      </c>
      <c r="AM27" s="5">
        <v>69</v>
      </c>
      <c r="AN27" s="1">
        <v>5.7</v>
      </c>
      <c r="AO27" s="4">
        <v>3</v>
      </c>
      <c r="AP27" s="1">
        <f t="shared" si="4"/>
        <v>14.352380952380953</v>
      </c>
      <c r="AQ27" s="1">
        <f t="shared" si="5"/>
        <v>10.764285714285714</v>
      </c>
      <c r="AR27" s="1">
        <f t="shared" si="6"/>
        <v>55.929896907216495</v>
      </c>
      <c r="AS27" s="1">
        <v>1085.04</v>
      </c>
      <c r="AT27" s="1">
        <v>903.76</v>
      </c>
      <c r="AU27" s="1">
        <v>30.2</v>
      </c>
      <c r="AV27" s="1">
        <v>0.83279999999999987</v>
      </c>
      <c r="AW27" s="1">
        <v>21.475999999999999</v>
      </c>
      <c r="AY27" s="15">
        <v>75715.09</v>
      </c>
      <c r="AZ27" s="14">
        <v>41266.961259999996</v>
      </c>
      <c r="BA27" s="14">
        <v>32618.593929999999</v>
      </c>
      <c r="BB27" s="14">
        <v>16043.331039999999</v>
      </c>
      <c r="BD27" s="13"/>
      <c r="BE27" s="13"/>
      <c r="BF27">
        <v>136</v>
      </c>
      <c r="BG27">
        <v>58</v>
      </c>
      <c r="BH27">
        <v>14</v>
      </c>
      <c r="BI27">
        <v>25</v>
      </c>
      <c r="BJ27">
        <v>17</v>
      </c>
      <c r="BK27" s="4">
        <v>8.1</v>
      </c>
      <c r="BL27">
        <v>175</v>
      </c>
      <c r="BM27">
        <v>171</v>
      </c>
      <c r="BN27">
        <v>240</v>
      </c>
      <c r="BO27">
        <v>909</v>
      </c>
      <c r="BP27">
        <v>238</v>
      </c>
      <c r="BQ27">
        <v>910</v>
      </c>
    </row>
    <row r="28" spans="1:69">
      <c r="A28" t="s">
        <v>202</v>
      </c>
      <c r="B28" t="s">
        <v>170</v>
      </c>
      <c r="C28" t="s">
        <v>171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0"/>
        <v>111</v>
      </c>
      <c r="L28" s="5">
        <f t="shared" si="1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2"/>
        <v>101.25</v>
      </c>
      <c r="R28" s="5">
        <v>51</v>
      </c>
      <c r="S28">
        <v>68.5</v>
      </c>
      <c r="T28" s="7" t="s">
        <v>172</v>
      </c>
      <c r="U28" s="4">
        <v>-3</v>
      </c>
      <c r="V28" s="4">
        <v>-7.5</v>
      </c>
      <c r="W28" s="4">
        <v>2</v>
      </c>
      <c r="X28" s="4">
        <v>1</v>
      </c>
      <c r="Z28" s="4">
        <v>3234</v>
      </c>
      <c r="AA28" s="4">
        <v>3326.0833333333335</v>
      </c>
      <c r="AB28" s="4">
        <v>3338</v>
      </c>
      <c r="AC28" s="4">
        <v>34.65</v>
      </c>
      <c r="AD28" s="4">
        <f>AA28/N28</f>
        <v>35.611170592433972</v>
      </c>
      <c r="AE28" s="4">
        <f t="shared" si="3"/>
        <v>35.738758029978584</v>
      </c>
      <c r="AF28" s="4"/>
      <c r="AG28" s="4">
        <f>12*60+40</f>
        <v>760</v>
      </c>
      <c r="AH28">
        <v>5.3</v>
      </c>
      <c r="AI28">
        <v>20</v>
      </c>
      <c r="AJ28">
        <v>19</v>
      </c>
      <c r="AK28">
        <v>179</v>
      </c>
      <c r="AL28" s="1">
        <v>1.17</v>
      </c>
      <c r="AM28" s="5">
        <v>111</v>
      </c>
      <c r="AN28" s="1">
        <v>7.52</v>
      </c>
      <c r="AO28" s="4">
        <v>3.5</v>
      </c>
      <c r="AP28" s="1">
        <f t="shared" si="4"/>
        <v>12.367880085653105</v>
      </c>
      <c r="AQ28" s="1">
        <f t="shared" si="5"/>
        <v>9.2759100642398291</v>
      </c>
      <c r="AR28" s="1">
        <f t="shared" si="6"/>
        <v>34.730338486207501</v>
      </c>
      <c r="AS28" s="1">
        <v>1155.1600000000001</v>
      </c>
      <c r="AT28" s="1">
        <v>1000.2</v>
      </c>
      <c r="AU28" s="1">
        <v>32.880000000000003</v>
      </c>
      <c r="AV28" s="1">
        <v>0.8655999999999997</v>
      </c>
      <c r="AW28" s="1">
        <v>27.244</v>
      </c>
      <c r="AY28" s="15">
        <v>93997.94</v>
      </c>
      <c r="AZ28" s="14">
        <v>68243.623789999998</v>
      </c>
      <c r="BA28" s="14">
        <v>22576.9139</v>
      </c>
      <c r="BB28" s="14">
        <v>12709.041380000001</v>
      </c>
      <c r="BD28" s="13"/>
      <c r="BE28" s="13"/>
      <c r="BF28">
        <v>102</v>
      </c>
      <c r="BG28">
        <v>45</v>
      </c>
      <c r="BH28">
        <v>7</v>
      </c>
      <c r="BI28">
        <v>15</v>
      </c>
      <c r="BJ28">
        <v>1</v>
      </c>
      <c r="BK28" s="4">
        <v>6</v>
      </c>
      <c r="BL28">
        <v>225</v>
      </c>
      <c r="BM28">
        <v>977</v>
      </c>
      <c r="BN28">
        <v>472</v>
      </c>
      <c r="BO28">
        <v>1193</v>
      </c>
      <c r="BP28">
        <v>487</v>
      </c>
      <c r="BQ28">
        <v>1276</v>
      </c>
    </row>
    <row r="29" spans="1:69">
      <c r="A29" t="s">
        <v>203</v>
      </c>
      <c r="B29" t="s">
        <v>179</v>
      </c>
      <c r="C29" t="s">
        <v>171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0"/>
        <v>124</v>
      </c>
      <c r="L29">
        <f t="shared" si="1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2"/>
        <v>90.05</v>
      </c>
      <c r="R29">
        <v>38</v>
      </c>
      <c r="S29">
        <v>73.7</v>
      </c>
      <c r="T29" s="7" t="s">
        <v>172</v>
      </c>
      <c r="U29" s="4">
        <v>17.3</v>
      </c>
      <c r="V29" s="4">
        <v>17.8</v>
      </c>
      <c r="W29" s="4">
        <v>6.3</v>
      </c>
      <c r="X29" s="4">
        <v>2.2999999999999998</v>
      </c>
      <c r="Z29" s="4">
        <v>2729</v>
      </c>
      <c r="AA29" s="4">
        <v>2756.1666666666665</v>
      </c>
      <c r="AB29" s="4">
        <v>2848</v>
      </c>
      <c r="AC29" s="4">
        <v>31.8</v>
      </c>
      <c r="AD29" s="4">
        <f>AA29/N29</f>
        <v>32.123154623154619</v>
      </c>
      <c r="AE29" s="4">
        <f t="shared" si="3"/>
        <v>33.193473193473196</v>
      </c>
      <c r="AF29" s="4"/>
      <c r="AG29" s="4">
        <f>12*60</f>
        <v>720</v>
      </c>
      <c r="AH29">
        <v>4.8</v>
      </c>
      <c r="AI29">
        <v>20</v>
      </c>
      <c r="AJ29">
        <v>19</v>
      </c>
      <c r="AK29">
        <v>189</v>
      </c>
      <c r="AL29" s="1">
        <v>1.23</v>
      </c>
      <c r="AM29" s="5">
        <v>95</v>
      </c>
      <c r="AN29" s="1">
        <v>9.27</v>
      </c>
      <c r="AO29" s="4">
        <v>3.5</v>
      </c>
      <c r="AP29" s="1">
        <f t="shared" si="4"/>
        <v>16.337529137529138</v>
      </c>
      <c r="AQ29" s="1">
        <f t="shared" si="5"/>
        <v>12.253146853146854</v>
      </c>
      <c r="AR29" s="1">
        <f t="shared" si="6"/>
        <v>50.859043357319955</v>
      </c>
      <c r="AS29" s="1">
        <v>1401.76</v>
      </c>
      <c r="AT29" s="1">
        <v>1153.68</v>
      </c>
      <c r="AU29" s="1">
        <v>34.840000000000003</v>
      </c>
      <c r="AV29" s="1">
        <v>0.8248000000000002</v>
      </c>
      <c r="AW29" s="1">
        <v>22.971999999999998</v>
      </c>
      <c r="AY29" s="15">
        <v>85828.390270000004</v>
      </c>
      <c r="AZ29" s="14">
        <v>48248.861250000002</v>
      </c>
      <c r="BA29" s="14">
        <v>35113.285960000001</v>
      </c>
      <c r="BB29" s="14">
        <v>16707.703570000001</v>
      </c>
      <c r="BD29" s="13"/>
      <c r="BE29" s="13"/>
      <c r="BF29">
        <v>109</v>
      </c>
      <c r="BG29">
        <v>34</v>
      </c>
      <c r="BH29">
        <v>17</v>
      </c>
      <c r="BI29">
        <v>49</v>
      </c>
      <c r="BJ29">
        <v>39</v>
      </c>
      <c r="BK29" s="4">
        <v>6.7</v>
      </c>
      <c r="BL29">
        <v>205</v>
      </c>
      <c r="BM29">
        <v>473</v>
      </c>
      <c r="BN29">
        <v>345</v>
      </c>
      <c r="BO29">
        <v>1332</v>
      </c>
      <c r="BP29">
        <v>341</v>
      </c>
      <c r="BQ29">
        <v>1275</v>
      </c>
    </row>
    <row r="30" spans="1:69">
      <c r="A30" t="s">
        <v>204</v>
      </c>
      <c r="B30" t="s">
        <v>179</v>
      </c>
      <c r="C30" t="s">
        <v>171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0"/>
        <v>166.5</v>
      </c>
      <c r="L30" s="5">
        <f t="shared" si="1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2"/>
        <v>98.2</v>
      </c>
      <c r="R30">
        <v>59</v>
      </c>
      <c r="S30">
        <v>66.599999999999994</v>
      </c>
      <c r="T30" s="7" t="s">
        <v>172</v>
      </c>
      <c r="U30" s="4">
        <v>12.3</v>
      </c>
      <c r="V30" s="4">
        <v>12.8</v>
      </c>
      <c r="W30" s="4">
        <v>-10.4</v>
      </c>
      <c r="X30" s="4">
        <v>-4.5</v>
      </c>
      <c r="Z30" s="4">
        <v>3931</v>
      </c>
      <c r="AA30" s="4">
        <v>3868.9166666666665</v>
      </c>
      <c r="AB30" s="4">
        <v>4048.5</v>
      </c>
      <c r="AC30" s="4">
        <v>37.01</v>
      </c>
      <c r="AD30" s="4">
        <f>AA30/N30</f>
        <v>36.430477087256747</v>
      </c>
      <c r="AE30" s="4">
        <f t="shared" si="3"/>
        <v>38.121468926553675</v>
      </c>
      <c r="AF30" s="4"/>
      <c r="AG30" s="4">
        <f>12.5*60</f>
        <v>750</v>
      </c>
      <c r="AH30">
        <v>5.3</v>
      </c>
      <c r="AI30">
        <v>20</v>
      </c>
      <c r="AJ30">
        <v>17</v>
      </c>
      <c r="AK30">
        <v>182</v>
      </c>
      <c r="AL30" s="1">
        <v>1.1499999999999999</v>
      </c>
      <c r="AM30" s="5">
        <v>139</v>
      </c>
      <c r="AN30" s="1">
        <v>9.33</v>
      </c>
      <c r="AO30" s="4">
        <v>3.5</v>
      </c>
      <c r="AP30" s="1">
        <f t="shared" si="4"/>
        <v>16.370621468926554</v>
      </c>
      <c r="AQ30" s="1">
        <f t="shared" si="5"/>
        <v>12.277966101694915</v>
      </c>
      <c r="AR30" s="1">
        <f t="shared" si="6"/>
        <v>44.936610162190107</v>
      </c>
      <c r="AS30" s="1">
        <v>1738.56</v>
      </c>
      <c r="AT30" s="1">
        <v>1473.84</v>
      </c>
      <c r="AU30" s="1">
        <v>43.88</v>
      </c>
      <c r="AV30" s="1">
        <v>0.84920000000000018</v>
      </c>
      <c r="AW30" s="1">
        <v>13.048000000000002</v>
      </c>
      <c r="AY30" s="15">
        <v>106191.71</v>
      </c>
      <c r="AZ30" s="14">
        <v>72643.926630000002</v>
      </c>
      <c r="BA30" s="14">
        <v>30439.40625</v>
      </c>
      <c r="BB30" s="14">
        <v>18224.91992</v>
      </c>
      <c r="BD30" s="13"/>
      <c r="BE30" s="13"/>
      <c r="BF30">
        <v>147</v>
      </c>
      <c r="BG30">
        <v>40</v>
      </c>
      <c r="BH30">
        <v>9</v>
      </c>
      <c r="BI30">
        <v>22</v>
      </c>
      <c r="BJ30">
        <v>24</v>
      </c>
      <c r="BK30" s="4">
        <v>7.2</v>
      </c>
      <c r="BL30">
        <v>530</v>
      </c>
      <c r="BM30">
        <v>1186</v>
      </c>
      <c r="BN30">
        <v>660</v>
      </c>
      <c r="BO30">
        <v>2399</v>
      </c>
      <c r="BP30">
        <v>712</v>
      </c>
      <c r="BQ30">
        <v>2566</v>
      </c>
    </row>
    <row r="31" spans="1:69">
      <c r="A31" t="s">
        <v>205</v>
      </c>
      <c r="B31" t="s">
        <v>170</v>
      </c>
      <c r="C31" t="s">
        <v>171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0"/>
        <v>137.5</v>
      </c>
      <c r="L31" s="5">
        <f t="shared" si="1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2"/>
        <v>102.25</v>
      </c>
      <c r="R31" s="5">
        <v>21</v>
      </c>
      <c r="S31">
        <v>3.6</v>
      </c>
      <c r="T31" s="7" t="s">
        <v>175</v>
      </c>
      <c r="U31" s="4">
        <v>-3.5</v>
      </c>
      <c r="V31" s="4">
        <v>-5.5</v>
      </c>
      <c r="W31" s="4">
        <v>-12</v>
      </c>
      <c r="X31" s="4">
        <v>-15</v>
      </c>
      <c r="Z31" s="4">
        <v>2062</v>
      </c>
      <c r="AA31" s="4">
        <v>2062.9166666666665</v>
      </c>
      <c r="AB31" s="4">
        <v>2116.5</v>
      </c>
      <c r="AC31" s="4">
        <v>25.8</v>
      </c>
      <c r="AD31" s="4">
        <f>AA31/N31</f>
        <v>25.818731748018351</v>
      </c>
      <c r="AE31" s="4">
        <f t="shared" si="3"/>
        <v>26.489361702127656</v>
      </c>
      <c r="AF31" s="4"/>
      <c r="AG31" s="4">
        <f>11*60+15</f>
        <v>675</v>
      </c>
      <c r="AH31">
        <v>3.8</v>
      </c>
      <c r="AI31">
        <v>18</v>
      </c>
      <c r="AJ31">
        <v>20</v>
      </c>
      <c r="AK31">
        <v>163</v>
      </c>
      <c r="AL31" s="1">
        <v>1.07</v>
      </c>
      <c r="AM31" s="5">
        <v>64</v>
      </c>
      <c r="AN31" s="1">
        <v>5.15</v>
      </c>
      <c r="AO31" s="4">
        <v>3</v>
      </c>
      <c r="AP31" s="1">
        <f t="shared" si="4"/>
        <v>14.391989987484356</v>
      </c>
      <c r="AQ31" s="1">
        <f t="shared" si="5"/>
        <v>10.793992490613267</v>
      </c>
      <c r="AR31" s="1">
        <f t="shared" si="6"/>
        <v>55.742435871541105</v>
      </c>
      <c r="AS31" s="1">
        <v>1149.92</v>
      </c>
      <c r="AT31" s="1">
        <v>856.72</v>
      </c>
      <c r="AU31" s="1">
        <v>25</v>
      </c>
      <c r="AV31" s="1">
        <v>0.74560000000000004</v>
      </c>
      <c r="AW31" s="1">
        <v>15.903999999999998</v>
      </c>
      <c r="AY31" s="15">
        <v>80005.08</v>
      </c>
      <c r="AZ31" s="14">
        <v>42999.722580000001</v>
      </c>
      <c r="BA31" s="14">
        <v>34576.931360000002</v>
      </c>
      <c r="BB31" s="14">
        <v>19489.5268</v>
      </c>
      <c r="BD31" s="13"/>
      <c r="BE31" s="13"/>
      <c r="BF31">
        <v>127</v>
      </c>
      <c r="BG31">
        <v>41</v>
      </c>
      <c r="BH31">
        <v>12</v>
      </c>
      <c r="BI31">
        <v>28</v>
      </c>
      <c r="BJ31">
        <v>26</v>
      </c>
      <c r="BK31" s="4">
        <v>7.6</v>
      </c>
      <c r="BL31">
        <v>150</v>
      </c>
      <c r="BM31">
        <v>280</v>
      </c>
      <c r="BN31">
        <v>172</v>
      </c>
      <c r="BO31">
        <v>1164</v>
      </c>
      <c r="BP31" s="10">
        <v>1255</v>
      </c>
      <c r="BQ31" s="10">
        <v>9861</v>
      </c>
    </row>
    <row r="32" spans="1:69">
      <c r="A32" t="s">
        <v>206</v>
      </c>
      <c r="B32" t="s">
        <v>170</v>
      </c>
      <c r="C32" t="s">
        <v>171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0"/>
        <v>149.5</v>
      </c>
      <c r="L32" s="5">
        <f t="shared" si="1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2"/>
        <v>104.25</v>
      </c>
      <c r="R32">
        <v>22</v>
      </c>
      <c r="S32">
        <v>47.1</v>
      </c>
      <c r="T32" s="7" t="s">
        <v>175</v>
      </c>
      <c r="U32" s="4">
        <v>7</v>
      </c>
      <c r="V32" s="4">
        <v>10.5</v>
      </c>
      <c r="W32" s="4">
        <v>-7</v>
      </c>
      <c r="X32" s="4">
        <v>-8</v>
      </c>
      <c r="Z32" s="4">
        <v>1790</v>
      </c>
      <c r="AA32" s="4">
        <v>1802.1666666666667</v>
      </c>
      <c r="AB32" s="4">
        <v>1865.8333333333333</v>
      </c>
      <c r="AC32" s="4">
        <v>21.2</v>
      </c>
      <c r="AD32" s="4">
        <f>AA32/N32</f>
        <v>21.302206461780933</v>
      </c>
      <c r="AE32" s="4">
        <f t="shared" si="3"/>
        <v>22.054767533490939</v>
      </c>
      <c r="AF32" s="4"/>
      <c r="AG32" s="4">
        <f>9*60+5</f>
        <v>545</v>
      </c>
      <c r="AH32">
        <v>3.8</v>
      </c>
      <c r="AI32">
        <v>14</v>
      </c>
      <c r="AJ32">
        <v>15</v>
      </c>
      <c r="AK32">
        <v>182</v>
      </c>
      <c r="AL32" s="1">
        <v>1.27</v>
      </c>
      <c r="AM32" s="5">
        <v>71</v>
      </c>
      <c r="AN32" s="1">
        <v>6.26</v>
      </c>
      <c r="AO32" s="4">
        <v>3</v>
      </c>
      <c r="AP32" s="1">
        <f t="shared" si="4"/>
        <v>14.688416075650121</v>
      </c>
      <c r="AQ32" s="1">
        <f t="shared" si="5"/>
        <v>11.01631205673759</v>
      </c>
      <c r="AR32" s="1">
        <f t="shared" si="6"/>
        <v>68.952557107185797</v>
      </c>
      <c r="AS32" s="1">
        <v>1242.6400000000001</v>
      </c>
      <c r="AT32" s="1">
        <v>1098.28</v>
      </c>
      <c r="AU32" s="1">
        <v>34.04</v>
      </c>
      <c r="AV32" s="1">
        <v>0.88519999999999999</v>
      </c>
      <c r="AW32" s="1">
        <v>23.624000000000002</v>
      </c>
      <c r="AY32" s="15">
        <v>82501.673859999995</v>
      </c>
      <c r="AZ32" s="14">
        <v>41592.03901</v>
      </c>
      <c r="BA32" s="14">
        <v>38685.510090000003</v>
      </c>
      <c r="BB32" s="14">
        <v>19489.5268</v>
      </c>
      <c r="BD32" s="13"/>
      <c r="BE32" s="13"/>
      <c r="BF32">
        <v>112</v>
      </c>
      <c r="BG32">
        <v>29</v>
      </c>
      <c r="BH32">
        <v>9</v>
      </c>
      <c r="BI32">
        <v>31</v>
      </c>
      <c r="BJ32">
        <v>35</v>
      </c>
      <c r="BK32" s="4">
        <v>8.4</v>
      </c>
      <c r="BL32">
        <v>150</v>
      </c>
      <c r="BM32">
        <v>304</v>
      </c>
      <c r="BN32">
        <v>260</v>
      </c>
      <c r="BO32">
        <v>973</v>
      </c>
      <c r="BP32">
        <v>279</v>
      </c>
      <c r="BQ32">
        <v>1077</v>
      </c>
    </row>
    <row r="33" spans="1:69">
      <c r="A33" t="s">
        <v>207</v>
      </c>
      <c r="B33" t="s">
        <v>179</v>
      </c>
      <c r="C33" t="s">
        <v>171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0"/>
        <v>141.5</v>
      </c>
      <c r="L33" s="5">
        <f t="shared" si="1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2"/>
        <v>90</v>
      </c>
      <c r="R33" s="5">
        <v>42</v>
      </c>
      <c r="S33">
        <v>28.3</v>
      </c>
      <c r="T33" s="7" t="s">
        <v>175</v>
      </c>
      <c r="U33" s="4">
        <v>3.2</v>
      </c>
      <c r="V33" s="4">
        <v>7.9</v>
      </c>
      <c r="W33" s="4">
        <v>-18.2</v>
      </c>
      <c r="X33" s="4">
        <v>-14.4</v>
      </c>
      <c r="Z33" s="4">
        <v>2223</v>
      </c>
      <c r="AA33" s="4">
        <v>2240.25</v>
      </c>
      <c r="AB33" s="4">
        <v>2246.6666666666665</v>
      </c>
      <c r="AC33" s="4">
        <v>31.55</v>
      </c>
      <c r="AD33" s="4">
        <f>AA33/N33</f>
        <v>31.821732954545453</v>
      </c>
      <c r="AE33" s="4">
        <f t="shared" si="3"/>
        <v>31.912878787878782</v>
      </c>
      <c r="AF33" s="4"/>
      <c r="AG33" s="4">
        <f>14*60</f>
        <v>840</v>
      </c>
      <c r="AH33">
        <v>4.8</v>
      </c>
      <c r="AI33">
        <v>20</v>
      </c>
      <c r="AJ33">
        <v>17</v>
      </c>
      <c r="AK33">
        <v>186</v>
      </c>
      <c r="AL33" s="1">
        <v>1.24</v>
      </c>
      <c r="AM33" s="5">
        <v>99</v>
      </c>
      <c r="AN33" s="1">
        <v>10.72</v>
      </c>
      <c r="AO33" s="4">
        <v>3</v>
      </c>
      <c r="AP33" s="1">
        <f t="shared" si="4"/>
        <v>15.274431818181816</v>
      </c>
      <c r="AQ33" s="1">
        <f t="shared" si="5"/>
        <v>11.455823863636361</v>
      </c>
      <c r="AR33" s="1">
        <f t="shared" si="6"/>
        <v>48</v>
      </c>
      <c r="AS33" s="1">
        <v>1075.32</v>
      </c>
      <c r="AT33" s="1">
        <v>896.52</v>
      </c>
      <c r="AU33" s="1">
        <v>31.64</v>
      </c>
      <c r="AV33" s="1">
        <v>0.83480000000000021</v>
      </c>
      <c r="AW33" s="1">
        <v>20.428000000000001</v>
      </c>
      <c r="AY33" s="15">
        <v>69345.164600000004</v>
      </c>
      <c r="AZ33" s="14">
        <v>45775.563679999999</v>
      </c>
      <c r="BA33" s="14">
        <v>21246.33656</v>
      </c>
      <c r="BB33" s="14">
        <v>12388.41488</v>
      </c>
      <c r="BD33" s="13"/>
      <c r="BE33" s="13"/>
      <c r="BF33">
        <v>112</v>
      </c>
      <c r="BG33">
        <v>30</v>
      </c>
      <c r="BH33">
        <v>0</v>
      </c>
      <c r="BI33">
        <v>1</v>
      </c>
      <c r="BJ33">
        <v>5</v>
      </c>
      <c r="BK33" s="4">
        <v>8.1</v>
      </c>
      <c r="BL33">
        <v>260</v>
      </c>
      <c r="BM33">
        <v>227</v>
      </c>
      <c r="BN33">
        <v>300</v>
      </c>
      <c r="BO33">
        <v>1789</v>
      </c>
      <c r="BP33">
        <v>298</v>
      </c>
      <c r="BQ33">
        <v>1376</v>
      </c>
    </row>
    <row r="34" spans="1:69">
      <c r="A34" t="s">
        <v>208</v>
      </c>
      <c r="B34" t="s">
        <v>179</v>
      </c>
      <c r="C34" t="s">
        <v>171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0"/>
        <v>137</v>
      </c>
      <c r="L34">
        <f t="shared" si="1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2"/>
        <v>100.2</v>
      </c>
      <c r="R34" s="5">
        <v>53</v>
      </c>
      <c r="S34">
        <v>73.5</v>
      </c>
      <c r="T34" s="7" t="s">
        <v>172</v>
      </c>
      <c r="U34" s="4">
        <v>-10.5</v>
      </c>
      <c r="V34" s="4">
        <v>0</v>
      </c>
      <c r="W34" s="4">
        <v>-7.3</v>
      </c>
      <c r="X34" s="4">
        <v>-21.5</v>
      </c>
      <c r="Z34" s="4">
        <v>3195</v>
      </c>
      <c r="AA34" s="4">
        <v>3184.9166666666665</v>
      </c>
      <c r="AB34" s="4">
        <v>3208.1666666666665</v>
      </c>
      <c r="AC34" s="4">
        <v>35.25</v>
      </c>
      <c r="AD34" s="4">
        <f>AA34/N34</f>
        <v>35.153605592347311</v>
      </c>
      <c r="AE34" s="4">
        <f t="shared" si="3"/>
        <v>35.410228108903603</v>
      </c>
      <c r="AF34" s="4"/>
      <c r="AG34" s="4">
        <f>12*60+10</f>
        <v>730</v>
      </c>
      <c r="AH34">
        <v>5.3</v>
      </c>
      <c r="AI34">
        <v>20</v>
      </c>
      <c r="AJ34">
        <v>20</v>
      </c>
      <c r="AK34">
        <v>191</v>
      </c>
      <c r="AL34" s="1">
        <v>1.17</v>
      </c>
      <c r="AM34" s="5">
        <v>101</v>
      </c>
      <c r="AN34" s="1">
        <v>9.4499999999999993</v>
      </c>
      <c r="AO34" s="4">
        <v>3.5</v>
      </c>
      <c r="AP34" s="1">
        <f t="shared" si="4"/>
        <v>13.621192052980133</v>
      </c>
      <c r="AQ34" s="1">
        <f t="shared" si="5"/>
        <v>10.215894039735099</v>
      </c>
      <c r="AR34" s="1">
        <f t="shared" si="6"/>
        <v>38.747638609068787</v>
      </c>
      <c r="AS34" s="1">
        <v>1234.08</v>
      </c>
      <c r="AT34" s="1">
        <v>976.72</v>
      </c>
      <c r="AU34" s="1">
        <v>29.92</v>
      </c>
      <c r="AV34" s="1">
        <v>0.79239999999999977</v>
      </c>
      <c r="AW34" s="1">
        <v>18.984000000000002</v>
      </c>
      <c r="AY34" s="15">
        <v>90465.1</v>
      </c>
      <c r="AZ34" s="14">
        <v>51080.56882</v>
      </c>
      <c r="BA34" s="14">
        <v>36377.004240000002</v>
      </c>
      <c r="BB34" s="14">
        <v>22736.979630000002</v>
      </c>
      <c r="BD34" s="13"/>
      <c r="BE34" s="13"/>
      <c r="BF34">
        <v>126</v>
      </c>
      <c r="BG34">
        <v>35</v>
      </c>
      <c r="BH34">
        <v>10</v>
      </c>
      <c r="BI34">
        <v>28</v>
      </c>
      <c r="BJ34">
        <v>20</v>
      </c>
      <c r="BK34" s="4">
        <v>7.4</v>
      </c>
      <c r="BL34">
        <v>395</v>
      </c>
      <c r="BM34">
        <v>176</v>
      </c>
      <c r="BN34">
        <v>602</v>
      </c>
      <c r="BO34">
        <v>2049</v>
      </c>
      <c r="BP34">
        <v>603</v>
      </c>
      <c r="BQ34">
        <v>1937</v>
      </c>
    </row>
    <row r="35" spans="1:69">
      <c r="A35" t="s">
        <v>209</v>
      </c>
      <c r="B35" t="s">
        <v>170</v>
      </c>
      <c r="C35" t="s">
        <v>171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0"/>
        <v>137</v>
      </c>
      <c r="L35" s="5">
        <f t="shared" si="1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2"/>
        <v>118.9</v>
      </c>
      <c r="R35">
        <v>22</v>
      </c>
      <c r="S35">
        <v>6.6</v>
      </c>
      <c r="T35" s="7" t="s">
        <v>175</v>
      </c>
      <c r="U35" s="4">
        <v>6.8</v>
      </c>
      <c r="V35" s="4">
        <v>5.6</v>
      </c>
      <c r="W35" s="4">
        <v>-11.4</v>
      </c>
      <c r="X35" s="4">
        <v>-18</v>
      </c>
      <c r="Z35" s="4">
        <v>2304</v>
      </c>
      <c r="AA35" s="4">
        <v>2319.8333333333335</v>
      </c>
      <c r="AB35" s="4">
        <v>2338.1666666666665</v>
      </c>
      <c r="AC35" s="4">
        <v>21.9</v>
      </c>
      <c r="AD35" s="4">
        <f>AA35/N35</f>
        <v>22.093650793650795</v>
      </c>
      <c r="AE35" s="4">
        <f t="shared" si="3"/>
        <v>22.268253968253966</v>
      </c>
      <c r="AF35" s="4"/>
      <c r="AG35" s="4">
        <f>9*60+10</f>
        <v>550</v>
      </c>
      <c r="AH35">
        <v>3.8</v>
      </c>
      <c r="AI35">
        <v>14</v>
      </c>
      <c r="AJ35">
        <v>20</v>
      </c>
      <c r="AK35">
        <v>142</v>
      </c>
      <c r="AL35" s="1">
        <v>1.18</v>
      </c>
      <c r="AM35" s="5">
        <v>89</v>
      </c>
      <c r="AN35" s="1">
        <v>9.91</v>
      </c>
      <c r="AO35" s="4">
        <v>3</v>
      </c>
      <c r="AP35" s="1">
        <f t="shared" si="4"/>
        <v>14.488761904761905</v>
      </c>
      <c r="AQ35" s="1">
        <f t="shared" si="5"/>
        <v>10.866571428571429</v>
      </c>
      <c r="AR35" s="1">
        <f t="shared" si="6"/>
        <v>65.578849055248213</v>
      </c>
      <c r="AS35" s="1">
        <v>1521.32</v>
      </c>
      <c r="AT35" s="1">
        <v>1232.48</v>
      </c>
      <c r="AU35" s="1">
        <v>38.68</v>
      </c>
      <c r="AV35" s="1">
        <v>0.80959999999999976</v>
      </c>
      <c r="AW35" s="1">
        <v>22.967999999999996</v>
      </c>
      <c r="AY35" s="15">
        <v>105217.97</v>
      </c>
      <c r="AZ35" s="14">
        <v>53393.174830000004</v>
      </c>
      <c r="BA35" s="14">
        <v>49451.047919999997</v>
      </c>
      <c r="BB35" s="14">
        <v>28387.970140000001</v>
      </c>
      <c r="BD35" s="13"/>
      <c r="BE35" s="13"/>
      <c r="BF35">
        <v>122</v>
      </c>
      <c r="BG35">
        <v>33</v>
      </c>
      <c r="BH35">
        <v>8</v>
      </c>
      <c r="BI35">
        <v>23</v>
      </c>
      <c r="BJ35">
        <v>23</v>
      </c>
      <c r="BK35" s="4">
        <v>6.7</v>
      </c>
      <c r="BL35">
        <v>245</v>
      </c>
      <c r="BM35">
        <v>471</v>
      </c>
      <c r="BN35">
        <v>458</v>
      </c>
      <c r="BO35">
        <v>2122</v>
      </c>
      <c r="BP35">
        <v>544</v>
      </c>
      <c r="BQ35">
        <v>2530</v>
      </c>
    </row>
    <row r="36" spans="1:69">
      <c r="A36" t="s">
        <v>210</v>
      </c>
      <c r="B36" t="s">
        <v>170</v>
      </c>
      <c r="C36" t="s">
        <v>171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0"/>
        <v>136.5</v>
      </c>
      <c r="L36" s="5">
        <f t="shared" si="1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2"/>
        <v>90</v>
      </c>
      <c r="R36" s="5">
        <v>25</v>
      </c>
      <c r="S36">
        <v>35.5</v>
      </c>
      <c r="T36" s="7" t="s">
        <v>175</v>
      </c>
      <c r="U36" s="4">
        <v>3</v>
      </c>
      <c r="V36" s="4">
        <v>2.5</v>
      </c>
      <c r="W36" s="4">
        <v>-1</v>
      </c>
      <c r="X36" s="4">
        <v>-4.5</v>
      </c>
      <c r="Z36" s="4">
        <v>2544.5</v>
      </c>
      <c r="AA36" s="4">
        <v>2596.5</v>
      </c>
      <c r="AB36" s="4">
        <v>2639.5</v>
      </c>
      <c r="AC36" s="4">
        <v>31.9</v>
      </c>
      <c r="AD36" s="4">
        <f>AA36/N36</f>
        <v>32.578419071518191</v>
      </c>
      <c r="AE36" s="4">
        <f t="shared" si="3"/>
        <v>33.117942283563359</v>
      </c>
      <c r="AF36" s="4"/>
      <c r="AG36" s="4">
        <f>14*60</f>
        <v>840</v>
      </c>
      <c r="AH36">
        <v>4.8</v>
      </c>
      <c r="AI36">
        <v>20</v>
      </c>
      <c r="AJ36">
        <v>20</v>
      </c>
      <c r="AK36">
        <v>175</v>
      </c>
      <c r="AL36" s="1">
        <v>1.1499999999999999</v>
      </c>
      <c r="AM36" s="5">
        <v>85</v>
      </c>
      <c r="AN36" s="1">
        <v>10.31</v>
      </c>
      <c r="AO36" s="4">
        <v>3</v>
      </c>
      <c r="AP36" s="1">
        <f t="shared" si="4"/>
        <v>14.244416562107904</v>
      </c>
      <c r="AQ36" s="1">
        <f t="shared" si="5"/>
        <v>10.683312421580929</v>
      </c>
      <c r="AR36" s="1">
        <f t="shared" si="6"/>
        <v>43.723473907182751</v>
      </c>
      <c r="AS36" s="1">
        <v>1135.28</v>
      </c>
      <c r="AT36" s="1">
        <v>950.12</v>
      </c>
      <c r="AU36" s="1">
        <v>29.64</v>
      </c>
      <c r="AV36" s="1">
        <v>0.8380000000000003</v>
      </c>
      <c r="AW36" s="1">
        <v>19.896000000000004</v>
      </c>
      <c r="AY36" s="15">
        <v>78121.333989999999</v>
      </c>
      <c r="AZ36" s="14">
        <v>41107.331870000002</v>
      </c>
      <c r="BA36" s="14">
        <v>34993.746220000001</v>
      </c>
      <c r="BB36" s="14">
        <v>19443.662219999998</v>
      </c>
      <c r="BD36" s="13"/>
      <c r="BE36" s="13"/>
      <c r="BF36">
        <v>116</v>
      </c>
      <c r="BG36">
        <v>37</v>
      </c>
      <c r="BH36">
        <v>14</v>
      </c>
      <c r="BI36">
        <v>37</v>
      </c>
      <c r="BJ36">
        <v>33</v>
      </c>
      <c r="BK36" s="4">
        <v>6.2</v>
      </c>
      <c r="BL36">
        <v>200</v>
      </c>
      <c r="BM36">
        <v>698</v>
      </c>
      <c r="BN36">
        <v>270</v>
      </c>
      <c r="BO36">
        <v>1037</v>
      </c>
      <c r="BP36">
        <v>249</v>
      </c>
      <c r="BQ36">
        <v>940</v>
      </c>
    </row>
    <row r="37" spans="1:69">
      <c r="A37" s="2" t="s">
        <v>211</v>
      </c>
      <c r="B37" t="s">
        <v>179</v>
      </c>
      <c r="C37" t="s">
        <v>171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0"/>
        <v>115</v>
      </c>
      <c r="L37">
        <f t="shared" si="1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2"/>
        <v>83.45</v>
      </c>
      <c r="R37" s="5">
        <v>32</v>
      </c>
      <c r="S37">
        <v>70.3</v>
      </c>
      <c r="T37" s="7" t="s">
        <v>172</v>
      </c>
      <c r="U37" s="4">
        <v>22</v>
      </c>
      <c r="V37" s="4">
        <v>18.5</v>
      </c>
      <c r="W37" s="4">
        <v>0.2</v>
      </c>
      <c r="X37" s="4">
        <v>-11.5</v>
      </c>
      <c r="Z37" s="4">
        <v>2241.5</v>
      </c>
      <c r="AA37" s="4">
        <v>2178.25</v>
      </c>
      <c r="AB37" s="4">
        <v>2290</v>
      </c>
      <c r="AC37" s="4">
        <v>34.299999999999997</v>
      </c>
      <c r="AD37" s="4">
        <f>AA37/N37</f>
        <v>33.357580398162327</v>
      </c>
      <c r="AE37" s="4">
        <f t="shared" si="3"/>
        <v>35.068912710566615</v>
      </c>
      <c r="AF37" s="4"/>
      <c r="AG37" s="4">
        <f>14.5*60+5</f>
        <v>875</v>
      </c>
      <c r="AH37">
        <v>5.3</v>
      </c>
      <c r="AI37">
        <v>20</v>
      </c>
      <c r="AJ37">
        <v>19</v>
      </c>
      <c r="AK37">
        <v>169</v>
      </c>
      <c r="AL37" s="1">
        <v>1.27</v>
      </c>
      <c r="AM37" s="5">
        <v>91</v>
      </c>
      <c r="AN37" s="1">
        <v>9.77</v>
      </c>
      <c r="AO37" s="4">
        <v>3</v>
      </c>
      <c r="AP37" s="1">
        <f t="shared" si="4"/>
        <v>14.437366003062788</v>
      </c>
      <c r="AQ37" s="1">
        <f t="shared" si="5"/>
        <v>10.82802450229709</v>
      </c>
      <c r="AR37" s="1">
        <f t="shared" si="6"/>
        <v>43.2806151727304</v>
      </c>
      <c r="AS37" s="1">
        <v>942.76</v>
      </c>
      <c r="AT37" s="1">
        <v>817.08</v>
      </c>
      <c r="AU37" s="1">
        <v>24.68</v>
      </c>
      <c r="AV37" s="1">
        <v>0.86519999999999953</v>
      </c>
      <c r="AW37" s="1">
        <v>15.376000000000001</v>
      </c>
      <c r="AY37" s="15">
        <v>64817.415840000001</v>
      </c>
      <c r="AZ37" s="14">
        <v>41062.658719999999</v>
      </c>
      <c r="BA37" s="14">
        <v>21443.827499999999</v>
      </c>
      <c r="BB37" s="14">
        <v>11254.34375</v>
      </c>
      <c r="BD37" s="13"/>
      <c r="BE37" s="13"/>
      <c r="BF37">
        <v>119</v>
      </c>
      <c r="BG37">
        <v>44</v>
      </c>
      <c r="BH37">
        <v>17</v>
      </c>
      <c r="BI37">
        <v>39</v>
      </c>
      <c r="BJ37">
        <v>28</v>
      </c>
      <c r="BK37" s="4">
        <v>8.1</v>
      </c>
      <c r="BL37">
        <v>245</v>
      </c>
      <c r="BM37">
        <v>384</v>
      </c>
      <c r="BN37">
        <v>221</v>
      </c>
      <c r="BO37">
        <v>1030</v>
      </c>
      <c r="BP37">
        <v>245</v>
      </c>
      <c r="BQ37">
        <v>1098</v>
      </c>
    </row>
    <row r="38" spans="1:69">
      <c r="A38" t="s">
        <v>212</v>
      </c>
      <c r="B38" t="s">
        <v>170</v>
      </c>
      <c r="C38" t="s">
        <v>171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0"/>
        <v>140.5</v>
      </c>
      <c r="L38" s="5">
        <f t="shared" si="1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2"/>
        <v>80.5</v>
      </c>
      <c r="R38" s="5">
        <v>20</v>
      </c>
      <c r="S38" s="7" t="s">
        <v>177</v>
      </c>
      <c r="T38" s="7" t="s">
        <v>177</v>
      </c>
      <c r="U38" s="4">
        <v>7.5</v>
      </c>
      <c r="V38" s="4">
        <v>7</v>
      </c>
      <c r="W38" s="4">
        <v>2.5</v>
      </c>
      <c r="X38" s="4">
        <v>-8</v>
      </c>
      <c r="Z38" s="4">
        <v>2203</v>
      </c>
      <c r="AA38" s="4">
        <v>2196.5</v>
      </c>
      <c r="AB38" s="4">
        <v>2241.8333333333335</v>
      </c>
      <c r="AC38" s="4">
        <v>32.5</v>
      </c>
      <c r="AD38" s="4">
        <f>AA38/N38</f>
        <v>32.206744868035187</v>
      </c>
      <c r="AE38" s="4">
        <f t="shared" si="3"/>
        <v>32.871456500488762</v>
      </c>
      <c r="AF38" s="4"/>
      <c r="AG38" s="4">
        <f>11*60+35</f>
        <v>695</v>
      </c>
      <c r="AH38">
        <v>4.8</v>
      </c>
      <c r="AI38">
        <v>20</v>
      </c>
      <c r="AJ38">
        <v>20</v>
      </c>
      <c r="AK38">
        <v>166</v>
      </c>
      <c r="AL38" s="1">
        <v>1.33</v>
      </c>
      <c r="AM38" s="5">
        <v>92</v>
      </c>
      <c r="AN38" s="1">
        <v>9.1999999999999993</v>
      </c>
      <c r="AO38" s="4">
        <v>3.5</v>
      </c>
      <c r="AP38" s="1">
        <f t="shared" si="4"/>
        <v>16.21524926686217</v>
      </c>
      <c r="AQ38" s="1">
        <f t="shared" si="5"/>
        <v>12.161436950146626</v>
      </c>
      <c r="AR38" s="1">
        <f t="shared" si="6"/>
        <v>50.347370817209203</v>
      </c>
      <c r="AS38" s="1">
        <v>1105.8800000000001</v>
      </c>
      <c r="AT38" s="1">
        <v>936.48</v>
      </c>
      <c r="AU38" s="1">
        <v>25.92</v>
      </c>
      <c r="AV38" s="1">
        <v>0.84760000000000002</v>
      </c>
      <c r="AW38" s="1">
        <v>15.956</v>
      </c>
      <c r="AY38" s="15">
        <v>67825.422699999996</v>
      </c>
      <c r="AZ38" s="14">
        <v>39237.406490000001</v>
      </c>
      <c r="BA38" s="14">
        <v>26185.67812</v>
      </c>
      <c r="BB38" s="14">
        <v>13984.327670000001</v>
      </c>
      <c r="BD38" s="13"/>
      <c r="BE38" s="13"/>
      <c r="BF38">
        <v>101</v>
      </c>
      <c r="BG38">
        <v>35</v>
      </c>
      <c r="BH38">
        <v>15</v>
      </c>
      <c r="BI38">
        <v>44</v>
      </c>
      <c r="BJ38">
        <v>30</v>
      </c>
      <c r="BK38" s="4">
        <v>5.4</v>
      </c>
      <c r="BL38">
        <v>190</v>
      </c>
      <c r="BM38">
        <v>304</v>
      </c>
      <c r="BN38">
        <v>168</v>
      </c>
      <c r="BO38">
        <v>953</v>
      </c>
      <c r="BP38">
        <v>171</v>
      </c>
      <c r="BQ38">
        <v>1043</v>
      </c>
    </row>
    <row r="39" spans="1:69">
      <c r="A39" t="s">
        <v>213</v>
      </c>
      <c r="B39" t="s">
        <v>179</v>
      </c>
      <c r="C39" t="s">
        <v>171</v>
      </c>
      <c r="D39">
        <v>2</v>
      </c>
      <c r="E39" s="5">
        <v>65</v>
      </c>
      <c r="F39" s="6" t="s">
        <v>177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172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2487.6666666666665</v>
      </c>
      <c r="AB39" s="4">
        <v>2515.3333333333335</v>
      </c>
      <c r="AC39">
        <v>31.5</v>
      </c>
      <c r="AD39" s="4">
        <f>AA39/N39</f>
        <v>31.569373942470389</v>
      </c>
      <c r="AE39" s="4">
        <f t="shared" si="3"/>
        <v>31.920473773265655</v>
      </c>
      <c r="AF39" s="4"/>
      <c r="AG39" s="4">
        <f>14.5*60+5</f>
        <v>875</v>
      </c>
      <c r="AH39">
        <v>5.3</v>
      </c>
      <c r="AI39">
        <v>20</v>
      </c>
      <c r="AJ39">
        <v>17</v>
      </c>
      <c r="AK39">
        <v>169</v>
      </c>
      <c r="AL39">
        <v>1.24</v>
      </c>
      <c r="AM39">
        <v>98</v>
      </c>
      <c r="AN39" s="1">
        <v>8.56</v>
      </c>
      <c r="AO39" s="4">
        <v>3</v>
      </c>
      <c r="AP39" s="1">
        <f t="shared" si="4"/>
        <v>15.020812182741119</v>
      </c>
      <c r="AQ39" s="1">
        <f t="shared" si="5"/>
        <v>11.26560913705584</v>
      </c>
      <c r="AR39" s="1">
        <f>AS39/AA39*100</f>
        <v>47.580329626155709</v>
      </c>
      <c r="AS39" s="1">
        <v>1183.6400000000001</v>
      </c>
      <c r="AT39" s="1">
        <v>974.28</v>
      </c>
      <c r="AU39" s="1">
        <v>34.6</v>
      </c>
      <c r="AV39" s="1">
        <v>0.82440000000000013</v>
      </c>
      <c r="AW39" s="1">
        <v>22.631999999999998</v>
      </c>
      <c r="AY39" s="20" t="s">
        <v>177</v>
      </c>
      <c r="AZ39" s="6" t="s">
        <v>177</v>
      </c>
      <c r="BA39" s="20" t="s">
        <v>177</v>
      </c>
      <c r="BB39" s="6" t="s">
        <v>177</v>
      </c>
      <c r="BC39" s="12" t="s">
        <v>177</v>
      </c>
      <c r="BD39" s="12" t="s">
        <v>177</v>
      </c>
      <c r="BE39" s="12" t="s">
        <v>177</v>
      </c>
      <c r="BF39" s="7" t="s">
        <v>177</v>
      </c>
      <c r="BG39" s="7" t="s">
        <v>177</v>
      </c>
      <c r="BH39" s="7" t="s">
        <v>177</v>
      </c>
      <c r="BI39" s="7" t="s">
        <v>177</v>
      </c>
      <c r="BJ39" s="7" t="s">
        <v>177</v>
      </c>
      <c r="BK39" s="7" t="s">
        <v>177</v>
      </c>
      <c r="BL39" s="7" t="s">
        <v>177</v>
      </c>
      <c r="BM39" s="7" t="s">
        <v>177</v>
      </c>
      <c r="BN39" s="7" t="s">
        <v>177</v>
      </c>
      <c r="BO39" s="7" t="s">
        <v>177</v>
      </c>
      <c r="BP39" s="7" t="s">
        <v>177</v>
      </c>
      <c r="BQ39" s="7" t="s">
        <v>177</v>
      </c>
    </row>
    <row r="40" spans="1:69">
      <c r="A40" s="11" t="s">
        <v>169</v>
      </c>
      <c r="B40" s="11" t="s">
        <v>170</v>
      </c>
      <c r="C40" t="s">
        <v>214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M58" si="7">AVERAGE(G40,I40)</f>
        <v>132.5</v>
      </c>
      <c r="L40" s="5">
        <f t="shared" ref="L40:L58" si="8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0" si="9">AVERAGE(O40,P40)</f>
        <v>78.75</v>
      </c>
      <c r="R40">
        <v>30</v>
      </c>
      <c r="S40" s="4">
        <v>64</v>
      </c>
      <c r="T40" s="7" t="s">
        <v>172</v>
      </c>
      <c r="U40" s="4">
        <v>22</v>
      </c>
      <c r="V40" s="4">
        <v>25</v>
      </c>
      <c r="W40" s="4">
        <v>6.5</v>
      </c>
      <c r="X40" s="4">
        <v>3</v>
      </c>
      <c r="Z40" s="4">
        <v>2878</v>
      </c>
      <c r="AC40" s="4">
        <v>38</v>
      </c>
      <c r="AG40" s="4">
        <f>14*60</f>
        <v>840</v>
      </c>
      <c r="AH40">
        <v>5.8</v>
      </c>
      <c r="AI40">
        <v>20</v>
      </c>
      <c r="AJ40">
        <v>19</v>
      </c>
      <c r="AK40">
        <v>186</v>
      </c>
      <c r="AL40">
        <v>1.1599999999999999</v>
      </c>
      <c r="AM40">
        <v>115</v>
      </c>
      <c r="AN40" s="1">
        <v>11.16</v>
      </c>
      <c r="AY40" s="15">
        <v>75462.601819999996</v>
      </c>
      <c r="AZ40" s="14">
        <v>45195.22479</v>
      </c>
      <c r="BA40" s="14">
        <v>27528.214449999999</v>
      </c>
      <c r="BB40" s="14">
        <v>13880.376819999999</v>
      </c>
      <c r="BD40" s="13"/>
      <c r="BE40" s="13"/>
      <c r="BF40">
        <v>121</v>
      </c>
      <c r="BG40">
        <v>34</v>
      </c>
      <c r="BH40">
        <v>5</v>
      </c>
      <c r="BI40">
        <v>14</v>
      </c>
      <c r="BJ40">
        <v>11</v>
      </c>
      <c r="BK40">
        <v>5.6</v>
      </c>
      <c r="BL40">
        <v>210</v>
      </c>
      <c r="BM40">
        <v>831</v>
      </c>
      <c r="BN40">
        <v>415</v>
      </c>
      <c r="BO40">
        <v>936</v>
      </c>
      <c r="BP40">
        <v>435</v>
      </c>
      <c r="BQ40">
        <v>966</v>
      </c>
    </row>
    <row r="41" spans="1:69">
      <c r="A41" s="11" t="s">
        <v>181</v>
      </c>
      <c r="B41" s="11" t="s">
        <v>179</v>
      </c>
      <c r="C41" t="s">
        <v>214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7"/>
        <v>179.5</v>
      </c>
      <c r="L41" s="5">
        <f t="shared" si="8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9"/>
        <v>94.2</v>
      </c>
      <c r="R41">
        <v>54</v>
      </c>
      <c r="S41" s="4">
        <v>44.8</v>
      </c>
      <c r="T41" s="7" t="s">
        <v>175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C41" s="4">
        <v>34</v>
      </c>
      <c r="AG41" s="4">
        <f>14.15*60</f>
        <v>849</v>
      </c>
      <c r="AH41">
        <v>4.8</v>
      </c>
      <c r="AI41">
        <v>20</v>
      </c>
      <c r="AJ41">
        <v>20</v>
      </c>
      <c r="AK41">
        <v>166</v>
      </c>
      <c r="AL41">
        <v>1.05</v>
      </c>
      <c r="AM41">
        <v>93</v>
      </c>
      <c r="AN41" s="1">
        <v>5.37</v>
      </c>
      <c r="AY41" s="15">
        <v>75671.924190000005</v>
      </c>
      <c r="AZ41" s="14">
        <v>51629.879840000001</v>
      </c>
      <c r="BA41" s="14">
        <v>21136.87616</v>
      </c>
      <c r="BB41" s="14">
        <v>11708.551880000001</v>
      </c>
      <c r="BD41" s="13"/>
      <c r="BE41" s="13"/>
      <c r="BF41">
        <v>140</v>
      </c>
      <c r="BG41">
        <v>43</v>
      </c>
      <c r="BH41">
        <v>9</v>
      </c>
      <c r="BI41">
        <v>22</v>
      </c>
      <c r="BJ41">
        <v>18</v>
      </c>
      <c r="BK41">
        <v>9.3000000000000007</v>
      </c>
      <c r="BL41">
        <v>280</v>
      </c>
      <c r="BM41">
        <v>945</v>
      </c>
      <c r="BN41">
        <v>498</v>
      </c>
      <c r="BO41">
        <v>1164</v>
      </c>
      <c r="BP41">
        <v>503</v>
      </c>
      <c r="BQ41">
        <v>1224</v>
      </c>
    </row>
    <row r="42" spans="1:69">
      <c r="A42" s="11" t="s">
        <v>174</v>
      </c>
      <c r="B42" s="11" t="s">
        <v>170</v>
      </c>
      <c r="C42" t="s">
        <v>214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7"/>
        <v>142.5</v>
      </c>
      <c r="L42" s="5">
        <f t="shared" si="8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9"/>
        <v>102.8</v>
      </c>
      <c r="R42">
        <v>40</v>
      </c>
      <c r="S42" s="4">
        <v>66.400000000000006</v>
      </c>
      <c r="T42" s="7" t="s">
        <v>172</v>
      </c>
      <c r="U42" s="4">
        <v>-17</v>
      </c>
      <c r="V42" s="4">
        <v>-11.8</v>
      </c>
      <c r="W42" s="4">
        <v>3.5</v>
      </c>
      <c r="X42" s="4">
        <v>-12</v>
      </c>
      <c r="Z42" s="4">
        <v>3171</v>
      </c>
      <c r="AC42" s="4">
        <v>37.4</v>
      </c>
      <c r="AG42" s="4">
        <f>13*60</f>
        <v>780</v>
      </c>
      <c r="AH42">
        <v>5.3</v>
      </c>
      <c r="AI42">
        <v>20</v>
      </c>
      <c r="AJ42">
        <v>20</v>
      </c>
      <c r="AK42">
        <v>196</v>
      </c>
      <c r="AL42">
        <v>1.21</v>
      </c>
      <c r="AM42">
        <v>150</v>
      </c>
      <c r="AN42" s="1">
        <v>10.87</v>
      </c>
      <c r="AY42" s="15">
        <v>84322.911330000003</v>
      </c>
      <c r="AZ42" s="14">
        <v>50460.705800000003</v>
      </c>
      <c r="BA42" s="14">
        <v>31144.213479999999</v>
      </c>
      <c r="BB42" s="14">
        <v>19212.737369999999</v>
      </c>
      <c r="BD42" s="13"/>
      <c r="BE42" s="13"/>
      <c r="BF42">
        <v>130</v>
      </c>
      <c r="BG42">
        <v>28</v>
      </c>
      <c r="BH42">
        <v>6</v>
      </c>
      <c r="BI42">
        <v>20</v>
      </c>
      <c r="BJ42">
        <v>28</v>
      </c>
      <c r="BK42">
        <v>9.3000000000000007</v>
      </c>
      <c r="BL42">
        <v>235</v>
      </c>
      <c r="BM42">
        <v>587</v>
      </c>
      <c r="BN42">
        <v>506</v>
      </c>
      <c r="BO42">
        <v>985</v>
      </c>
      <c r="BP42">
        <v>515</v>
      </c>
      <c r="BQ42">
        <v>1053</v>
      </c>
    </row>
    <row r="43" spans="1:69">
      <c r="A43" s="11" t="s">
        <v>215</v>
      </c>
      <c r="B43" s="11" t="s">
        <v>170</v>
      </c>
      <c r="C43" t="s">
        <v>214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7"/>
        <v>164</v>
      </c>
      <c r="L43" s="5">
        <f t="shared" si="8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9"/>
        <v>106.6</v>
      </c>
      <c r="R43">
        <v>25</v>
      </c>
      <c r="S43" s="4">
        <v>5.2</v>
      </c>
      <c r="T43" s="7" t="s">
        <v>175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C43" s="4">
        <v>23.95</v>
      </c>
      <c r="AG43" s="4">
        <f>11.1*60</f>
        <v>666</v>
      </c>
      <c r="AH43">
        <v>3.8</v>
      </c>
      <c r="AI43">
        <v>20</v>
      </c>
      <c r="AJ43">
        <v>18</v>
      </c>
      <c r="AK43">
        <v>164</v>
      </c>
      <c r="AL43">
        <v>1.1299999999999999</v>
      </c>
      <c r="AM43">
        <v>77</v>
      </c>
      <c r="AN43" s="1">
        <v>7.56</v>
      </c>
      <c r="AY43" s="15">
        <v>85692.28</v>
      </c>
      <c r="AZ43" s="14">
        <v>48988.087299999999</v>
      </c>
      <c r="BA43" s="14">
        <v>34245.766470000002</v>
      </c>
      <c r="BB43" s="14">
        <v>22181.367320000001</v>
      </c>
      <c r="BD43" s="13"/>
      <c r="BE43" s="13"/>
      <c r="BF43">
        <v>128</v>
      </c>
      <c r="BG43">
        <v>44</v>
      </c>
      <c r="BH43">
        <v>10</v>
      </c>
      <c r="BI43">
        <v>22</v>
      </c>
      <c r="BJ43">
        <v>21</v>
      </c>
      <c r="BK43" s="4">
        <v>13</v>
      </c>
      <c r="BL43">
        <v>166</v>
      </c>
      <c r="BM43">
        <v>290</v>
      </c>
      <c r="BN43">
        <v>165</v>
      </c>
      <c r="BO43">
        <v>894</v>
      </c>
      <c r="BP43">
        <v>196</v>
      </c>
      <c r="BQ43">
        <v>996</v>
      </c>
    </row>
    <row r="44" spans="1:69">
      <c r="A44" s="11" t="s">
        <v>185</v>
      </c>
      <c r="B44" s="11" t="s">
        <v>179</v>
      </c>
      <c r="C44" t="s">
        <v>214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7"/>
        <v>106.5</v>
      </c>
      <c r="L44" s="5">
        <f t="shared" si="8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9"/>
        <v>69.5</v>
      </c>
      <c r="R44">
        <v>12</v>
      </c>
      <c r="S44" s="4">
        <v>104.9</v>
      </c>
      <c r="T44" s="7" t="s">
        <v>172</v>
      </c>
      <c r="U44" s="4">
        <v>15</v>
      </c>
      <c r="V44" s="4">
        <v>18</v>
      </c>
      <c r="W44" s="4">
        <v>4</v>
      </c>
      <c r="X44" s="4">
        <v>0</v>
      </c>
      <c r="Z44" s="4">
        <v>1746</v>
      </c>
      <c r="AC44" s="4">
        <v>33.5</v>
      </c>
      <c r="AG44" s="4">
        <f>14*60</f>
        <v>840</v>
      </c>
      <c r="AH44">
        <v>4.8</v>
      </c>
      <c r="AI44">
        <v>18</v>
      </c>
      <c r="AJ44">
        <v>19</v>
      </c>
      <c r="AK44">
        <v>185</v>
      </c>
      <c r="AL44">
        <v>1.24</v>
      </c>
      <c r="AM44">
        <v>68</v>
      </c>
      <c r="AN44" s="1">
        <v>11.56</v>
      </c>
      <c r="AY44" s="15">
        <v>51276.100330000001</v>
      </c>
      <c r="AZ44" s="14">
        <v>30162.728169999998</v>
      </c>
      <c r="BA44" s="14">
        <v>19259.849999999999</v>
      </c>
      <c r="BB44" s="14">
        <v>9836.4012149999999</v>
      </c>
      <c r="BD44" s="13"/>
      <c r="BE44" s="13"/>
      <c r="BF44">
        <v>97</v>
      </c>
      <c r="BG44">
        <v>22</v>
      </c>
      <c r="BH44">
        <v>2</v>
      </c>
      <c r="BI44">
        <v>11</v>
      </c>
      <c r="BJ44">
        <v>12</v>
      </c>
      <c r="BK44">
        <v>5.3</v>
      </c>
      <c r="BL44">
        <v>165</v>
      </c>
      <c r="BM44">
        <v>289</v>
      </c>
      <c r="BN44">
        <v>319</v>
      </c>
      <c r="BO44">
        <v>1729</v>
      </c>
      <c r="BP44">
        <v>376</v>
      </c>
      <c r="BQ44">
        <v>1838</v>
      </c>
    </row>
    <row r="45" spans="1:69">
      <c r="A45" s="11" t="s">
        <v>191</v>
      </c>
      <c r="B45" s="11" t="s">
        <v>179</v>
      </c>
      <c r="C45" t="s">
        <v>214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7"/>
        <v>134</v>
      </c>
      <c r="L45" s="5">
        <f t="shared" si="8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9"/>
        <v>95.550000000000011</v>
      </c>
      <c r="R45">
        <v>36</v>
      </c>
      <c r="S45" s="4">
        <v>5.7</v>
      </c>
      <c r="T45" s="7" t="s">
        <v>175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C45" s="4">
        <v>33.700000000000003</v>
      </c>
      <c r="AG45" s="4">
        <f>14.32*60</f>
        <v>859.2</v>
      </c>
      <c r="AH45">
        <v>5.3</v>
      </c>
      <c r="AI45">
        <v>20</v>
      </c>
      <c r="AJ45">
        <v>19</v>
      </c>
      <c r="AK45">
        <v>190</v>
      </c>
      <c r="AL45">
        <v>1.19</v>
      </c>
      <c r="AM45">
        <v>124</v>
      </c>
      <c r="AN45" s="1">
        <v>5.51</v>
      </c>
      <c r="AY45" s="15">
        <v>82760.768450000003</v>
      </c>
      <c r="AZ45" s="14">
        <v>55329.99843</v>
      </c>
      <c r="BA45" s="14">
        <v>24256.320070000002</v>
      </c>
      <c r="BB45" s="14">
        <v>14150.58304</v>
      </c>
      <c r="BD45" s="13"/>
      <c r="BE45" s="13"/>
      <c r="BF45">
        <v>128</v>
      </c>
      <c r="BG45">
        <v>34</v>
      </c>
      <c r="BH45">
        <v>13</v>
      </c>
      <c r="BI45">
        <v>38</v>
      </c>
      <c r="BJ45">
        <v>39</v>
      </c>
      <c r="BK45">
        <v>8.6999999999999993</v>
      </c>
      <c r="BL45">
        <v>200</v>
      </c>
      <c r="BM45">
        <v>574</v>
      </c>
      <c r="BN45">
        <v>390</v>
      </c>
      <c r="BO45">
        <v>1179</v>
      </c>
      <c r="BP45">
        <v>407</v>
      </c>
      <c r="BQ45">
        <v>1230</v>
      </c>
    </row>
    <row r="46" spans="1:69">
      <c r="A46" s="11" t="s">
        <v>189</v>
      </c>
      <c r="B46" s="11" t="s">
        <v>179</v>
      </c>
      <c r="C46" t="s">
        <v>214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7"/>
        <v>172</v>
      </c>
      <c r="L46" s="5">
        <f t="shared" si="8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9"/>
        <v>110.5</v>
      </c>
      <c r="R46">
        <v>25</v>
      </c>
      <c r="S46" s="4">
        <v>7</v>
      </c>
      <c r="T46" s="7" t="s">
        <v>175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C46" s="4">
        <v>23.1</v>
      </c>
      <c r="AG46" s="4">
        <f>9.32*60</f>
        <v>559.20000000000005</v>
      </c>
      <c r="AH46">
        <v>3.8</v>
      </c>
      <c r="AI46">
        <v>16</v>
      </c>
      <c r="AJ46">
        <v>17</v>
      </c>
      <c r="AK46">
        <v>124</v>
      </c>
      <c r="AL46">
        <v>0.96</v>
      </c>
      <c r="AM46">
        <v>66</v>
      </c>
      <c r="AN46" s="1">
        <v>4.87</v>
      </c>
      <c r="AY46" s="15">
        <v>92005.27</v>
      </c>
      <c r="AZ46" s="14">
        <v>57176.843919999999</v>
      </c>
      <c r="BA46" s="14">
        <v>31491.246319999998</v>
      </c>
      <c r="BB46" s="14">
        <v>19526.407620000002</v>
      </c>
      <c r="BD46" s="13"/>
      <c r="BE46" s="13"/>
      <c r="BF46">
        <v>111</v>
      </c>
      <c r="BG46">
        <v>28</v>
      </c>
      <c r="BH46">
        <v>3</v>
      </c>
      <c r="BI46">
        <v>9</v>
      </c>
      <c r="BJ46">
        <v>7</v>
      </c>
      <c r="BK46">
        <v>11.4</v>
      </c>
      <c r="BL46">
        <v>240</v>
      </c>
      <c r="BM46">
        <v>364</v>
      </c>
      <c r="BN46">
        <v>295</v>
      </c>
      <c r="BO46">
        <v>945</v>
      </c>
      <c r="BP46">
        <v>293</v>
      </c>
      <c r="BQ46">
        <v>1004</v>
      </c>
    </row>
    <row r="47" spans="1:69">
      <c r="A47" s="11" t="s">
        <v>213</v>
      </c>
      <c r="B47" s="11" t="s">
        <v>179</v>
      </c>
      <c r="C47" t="s">
        <v>214</v>
      </c>
      <c r="D47">
        <v>2</v>
      </c>
      <c r="E47">
        <v>65</v>
      </c>
      <c r="F47" s="6" t="s">
        <v>177</v>
      </c>
      <c r="G47">
        <v>144</v>
      </c>
      <c r="H47">
        <v>101</v>
      </c>
      <c r="I47">
        <v>148</v>
      </c>
      <c r="J47">
        <v>101</v>
      </c>
      <c r="K47" s="5">
        <f t="shared" si="7"/>
        <v>146</v>
      </c>
      <c r="L47" s="5">
        <f t="shared" si="8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9"/>
        <v>96.1</v>
      </c>
      <c r="R47">
        <v>29</v>
      </c>
      <c r="S47" s="4">
        <v>66</v>
      </c>
      <c r="T47" s="7" t="s">
        <v>172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C47" s="4">
        <v>33.9</v>
      </c>
      <c r="AG47" s="4">
        <f>15.35*60</f>
        <v>921</v>
      </c>
      <c r="AH47">
        <v>5.8</v>
      </c>
      <c r="AI47">
        <v>20</v>
      </c>
      <c r="AJ47">
        <v>19</v>
      </c>
      <c r="AK47">
        <v>174</v>
      </c>
      <c r="AL47">
        <v>1.26</v>
      </c>
      <c r="AM47">
        <v>110</v>
      </c>
      <c r="AN47" s="1">
        <v>8.33</v>
      </c>
      <c r="AY47" s="20" t="s">
        <v>177</v>
      </c>
      <c r="AZ47" s="6" t="s">
        <v>177</v>
      </c>
      <c r="BA47" s="20" t="s">
        <v>177</v>
      </c>
      <c r="BB47" s="6" t="s">
        <v>177</v>
      </c>
      <c r="BC47" s="12" t="s">
        <v>177</v>
      </c>
      <c r="BD47" s="12" t="s">
        <v>177</v>
      </c>
      <c r="BE47" s="12" t="s">
        <v>177</v>
      </c>
      <c r="BF47" s="7" t="s">
        <v>177</v>
      </c>
      <c r="BG47" s="7" t="s">
        <v>177</v>
      </c>
      <c r="BH47" s="7" t="s">
        <v>177</v>
      </c>
      <c r="BI47" s="7" t="s">
        <v>177</v>
      </c>
      <c r="BJ47" s="7" t="s">
        <v>177</v>
      </c>
      <c r="BK47" s="7" t="s">
        <v>177</v>
      </c>
      <c r="BL47" s="7" t="s">
        <v>177</v>
      </c>
      <c r="BM47" s="7" t="s">
        <v>177</v>
      </c>
      <c r="BN47" s="7" t="s">
        <v>177</v>
      </c>
      <c r="BO47" s="7" t="s">
        <v>177</v>
      </c>
      <c r="BP47" s="7" t="s">
        <v>177</v>
      </c>
      <c r="BQ47" s="7" t="s">
        <v>177</v>
      </c>
    </row>
    <row r="48" spans="1:69">
      <c r="A48" s="11" t="s">
        <v>183</v>
      </c>
      <c r="B48" s="11" t="s">
        <v>170</v>
      </c>
      <c r="C48" t="s">
        <v>214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7"/>
        <v>122</v>
      </c>
      <c r="L48" s="5">
        <f t="shared" si="8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9"/>
        <v>96.1</v>
      </c>
      <c r="R48">
        <v>24</v>
      </c>
      <c r="S48" s="4">
        <v>38.700000000000003</v>
      </c>
      <c r="T48" s="7" t="s">
        <v>175</v>
      </c>
      <c r="U48" s="4">
        <v>16.2</v>
      </c>
      <c r="V48" s="4">
        <v>21.3</v>
      </c>
      <c r="W48" s="4">
        <v>11.4</v>
      </c>
      <c r="X48" s="4">
        <v>9.3000000000000007</v>
      </c>
      <c r="Z48" s="4">
        <v>1863</v>
      </c>
      <c r="AC48" s="4">
        <v>26.6</v>
      </c>
      <c r="AG48" s="4">
        <f>8.1*60</f>
        <v>486</v>
      </c>
      <c r="AH48">
        <v>4.8</v>
      </c>
      <c r="AI48">
        <v>12</v>
      </c>
      <c r="AJ48">
        <v>19</v>
      </c>
      <c r="AK48">
        <v>144</v>
      </c>
      <c r="AL48">
        <v>1.24</v>
      </c>
      <c r="AM48">
        <v>80</v>
      </c>
      <c r="AN48" s="1">
        <v>8.44</v>
      </c>
      <c r="AY48" s="15">
        <v>70418.622210000001</v>
      </c>
      <c r="AZ48" s="14">
        <v>35483.849820000003</v>
      </c>
      <c r="BA48" s="14">
        <v>33104.650070000003</v>
      </c>
      <c r="BB48" s="14">
        <v>17385.786479999999</v>
      </c>
      <c r="BD48" s="13"/>
      <c r="BE48" s="13"/>
      <c r="BF48">
        <v>104</v>
      </c>
      <c r="BG48">
        <v>37</v>
      </c>
      <c r="BH48">
        <v>18</v>
      </c>
      <c r="BI48">
        <v>48</v>
      </c>
      <c r="BJ48">
        <v>41</v>
      </c>
      <c r="BK48">
        <v>8.1999999999999993</v>
      </c>
      <c r="BL48">
        <v>135</v>
      </c>
      <c r="BM48">
        <v>252</v>
      </c>
      <c r="BN48">
        <v>200</v>
      </c>
      <c r="BO48">
        <v>565</v>
      </c>
      <c r="BP48">
        <v>207</v>
      </c>
      <c r="BQ48">
        <v>604</v>
      </c>
    </row>
    <row r="49" spans="1:169">
      <c r="A49" s="11" t="s">
        <v>180</v>
      </c>
      <c r="B49" s="11" t="s">
        <v>179</v>
      </c>
      <c r="C49" t="s">
        <v>214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7"/>
        <v>135</v>
      </c>
      <c r="L49" s="5">
        <f t="shared" si="8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9"/>
        <v>92.5</v>
      </c>
      <c r="R49">
        <v>28</v>
      </c>
      <c r="S49" s="4">
        <v>66.599999999999994</v>
      </c>
      <c r="T49" s="7" t="s">
        <v>172</v>
      </c>
      <c r="U49" s="4">
        <v>11</v>
      </c>
      <c r="V49" s="4">
        <v>11</v>
      </c>
      <c r="W49" s="4">
        <v>11</v>
      </c>
      <c r="X49" s="4">
        <v>6</v>
      </c>
      <c r="Z49" s="4">
        <v>3084.5</v>
      </c>
      <c r="AC49" s="4">
        <v>35.85</v>
      </c>
      <c r="AG49" s="4">
        <f>13.05*60</f>
        <v>783</v>
      </c>
      <c r="AH49">
        <v>4.8</v>
      </c>
      <c r="AI49">
        <v>20</v>
      </c>
      <c r="AJ49">
        <v>17</v>
      </c>
      <c r="AK49">
        <v>180</v>
      </c>
      <c r="AL49">
        <v>1.1599999999999999</v>
      </c>
      <c r="AM49">
        <v>106</v>
      </c>
      <c r="AN49" s="1">
        <v>6.52</v>
      </c>
      <c r="AY49" s="16">
        <v>85219.72</v>
      </c>
      <c r="AZ49" s="14">
        <v>47425.531589999999</v>
      </c>
      <c r="BA49" s="14">
        <v>34948.426619999998</v>
      </c>
      <c r="BB49" s="14">
        <v>19852.443930000001</v>
      </c>
      <c r="BD49" s="13"/>
      <c r="BE49" s="13"/>
      <c r="BF49">
        <v>116</v>
      </c>
      <c r="BG49">
        <v>27</v>
      </c>
      <c r="BH49">
        <v>6</v>
      </c>
      <c r="BI49">
        <v>21</v>
      </c>
      <c r="BJ49">
        <v>15</v>
      </c>
      <c r="BK49">
        <v>9.1</v>
      </c>
      <c r="BL49">
        <v>105</v>
      </c>
      <c r="BM49">
        <v>456</v>
      </c>
      <c r="BN49">
        <v>217</v>
      </c>
      <c r="BO49">
        <v>583</v>
      </c>
      <c r="BP49" s="7" t="s">
        <v>177</v>
      </c>
      <c r="BQ49" s="7" t="s">
        <v>177</v>
      </c>
    </row>
    <row r="50" spans="1:169">
      <c r="A50" s="11" t="s">
        <v>186</v>
      </c>
      <c r="B50" s="11" t="s">
        <v>179</v>
      </c>
      <c r="C50" t="s">
        <v>214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7"/>
        <v>117.5</v>
      </c>
      <c r="L50" s="5">
        <f t="shared" si="8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9"/>
        <v>97.25</v>
      </c>
      <c r="R50">
        <v>30</v>
      </c>
      <c r="S50" s="4">
        <v>21.75</v>
      </c>
      <c r="T50" s="7" t="s">
        <v>175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C50" s="4">
        <v>31.52</v>
      </c>
      <c r="AG50" s="4">
        <f>13.1*60</f>
        <v>786</v>
      </c>
      <c r="AH50">
        <v>4.3</v>
      </c>
      <c r="AI50">
        <v>20</v>
      </c>
      <c r="AJ50">
        <v>19</v>
      </c>
      <c r="AK50">
        <v>184</v>
      </c>
      <c r="AL50">
        <v>1.1499999999999999</v>
      </c>
      <c r="AM50">
        <v>89</v>
      </c>
      <c r="AN50" s="1">
        <v>6.32</v>
      </c>
      <c r="AY50" s="15">
        <v>80978.17194</v>
      </c>
      <c r="AZ50" s="14">
        <v>48541.825049999999</v>
      </c>
      <c r="BA50" s="14">
        <v>30156.017390000001</v>
      </c>
      <c r="BB50" s="14">
        <v>15704.62132</v>
      </c>
      <c r="BD50" s="13"/>
      <c r="BE50" s="13"/>
      <c r="BF50">
        <v>118</v>
      </c>
      <c r="BG50">
        <v>28</v>
      </c>
      <c r="BH50">
        <v>5</v>
      </c>
      <c r="BI50">
        <v>17</v>
      </c>
      <c r="BJ50">
        <v>15</v>
      </c>
      <c r="BK50">
        <v>9.3000000000000007</v>
      </c>
      <c r="BL50">
        <v>180</v>
      </c>
      <c r="BM50">
        <v>116</v>
      </c>
      <c r="BN50">
        <v>329</v>
      </c>
      <c r="BO50">
        <v>875</v>
      </c>
      <c r="BP50">
        <v>326</v>
      </c>
      <c r="BQ50">
        <v>825</v>
      </c>
    </row>
    <row r="51" spans="1:169">
      <c r="A51" s="11" t="s">
        <v>187</v>
      </c>
      <c r="B51" s="11" t="s">
        <v>179</v>
      </c>
      <c r="C51" t="s">
        <v>214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7"/>
        <v>127.5</v>
      </c>
      <c r="L51" s="5">
        <f t="shared" si="8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9"/>
        <v>81.75</v>
      </c>
      <c r="R51">
        <v>48</v>
      </c>
      <c r="S51" s="4">
        <v>65</v>
      </c>
      <c r="T51" s="7" t="s">
        <v>172</v>
      </c>
      <c r="U51" s="4">
        <v>14</v>
      </c>
      <c r="V51" s="4">
        <v>14</v>
      </c>
      <c r="W51" s="4">
        <v>-26</v>
      </c>
      <c r="X51" s="4">
        <v>1.5</v>
      </c>
      <c r="Z51" s="4">
        <v>2692</v>
      </c>
      <c r="AC51" s="4">
        <v>38.6</v>
      </c>
      <c r="AG51" s="4">
        <f>12.3*60</f>
        <v>738</v>
      </c>
      <c r="AH51">
        <v>5.3</v>
      </c>
      <c r="AI51">
        <v>20</v>
      </c>
      <c r="AJ51">
        <v>20</v>
      </c>
      <c r="AK51">
        <v>165</v>
      </c>
      <c r="AL51">
        <v>1.22</v>
      </c>
      <c r="AM51">
        <v>159</v>
      </c>
      <c r="AN51" s="1">
        <v>9.5</v>
      </c>
      <c r="AY51" s="15">
        <v>70165.860320000007</v>
      </c>
      <c r="AZ51" s="14">
        <v>52609.250099999997</v>
      </c>
      <c r="BA51" s="14">
        <v>14382.79291</v>
      </c>
      <c r="BB51" s="14">
        <v>6791.8862230000004</v>
      </c>
      <c r="BD51" s="13"/>
      <c r="BE51" s="13"/>
      <c r="BF51">
        <v>117</v>
      </c>
      <c r="BG51">
        <v>31</v>
      </c>
      <c r="BH51">
        <v>5</v>
      </c>
      <c r="BI51">
        <v>15</v>
      </c>
      <c r="BJ51">
        <v>20</v>
      </c>
      <c r="BK51">
        <v>6.8</v>
      </c>
      <c r="BL51">
        <v>270</v>
      </c>
      <c r="BM51">
        <v>500</v>
      </c>
      <c r="BN51">
        <v>534</v>
      </c>
      <c r="BO51">
        <v>1062</v>
      </c>
      <c r="BP51">
        <v>514</v>
      </c>
      <c r="BQ51">
        <v>1076</v>
      </c>
    </row>
    <row r="52" spans="1:169">
      <c r="A52" s="11" t="s">
        <v>188</v>
      </c>
      <c r="B52" s="11" t="s">
        <v>170</v>
      </c>
      <c r="C52" t="s">
        <v>214</v>
      </c>
      <c r="D52">
        <v>2</v>
      </c>
      <c r="E52">
        <v>47</v>
      </c>
      <c r="F52" s="17">
        <v>97.5</v>
      </c>
      <c r="G52">
        <v>147</v>
      </c>
      <c r="H52">
        <v>97</v>
      </c>
      <c r="I52">
        <v>152</v>
      </c>
      <c r="J52">
        <v>99</v>
      </c>
      <c r="K52" s="5">
        <f t="shared" si="7"/>
        <v>149.5</v>
      </c>
      <c r="L52" s="5">
        <f t="shared" si="8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9"/>
        <v>118.85</v>
      </c>
      <c r="R52">
        <v>45</v>
      </c>
      <c r="S52" s="4">
        <v>48.4</v>
      </c>
      <c r="T52" s="7" t="s">
        <v>175</v>
      </c>
      <c r="U52" s="4">
        <v>8</v>
      </c>
      <c r="V52" s="4">
        <v>7.6</v>
      </c>
      <c r="W52" s="4">
        <v>-3.4</v>
      </c>
      <c r="X52" s="4">
        <v>-7.6</v>
      </c>
      <c r="Z52" s="4">
        <v>2675.5</v>
      </c>
      <c r="AC52" s="4">
        <v>25.6</v>
      </c>
      <c r="AG52" s="4" t="s">
        <v>216</v>
      </c>
      <c r="AH52">
        <v>4.8</v>
      </c>
      <c r="AI52">
        <v>16</v>
      </c>
      <c r="AJ52">
        <v>15</v>
      </c>
      <c r="AK52">
        <v>167</v>
      </c>
      <c r="AL52">
        <v>1.27</v>
      </c>
      <c r="AM52">
        <v>114</v>
      </c>
      <c r="AN52" s="1">
        <v>8.89</v>
      </c>
      <c r="AY52" s="15">
        <v>102078.28</v>
      </c>
      <c r="AZ52" s="14">
        <v>56832.273849999998</v>
      </c>
      <c r="BA52" s="14">
        <v>42378.873330000002</v>
      </c>
      <c r="BB52" s="14">
        <v>26123.501690000001</v>
      </c>
      <c r="BD52" s="13"/>
      <c r="BE52" s="13"/>
      <c r="BF52">
        <v>132</v>
      </c>
      <c r="BG52">
        <v>41</v>
      </c>
      <c r="BH52">
        <v>11</v>
      </c>
      <c r="BI52">
        <v>26</v>
      </c>
      <c r="BJ52">
        <v>30</v>
      </c>
      <c r="BK52" s="7" t="s">
        <v>177</v>
      </c>
      <c r="BL52">
        <v>311</v>
      </c>
      <c r="BM52">
        <v>731</v>
      </c>
      <c r="BN52">
        <v>407</v>
      </c>
      <c r="BO52">
        <v>1823</v>
      </c>
      <c r="BP52">
        <v>401</v>
      </c>
      <c r="BQ52">
        <v>1681</v>
      </c>
    </row>
    <row r="53" spans="1:169">
      <c r="A53" s="11" t="s">
        <v>190</v>
      </c>
      <c r="B53" s="11" t="s">
        <v>179</v>
      </c>
      <c r="C53" t="s">
        <v>214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7"/>
        <v>162</v>
      </c>
      <c r="L53" s="5">
        <f t="shared" si="8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9"/>
        <v>114</v>
      </c>
      <c r="R53">
        <v>49</v>
      </c>
      <c r="S53" s="4">
        <v>15.8</v>
      </c>
      <c r="T53" s="7" t="s">
        <v>175</v>
      </c>
      <c r="U53" s="4">
        <v>-25</v>
      </c>
      <c r="V53" s="4">
        <v>-19</v>
      </c>
      <c r="W53" s="4">
        <v>-9.5</v>
      </c>
      <c r="X53" s="4">
        <v>-5.8</v>
      </c>
      <c r="Z53" s="4">
        <v>3199.5</v>
      </c>
      <c r="AC53" s="4">
        <v>29.76</v>
      </c>
      <c r="AG53" s="4">
        <f>14.05*60</f>
        <v>843</v>
      </c>
      <c r="AH53">
        <v>4.8</v>
      </c>
      <c r="AI53">
        <v>20</v>
      </c>
      <c r="AJ53">
        <v>19</v>
      </c>
      <c r="AK53">
        <v>180</v>
      </c>
      <c r="AL53">
        <v>1.27</v>
      </c>
      <c r="AM53">
        <v>117</v>
      </c>
      <c r="AN53" s="1">
        <v>11.84</v>
      </c>
      <c r="AY53" s="15">
        <v>107868.85</v>
      </c>
      <c r="AZ53" s="14">
        <v>64460.787179999999</v>
      </c>
      <c r="BA53" s="14">
        <v>40273.517160000003</v>
      </c>
      <c r="BB53" s="14">
        <v>26167.593120000001</v>
      </c>
      <c r="BD53" s="13"/>
      <c r="BE53" s="13"/>
      <c r="BF53">
        <v>132</v>
      </c>
      <c r="BG53">
        <v>43</v>
      </c>
      <c r="BH53">
        <v>14</v>
      </c>
      <c r="BI53">
        <v>33</v>
      </c>
      <c r="BJ53">
        <v>31</v>
      </c>
      <c r="BK53">
        <v>10.9</v>
      </c>
      <c r="BL53">
        <v>300</v>
      </c>
      <c r="BM53" s="7" t="s">
        <v>177</v>
      </c>
      <c r="BN53">
        <v>655</v>
      </c>
      <c r="BO53">
        <v>1177</v>
      </c>
      <c r="BP53">
        <v>644</v>
      </c>
      <c r="BQ53">
        <v>1196</v>
      </c>
    </row>
    <row r="54" spans="1:169">
      <c r="A54" s="11" t="s">
        <v>184</v>
      </c>
      <c r="B54" s="11" t="s">
        <v>179</v>
      </c>
      <c r="C54" t="s">
        <v>214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7"/>
        <v>138.5</v>
      </c>
      <c r="L54" s="5">
        <f t="shared" si="8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9"/>
        <v>101.5</v>
      </c>
      <c r="R54">
        <v>29</v>
      </c>
      <c r="S54" s="4">
        <v>63</v>
      </c>
      <c r="T54" s="7" t="s">
        <v>172</v>
      </c>
      <c r="U54" s="4">
        <v>0</v>
      </c>
      <c r="V54" s="4">
        <v>6</v>
      </c>
      <c r="W54" s="4">
        <v>-14</v>
      </c>
      <c r="X54" s="4">
        <v>-18</v>
      </c>
      <c r="Z54" s="4">
        <v>2439.5</v>
      </c>
      <c r="AC54" s="4">
        <v>29.2</v>
      </c>
      <c r="AG54" s="4">
        <f>9.3*60</f>
        <v>558</v>
      </c>
      <c r="AH54">
        <v>4.8</v>
      </c>
      <c r="AI54">
        <v>16</v>
      </c>
      <c r="AJ54">
        <v>18</v>
      </c>
      <c r="AK54">
        <v>188</v>
      </c>
      <c r="AL54" s="1">
        <v>1.2</v>
      </c>
      <c r="AM54">
        <v>82</v>
      </c>
      <c r="AN54" s="1">
        <v>10.81</v>
      </c>
      <c r="AY54" s="15">
        <v>90033.35</v>
      </c>
      <c r="AZ54" s="14">
        <v>47867.043890000001</v>
      </c>
      <c r="BA54" s="14">
        <v>39812.594250000002</v>
      </c>
      <c r="BB54" s="14">
        <v>21006.462329999998</v>
      </c>
      <c r="BD54" s="13"/>
      <c r="BE54" s="13"/>
      <c r="BF54">
        <v>113</v>
      </c>
      <c r="BG54">
        <v>35</v>
      </c>
      <c r="BH54">
        <v>8</v>
      </c>
      <c r="BI54">
        <v>23</v>
      </c>
      <c r="BJ54">
        <v>22</v>
      </c>
      <c r="BK54">
        <v>6.4</v>
      </c>
      <c r="BL54">
        <v>250</v>
      </c>
      <c r="BM54">
        <v>551</v>
      </c>
      <c r="BN54">
        <v>410</v>
      </c>
      <c r="BO54">
        <v>1140</v>
      </c>
      <c r="BP54">
        <v>394</v>
      </c>
      <c r="BQ54">
        <v>1103</v>
      </c>
    </row>
    <row r="55" spans="1:169">
      <c r="A55" s="11" t="s">
        <v>194</v>
      </c>
      <c r="B55" s="11" t="s">
        <v>179</v>
      </c>
      <c r="C55" t="s">
        <v>214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7"/>
        <v>137.5</v>
      </c>
      <c r="L55" s="5">
        <f t="shared" si="8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9"/>
        <v>112.05</v>
      </c>
      <c r="R55">
        <v>50</v>
      </c>
      <c r="S55" s="4">
        <v>8.1999999999999993</v>
      </c>
      <c r="T55" s="7" t="s">
        <v>175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C55" s="4">
        <v>26.65</v>
      </c>
      <c r="AG55" s="4">
        <f>11.1*60</f>
        <v>666</v>
      </c>
      <c r="AH55">
        <v>3.8</v>
      </c>
      <c r="AI55">
        <v>20</v>
      </c>
      <c r="AJ55">
        <v>20</v>
      </c>
      <c r="AK55">
        <v>163</v>
      </c>
      <c r="AL55">
        <v>0.97</v>
      </c>
      <c r="AM55">
        <v>90</v>
      </c>
      <c r="AN55" s="1">
        <v>2.58</v>
      </c>
      <c r="AY55" s="15">
        <v>98140.58</v>
      </c>
      <c r="AZ55" s="14">
        <v>62664.512580000002</v>
      </c>
      <c r="BA55" s="14">
        <v>32630.11663</v>
      </c>
      <c r="BB55" s="14">
        <v>22017.478179999998</v>
      </c>
      <c r="BD55" s="13"/>
      <c r="BE55" s="13"/>
      <c r="BF55">
        <v>115</v>
      </c>
      <c r="BG55">
        <v>46</v>
      </c>
      <c r="BH55">
        <v>11</v>
      </c>
      <c r="BI55">
        <v>25</v>
      </c>
      <c r="BJ55">
        <v>23</v>
      </c>
      <c r="BK55">
        <v>9.6999999999999993</v>
      </c>
      <c r="BL55">
        <v>260</v>
      </c>
      <c r="BM55">
        <v>687</v>
      </c>
      <c r="BN55">
        <v>299</v>
      </c>
      <c r="BO55">
        <v>1794</v>
      </c>
      <c r="BP55">
        <v>293</v>
      </c>
      <c r="BQ55">
        <v>1828</v>
      </c>
    </row>
    <row r="56" spans="1:169">
      <c r="A56" s="11" t="s">
        <v>192</v>
      </c>
      <c r="B56" s="11" t="s">
        <v>179</v>
      </c>
      <c r="C56" t="s">
        <v>214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7"/>
        <v>149</v>
      </c>
      <c r="L56" s="5">
        <f t="shared" si="8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9"/>
        <v>75</v>
      </c>
      <c r="R56">
        <v>23</v>
      </c>
      <c r="S56" s="4">
        <v>64</v>
      </c>
      <c r="T56" s="7" t="s">
        <v>172</v>
      </c>
      <c r="U56" s="4">
        <v>5</v>
      </c>
      <c r="V56" s="4">
        <v>6</v>
      </c>
      <c r="W56" s="4">
        <v>8</v>
      </c>
      <c r="X56" s="4">
        <v>-3</v>
      </c>
      <c r="Z56" s="4">
        <v>2547.5</v>
      </c>
      <c r="AC56" s="4">
        <v>42.55</v>
      </c>
      <c r="AG56" s="4">
        <f>15.05*60</f>
        <v>903</v>
      </c>
      <c r="AH56">
        <v>6.3</v>
      </c>
      <c r="AI56">
        <v>20</v>
      </c>
      <c r="AJ56">
        <v>19</v>
      </c>
      <c r="AK56">
        <v>174</v>
      </c>
      <c r="AL56">
        <v>1.21</v>
      </c>
      <c r="AM56">
        <v>89</v>
      </c>
      <c r="AN56" s="1">
        <v>6.96</v>
      </c>
      <c r="AY56" s="15">
        <v>58982.758609999997</v>
      </c>
      <c r="AZ56" s="14">
        <v>42564.330970000003</v>
      </c>
      <c r="BA56" s="16">
        <v>13962.24811</v>
      </c>
      <c r="BB56" s="14">
        <v>6224.4061860000002</v>
      </c>
      <c r="BD56" s="13"/>
      <c r="BE56" s="13"/>
      <c r="BF56">
        <v>132</v>
      </c>
      <c r="BG56">
        <v>46</v>
      </c>
      <c r="BH56">
        <v>12</v>
      </c>
      <c r="BI56">
        <v>26</v>
      </c>
      <c r="BJ56">
        <v>21</v>
      </c>
      <c r="BK56">
        <v>6.8</v>
      </c>
      <c r="BL56">
        <v>150</v>
      </c>
      <c r="BM56">
        <v>489</v>
      </c>
      <c r="BN56">
        <v>268</v>
      </c>
      <c r="BO56">
        <v>732</v>
      </c>
      <c r="BP56">
        <v>271</v>
      </c>
      <c r="BQ56">
        <v>732</v>
      </c>
    </row>
    <row r="57" spans="1:169">
      <c r="A57" s="11" t="s">
        <v>196</v>
      </c>
      <c r="B57" s="11" t="s">
        <v>170</v>
      </c>
      <c r="C57" t="s">
        <v>214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7"/>
        <v>139</v>
      </c>
      <c r="L57" s="5">
        <f t="shared" si="8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9"/>
        <v>109</v>
      </c>
      <c r="R57">
        <v>37</v>
      </c>
      <c r="S57" s="4">
        <v>64.8</v>
      </c>
      <c r="T57" s="7" t="s">
        <v>172</v>
      </c>
      <c r="U57" s="4">
        <v>15.5</v>
      </c>
      <c r="V57" s="4">
        <v>19</v>
      </c>
      <c r="W57" s="4">
        <v>-30</v>
      </c>
      <c r="X57" s="4">
        <v>-38</v>
      </c>
      <c r="Z57" s="4">
        <v>2704.5</v>
      </c>
      <c r="AC57" s="4">
        <v>28.9</v>
      </c>
      <c r="AG57" s="4">
        <f>12*60</f>
        <v>720</v>
      </c>
      <c r="AH57">
        <v>3.8</v>
      </c>
      <c r="AI57">
        <v>20</v>
      </c>
      <c r="AJ57">
        <v>17</v>
      </c>
      <c r="AK57">
        <v>144</v>
      </c>
      <c r="AL57">
        <v>1.03</v>
      </c>
      <c r="AM57">
        <v>80</v>
      </c>
      <c r="AN57" s="1">
        <v>3.92</v>
      </c>
      <c r="AY57" s="15">
        <v>93685.6</v>
      </c>
      <c r="AZ57" s="14">
        <v>59467.180690000001</v>
      </c>
      <c r="BA57" s="16">
        <v>31115.492109999999</v>
      </c>
      <c r="BB57" s="14">
        <v>21225.50547</v>
      </c>
      <c r="BD57" s="13"/>
      <c r="BE57" s="13"/>
      <c r="BF57">
        <v>115</v>
      </c>
      <c r="BG57">
        <v>35</v>
      </c>
      <c r="BH57">
        <v>7</v>
      </c>
      <c r="BI57">
        <v>19</v>
      </c>
      <c r="BJ57">
        <v>14</v>
      </c>
      <c r="BK57" s="4">
        <v>7</v>
      </c>
      <c r="BL57" s="7" t="s">
        <v>177</v>
      </c>
      <c r="BM57" s="7" t="s">
        <v>177</v>
      </c>
      <c r="BN57" s="7" t="s">
        <v>177</v>
      </c>
      <c r="BO57" s="7" t="s">
        <v>177</v>
      </c>
      <c r="BP57" s="7" t="s">
        <v>177</v>
      </c>
      <c r="BQ57" s="7" t="s">
        <v>177</v>
      </c>
    </row>
    <row r="58" spans="1:169">
      <c r="A58" s="11" t="s">
        <v>199</v>
      </c>
      <c r="B58" s="11" t="s">
        <v>170</v>
      </c>
      <c r="C58" t="s">
        <v>214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7"/>
        <v>132.5</v>
      </c>
      <c r="L58" s="5">
        <f t="shared" si="8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9"/>
        <v>106.95</v>
      </c>
      <c r="R58">
        <v>35</v>
      </c>
      <c r="S58" s="4">
        <v>66.3</v>
      </c>
      <c r="T58" s="7" t="s">
        <v>172</v>
      </c>
      <c r="U58" s="4">
        <v>5.6</v>
      </c>
      <c r="V58" s="4">
        <v>3.8</v>
      </c>
      <c r="W58" s="4">
        <v>5.6</v>
      </c>
      <c r="X58" s="4">
        <v>-10.199999999999999</v>
      </c>
      <c r="Z58" s="4">
        <v>2922</v>
      </c>
      <c r="AC58" s="4">
        <v>27.9</v>
      </c>
      <c r="AG58" s="4">
        <f>60*10.3</f>
        <v>618</v>
      </c>
      <c r="AH58">
        <v>4.8</v>
      </c>
      <c r="AI58">
        <v>18</v>
      </c>
      <c r="AJ58">
        <v>19</v>
      </c>
      <c r="AK58">
        <v>192</v>
      </c>
      <c r="AL58">
        <v>1.22</v>
      </c>
      <c r="AM58">
        <v>120</v>
      </c>
      <c r="AN58" s="1">
        <v>9.51</v>
      </c>
      <c r="AY58" s="15">
        <v>103652.51</v>
      </c>
      <c r="AZ58" s="14">
        <v>55905.234049999999</v>
      </c>
      <c r="BA58" s="14">
        <v>44713.21544</v>
      </c>
      <c r="BB58" s="14">
        <v>26215.105589999999</v>
      </c>
      <c r="BD58" s="13"/>
      <c r="BE58" s="13"/>
      <c r="BF58">
        <v>123</v>
      </c>
      <c r="BG58">
        <v>27</v>
      </c>
      <c r="BH58">
        <v>9</v>
      </c>
      <c r="BI58">
        <v>32</v>
      </c>
      <c r="BJ58">
        <v>30</v>
      </c>
      <c r="BK58">
        <v>6.7</v>
      </c>
      <c r="BL58">
        <v>295</v>
      </c>
      <c r="BM58">
        <v>776</v>
      </c>
      <c r="BN58">
        <v>506</v>
      </c>
      <c r="BO58">
        <v>1615</v>
      </c>
      <c r="BP58">
        <v>479</v>
      </c>
      <c r="BQ58">
        <v>1589</v>
      </c>
      <c r="BR58" t="s">
        <v>217</v>
      </c>
      <c r="BS58" t="s">
        <v>218</v>
      </c>
    </row>
    <row r="59" spans="1:169">
      <c r="A59" s="11" t="s">
        <v>197</v>
      </c>
      <c r="B59" s="11" t="s">
        <v>179</v>
      </c>
      <c r="C59" t="s">
        <v>214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0" si="10">AVERAGE(G59,I59)</f>
        <v>157.5</v>
      </c>
      <c r="L59" s="5">
        <f t="shared" ref="L59:L70" si="11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9"/>
        <v>86.9</v>
      </c>
      <c r="R59">
        <v>67</v>
      </c>
      <c r="S59" s="4">
        <v>20</v>
      </c>
      <c r="T59" s="7" t="s">
        <v>175</v>
      </c>
      <c r="U59" s="4">
        <v>28</v>
      </c>
      <c r="V59" s="4">
        <v>28</v>
      </c>
      <c r="W59" s="4">
        <v>18.399999999999999</v>
      </c>
      <c r="X59" s="4">
        <v>13.5</v>
      </c>
      <c r="Z59">
        <v>4659.5</v>
      </c>
      <c r="AC59">
        <v>49.9</v>
      </c>
      <c r="AG59" s="4">
        <f>17*60</f>
        <v>1020</v>
      </c>
      <c r="AH59">
        <v>7.3</v>
      </c>
      <c r="AI59">
        <v>20</v>
      </c>
      <c r="AJ59">
        <v>20</v>
      </c>
      <c r="AK59">
        <v>191</v>
      </c>
      <c r="AL59">
        <v>1.26</v>
      </c>
      <c r="AM59">
        <v>190</v>
      </c>
      <c r="AN59">
        <v>11.51</v>
      </c>
      <c r="AY59" s="15">
        <v>92226.279750000002</v>
      </c>
      <c r="AZ59" s="14">
        <v>69914.527539999995</v>
      </c>
      <c r="BA59" s="16">
        <v>18796.119210000001</v>
      </c>
      <c r="BB59" s="14">
        <v>9973.1203590000005</v>
      </c>
      <c r="BD59" s="13"/>
      <c r="BE59" s="13"/>
      <c r="BF59">
        <v>122</v>
      </c>
      <c r="BG59">
        <v>40</v>
      </c>
      <c r="BH59">
        <v>9</v>
      </c>
      <c r="BI59">
        <v>22</v>
      </c>
      <c r="BJ59">
        <v>18</v>
      </c>
      <c r="BK59">
        <v>7.5</v>
      </c>
      <c r="BL59">
        <v>450</v>
      </c>
      <c r="BM59">
        <v>1649</v>
      </c>
      <c r="BN59">
        <v>776</v>
      </c>
      <c r="BO59">
        <v>2400</v>
      </c>
      <c r="BP59">
        <v>734</v>
      </c>
      <c r="BQ59">
        <v>2215</v>
      </c>
    </row>
    <row r="60" spans="1:169">
      <c r="A60" s="11" t="s">
        <v>204</v>
      </c>
      <c r="B60" s="11" t="s">
        <v>179</v>
      </c>
      <c r="C60" t="s">
        <v>214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10"/>
        <v>163</v>
      </c>
      <c r="L60" s="5">
        <f t="shared" si="11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9"/>
        <v>98.95</v>
      </c>
      <c r="R60">
        <v>58</v>
      </c>
      <c r="S60">
        <v>18.2</v>
      </c>
      <c r="T60" s="7" t="s">
        <v>175</v>
      </c>
      <c r="U60" s="4">
        <v>4.8</v>
      </c>
      <c r="V60" s="4">
        <v>5.4</v>
      </c>
      <c r="W60" s="4">
        <v>-15</v>
      </c>
      <c r="X60" s="4">
        <v>-13.4</v>
      </c>
      <c r="Z60" s="4">
        <v>3889</v>
      </c>
      <c r="AC60" s="4">
        <v>36.65</v>
      </c>
      <c r="AG60">
        <v>756</v>
      </c>
      <c r="AH60">
        <v>4.8</v>
      </c>
      <c r="AI60">
        <v>20</v>
      </c>
      <c r="AJ60">
        <v>19</v>
      </c>
      <c r="AK60">
        <v>177</v>
      </c>
      <c r="AL60">
        <v>1.18</v>
      </c>
      <c r="AM60">
        <v>140</v>
      </c>
      <c r="AN60">
        <v>8.68</v>
      </c>
      <c r="AY60" s="15">
        <v>105886.35400000001</v>
      </c>
      <c r="AZ60" s="15">
        <v>72908.072270000004</v>
      </c>
      <c r="BA60" s="15">
        <v>30529.56222</v>
      </c>
      <c r="BB60" s="15">
        <v>18045.90814</v>
      </c>
      <c r="BF60">
        <v>130</v>
      </c>
      <c r="BG60">
        <v>47</v>
      </c>
      <c r="BH60">
        <v>11</v>
      </c>
      <c r="BI60">
        <v>23</v>
      </c>
      <c r="BJ60">
        <v>19</v>
      </c>
      <c r="BK60">
        <v>6.7</v>
      </c>
      <c r="BL60">
        <v>586</v>
      </c>
      <c r="BM60">
        <v>1256</v>
      </c>
      <c r="BN60">
        <v>644</v>
      </c>
      <c r="BO60">
        <v>2704</v>
      </c>
      <c r="BP60">
        <v>719</v>
      </c>
      <c r="BQ60">
        <v>2672</v>
      </c>
      <c r="FI60" t="s">
        <v>177</v>
      </c>
      <c r="FJ60" t="s">
        <v>177</v>
      </c>
      <c r="FK60" t="s">
        <v>177</v>
      </c>
      <c r="FL60" t="s">
        <v>177</v>
      </c>
      <c r="FM60" t="s">
        <v>177</v>
      </c>
    </row>
    <row r="61" spans="1:169">
      <c r="A61" s="11" t="s">
        <v>202</v>
      </c>
      <c r="B61" s="11" t="s">
        <v>170</v>
      </c>
      <c r="C61" t="s">
        <v>214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10"/>
        <v>123</v>
      </c>
      <c r="L61" s="5">
        <f t="shared" si="11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9"/>
        <v>94.5</v>
      </c>
      <c r="R61">
        <v>54</v>
      </c>
      <c r="S61" s="4">
        <f>60+15.06</f>
        <v>75.06</v>
      </c>
      <c r="T61" s="7" t="s">
        <v>172</v>
      </c>
      <c r="U61" s="4">
        <v>-1</v>
      </c>
      <c r="V61" s="4">
        <v>-1</v>
      </c>
      <c r="W61" s="4">
        <v>6.5</v>
      </c>
      <c r="X61" s="4">
        <v>4.5</v>
      </c>
      <c r="Z61" s="4">
        <v>3573.5</v>
      </c>
      <c r="AC61" s="4">
        <v>38.25</v>
      </c>
      <c r="AG61">
        <f>14.33*60</f>
        <v>859.8</v>
      </c>
      <c r="AH61">
        <v>5.8</v>
      </c>
      <c r="AI61">
        <v>20</v>
      </c>
      <c r="AJ61">
        <v>20</v>
      </c>
      <c r="AK61">
        <v>178</v>
      </c>
      <c r="AL61">
        <v>1.19</v>
      </c>
      <c r="AM61">
        <v>124</v>
      </c>
      <c r="AN61">
        <v>6.48</v>
      </c>
      <c r="AY61" s="15">
        <v>87206.823199999999</v>
      </c>
      <c r="AZ61" s="15">
        <v>66883.704610000001</v>
      </c>
      <c r="BA61" s="15">
        <v>17255.16576</v>
      </c>
      <c r="BB61" s="15">
        <v>9738.9736869999997</v>
      </c>
      <c r="BF61">
        <v>102</v>
      </c>
      <c r="BG61">
        <v>39</v>
      </c>
      <c r="BH61">
        <v>6</v>
      </c>
      <c r="BI61">
        <v>16</v>
      </c>
      <c r="BJ61">
        <v>4</v>
      </c>
      <c r="BK61">
        <v>6.4</v>
      </c>
      <c r="BL61">
        <v>235</v>
      </c>
      <c r="BM61">
        <v>802</v>
      </c>
      <c r="BN61">
        <v>476</v>
      </c>
      <c r="BO61">
        <v>1423</v>
      </c>
      <c r="BP61">
        <v>458</v>
      </c>
      <c r="BQ61">
        <v>1322</v>
      </c>
    </row>
    <row r="62" spans="1:169">
      <c r="A62" s="11" t="s">
        <v>200</v>
      </c>
      <c r="B62" s="11" t="s">
        <v>179</v>
      </c>
      <c r="C62" t="s">
        <v>214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10"/>
        <v>153</v>
      </c>
      <c r="L62" s="5">
        <f t="shared" si="11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9"/>
        <v>88.9</v>
      </c>
      <c r="R62">
        <v>53</v>
      </c>
      <c r="S62" s="4">
        <v>63.1</v>
      </c>
      <c r="T62" s="7" t="s">
        <v>172</v>
      </c>
      <c r="U62" s="4">
        <v>10.5</v>
      </c>
      <c r="V62" s="4">
        <v>10</v>
      </c>
      <c r="W62" s="4">
        <v>7.7</v>
      </c>
      <c r="X62" s="4">
        <v>4</v>
      </c>
      <c r="Z62" s="4">
        <v>3232</v>
      </c>
      <c r="AC62" s="4">
        <v>41</v>
      </c>
      <c r="AG62" s="4">
        <f>16*60</f>
        <v>960</v>
      </c>
      <c r="AH62">
        <v>5.8</v>
      </c>
      <c r="AI62">
        <v>20</v>
      </c>
      <c r="AJ62">
        <v>20</v>
      </c>
      <c r="AK62">
        <v>183</v>
      </c>
      <c r="AL62">
        <v>1.28</v>
      </c>
      <c r="AM62">
        <v>162</v>
      </c>
      <c r="AN62" s="1">
        <v>9.1999999999999993</v>
      </c>
      <c r="AY62" s="15">
        <v>79017.64572</v>
      </c>
      <c r="AZ62" s="15">
        <v>55676.283040000002</v>
      </c>
      <c r="BA62" s="15">
        <v>20240.945619999999</v>
      </c>
      <c r="BB62" s="16">
        <v>11370.05528</v>
      </c>
      <c r="BF62">
        <v>121</v>
      </c>
      <c r="BG62">
        <v>40</v>
      </c>
      <c r="BH62">
        <v>7</v>
      </c>
      <c r="BI62">
        <v>18</v>
      </c>
      <c r="BJ62">
        <v>9</v>
      </c>
      <c r="BK62">
        <v>7.4</v>
      </c>
      <c r="BL62">
        <v>290</v>
      </c>
      <c r="BM62">
        <v>649</v>
      </c>
      <c r="BN62">
        <v>384</v>
      </c>
      <c r="BO62">
        <v>1376</v>
      </c>
      <c r="BP62">
        <v>370</v>
      </c>
      <c r="BQ62">
        <v>1370</v>
      </c>
    </row>
    <row r="63" spans="1:169">
      <c r="A63" s="11" t="s">
        <v>207</v>
      </c>
      <c r="B63" s="11" t="s">
        <v>179</v>
      </c>
      <c r="C63" t="s">
        <v>214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10"/>
        <v>144.5</v>
      </c>
      <c r="L63" s="5">
        <f t="shared" si="11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9"/>
        <v>89.8</v>
      </c>
      <c r="R63">
        <v>41</v>
      </c>
      <c r="S63" s="4">
        <v>24.9</v>
      </c>
      <c r="T63" s="7" t="s">
        <v>175</v>
      </c>
      <c r="U63" s="4">
        <v>3.7</v>
      </c>
      <c r="V63" s="4">
        <v>3.4</v>
      </c>
      <c r="W63" s="4">
        <v>-17</v>
      </c>
      <c r="X63" s="4">
        <v>-19</v>
      </c>
      <c r="Z63" s="4">
        <v>2382</v>
      </c>
      <c r="AC63" s="4">
        <v>33.5</v>
      </c>
      <c r="AG63" s="4">
        <f>14*60</f>
        <v>840</v>
      </c>
      <c r="AH63">
        <v>4.8</v>
      </c>
      <c r="AI63">
        <v>20</v>
      </c>
      <c r="AJ63">
        <v>19</v>
      </c>
      <c r="AK63">
        <v>180</v>
      </c>
      <c r="AL63">
        <v>1.1599999999999999</v>
      </c>
      <c r="AM63">
        <v>95</v>
      </c>
      <c r="AN63">
        <v>8.06</v>
      </c>
      <c r="AY63" s="15">
        <v>71038.869529999996</v>
      </c>
      <c r="AZ63" s="15">
        <v>46749.485439999997</v>
      </c>
      <c r="BA63" s="15">
        <v>21936.591189999999</v>
      </c>
      <c r="BB63" s="15">
        <v>12587.391659999999</v>
      </c>
      <c r="BF63">
        <v>119</v>
      </c>
      <c r="BG63">
        <v>41</v>
      </c>
      <c r="BH63">
        <v>5</v>
      </c>
      <c r="BI63">
        <v>13</v>
      </c>
      <c r="BJ63">
        <v>11</v>
      </c>
      <c r="BK63">
        <v>6.8</v>
      </c>
      <c r="BL63">
        <v>275</v>
      </c>
      <c r="BM63">
        <v>405</v>
      </c>
      <c r="BN63">
        <v>359</v>
      </c>
      <c r="BO63">
        <v>2484</v>
      </c>
      <c r="BP63">
        <v>293</v>
      </c>
      <c r="BQ63">
        <v>1766</v>
      </c>
    </row>
    <row r="64" spans="1:169">
      <c r="A64" s="11" t="s">
        <v>209</v>
      </c>
      <c r="B64" s="11" t="s">
        <v>170</v>
      </c>
      <c r="C64" t="s">
        <v>214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10"/>
        <v>140.5</v>
      </c>
      <c r="L64" s="5">
        <f t="shared" si="11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9"/>
        <v>116.30000000000001</v>
      </c>
      <c r="R64">
        <v>39</v>
      </c>
      <c r="S64" s="4">
        <v>19.5</v>
      </c>
      <c r="T64" s="7" t="s">
        <v>175</v>
      </c>
      <c r="U64" s="4">
        <v>-3.05</v>
      </c>
      <c r="V64" s="4">
        <v>0</v>
      </c>
      <c r="W64" s="4">
        <v>-9</v>
      </c>
      <c r="X64" s="4">
        <v>-14</v>
      </c>
      <c r="Z64" s="6" t="s">
        <v>177</v>
      </c>
      <c r="AC64" s="6" t="s">
        <v>177</v>
      </c>
      <c r="AG64" s="6" t="s">
        <v>177</v>
      </c>
      <c r="AH64" s="7" t="s">
        <v>177</v>
      </c>
      <c r="AI64" s="7" t="s">
        <v>177</v>
      </c>
      <c r="AJ64" s="7" t="s">
        <v>177</v>
      </c>
      <c r="AK64" s="7" t="s">
        <v>177</v>
      </c>
      <c r="AL64" s="7" t="s">
        <v>177</v>
      </c>
      <c r="AM64" s="7" t="s">
        <v>177</v>
      </c>
      <c r="AN64" s="7" t="s">
        <v>177</v>
      </c>
      <c r="AY64" s="16"/>
      <c r="AZ64" s="16"/>
      <c r="BA64" s="16"/>
      <c r="BB64" s="16"/>
      <c r="BF64">
        <v>128</v>
      </c>
      <c r="BG64">
        <v>34</v>
      </c>
      <c r="BH64">
        <v>10</v>
      </c>
      <c r="BI64">
        <v>30</v>
      </c>
      <c r="BJ64">
        <v>34</v>
      </c>
      <c r="BK64" s="7" t="s">
        <v>177</v>
      </c>
      <c r="BL64">
        <v>270</v>
      </c>
      <c r="BM64">
        <v>552</v>
      </c>
      <c r="BN64">
        <v>384</v>
      </c>
      <c r="BO64">
        <v>1328</v>
      </c>
      <c r="BP64">
        <v>391</v>
      </c>
      <c r="BQ64">
        <v>1313</v>
      </c>
    </row>
    <row r="65" spans="1:69">
      <c r="A65" s="11" t="s">
        <v>206</v>
      </c>
      <c r="B65" s="11" t="s">
        <v>170</v>
      </c>
      <c r="C65" t="s">
        <v>214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10"/>
        <v>149</v>
      </c>
      <c r="L65" s="5">
        <f t="shared" si="11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9"/>
        <v>103.5</v>
      </c>
      <c r="R65">
        <v>12</v>
      </c>
      <c r="S65" s="4">
        <v>66</v>
      </c>
      <c r="T65" s="7" t="s">
        <v>172</v>
      </c>
      <c r="U65" s="4">
        <v>7</v>
      </c>
      <c r="V65" s="4">
        <v>8</v>
      </c>
      <c r="W65" s="4">
        <v>-5</v>
      </c>
      <c r="X65" s="4">
        <v>-9</v>
      </c>
      <c r="Z65" s="4">
        <v>1884</v>
      </c>
      <c r="AC65" s="4">
        <v>22.7</v>
      </c>
      <c r="AG65" s="4">
        <f>9*60</f>
        <v>540</v>
      </c>
      <c r="AH65">
        <v>3.8</v>
      </c>
      <c r="AI65">
        <v>14</v>
      </c>
      <c r="AJ65">
        <v>20</v>
      </c>
      <c r="AK65">
        <v>177</v>
      </c>
      <c r="AL65">
        <v>1.26</v>
      </c>
      <c r="AM65">
        <v>73</v>
      </c>
      <c r="AN65">
        <v>7.25</v>
      </c>
      <c r="AY65" s="15">
        <v>83141.212960000004</v>
      </c>
      <c r="AZ65" s="15">
        <v>42585.950989999998</v>
      </c>
      <c r="BA65" s="15">
        <v>38390.284070000002</v>
      </c>
      <c r="BB65" s="15">
        <v>21435.0556</v>
      </c>
      <c r="BF65">
        <v>129</v>
      </c>
      <c r="BG65">
        <v>51</v>
      </c>
      <c r="BH65">
        <v>25</v>
      </c>
      <c r="BI65">
        <v>48</v>
      </c>
      <c r="BJ65">
        <v>45</v>
      </c>
      <c r="BK65">
        <v>7.8</v>
      </c>
      <c r="BL65">
        <v>180</v>
      </c>
      <c r="BM65">
        <v>703</v>
      </c>
      <c r="BN65">
        <v>315</v>
      </c>
      <c r="BO65">
        <v>830</v>
      </c>
      <c r="BP65">
        <v>304</v>
      </c>
      <c r="BQ65">
        <v>838</v>
      </c>
    </row>
    <row r="66" spans="1:69">
      <c r="A66" s="11" t="s">
        <v>195</v>
      </c>
      <c r="B66" s="11" t="s">
        <v>179</v>
      </c>
      <c r="C66" t="s">
        <v>214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10"/>
        <v>157</v>
      </c>
      <c r="L66" s="5">
        <f t="shared" si="11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9"/>
        <v>80</v>
      </c>
      <c r="R66">
        <v>28</v>
      </c>
      <c r="S66" s="4">
        <v>61.6</v>
      </c>
      <c r="T66" s="7" t="s">
        <v>172</v>
      </c>
      <c r="U66" s="4">
        <v>5</v>
      </c>
      <c r="V66" s="4">
        <v>6</v>
      </c>
      <c r="W66" s="4">
        <v>4</v>
      </c>
      <c r="X66" s="4">
        <v>-5.5</v>
      </c>
      <c r="Z66" s="4">
        <v>2291</v>
      </c>
      <c r="AC66" s="4">
        <v>38.65</v>
      </c>
      <c r="AG66" s="4">
        <f>14.4*60</f>
        <v>864</v>
      </c>
      <c r="AH66">
        <v>4.8</v>
      </c>
      <c r="AI66">
        <v>20</v>
      </c>
      <c r="AJ66">
        <v>19</v>
      </c>
      <c r="AK66">
        <v>164</v>
      </c>
      <c r="AL66">
        <v>1.21</v>
      </c>
      <c r="AM66">
        <v>93</v>
      </c>
      <c r="AN66">
        <v>8.73</v>
      </c>
      <c r="AY66" s="15">
        <v>80337.204719999994</v>
      </c>
      <c r="AZ66" s="15">
        <v>37237.678240000001</v>
      </c>
      <c r="BA66" s="15">
        <v>21381.848590000001</v>
      </c>
      <c r="BB66" s="15">
        <v>10154.989659999999</v>
      </c>
      <c r="BF66">
        <v>137</v>
      </c>
      <c r="BG66">
        <v>58</v>
      </c>
      <c r="BH66">
        <v>18</v>
      </c>
      <c r="BI66">
        <v>31</v>
      </c>
      <c r="BJ66">
        <v>19</v>
      </c>
      <c r="BK66">
        <v>7.3</v>
      </c>
      <c r="BL66">
        <v>140</v>
      </c>
      <c r="BM66">
        <v>400</v>
      </c>
      <c r="BN66">
        <v>266</v>
      </c>
      <c r="BO66">
        <v>688</v>
      </c>
      <c r="BP66">
        <v>266</v>
      </c>
      <c r="BQ66">
        <v>693</v>
      </c>
    </row>
    <row r="67" spans="1:69">
      <c r="A67" s="11" t="s">
        <v>205</v>
      </c>
      <c r="B67" s="11" t="s">
        <v>170</v>
      </c>
      <c r="C67" t="s">
        <v>214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10"/>
        <v>157.5</v>
      </c>
      <c r="L67" s="5">
        <f t="shared" si="11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9"/>
        <v>103.5</v>
      </c>
      <c r="R67">
        <v>15</v>
      </c>
      <c r="S67" s="4">
        <v>5.34</v>
      </c>
      <c r="T67" s="7" t="s">
        <v>175</v>
      </c>
      <c r="U67" s="4">
        <v>3</v>
      </c>
      <c r="V67" s="4">
        <v>2.5</v>
      </c>
      <c r="W67" s="4">
        <v>-15</v>
      </c>
      <c r="X67" s="4">
        <v>-16.5</v>
      </c>
      <c r="Z67" s="4">
        <v>1973</v>
      </c>
      <c r="AC67" s="4">
        <v>23.95</v>
      </c>
      <c r="AG67" s="4">
        <f>10.17*60</f>
        <v>610.20000000000005</v>
      </c>
      <c r="AH67">
        <v>4.8</v>
      </c>
      <c r="AI67">
        <v>16</v>
      </c>
      <c r="AJ67">
        <v>19</v>
      </c>
      <c r="AK67">
        <v>157</v>
      </c>
      <c r="AL67">
        <v>1.1299999999999999</v>
      </c>
      <c r="AM67">
        <v>66</v>
      </c>
      <c r="AN67">
        <v>4.1399999999999997</v>
      </c>
      <c r="AY67" s="15">
        <v>81604.080700000006</v>
      </c>
      <c r="AZ67" s="15">
        <v>44064.820740000003</v>
      </c>
      <c r="BA67" s="15">
        <v>35217.623959999997</v>
      </c>
      <c r="BB67" s="15">
        <v>20337.009999999998</v>
      </c>
      <c r="BF67">
        <v>132</v>
      </c>
      <c r="BG67">
        <v>51</v>
      </c>
      <c r="BH67">
        <v>22</v>
      </c>
      <c r="BI67">
        <v>43</v>
      </c>
      <c r="BJ67">
        <v>43</v>
      </c>
      <c r="BK67">
        <v>7.9</v>
      </c>
      <c r="BL67">
        <v>180</v>
      </c>
      <c r="BM67">
        <v>312</v>
      </c>
      <c r="BN67">
        <v>172</v>
      </c>
      <c r="BO67">
        <v>1643</v>
      </c>
      <c r="BP67">
        <v>223</v>
      </c>
      <c r="BQ67">
        <v>1997</v>
      </c>
    </row>
    <row r="68" spans="1:69">
      <c r="A68" t="s">
        <v>208</v>
      </c>
      <c r="B68" t="s">
        <v>179</v>
      </c>
      <c r="C68" t="s">
        <v>214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10"/>
        <v>138.5</v>
      </c>
      <c r="L68" s="5">
        <f t="shared" si="11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9"/>
        <v>104.1</v>
      </c>
      <c r="R68">
        <v>53</v>
      </c>
      <c r="S68" s="4">
        <v>64.7</v>
      </c>
      <c r="T68" s="7" t="s">
        <v>172</v>
      </c>
      <c r="U68" s="4">
        <v>-15.5</v>
      </c>
      <c r="V68" s="4">
        <v>-5</v>
      </c>
      <c r="W68" s="4">
        <v>-6</v>
      </c>
      <c r="X68" s="4">
        <v>-19.3</v>
      </c>
      <c r="Z68" s="4">
        <v>3058</v>
      </c>
      <c r="AC68" s="4">
        <v>32.880000000000003</v>
      </c>
      <c r="AG68" s="4">
        <f>11.15*60</f>
        <v>669</v>
      </c>
      <c r="AH68">
        <v>4.8</v>
      </c>
      <c r="AI68">
        <v>20</v>
      </c>
      <c r="AJ68">
        <v>20</v>
      </c>
      <c r="AK68">
        <v>175</v>
      </c>
      <c r="AL68">
        <v>1.07</v>
      </c>
      <c r="AM68">
        <v>82</v>
      </c>
      <c r="AN68">
        <v>6.44</v>
      </c>
      <c r="AY68" s="15">
        <v>90586.150699999998</v>
      </c>
      <c r="AZ68" s="15">
        <v>51184.330809999999</v>
      </c>
      <c r="BA68" s="15">
        <v>36511.763299999999</v>
      </c>
      <c r="BB68" s="15">
        <v>22805.905599999998</v>
      </c>
      <c r="BF68">
        <v>119</v>
      </c>
      <c r="BG68">
        <v>31</v>
      </c>
      <c r="BH68">
        <v>3</v>
      </c>
      <c r="BI68">
        <v>9</v>
      </c>
      <c r="BJ68">
        <v>4</v>
      </c>
      <c r="BK68">
        <v>7.7</v>
      </c>
      <c r="BL68">
        <v>380</v>
      </c>
      <c r="BM68">
        <v>748</v>
      </c>
      <c r="BN68">
        <v>527</v>
      </c>
      <c r="BO68">
        <v>1569</v>
      </c>
      <c r="BP68">
        <v>531</v>
      </c>
      <c r="BQ68">
        <v>1501</v>
      </c>
    </row>
    <row r="69" spans="1:69">
      <c r="A69" s="11" t="s">
        <v>210</v>
      </c>
      <c r="B69" s="11" t="s">
        <v>170</v>
      </c>
      <c r="C69" t="s">
        <v>214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10"/>
        <v>127</v>
      </c>
      <c r="L69" s="5">
        <f t="shared" si="11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9"/>
        <v>92.6</v>
      </c>
      <c r="R69">
        <v>24</v>
      </c>
      <c r="S69" s="4">
        <v>32</v>
      </c>
      <c r="T69" s="7" t="s">
        <v>175</v>
      </c>
      <c r="U69" s="4">
        <v>6.5</v>
      </c>
      <c r="V69" s="4">
        <v>6.5</v>
      </c>
      <c r="W69" s="4">
        <v>-2.5</v>
      </c>
      <c r="X69" s="4">
        <v>-5</v>
      </c>
      <c r="Z69" s="18"/>
      <c r="AC69" s="18"/>
      <c r="AG69" s="4"/>
      <c r="AH69" s="19"/>
      <c r="AI69" s="19"/>
      <c r="AJ69" s="19"/>
      <c r="AK69" s="19"/>
      <c r="AL69" s="19"/>
      <c r="AM69" s="19"/>
      <c r="AN69" s="19"/>
      <c r="AY69" s="15">
        <v>80337.204719999994</v>
      </c>
      <c r="AZ69" s="15">
        <v>41275.653200000001</v>
      </c>
      <c r="BA69" s="15">
        <v>37013.724699999999</v>
      </c>
      <c r="BB69" s="16">
        <v>19888.772229999999</v>
      </c>
      <c r="BF69">
        <v>108</v>
      </c>
      <c r="BG69">
        <v>36</v>
      </c>
      <c r="BH69">
        <v>19</v>
      </c>
      <c r="BI69">
        <v>51</v>
      </c>
      <c r="BJ69">
        <v>47</v>
      </c>
      <c r="BK69">
        <v>7.1</v>
      </c>
      <c r="BL69">
        <v>200</v>
      </c>
      <c r="BM69">
        <v>724</v>
      </c>
      <c r="BN69">
        <v>307</v>
      </c>
      <c r="BO69">
        <v>997</v>
      </c>
      <c r="BP69">
        <v>291</v>
      </c>
      <c r="BQ69">
        <v>969</v>
      </c>
    </row>
    <row r="70" spans="1:69">
      <c r="A70" s="11" t="s">
        <v>211</v>
      </c>
      <c r="B70" s="11" t="s">
        <v>179</v>
      </c>
      <c r="C70" t="s">
        <v>214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10"/>
        <v>117</v>
      </c>
      <c r="L70" s="5">
        <f t="shared" si="11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9"/>
        <v>78.599999999999994</v>
      </c>
      <c r="R70">
        <v>34</v>
      </c>
      <c r="S70" s="4">
        <f>60+63.2</f>
        <v>123.2</v>
      </c>
      <c r="T70" s="7" t="s">
        <v>172</v>
      </c>
      <c r="U70" s="4">
        <v>16.399999999999999</v>
      </c>
      <c r="V70" s="4">
        <v>15.1</v>
      </c>
      <c r="W70" s="4">
        <v>-1.8</v>
      </c>
      <c r="X70" s="4">
        <v>-7.1</v>
      </c>
      <c r="Z70" s="4">
        <v>2226</v>
      </c>
      <c r="AC70" s="4">
        <v>33.75</v>
      </c>
      <c r="AG70" s="4">
        <f>14*60</f>
        <v>840</v>
      </c>
      <c r="AH70">
        <v>4.8</v>
      </c>
      <c r="AI70">
        <v>20</v>
      </c>
      <c r="AJ70">
        <v>19</v>
      </c>
      <c r="AK70">
        <v>163</v>
      </c>
      <c r="AL70">
        <v>1.1599999999999999</v>
      </c>
      <c r="AM70">
        <v>82</v>
      </c>
      <c r="AN70">
        <v>8.0399999999999991</v>
      </c>
      <c r="AY70" s="15">
        <v>65647.100309999994</v>
      </c>
      <c r="AZ70" s="15">
        <v>40135.938249999999</v>
      </c>
      <c r="BA70" s="15">
        <v>23228.286680000001</v>
      </c>
      <c r="BB70" s="15">
        <v>12334.75517</v>
      </c>
      <c r="BF70">
        <v>115</v>
      </c>
      <c r="BG70">
        <v>40</v>
      </c>
      <c r="BH70">
        <v>15</v>
      </c>
      <c r="BI70">
        <v>38</v>
      </c>
      <c r="BJ70">
        <v>25</v>
      </c>
      <c r="BK70">
        <v>7.8</v>
      </c>
      <c r="BL70">
        <v>200</v>
      </c>
      <c r="BM70">
        <v>559</v>
      </c>
      <c r="BN70">
        <v>235</v>
      </c>
      <c r="BO70">
        <v>930</v>
      </c>
      <c r="BP70">
        <v>249</v>
      </c>
      <c r="BQ70">
        <v>968</v>
      </c>
    </row>
    <row r="71" spans="1:69">
      <c r="T71" s="7"/>
    </row>
    <row r="72" spans="1:69">
      <c r="T72" s="7"/>
    </row>
    <row r="73" spans="1:69">
      <c r="T73" s="7"/>
    </row>
    <row r="74" spans="1:69">
      <c r="T74" s="7"/>
    </row>
    <row r="75" spans="1:69">
      <c r="T75" s="7"/>
    </row>
    <row r="76" spans="1:69">
      <c r="T76" s="7"/>
    </row>
    <row r="77" spans="1:69">
      <c r="T7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E9" sqref="E9"/>
    </sheetView>
  </sheetViews>
  <sheetFormatPr defaultRowHeight="15"/>
  <sheetData>
    <row r="1" spans="1:2">
      <c r="B1" t="s">
        <v>219</v>
      </c>
    </row>
    <row r="2" spans="1:2">
      <c r="A2" t="s">
        <v>220</v>
      </c>
      <c r="B2" t="s">
        <v>221</v>
      </c>
    </row>
    <row r="3" spans="1:2">
      <c r="A3">
        <v>11451</v>
      </c>
      <c r="B3" t="s">
        <v>221</v>
      </c>
    </row>
    <row r="4" spans="1:2">
      <c r="A4">
        <v>15448</v>
      </c>
      <c r="B4" t="s">
        <v>221</v>
      </c>
    </row>
    <row r="5" spans="1:2">
      <c r="A5">
        <v>11442</v>
      </c>
      <c r="B5" t="s">
        <v>221</v>
      </c>
    </row>
    <row r="6" spans="1:2">
      <c r="A6" t="s">
        <v>222</v>
      </c>
      <c r="B6" t="s">
        <v>221</v>
      </c>
    </row>
    <row r="7" spans="1:2">
      <c r="A7">
        <v>11421</v>
      </c>
      <c r="B7" t="s">
        <v>221</v>
      </c>
    </row>
    <row r="8" spans="1:2">
      <c r="A8" t="s">
        <v>223</v>
      </c>
      <c r="B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8"/>
  <sheetViews>
    <sheetView workbookViewId="0">
      <selection activeCell="G15" sqref="G15"/>
    </sheetView>
  </sheetViews>
  <sheetFormatPr defaultRowHeight="15"/>
  <sheetData>
    <row r="1" spans="1:1">
      <c r="A1" t="s">
        <v>224</v>
      </c>
    </row>
    <row r="2" spans="1:1">
      <c r="A2" t="s">
        <v>225</v>
      </c>
    </row>
    <row r="3" spans="1:1">
      <c r="A3" t="s">
        <v>226</v>
      </c>
    </row>
    <row r="4" spans="1:1">
      <c r="A4" t="s">
        <v>227</v>
      </c>
    </row>
    <row r="5" spans="1:1">
      <c r="A5" t="s">
        <v>228</v>
      </c>
    </row>
    <row r="6" spans="1:1">
      <c r="A6" t="s">
        <v>229</v>
      </c>
    </row>
    <row r="7" spans="1:1">
      <c r="A7" t="s">
        <v>230</v>
      </c>
    </row>
    <row r="8" spans="1:1">
      <c r="A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2023-02-02T15:09:58Z</dcterms:modified>
  <cp:category/>
  <cp:contentStatus/>
</cp:coreProperties>
</file>