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3948" documentId="11_924805B546FA86936262E6F9983E8C1851038381" xr6:coauthVersionLast="47" xr6:coauthVersionMax="47" xr10:uidLastSave="{F70A0878-C638-47A8-B5D6-EC9C19180759}"/>
  <bookViews>
    <workbookView xWindow="0" yWindow="240" windowWidth="19200" windowHeight="984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6" i="1" l="1"/>
  <c r="BA64" i="1"/>
  <c r="BA71" i="1"/>
  <c r="AX64" i="1"/>
  <c r="AX71" i="1"/>
  <c r="AU64" i="1"/>
  <c r="AT64" i="1" s="1"/>
  <c r="AU71" i="1"/>
  <c r="AP64" i="1"/>
  <c r="AP71" i="1"/>
  <c r="AO64" i="1"/>
  <c r="AO71" i="1"/>
  <c r="AP73" i="1"/>
  <c r="AN64" i="1"/>
  <c r="AN72" i="1"/>
  <c r="AM64" i="1"/>
  <c r="AM77" i="1"/>
  <c r="AM76" i="1"/>
  <c r="AM75" i="1"/>
  <c r="AM74" i="1"/>
  <c r="AM73" i="1"/>
  <c r="AM72" i="1"/>
  <c r="AM71" i="1"/>
  <c r="AK64" i="1"/>
  <c r="AK71" i="1"/>
  <c r="AT77" i="1"/>
  <c r="AT71" i="1"/>
  <c r="AT72" i="1"/>
  <c r="AT73" i="1"/>
  <c r="AT74" i="1"/>
  <c r="AT75" i="1"/>
  <c r="AT76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5" i="1"/>
  <c r="AT66" i="1"/>
  <c r="AT67" i="1"/>
  <c r="AT68" i="1"/>
  <c r="AT69" i="1"/>
  <c r="AT70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3" i="1"/>
  <c r="AT2" i="1"/>
  <c r="AZ64" i="1"/>
  <c r="AS64" i="1"/>
  <c r="AG64" i="1"/>
  <c r="AF64" i="1"/>
  <c r="AE64" i="1"/>
  <c r="AD64" i="1"/>
  <c r="AC64" i="1"/>
  <c r="N71" i="1"/>
  <c r="AE71" i="1" s="1"/>
  <c r="N72" i="1"/>
  <c r="AS72" i="1" s="1"/>
  <c r="N73" i="1"/>
  <c r="AD73" i="1" s="1"/>
  <c r="N74" i="1"/>
  <c r="N75" i="1"/>
  <c r="AD75" i="1" s="1"/>
  <c r="N76" i="1"/>
  <c r="N77" i="1"/>
  <c r="AR77" i="1" s="1"/>
  <c r="AB77" i="1"/>
  <c r="AB76" i="1"/>
  <c r="AB75" i="1"/>
  <c r="AB74" i="1"/>
  <c r="AB73" i="1"/>
  <c r="AB72" i="1"/>
  <c r="AB71" i="1"/>
  <c r="AG77" i="1"/>
  <c r="AG76" i="1"/>
  <c r="AG75" i="1"/>
  <c r="AG74" i="1"/>
  <c r="AG73" i="1"/>
  <c r="AG72" i="1"/>
  <c r="AG71" i="1"/>
  <c r="AN76" i="1"/>
  <c r="AN75" i="1"/>
  <c r="AN74" i="1"/>
  <c r="AN73" i="1"/>
  <c r="AN71" i="1"/>
  <c r="AN77" i="1"/>
  <c r="CA77" i="1"/>
  <c r="CA76" i="1"/>
  <c r="CA75" i="1"/>
  <c r="CA74" i="1"/>
  <c r="CA73" i="1"/>
  <c r="CA72" i="1"/>
  <c r="CA71" i="1"/>
  <c r="BY77" i="1"/>
  <c r="BY76" i="1"/>
  <c r="BY75" i="1"/>
  <c r="BY74" i="1"/>
  <c r="BY73" i="1"/>
  <c r="BY72" i="1"/>
  <c r="BY71" i="1"/>
  <c r="BW77" i="1"/>
  <c r="BW76" i="1"/>
  <c r="BW75" i="1"/>
  <c r="BW74" i="1"/>
  <c r="BW73" i="1"/>
  <c r="BW72" i="1"/>
  <c r="BW71" i="1"/>
  <c r="BC71" i="1"/>
  <c r="BC72" i="1"/>
  <c r="BC73" i="1"/>
  <c r="BC74" i="1"/>
  <c r="BC75" i="1"/>
  <c r="BC76" i="1"/>
  <c r="BC77" i="1"/>
  <c r="AP72" i="1"/>
  <c r="AP74" i="1"/>
  <c r="AP75" i="1"/>
  <c r="AP76" i="1"/>
  <c r="AP77" i="1"/>
  <c r="AK77" i="1"/>
  <c r="AK76" i="1"/>
  <c r="AK75" i="1"/>
  <c r="AK74" i="1"/>
  <c r="AZ74" i="1" s="1"/>
  <c r="AK73" i="1"/>
  <c r="AF73" i="1" s="1"/>
  <c r="AK72" i="1"/>
  <c r="CB71" i="1"/>
  <c r="CB72" i="1"/>
  <c r="CB73" i="1"/>
  <c r="CB74" i="1"/>
  <c r="CB75" i="1"/>
  <c r="CB76" i="1"/>
  <c r="CB77" i="1"/>
  <c r="BZ73" i="1"/>
  <c r="BZ71" i="1"/>
  <c r="BZ72" i="1"/>
  <c r="BZ74" i="1"/>
  <c r="BZ75" i="1"/>
  <c r="BZ76" i="1"/>
  <c r="BZ77" i="1"/>
  <c r="AO77" i="1"/>
  <c r="AO76" i="1"/>
  <c r="AO75" i="1"/>
  <c r="AO74" i="1"/>
  <c r="AO73" i="1"/>
  <c r="AO72" i="1"/>
  <c r="AU72" i="1"/>
  <c r="AU73" i="1"/>
  <c r="AU74" i="1"/>
  <c r="AU77" i="1"/>
  <c r="AS77" i="1" s="1"/>
  <c r="AU76" i="1"/>
  <c r="AU75" i="1"/>
  <c r="AX72" i="1"/>
  <c r="AX73" i="1"/>
  <c r="AX74" i="1"/>
  <c r="AX75" i="1"/>
  <c r="AX76" i="1"/>
  <c r="AX77" i="1"/>
  <c r="BA77" i="1"/>
  <c r="AZ77" i="1" s="1"/>
  <c r="BA76" i="1"/>
  <c r="BA75" i="1"/>
  <c r="BA74" i="1"/>
  <c r="BA73" i="1"/>
  <c r="AZ71" i="1"/>
  <c r="BA72" i="1"/>
  <c r="BD71" i="1"/>
  <c r="BD72" i="1"/>
  <c r="BD73" i="1"/>
  <c r="BD74" i="1"/>
  <c r="BD75" i="1"/>
  <c r="BD76" i="1"/>
  <c r="BD77" i="1"/>
  <c r="BL77" i="1"/>
  <c r="BK77" i="1"/>
  <c r="AF77" i="1"/>
  <c r="AD77" i="1"/>
  <c r="AC77" i="1"/>
  <c r="Q77" i="1"/>
  <c r="L77" i="1"/>
  <c r="K77" i="1"/>
  <c r="BL76" i="1"/>
  <c r="BK76" i="1"/>
  <c r="AS76" i="1"/>
  <c r="AR76" i="1"/>
  <c r="AF76" i="1"/>
  <c r="AE76" i="1"/>
  <c r="AD76" i="1"/>
  <c r="AC76" i="1"/>
  <c r="Q76" i="1"/>
  <c r="L76" i="1"/>
  <c r="K76" i="1"/>
  <c r="BL75" i="1"/>
  <c r="BK75" i="1"/>
  <c r="AR75" i="1"/>
  <c r="AE75" i="1"/>
  <c r="Q75" i="1"/>
  <c r="L75" i="1"/>
  <c r="K75" i="1"/>
  <c r="BL74" i="1"/>
  <c r="BK74" i="1"/>
  <c r="AD74" i="1"/>
  <c r="AC74" i="1"/>
  <c r="Q74" i="1"/>
  <c r="L74" i="1"/>
  <c r="K74" i="1"/>
  <c r="BL73" i="1"/>
  <c r="BK73" i="1"/>
  <c r="AE73" i="1"/>
  <c r="Q73" i="1"/>
  <c r="L73" i="1"/>
  <c r="K73" i="1"/>
  <c r="AF72" i="1"/>
  <c r="AD72" i="1"/>
  <c r="Q72" i="1"/>
  <c r="L72" i="1"/>
  <c r="K72" i="1"/>
  <c r="BL71" i="1"/>
  <c r="BK71" i="1"/>
  <c r="AR71" i="1"/>
  <c r="AF71" i="1"/>
  <c r="AC71" i="1"/>
  <c r="Q71" i="1"/>
  <c r="L71" i="1"/>
  <c r="K71" i="1"/>
  <c r="K39" i="1"/>
  <c r="L39" i="1"/>
  <c r="Q39" i="1"/>
  <c r="AC39" i="1"/>
  <c r="AD39" i="1"/>
  <c r="AE39" i="1"/>
  <c r="AF39" i="1"/>
  <c r="AG39" i="1"/>
  <c r="AR39" i="1"/>
  <c r="AS39" i="1"/>
  <c r="AZ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Z2" i="1"/>
  <c r="AR64" i="1" l="1"/>
  <c r="AD71" i="1"/>
  <c r="AS71" i="1"/>
  <c r="AR72" i="1"/>
  <c r="AE72" i="1"/>
  <c r="AC72" i="1"/>
  <c r="AC73" i="1"/>
  <c r="AS73" i="1"/>
  <c r="AR74" i="1"/>
  <c r="AE74" i="1"/>
  <c r="AC75" i="1"/>
  <c r="AE77" i="1"/>
  <c r="AF75" i="1"/>
  <c r="AF74" i="1"/>
  <c r="AZ76" i="1"/>
  <c r="AZ75" i="1"/>
  <c r="AZ73" i="1"/>
  <c r="AZ72" i="1"/>
  <c r="AR73" i="1"/>
  <c r="AS75" i="1"/>
  <c r="AS74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4" i="1"/>
  <c r="AR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D1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<sst xmlns="http://schemas.openxmlformats.org/spreadsheetml/2006/main" count="695" uniqueCount="235">
  <si>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</si>
  <si>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</si>
  <si>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</si>
  <si>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</si>
  <si>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</si>
  <si>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</si>
  <si>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</si>
  <si>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</si>
  <si>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</si>
  <si>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</si>
  <si>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</si>
  <si>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</si>
  <si>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</si>
  <si>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</si>
  <si>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</si>
  <si>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</si>
  <si>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</si>
  <si>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</si>
  <si>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</si>
  <si>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</si>
  <si>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</si>
  <si>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</si>
  <si>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</si>
  <si>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</si>
  <si>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</si>
  <si>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</si>
  <si>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</si>
  <si>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</si>
  <si>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</si>
  <si>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</si>
  <si>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</si>
  <si>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time_to_exhaustion</t>
  </si>
  <si>
    <t>velocity_end</t>
  </si>
  <si>
    <t>elevation_end</t>
  </si>
  <si>
    <t>borg_end</t>
  </si>
  <si>
    <t>hf_max</t>
  </si>
  <si>
    <t>CO2_max (ml/min)_30sek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</si>
  <si>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</si>
  <si>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</si>
  <si>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</si>
  <si>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</si>
  <si>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</si>
  <si>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</si>
  <si>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</si>
  <si>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</si>
  <si>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</si>
  <si>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</si>
  <si>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</si>
  <si>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</si>
  <si>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</si>
  <si>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</si>
  <si>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</si>
  <si>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</si>
  <si>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</si>
  <si>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</si>
  <si>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</si>
  <si>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</si>
  <si>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</si>
  <si>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</si>
  <si>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</si>
  <si>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</si>
  <si>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</si>
  <si>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</si>
  <si>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</si>
  <si>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</si>
  <si>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</si>
  <si>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</si>
  <si>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</si>
  <si>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</si>
  <si>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</si>
  <si>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</si>
  <si>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</si>
  <si>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</si>
  <si>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</si>
  <si>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</si>
  <si>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</si>
  <si>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</si>
  <si>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</si>
  <si>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</si>
  <si>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</si>
  <si>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</si>
  <si>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</si>
  <si>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</si>
  <si>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</si>
  <si>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</si>
  <si>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</si>
  <si>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</si>
  <si>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</si>
  <si>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</si>
  <si>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</si>
  <si>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</si>
  <si>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</si>
  <si>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</si>
  <si>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</si>
  <si>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</si>
  <si>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</si>
  <si>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</si>
  <si>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</si>
  <si>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</si>
  <si>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</si>
  <si>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</si>
  <si>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</si>
  <si>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</si>
  <si>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</si>
  <si>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</si>
  <si>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</si>
  <si>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</si>
  <si>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</si>
  <si>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</si>
  <si>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</si>
  <si>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</si>
  <si>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</si>
  <si>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</si>
  <si>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</si>
  <si>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</si>
  <si>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</si>
  <si>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</si>
  <si>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</si>
  <si>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</si>
  <si>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</si>
  <si>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</si>
  <si>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</si>
  <si>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</si>
  <si>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</si>
  <si>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</si>
  <si>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</si>
  <si>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</si>
  <si>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</si>
  <si>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</si>
  <si>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</si>
  <si>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</si>
  <si>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</si>
  <si>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</si>
  <si>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</si>
  <si>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</si>
  <si>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</si>
  <si>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</si>
  <si>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</si>
  <si>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</si>
  <si>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</si>
  <si>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</si>
  <si>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</si>
  <si>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</si>
  <si>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</si>
  <si>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</si>
  <si>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</si>
  <si>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</si>
  <si>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</si>
  <si>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</si>
  <si>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</si>
  <si>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</si>
  <si>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</si>
  <si>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</si>
  <si>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</si>
  <si>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</si>
  <si>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</si>
  <si>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</si>
  <si>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</si>
  <si>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</si>
  <si>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</si>
  <si>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</si>
  <si>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</si>
  <si>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</si>
  <si>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</si>
  <si>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</si>
  <si>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</si>
  <si>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</si>
  <si>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</si>
  <si>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</si>
  <si>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</si>
  <si>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</si>
  <si>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</si>
  <si>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</si>
  <si>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</si>
  <si>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</si>
  <si>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</si>
  <si>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</si>
  <si>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</si>
  <si>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</si>
  <si>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</si>
  <si>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</si>
  <si>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</si>
  <si>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</si>
  <si>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</si>
  <si>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</si>
  <si>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</si>
  <si>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</si>
  <si>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</si>
  <si>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</si>
  <si>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</si>
  <si>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</si>
  <si>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</si>
  <si>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</si>
  <si>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</si>
  <si>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</si>
  <si>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</si>
  <si>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</si>
  <si>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</si>
  <si>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</si>
  <si>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</si>
  <si>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</si>
  <si>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</si>
  <si>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</si>
  <si>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</si>
  <si>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</si>
  <si>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</si>
  <si>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</si>
  <si>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</si>
  <si>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</si>
  <si>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</si>
  <si>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</si>
  <si>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</si>
  <si>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</si>
  <si>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</si>
  <si>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</si>
  <si>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</si>
  <si>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</si>
  <si>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</si>
  <si>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</si>
  <si>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</si>
  <si>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</si>
  <si>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</si>
  <si>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</si>
  <si>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</si>
  <si>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</si>
  <si>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</si>
  <si>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</si>
  <si>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</si>
  <si>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</si>
  <si>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</si>
  <si>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</si>
  <si>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</si>
  <si>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</si>
  <si>
    <t>o2_puls_ml</t>
  </si>
  <si>
    <t>Ve_L_min_max_30sek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</si>
</sst>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49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2" fontId="2" fillId="3" borderId="0" xfId="0" applyNumberFormat="1" applyFont="1" applyFill="1"/>
    <xf numFmtId="164" fontId="0" fillId="3" borderId="0" xfId="0" applyNumberFormat="1" applyFill="1" applyAlignment="1">
      <alignment horizontal="right"/>
    </xf>
    <xf numFmtId="2" fontId="2" fillId="3" borderId="0" xfId="0" applyNumberFormat="1" applyFont="1" applyFill="1" applyAlignment="1">
      <alignment horizontal="right" wrapText="1"/>
    </xf>
    <xf numFmtId="164" fontId="3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topLeftCell="A7" zoomScale="55" zoomScaleNormal="55" workbookViewId="0">
      <pane xSplit="1" topLeftCell="V1" activePane="topRight" state="frozen"/>
      <selection pane="topRight" activeCell="AF26" sqref="AF26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233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5" t="s">
        <v>36</v>
      </c>
      <c r="AM1" s="4" t="s">
        <v>234</v>
      </c>
      <c r="AN1" s="1" t="s">
        <v>37</v>
      </c>
      <c r="AO1" s="5" t="s">
        <v>38</v>
      </c>
      <c r="AP1" s="2" t="s">
        <v>39</v>
      </c>
      <c r="AQ1" s="18" t="s">
        <v>40</v>
      </c>
      <c r="AR1" s="18" t="s">
        <v>41</v>
      </c>
      <c r="AS1" s="18" t="s">
        <v>42</v>
      </c>
      <c r="AT1" s="18" t="s">
        <v>43</v>
      </c>
      <c r="AU1" s="19" t="s">
        <v>44</v>
      </c>
      <c r="AV1" s="2" t="s">
        <v>45</v>
      </c>
      <c r="AW1" s="18" t="s">
        <v>46</v>
      </c>
      <c r="AX1" s="2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231</v>
      </c>
      <c r="BX1" t="s">
        <v>232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s="2" t="s">
        <v>112</v>
      </c>
      <c r="DN1" t="s">
        <v>113</v>
      </c>
      <c r="DO1" t="s">
        <v>114</v>
      </c>
      <c r="DP1" s="2" t="s">
        <v>115</v>
      </c>
      <c r="DQ1" t="s">
        <v>116</v>
      </c>
      <c r="DR1" t="s">
        <v>117</v>
      </c>
      <c r="DS1" s="2" t="s">
        <v>118</v>
      </c>
      <c r="DT1" t="s">
        <v>119</v>
      </c>
      <c r="DU1" t="s">
        <v>120</v>
      </c>
      <c r="DV1" s="2" t="s">
        <v>121</v>
      </c>
      <c r="DW1" t="s">
        <v>122</v>
      </c>
      <c r="DX1" t="s">
        <v>123</v>
      </c>
      <c r="DY1" s="2" t="s">
        <v>124</v>
      </c>
      <c r="DZ1" t="s">
        <v>125</v>
      </c>
      <c r="EA1" t="s">
        <v>126</v>
      </c>
      <c r="EB1" s="2" t="s">
        <v>127</v>
      </c>
      <c r="EC1" t="s">
        <v>128</v>
      </c>
      <c r="ED1" t="s">
        <v>129</v>
      </c>
      <c r="EE1" s="2" t="s">
        <v>130</v>
      </c>
      <c r="EF1" t="s">
        <v>131</v>
      </c>
      <c r="EG1" t="s">
        <v>132</v>
      </c>
      <c r="EH1" s="2" t="s">
        <v>133</v>
      </c>
      <c r="EI1" t="s">
        <v>134</v>
      </c>
      <c r="EJ1" t="s">
        <v>135</v>
      </c>
      <c r="EK1" s="2" t="s">
        <v>136</v>
      </c>
      <c r="EL1" t="s">
        <v>137</v>
      </c>
      <c r="EM1" t="s">
        <v>138</v>
      </c>
      <c r="EN1" s="2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</row>
    <row r="2" spans="1:175" ht="15.5" x14ac:dyDescent="0.35">
      <c r="A2" s="3" t="s">
        <v>171</v>
      </c>
      <c r="B2" t="s">
        <v>172</v>
      </c>
      <c r="C2" t="s">
        <v>173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174</v>
      </c>
      <c r="U2" s="4">
        <v>20</v>
      </c>
      <c r="V2" s="4">
        <v>23</v>
      </c>
      <c r="W2" s="4">
        <v>6.8</v>
      </c>
      <c r="X2" s="4">
        <v>0</v>
      </c>
      <c r="Y2" s="7" t="s">
        <v>175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6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>AU2/AB2*100</f>
        <v>48.04128703408729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5.5" x14ac:dyDescent="0.35">
      <c r="A3" t="s">
        <v>176</v>
      </c>
      <c r="B3" t="s">
        <v>172</v>
      </c>
      <c r="C3" t="s">
        <v>173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5">AVERAGE(G3,I3)</f>
        <v>145</v>
      </c>
      <c r="L3" s="5">
        <f t="shared" ref="L3:L38" si="6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7">AVERAGE(O3,P3)</f>
        <v>105.6</v>
      </c>
      <c r="R3">
        <v>40</v>
      </c>
      <c r="S3">
        <v>42.8</v>
      </c>
      <c r="T3" s="7" t="s">
        <v>177</v>
      </c>
      <c r="U3" s="4">
        <v>-14</v>
      </c>
      <c r="V3" s="4">
        <v>-11.5</v>
      </c>
      <c r="W3" s="4">
        <v>6</v>
      </c>
      <c r="X3" s="4">
        <v>-10.4</v>
      </c>
      <c r="Y3" s="7" t="s">
        <v>175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8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ref="AT3:AT66" si="9">AU3/AB3*100</f>
        <v>44.017393194912493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5.5" x14ac:dyDescent="0.35">
      <c r="A4" t="s">
        <v>178</v>
      </c>
      <c r="B4" t="s">
        <v>172</v>
      </c>
      <c r="C4" t="s">
        <v>173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5"/>
        <v>153.5</v>
      </c>
      <c r="L4" s="5">
        <f t="shared" si="6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7"/>
        <v>106</v>
      </c>
      <c r="R4" s="5">
        <v>25</v>
      </c>
      <c r="S4">
        <v>13.5</v>
      </c>
      <c r="T4" s="7" t="s">
        <v>177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8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9"/>
        <v>62.244581773870664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7">
        <v>11.4</v>
      </c>
      <c r="BW4" s="7">
        <v>190</v>
      </c>
      <c r="BX4" s="7" t="s">
        <v>175</v>
      </c>
      <c r="BY4">
        <v>172</v>
      </c>
      <c r="BZ4">
        <v>838</v>
      </c>
      <c r="CA4">
        <v>184</v>
      </c>
      <c r="CB4">
        <v>860</v>
      </c>
    </row>
    <row r="5" spans="1:175" ht="15.5" x14ac:dyDescent="0.35">
      <c r="A5" t="s">
        <v>179</v>
      </c>
      <c r="B5" t="s">
        <v>180</v>
      </c>
      <c r="C5" t="s">
        <v>173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5"/>
        <v>164.5</v>
      </c>
      <c r="L5" s="5">
        <f t="shared" si="6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7"/>
        <v>121</v>
      </c>
      <c r="R5" s="5">
        <v>21</v>
      </c>
      <c r="S5">
        <v>5.8</v>
      </c>
      <c r="T5" s="7" t="s">
        <v>177</v>
      </c>
      <c r="U5" s="4">
        <v>3</v>
      </c>
      <c r="V5" s="4">
        <v>3</v>
      </c>
      <c r="W5" s="4">
        <v>-35</v>
      </c>
      <c r="X5" s="4">
        <v>-34</v>
      </c>
      <c r="Y5" s="7" t="s">
        <v>175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8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9"/>
        <v>70.180122699386501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5.5" x14ac:dyDescent="0.35">
      <c r="A6" t="s">
        <v>181</v>
      </c>
      <c r="B6" t="s">
        <v>180</v>
      </c>
      <c r="C6" t="s">
        <v>173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5"/>
        <v>128</v>
      </c>
      <c r="L6">
        <f t="shared" si="6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7"/>
        <v>91.5</v>
      </c>
      <c r="R6" s="5">
        <v>27</v>
      </c>
      <c r="S6">
        <v>73.5</v>
      </c>
      <c r="T6" s="7" t="s">
        <v>174</v>
      </c>
      <c r="U6" s="4">
        <v>12.5</v>
      </c>
      <c r="V6" s="4">
        <v>11</v>
      </c>
      <c r="W6" s="4">
        <v>10</v>
      </c>
      <c r="X6" s="4">
        <v>5.5</v>
      </c>
      <c r="Y6" s="7" t="s">
        <v>175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8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9"/>
        <v>42.667507722562867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175</v>
      </c>
      <c r="CB6" s="7" t="s">
        <v>175</v>
      </c>
    </row>
    <row r="7" spans="1:175" ht="15.5" x14ac:dyDescent="0.35">
      <c r="A7" t="s">
        <v>182</v>
      </c>
      <c r="B7" t="s">
        <v>180</v>
      </c>
      <c r="C7" t="s">
        <v>173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5"/>
        <v>161</v>
      </c>
      <c r="L7">
        <f t="shared" si="6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7"/>
        <v>95</v>
      </c>
      <c r="R7">
        <v>45</v>
      </c>
      <c r="S7" s="4">
        <v>66</v>
      </c>
      <c r="T7" s="7" t="s">
        <v>174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8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9"/>
        <v>48.469096671949288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7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5.5" x14ac:dyDescent="0.35">
      <c r="A8" t="s">
        <v>183</v>
      </c>
      <c r="B8" t="s">
        <v>172</v>
      </c>
      <c r="C8" t="s">
        <v>173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5"/>
        <v>163.5</v>
      </c>
      <c r="L8" s="5">
        <f t="shared" si="6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7"/>
        <v>145.5</v>
      </c>
      <c r="R8" s="5">
        <v>89</v>
      </c>
      <c r="S8" s="4">
        <v>64</v>
      </c>
      <c r="T8" s="7" t="s">
        <v>174</v>
      </c>
      <c r="U8" s="4">
        <v>-12.5</v>
      </c>
      <c r="V8" s="4">
        <v>-2.5</v>
      </c>
      <c r="W8" s="4">
        <v>-3.5</v>
      </c>
      <c r="X8" s="4">
        <v>-3</v>
      </c>
      <c r="Y8" s="7" t="s">
        <v>175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8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9"/>
        <v>63.834974713867453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5.5" x14ac:dyDescent="0.35">
      <c r="A9" t="s">
        <v>184</v>
      </c>
      <c r="B9" t="s">
        <v>172</v>
      </c>
      <c r="C9" t="s">
        <v>173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5"/>
        <v>135</v>
      </c>
      <c r="L9" s="5">
        <f t="shared" si="6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7"/>
        <v>101.5</v>
      </c>
      <c r="R9">
        <v>28</v>
      </c>
      <c r="S9" s="4">
        <v>64</v>
      </c>
      <c r="T9" s="7" t="s">
        <v>174</v>
      </c>
      <c r="U9" s="4">
        <v>16</v>
      </c>
      <c r="V9" s="4">
        <v>12.5</v>
      </c>
      <c r="W9" s="4">
        <v>6</v>
      </c>
      <c r="X9" s="4">
        <v>6</v>
      </c>
      <c r="Y9" s="7" t="s">
        <v>175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8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9"/>
        <v>62.51352160463027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175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5.5" x14ac:dyDescent="0.35">
      <c r="A10" t="s">
        <v>185</v>
      </c>
      <c r="B10" t="s">
        <v>180</v>
      </c>
      <c r="C10" t="s">
        <v>173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5"/>
        <v>126</v>
      </c>
      <c r="L10">
        <f t="shared" si="6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7"/>
        <v>102.5</v>
      </c>
      <c r="R10">
        <v>25</v>
      </c>
      <c r="S10">
        <v>48.6</v>
      </c>
      <c r="T10" s="7" t="s">
        <v>177</v>
      </c>
      <c r="U10" s="4">
        <v>2</v>
      </c>
      <c r="V10" s="4">
        <v>5.3</v>
      </c>
      <c r="W10" s="4">
        <v>-23</v>
      </c>
      <c r="X10" s="4">
        <v>-20</v>
      </c>
      <c r="Y10" s="7" t="s">
        <v>175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9"/>
        <v>62.437840100460448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5.5" x14ac:dyDescent="0.35">
      <c r="A11" t="s">
        <v>186</v>
      </c>
      <c r="B11" t="s">
        <v>180</v>
      </c>
      <c r="C11" t="s">
        <v>173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5"/>
        <v>118.5</v>
      </c>
      <c r="L11">
        <f t="shared" si="6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7"/>
        <v>76.25</v>
      </c>
      <c r="R11">
        <v>12</v>
      </c>
      <c r="S11" s="4">
        <v>65</v>
      </c>
      <c r="T11" s="7" t="s">
        <v>174</v>
      </c>
      <c r="U11" s="4">
        <v>7</v>
      </c>
      <c r="V11" s="4">
        <v>17.5</v>
      </c>
      <c r="W11" s="4">
        <v>3</v>
      </c>
      <c r="X11" s="4">
        <v>0</v>
      </c>
      <c r="Y11" s="7" t="s">
        <v>175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8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9"/>
        <v>53.904380188949332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175</v>
      </c>
      <c r="BY11">
        <v>292</v>
      </c>
      <c r="BZ11">
        <v>907</v>
      </c>
      <c r="CA11">
        <v>303</v>
      </c>
      <c r="CB11">
        <v>864</v>
      </c>
    </row>
    <row r="12" spans="1:175" ht="15.5" x14ac:dyDescent="0.35">
      <c r="A12" t="s">
        <v>187</v>
      </c>
      <c r="B12" t="s">
        <v>180</v>
      </c>
      <c r="C12" t="s">
        <v>173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5"/>
        <v>136</v>
      </c>
      <c r="L12" s="5">
        <f t="shared" si="6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7"/>
        <v>92.55</v>
      </c>
      <c r="R12" s="5">
        <v>29</v>
      </c>
      <c r="S12">
        <v>51.7</v>
      </c>
      <c r="T12" s="7" t="s">
        <v>177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8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9"/>
        <v>49.490270270270273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5.5" x14ac:dyDescent="0.35">
      <c r="A13" t="s">
        <v>188</v>
      </c>
      <c r="B13" t="s">
        <v>180</v>
      </c>
      <c r="C13" t="s">
        <v>173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5"/>
        <v>126</v>
      </c>
      <c r="L13">
        <f t="shared" si="6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7"/>
        <v>79.5</v>
      </c>
      <c r="R13">
        <v>53</v>
      </c>
      <c r="S13">
        <v>66.3</v>
      </c>
      <c r="T13" s="7" t="s">
        <v>174</v>
      </c>
      <c r="U13" s="4">
        <v>12.1</v>
      </c>
      <c r="V13" s="4">
        <v>12.5</v>
      </c>
      <c r="W13" s="4">
        <v>-8</v>
      </c>
      <c r="X13" s="4">
        <v>2.5</v>
      </c>
      <c r="Y13" s="7" t="s">
        <v>175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8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9"/>
        <v>43.823229179634012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5.5" x14ac:dyDescent="0.35">
      <c r="A14" t="s">
        <v>189</v>
      </c>
      <c r="B14" t="s">
        <v>172</v>
      </c>
      <c r="C14" t="s">
        <v>173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5"/>
        <v>150.5</v>
      </c>
      <c r="L14">
        <f t="shared" si="6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7"/>
        <v>120.5</v>
      </c>
      <c r="R14" s="5">
        <v>45</v>
      </c>
      <c r="S14">
        <v>43.4</v>
      </c>
      <c r="T14" s="7" t="s">
        <v>177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175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9"/>
        <v>57.67157331294208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175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5.5" x14ac:dyDescent="0.35">
      <c r="A15" t="s">
        <v>190</v>
      </c>
      <c r="B15" t="s">
        <v>180</v>
      </c>
      <c r="C15" t="s">
        <v>173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5"/>
        <v>155</v>
      </c>
      <c r="L15">
        <f t="shared" si="6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7"/>
        <v>114.5</v>
      </c>
      <c r="R15">
        <v>30</v>
      </c>
      <c r="S15" s="4">
        <v>11</v>
      </c>
      <c r="T15" s="7" t="s">
        <v>177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8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9"/>
        <v>64.099654424174219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5.5" x14ac:dyDescent="0.35">
      <c r="A16" t="s">
        <v>191</v>
      </c>
      <c r="B16" t="s">
        <v>180</v>
      </c>
      <c r="C16" t="s">
        <v>173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5"/>
        <v>160.5</v>
      </c>
      <c r="L16" s="5">
        <f t="shared" si="6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7"/>
        <v>116.5</v>
      </c>
      <c r="R16" s="5">
        <v>50</v>
      </c>
      <c r="S16">
        <v>12.8</v>
      </c>
      <c r="T16" s="7" t="s">
        <v>177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175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8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9"/>
        <v>48.832858548712899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175</v>
      </c>
      <c r="BN16" s="15" t="s">
        <v>175</v>
      </c>
      <c r="BO16" s="15" t="s">
        <v>175</v>
      </c>
      <c r="BP16" s="15" t="s">
        <v>175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5.5" x14ac:dyDescent="0.35">
      <c r="A17" t="s">
        <v>192</v>
      </c>
      <c r="B17" t="s">
        <v>180</v>
      </c>
      <c r="C17" t="s">
        <v>173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5"/>
        <v>139.5</v>
      </c>
      <c r="L17" s="5">
        <f t="shared" si="6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7"/>
        <v>97.8</v>
      </c>
      <c r="R17">
        <v>41</v>
      </c>
      <c r="S17">
        <v>8.6999999999999993</v>
      </c>
      <c r="T17" s="7" t="s">
        <v>177</v>
      </c>
      <c r="U17" s="4">
        <v>-19.8</v>
      </c>
      <c r="V17" s="4">
        <v>-19.399999999999999</v>
      </c>
      <c r="W17" s="4">
        <v>-34.5</v>
      </c>
      <c r="X17" s="4">
        <v>-15.2</v>
      </c>
      <c r="Y17" s="7" t="s">
        <v>175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8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9"/>
        <v>48.616646376625873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175</v>
      </c>
      <c r="BY17">
        <v>428</v>
      </c>
      <c r="BZ17">
        <v>988</v>
      </c>
      <c r="CA17">
        <v>458</v>
      </c>
      <c r="CB17">
        <v>1021</v>
      </c>
    </row>
    <row r="18" spans="1:80" ht="15.5" x14ac:dyDescent="0.35">
      <c r="A18" t="s">
        <v>193</v>
      </c>
      <c r="B18" t="s">
        <v>180</v>
      </c>
      <c r="C18" t="s">
        <v>173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5"/>
        <v>140.5</v>
      </c>
      <c r="L18">
        <f t="shared" si="6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7"/>
        <v>74.25</v>
      </c>
      <c r="R18">
        <v>30</v>
      </c>
      <c r="S18" s="4">
        <v>69</v>
      </c>
      <c r="T18" s="7" t="s">
        <v>174</v>
      </c>
      <c r="U18" s="4">
        <v>6.5</v>
      </c>
      <c r="V18" s="4">
        <v>8</v>
      </c>
      <c r="W18" s="4">
        <v>4.5</v>
      </c>
      <c r="X18" s="4">
        <v>-4</v>
      </c>
      <c r="Y18" s="7" t="s">
        <v>175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8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9"/>
        <v>41.883681535855452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175</v>
      </c>
      <c r="BH18" s="14" t="s">
        <v>175</v>
      </c>
      <c r="BI18" s="14" t="s">
        <v>175</v>
      </c>
      <c r="BJ18" s="14" t="s">
        <v>175</v>
      </c>
      <c r="BK18" s="6" t="s">
        <v>175</v>
      </c>
      <c r="BL18" s="15" t="s">
        <v>175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5.5" x14ac:dyDescent="0.35">
      <c r="A19" t="s">
        <v>194</v>
      </c>
      <c r="B19" t="s">
        <v>172</v>
      </c>
      <c r="C19" t="s">
        <v>173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5"/>
        <v>115</v>
      </c>
      <c r="L19" s="5">
        <f t="shared" si="6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7"/>
        <v>119.05000000000001</v>
      </c>
      <c r="R19">
        <v>28</v>
      </c>
      <c r="S19">
        <v>31.6</v>
      </c>
      <c r="T19" s="7" t="s">
        <v>177</v>
      </c>
      <c r="U19" s="4">
        <v>5.2</v>
      </c>
      <c r="V19" s="4">
        <v>7.2</v>
      </c>
      <c r="W19" s="4">
        <v>-16</v>
      </c>
      <c r="X19" s="4">
        <v>-29.7</v>
      </c>
      <c r="Y19" s="7" t="s">
        <v>175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8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9"/>
        <v>93.550046971406445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175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5.5" x14ac:dyDescent="0.35">
      <c r="A20" t="s">
        <v>195</v>
      </c>
      <c r="B20" t="s">
        <v>180</v>
      </c>
      <c r="C20" t="s">
        <v>173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5"/>
        <v>136</v>
      </c>
      <c r="L20" s="5">
        <f t="shared" si="6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7"/>
        <v>113.05</v>
      </c>
      <c r="R20">
        <v>51</v>
      </c>
      <c r="S20">
        <v>4.2</v>
      </c>
      <c r="T20" s="7" t="s">
        <v>177</v>
      </c>
      <c r="U20">
        <v>7.2</v>
      </c>
      <c r="V20" s="4">
        <v>8</v>
      </c>
      <c r="W20" s="7" t="s">
        <v>175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8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9"/>
        <v>55.71944634100926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175</v>
      </c>
      <c r="BN20" s="15" t="s">
        <v>175</v>
      </c>
      <c r="BO20" s="15" t="s">
        <v>175</v>
      </c>
      <c r="BP20" s="15" t="s">
        <v>175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5.5" x14ac:dyDescent="0.35">
      <c r="A21" t="s">
        <v>196</v>
      </c>
      <c r="B21" t="s">
        <v>180</v>
      </c>
      <c r="C21" t="s">
        <v>173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5"/>
        <v>167</v>
      </c>
      <c r="L21">
        <f t="shared" si="6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7"/>
        <v>78.349999999999994</v>
      </c>
      <c r="R21" s="5">
        <v>30</v>
      </c>
      <c r="S21">
        <v>3.3</v>
      </c>
      <c r="T21" s="7" t="s">
        <v>177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175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8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9"/>
        <v>50.441382426022145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5.5" x14ac:dyDescent="0.35">
      <c r="A22" t="s">
        <v>197</v>
      </c>
      <c r="B22" t="s">
        <v>172</v>
      </c>
      <c r="C22" t="s">
        <v>173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5"/>
        <v>125</v>
      </c>
      <c r="L22">
        <f t="shared" si="6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7"/>
        <v>107.7</v>
      </c>
      <c r="R22">
        <v>29</v>
      </c>
      <c r="S22">
        <v>5.7</v>
      </c>
      <c r="T22" s="7" t="s">
        <v>177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175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8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9"/>
        <v>51.253018677589942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5.5" x14ac:dyDescent="0.35">
      <c r="A23" t="s">
        <v>198</v>
      </c>
      <c r="B23" t="s">
        <v>180</v>
      </c>
      <c r="C23" t="s">
        <v>173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5"/>
        <v>149</v>
      </c>
      <c r="L23" s="5">
        <f t="shared" si="6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7"/>
        <v>89.35</v>
      </c>
      <c r="R23">
        <v>58</v>
      </c>
      <c r="S23">
        <v>87.3</v>
      </c>
      <c r="T23" s="7" t="s">
        <v>174</v>
      </c>
      <c r="U23" s="4">
        <v>27.3</v>
      </c>
      <c r="V23" s="4">
        <v>24.5</v>
      </c>
      <c r="W23" s="4">
        <v>19.5</v>
      </c>
      <c r="X23" s="4">
        <v>15</v>
      </c>
      <c r="Y23" s="7" t="s">
        <v>175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8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9"/>
        <v>34.11975743491049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5.5" x14ac:dyDescent="0.35">
      <c r="A24" t="s">
        <v>199</v>
      </c>
      <c r="B24" t="s">
        <v>172</v>
      </c>
      <c r="C24" t="s">
        <v>173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5"/>
        <v>114</v>
      </c>
      <c r="L24" s="5">
        <f t="shared" si="6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7"/>
        <v>90.55</v>
      </c>
      <c r="R24" s="5">
        <v>25</v>
      </c>
      <c r="S24">
        <v>18.8</v>
      </c>
      <c r="T24" s="7" t="s">
        <v>177</v>
      </c>
      <c r="U24" s="4">
        <v>-14.7</v>
      </c>
      <c r="V24" s="4">
        <v>-18</v>
      </c>
      <c r="W24" s="4">
        <v>3.4</v>
      </c>
      <c r="X24" s="4">
        <v>-21</v>
      </c>
      <c r="Y24" s="7" t="s">
        <v>175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8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9"/>
        <v>51.841384282624368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5.5" x14ac:dyDescent="0.35">
      <c r="A25" t="s">
        <v>200</v>
      </c>
      <c r="B25" t="s">
        <v>172</v>
      </c>
      <c r="C25" t="s">
        <v>173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5"/>
        <v>160</v>
      </c>
      <c r="L25" s="5">
        <f t="shared" si="6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7"/>
        <v>111.4</v>
      </c>
      <c r="R25" s="5">
        <v>35</v>
      </c>
      <c r="S25">
        <v>52.5</v>
      </c>
      <c r="T25" s="7" t="s">
        <v>177</v>
      </c>
      <c r="U25">
        <v>1.8</v>
      </c>
      <c r="V25">
        <v>1.7</v>
      </c>
      <c r="W25">
        <v>-2.8</v>
      </c>
      <c r="X25">
        <v>-9.5</v>
      </c>
      <c r="Y25" s="7" t="s">
        <v>175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8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9"/>
        <v>58.502710027100271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6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5.5" x14ac:dyDescent="0.35">
      <c r="A26" t="s">
        <v>201</v>
      </c>
      <c r="B26" t="s">
        <v>180</v>
      </c>
      <c r="C26" t="s">
        <v>173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5"/>
        <v>166.5</v>
      </c>
      <c r="L26">
        <f t="shared" si="6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7"/>
        <v>88.75</v>
      </c>
      <c r="R26" s="5">
        <v>53</v>
      </c>
      <c r="S26" s="4">
        <v>65</v>
      </c>
      <c r="T26" s="7" t="s">
        <v>174</v>
      </c>
      <c r="U26" s="4">
        <v>8</v>
      </c>
      <c r="V26" s="4">
        <v>8.5</v>
      </c>
      <c r="W26" s="4">
        <v>7.5</v>
      </c>
      <c r="X26" s="4">
        <v>3.5</v>
      </c>
      <c r="Y26" s="7" t="s">
        <v>175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8"/>
        <v>38.480881130507065</v>
      </c>
      <c r="AF26" s="4">
        <f t="shared" si="2"/>
        <v>16.864298724954462</v>
      </c>
      <c r="AG26" s="5">
        <f>14*60+5</f>
        <v>845</v>
      </c>
      <c r="AH26">
        <v>4.8</v>
      </c>
      <c r="AI26">
        <v>20</v>
      </c>
      <c r="AJ26">
        <v>20</v>
      </c>
      <c r="AK26" s="7">
        <v>183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9"/>
        <v>44.151860452557109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6" t="s">
        <v>175</v>
      </c>
      <c r="BA26" s="7" t="s">
        <v>175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5.5" x14ac:dyDescent="0.35">
      <c r="A27" t="s">
        <v>202</v>
      </c>
      <c r="B27" t="s">
        <v>180</v>
      </c>
      <c r="C27" t="s">
        <v>173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5"/>
        <v>154</v>
      </c>
      <c r="L27">
        <f t="shared" si="6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7"/>
        <v>85</v>
      </c>
      <c r="R27" s="5">
        <v>21</v>
      </c>
      <c r="S27" s="4">
        <v>66</v>
      </c>
      <c r="T27" s="7" t="s">
        <v>174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8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9"/>
        <v>55.129477517147926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5.5" x14ac:dyDescent="0.35">
      <c r="A28" t="s">
        <v>203</v>
      </c>
      <c r="B28" t="s">
        <v>172</v>
      </c>
      <c r="C28" t="s">
        <v>173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5"/>
        <v>111</v>
      </c>
      <c r="L28" s="5">
        <f t="shared" si="6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7"/>
        <v>101.25</v>
      </c>
      <c r="R28" s="5">
        <v>51</v>
      </c>
      <c r="S28">
        <v>68.5</v>
      </c>
      <c r="T28" s="7" t="s">
        <v>174</v>
      </c>
      <c r="U28" s="4">
        <v>-3</v>
      </c>
      <c r="V28" s="4">
        <v>-7.5</v>
      </c>
      <c r="W28" s="4">
        <v>2</v>
      </c>
      <c r="X28" s="4">
        <v>1</v>
      </c>
      <c r="Y28" s="7" t="s">
        <v>175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8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9"/>
        <v>34.169591796489847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4.5" x14ac:dyDescent="0.35">
      <c r="A29" t="s">
        <v>204</v>
      </c>
      <c r="B29" t="s">
        <v>180</v>
      </c>
      <c r="C29" t="s">
        <v>173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5"/>
        <v>124</v>
      </c>
      <c r="L29">
        <f t="shared" si="6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7"/>
        <v>90.05</v>
      </c>
      <c r="R29">
        <v>38</v>
      </c>
      <c r="S29">
        <v>73.7</v>
      </c>
      <c r="T29" s="7" t="s">
        <v>174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175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8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9"/>
        <v>49.291214909453203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175</v>
      </c>
      <c r="BH29" s="6" t="s">
        <v>175</v>
      </c>
      <c r="BI29" s="6" t="s">
        <v>175</v>
      </c>
      <c r="BJ29" s="6" t="s">
        <v>175</v>
      </c>
      <c r="BK29" s="6" t="s">
        <v>175</v>
      </c>
      <c r="BL29" s="13" t="s">
        <v>175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5.5" x14ac:dyDescent="0.35">
      <c r="A30" t="s">
        <v>205</v>
      </c>
      <c r="B30" t="s">
        <v>180</v>
      </c>
      <c r="C30" t="s">
        <v>173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5"/>
        <v>166.5</v>
      </c>
      <c r="L30" s="5">
        <f t="shared" si="6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7"/>
        <v>98.2</v>
      </c>
      <c r="R30">
        <v>59</v>
      </c>
      <c r="S30">
        <v>66.599999999999994</v>
      </c>
      <c r="T30" s="7" t="s">
        <v>174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175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8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9"/>
        <v>44.458853073154671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5.5" x14ac:dyDescent="0.35">
      <c r="A31" t="s">
        <v>206</v>
      </c>
      <c r="B31" t="s">
        <v>172</v>
      </c>
      <c r="C31" t="s">
        <v>173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5"/>
        <v>137.5</v>
      </c>
      <c r="L31" s="5">
        <f t="shared" si="6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7"/>
        <v>102.25</v>
      </c>
      <c r="R31" s="5">
        <v>21</v>
      </c>
      <c r="S31">
        <v>3.6</v>
      </c>
      <c r="T31" s="7" t="s">
        <v>177</v>
      </c>
      <c r="U31" s="4">
        <v>-3.5</v>
      </c>
      <c r="V31" s="4">
        <v>-5.5</v>
      </c>
      <c r="W31" s="4">
        <v>-12</v>
      </c>
      <c r="X31" s="4">
        <v>-15</v>
      </c>
      <c r="Y31" s="7" t="s">
        <v>175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8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9"/>
        <v>54.33120718166785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175</v>
      </c>
      <c r="CB31" s="7" t="s">
        <v>175</v>
      </c>
    </row>
    <row r="32" spans="1:80" ht="15.5" x14ac:dyDescent="0.35">
      <c r="A32" t="s">
        <v>207</v>
      </c>
      <c r="B32" t="s">
        <v>172</v>
      </c>
      <c r="C32" t="s">
        <v>173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5"/>
        <v>149.5</v>
      </c>
      <c r="L32" s="5">
        <f t="shared" si="6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7"/>
        <v>104.25</v>
      </c>
      <c r="R32">
        <v>22</v>
      </c>
      <c r="S32">
        <v>47.1</v>
      </c>
      <c r="T32" s="7" t="s">
        <v>177</v>
      </c>
      <c r="U32" s="4">
        <v>7</v>
      </c>
      <c r="V32" s="4">
        <v>10.5</v>
      </c>
      <c r="W32" s="4">
        <v>-7</v>
      </c>
      <c r="X32" s="4">
        <v>-8</v>
      </c>
      <c r="Y32" s="7" t="s">
        <v>175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8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9"/>
        <v>67.510322346975741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5.5" x14ac:dyDescent="0.35">
      <c r="A33" t="s">
        <v>208</v>
      </c>
      <c r="B33" t="s">
        <v>180</v>
      </c>
      <c r="C33" t="s">
        <v>173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5"/>
        <v>141.5</v>
      </c>
      <c r="L33" s="5">
        <f t="shared" si="6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7"/>
        <v>90</v>
      </c>
      <c r="R33" s="5">
        <v>42</v>
      </c>
      <c r="S33">
        <v>28.3</v>
      </c>
      <c r="T33" s="7" t="s">
        <v>177</v>
      </c>
      <c r="U33" s="4">
        <v>3.2</v>
      </c>
      <c r="V33" s="4">
        <v>7.9</v>
      </c>
      <c r="W33" s="4">
        <v>-18.2</v>
      </c>
      <c r="X33" s="4">
        <v>-14.4</v>
      </c>
      <c r="Y33" s="7" t="s">
        <v>175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8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9"/>
        <v>48.525270758122744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5.5" x14ac:dyDescent="0.35">
      <c r="A34" t="s">
        <v>209</v>
      </c>
      <c r="B34" t="s">
        <v>180</v>
      </c>
      <c r="C34" t="s">
        <v>173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5"/>
        <v>137</v>
      </c>
      <c r="L34">
        <f t="shared" si="6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7"/>
        <v>100.2</v>
      </c>
      <c r="R34" s="5">
        <v>53</v>
      </c>
      <c r="S34">
        <v>73.5</v>
      </c>
      <c r="T34" s="7" t="s">
        <v>174</v>
      </c>
      <c r="U34" s="4">
        <v>-10.5</v>
      </c>
      <c r="V34" s="4">
        <v>0</v>
      </c>
      <c r="W34" s="4">
        <v>-7.3</v>
      </c>
      <c r="X34" s="4">
        <v>-21.5</v>
      </c>
      <c r="Y34" s="7" t="s">
        <v>175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8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si="9"/>
        <v>38.695415532761146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5.5" x14ac:dyDescent="0.35">
      <c r="A35" t="s">
        <v>210</v>
      </c>
      <c r="B35" t="s">
        <v>172</v>
      </c>
      <c r="C35" t="s">
        <v>173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5"/>
        <v>137</v>
      </c>
      <c r="L35" s="5">
        <f t="shared" si="6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7"/>
        <v>118.9</v>
      </c>
      <c r="R35">
        <v>22</v>
      </c>
      <c r="S35">
        <v>6.6</v>
      </c>
      <c r="T35" s="7" t="s">
        <v>177</v>
      </c>
      <c r="U35" s="4">
        <v>6.8</v>
      </c>
      <c r="V35" s="4">
        <v>5.6</v>
      </c>
      <c r="W35" s="4">
        <v>-11.4</v>
      </c>
      <c r="X35" s="4">
        <v>-18</v>
      </c>
      <c r="Y35" s="7" t="s">
        <v>175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8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9"/>
        <v>66.690436180317093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6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5.5" x14ac:dyDescent="0.35">
      <c r="A36" t="s">
        <v>211</v>
      </c>
      <c r="B36" t="s">
        <v>172</v>
      </c>
      <c r="C36" t="s">
        <v>173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5"/>
        <v>136.5</v>
      </c>
      <c r="L36" s="5">
        <f t="shared" si="6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7"/>
        <v>90</v>
      </c>
      <c r="R36" s="5">
        <v>25</v>
      </c>
      <c r="S36">
        <v>35.5</v>
      </c>
      <c r="T36" s="7" t="s">
        <v>177</v>
      </c>
      <c r="U36" s="4">
        <v>3</v>
      </c>
      <c r="V36" s="4">
        <v>2.5</v>
      </c>
      <c r="W36" s="4">
        <v>-1</v>
      </c>
      <c r="X36" s="4">
        <v>-4.5</v>
      </c>
      <c r="Y36" s="7" t="s">
        <v>175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8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9"/>
        <v>43.748747591522161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5.5" x14ac:dyDescent="0.35">
      <c r="A37" s="2" t="s">
        <v>212</v>
      </c>
      <c r="B37" t="s">
        <v>180</v>
      </c>
      <c r="C37" t="s">
        <v>173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5"/>
        <v>115</v>
      </c>
      <c r="L37">
        <f t="shared" si="6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7"/>
        <v>83.45</v>
      </c>
      <c r="R37" s="5">
        <v>32</v>
      </c>
      <c r="S37">
        <v>70.3</v>
      </c>
      <c r="T37" s="7" t="s">
        <v>174</v>
      </c>
      <c r="U37" s="4">
        <v>22</v>
      </c>
      <c r="V37" s="4">
        <v>18.5</v>
      </c>
      <c r="W37" s="4">
        <v>0.2</v>
      </c>
      <c r="X37" s="4">
        <v>-11.5</v>
      </c>
      <c r="Y37" s="7" t="s">
        <v>175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8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9"/>
        <v>40.770938446014128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5.5" x14ac:dyDescent="0.35">
      <c r="A38" t="s">
        <v>213</v>
      </c>
      <c r="B38" t="s">
        <v>172</v>
      </c>
      <c r="C38" t="s">
        <v>173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5"/>
        <v>140.5</v>
      </c>
      <c r="L38" s="5">
        <f t="shared" si="6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7"/>
        <v>80.5</v>
      </c>
      <c r="R38" s="5">
        <v>20</v>
      </c>
      <c r="S38" s="7" t="s">
        <v>175</v>
      </c>
      <c r="T38" s="7" t="s">
        <v>175</v>
      </c>
      <c r="U38" s="4">
        <v>7.5</v>
      </c>
      <c r="V38" s="4">
        <v>7</v>
      </c>
      <c r="W38" s="4">
        <v>2.5</v>
      </c>
      <c r="X38" s="4">
        <v>-8</v>
      </c>
      <c r="Y38" s="7" t="s">
        <v>175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8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9"/>
        <v>49.329269199316037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4.5" x14ac:dyDescent="0.35">
      <c r="A39" t="s">
        <v>214</v>
      </c>
      <c r="B39" t="s">
        <v>180</v>
      </c>
      <c r="C39" t="s">
        <v>173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174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8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9"/>
        <v>47.326669332267095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175</v>
      </c>
      <c r="BC39" s="6" t="s">
        <v>175</v>
      </c>
      <c r="BD39" s="6" t="s">
        <v>175</v>
      </c>
      <c r="BE39" s="6" t="s">
        <v>175</v>
      </c>
      <c r="BF39" s="9" t="s">
        <v>175</v>
      </c>
      <c r="BG39" s="6" t="s">
        <v>175</v>
      </c>
      <c r="BH39" s="6" t="s">
        <v>175</v>
      </c>
      <c r="BI39" s="6" t="s">
        <v>175</v>
      </c>
      <c r="BJ39" s="6" t="s">
        <v>175</v>
      </c>
      <c r="BK39" s="6" t="s">
        <v>175</v>
      </c>
      <c r="BL39" s="13" t="s">
        <v>175</v>
      </c>
      <c r="BM39" s="15" t="s">
        <v>175</v>
      </c>
      <c r="BN39" s="15" t="s">
        <v>175</v>
      </c>
      <c r="BO39" s="15" t="s">
        <v>175</v>
      </c>
      <c r="BP39" s="15" t="s">
        <v>175</v>
      </c>
      <c r="BQ39" s="7" t="s">
        <v>175</v>
      </c>
      <c r="BR39" s="7" t="s">
        <v>175</v>
      </c>
      <c r="BS39" s="7" t="s">
        <v>175</v>
      </c>
      <c r="BT39" s="7" t="s">
        <v>175</v>
      </c>
      <c r="BU39" s="7" t="s">
        <v>175</v>
      </c>
      <c r="BV39" s="7" t="s">
        <v>175</v>
      </c>
      <c r="BW39" s="7" t="s">
        <v>175</v>
      </c>
      <c r="BX39" s="7" t="s">
        <v>175</v>
      </c>
      <c r="BY39" s="7" t="s">
        <v>175</v>
      </c>
      <c r="BZ39" s="7" t="s">
        <v>175</v>
      </c>
      <c r="CA39" s="7" t="s">
        <v>175</v>
      </c>
      <c r="CB39" s="7" t="s">
        <v>175</v>
      </c>
    </row>
    <row r="40" spans="1:80" ht="15.5" x14ac:dyDescent="0.35">
      <c r="A40" s="8" t="s">
        <v>171</v>
      </c>
      <c r="B40" s="8" t="s">
        <v>172</v>
      </c>
      <c r="C40" t="s">
        <v>215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7">AVERAGE(G40,I40)</f>
        <v>132.5</v>
      </c>
      <c r="L40" s="5">
        <f t="shared" ref="L40:L58" si="18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7" si="19">AVERAGE(O40,P40)</f>
        <v>78.75</v>
      </c>
      <c r="R40">
        <v>30</v>
      </c>
      <c r="S40" s="4">
        <v>64</v>
      </c>
      <c r="T40" s="7" t="s">
        <v>174</v>
      </c>
      <c r="U40" s="4">
        <v>22</v>
      </c>
      <c r="V40" s="4">
        <v>25</v>
      </c>
      <c r="W40" s="4">
        <v>6.5</v>
      </c>
      <c r="X40" s="4">
        <v>3</v>
      </c>
      <c r="Y40" s="7" t="s">
        <v>175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7" si="20">AA40/N40</f>
        <v>38.494055482166445</v>
      </c>
      <c r="AE40" s="4">
        <f t="shared" si="8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9"/>
        <v>45.065834987241281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5.5" x14ac:dyDescent="0.35">
      <c r="A41" s="8" t="s">
        <v>182</v>
      </c>
      <c r="B41" s="8" t="s">
        <v>180</v>
      </c>
      <c r="C41" t="s">
        <v>215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7"/>
        <v>179.5</v>
      </c>
      <c r="L41" s="5">
        <f t="shared" si="18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19"/>
        <v>94.2</v>
      </c>
      <c r="R41">
        <v>54</v>
      </c>
      <c r="S41" s="4">
        <v>44.8</v>
      </c>
      <c r="T41" s="7" t="s">
        <v>177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0"/>
        <v>33.990426457789383</v>
      </c>
      <c r="AE41" s="4">
        <f t="shared" si="8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9"/>
        <v>45.808622769699667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5.5" x14ac:dyDescent="0.35">
      <c r="A42" s="8" t="s">
        <v>176</v>
      </c>
      <c r="B42" s="8" t="s">
        <v>172</v>
      </c>
      <c r="C42" t="s">
        <v>215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7"/>
        <v>142.5</v>
      </c>
      <c r="L42" s="5">
        <f t="shared" si="18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19"/>
        <v>102.8</v>
      </c>
      <c r="R42">
        <v>40</v>
      </c>
      <c r="S42" s="4">
        <v>66.400000000000006</v>
      </c>
      <c r="T42" s="7" t="s">
        <v>174</v>
      </c>
      <c r="U42" s="4">
        <v>-17</v>
      </c>
      <c r="V42" s="4">
        <v>-11.8</v>
      </c>
      <c r="W42" s="4">
        <v>3.5</v>
      </c>
      <c r="X42" s="4">
        <v>-12</v>
      </c>
      <c r="Y42" s="7" t="s">
        <v>175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0"/>
        <v>37.253341194968556</v>
      </c>
      <c r="AE42" s="4">
        <f t="shared" si="8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9"/>
        <v>37.382120582120585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5.5" x14ac:dyDescent="0.35">
      <c r="A43" s="8" t="s">
        <v>216</v>
      </c>
      <c r="B43" s="8" t="s">
        <v>172</v>
      </c>
      <c r="C43" t="s">
        <v>215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7"/>
        <v>164</v>
      </c>
      <c r="L43" s="5">
        <f t="shared" si="18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19"/>
        <v>106.6</v>
      </c>
      <c r="R43">
        <v>25</v>
      </c>
      <c r="S43" s="4">
        <v>5.2</v>
      </c>
      <c r="T43" s="7" t="s">
        <v>177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0"/>
        <v>24.047619047619047</v>
      </c>
      <c r="AE43" s="4">
        <f t="shared" si="8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9"/>
        <v>52.919410675468967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175</v>
      </c>
      <c r="BN43" s="15" t="s">
        <v>175</v>
      </c>
      <c r="BO43" s="15" t="s">
        <v>175</v>
      </c>
      <c r="BP43" s="15" t="s">
        <v>175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5.5" x14ac:dyDescent="0.35">
      <c r="A44" s="8" t="s">
        <v>186</v>
      </c>
      <c r="B44" s="8" t="s">
        <v>180</v>
      </c>
      <c r="C44" t="s">
        <v>215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7"/>
        <v>106.5</v>
      </c>
      <c r="L44" s="5">
        <f t="shared" si="18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19"/>
        <v>69.5</v>
      </c>
      <c r="R44">
        <v>12</v>
      </c>
      <c r="S44" s="4">
        <v>104.9</v>
      </c>
      <c r="T44" s="7" t="s">
        <v>174</v>
      </c>
      <c r="U44" s="4">
        <v>15</v>
      </c>
      <c r="V44" s="4">
        <v>18</v>
      </c>
      <c r="W44" s="4">
        <v>4</v>
      </c>
      <c r="X44" s="4">
        <v>0</v>
      </c>
      <c r="Y44" s="7" t="s">
        <v>175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0"/>
        <v>32.605566218809983</v>
      </c>
      <c r="AE44" s="4">
        <f t="shared" si="8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9"/>
        <v>49.99342486946432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5.5" x14ac:dyDescent="0.35">
      <c r="A45" s="8" t="s">
        <v>192</v>
      </c>
      <c r="B45" s="8" t="s">
        <v>180</v>
      </c>
      <c r="C45" t="s">
        <v>215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7"/>
        <v>134</v>
      </c>
      <c r="L45" s="5">
        <f t="shared" si="18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19"/>
        <v>95.550000000000011</v>
      </c>
      <c r="R45">
        <v>36</v>
      </c>
      <c r="S45" s="4">
        <v>5.7</v>
      </c>
      <c r="T45" s="7" t="s">
        <v>177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0"/>
        <v>33.445121951219512</v>
      </c>
      <c r="AE45" s="4">
        <f t="shared" si="8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9"/>
        <v>41.560518731988473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175</v>
      </c>
      <c r="BN45" s="15" t="s">
        <v>175</v>
      </c>
      <c r="BO45" s="15" t="s">
        <v>175</v>
      </c>
      <c r="BP45" s="15" t="s">
        <v>175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5.5" x14ac:dyDescent="0.35">
      <c r="A46" s="8" t="s">
        <v>190</v>
      </c>
      <c r="B46" s="8" t="s">
        <v>180</v>
      </c>
      <c r="C46" t="s">
        <v>215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7"/>
        <v>172</v>
      </c>
      <c r="L46" s="5">
        <f t="shared" si="18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19"/>
        <v>110.5</v>
      </c>
      <c r="R46">
        <v>25</v>
      </c>
      <c r="S46" s="4">
        <v>7</v>
      </c>
      <c r="T46" s="7" t="s">
        <v>177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0"/>
        <v>23.003791982665224</v>
      </c>
      <c r="AE46" s="4">
        <f t="shared" si="8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9"/>
        <v>69.062380988651086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4.5" x14ac:dyDescent="0.35">
      <c r="A47" s="8" t="s">
        <v>214</v>
      </c>
      <c r="B47" s="8" t="s">
        <v>180</v>
      </c>
      <c r="C47" t="s">
        <v>215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7"/>
        <v>146</v>
      </c>
      <c r="L47" s="5">
        <f t="shared" si="18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19"/>
        <v>96.1</v>
      </c>
      <c r="R47">
        <v>29</v>
      </c>
      <c r="S47" s="4">
        <v>66</v>
      </c>
      <c r="T47" s="7" t="s">
        <v>174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0"/>
        <v>33.826142131979694</v>
      </c>
      <c r="AE47" s="4">
        <f t="shared" si="8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9"/>
        <v>43.559248465306624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175</v>
      </c>
      <c r="BC47" s="6" t="s">
        <v>175</v>
      </c>
      <c r="BD47" s="6" t="s">
        <v>175</v>
      </c>
      <c r="BE47" s="6" t="s">
        <v>175</v>
      </c>
      <c r="BF47" s="9" t="s">
        <v>175</v>
      </c>
      <c r="BG47" s="6" t="s">
        <v>175</v>
      </c>
      <c r="BH47" s="6" t="s">
        <v>175</v>
      </c>
      <c r="BI47" s="6" t="s">
        <v>175</v>
      </c>
      <c r="BJ47" s="6" t="s">
        <v>175</v>
      </c>
      <c r="BK47" s="6" t="s">
        <v>175</v>
      </c>
      <c r="BL47" s="13" t="s">
        <v>175</v>
      </c>
      <c r="BM47" s="15" t="s">
        <v>175</v>
      </c>
      <c r="BN47" s="15" t="s">
        <v>175</v>
      </c>
      <c r="BO47" s="15" t="s">
        <v>175</v>
      </c>
      <c r="BP47" s="15" t="s">
        <v>175</v>
      </c>
      <c r="BQ47" s="7" t="s">
        <v>175</v>
      </c>
      <c r="BR47" s="7" t="s">
        <v>175</v>
      </c>
      <c r="BS47" s="7" t="s">
        <v>175</v>
      </c>
      <c r="BT47" s="7" t="s">
        <v>175</v>
      </c>
      <c r="BU47" s="7" t="s">
        <v>175</v>
      </c>
      <c r="BV47" s="7" t="s">
        <v>175</v>
      </c>
      <c r="BW47" s="7" t="s">
        <v>175</v>
      </c>
      <c r="BX47" s="7" t="s">
        <v>175</v>
      </c>
      <c r="BY47" s="7" t="s">
        <v>175</v>
      </c>
      <c r="BZ47" s="7" t="s">
        <v>175</v>
      </c>
      <c r="CA47" s="7" t="s">
        <v>175</v>
      </c>
      <c r="CB47" s="7" t="s">
        <v>175</v>
      </c>
    </row>
    <row r="48" spans="1:80" ht="15.5" x14ac:dyDescent="0.35">
      <c r="A48" s="8" t="s">
        <v>184</v>
      </c>
      <c r="B48" s="8" t="s">
        <v>172</v>
      </c>
      <c r="C48" t="s">
        <v>215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7"/>
        <v>122</v>
      </c>
      <c r="L48" s="5">
        <f t="shared" si="18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19"/>
        <v>96.1</v>
      </c>
      <c r="R48">
        <v>24</v>
      </c>
      <c r="S48" s="4">
        <v>38.700000000000003</v>
      </c>
      <c r="T48" s="7" t="s">
        <v>177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175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0"/>
        <v>26.105587121212118</v>
      </c>
      <c r="AE48" s="4">
        <f t="shared" si="8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9"/>
        <v>60.023634735899734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5.5" x14ac:dyDescent="0.35">
      <c r="A49" s="8" t="s">
        <v>181</v>
      </c>
      <c r="B49" s="8" t="s">
        <v>180</v>
      </c>
      <c r="C49" t="s">
        <v>215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7"/>
        <v>135</v>
      </c>
      <c r="L49" s="5">
        <f t="shared" si="18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19"/>
        <v>92.5</v>
      </c>
      <c r="R49">
        <v>28</v>
      </c>
      <c r="S49" s="4">
        <v>66.599999999999994</v>
      </c>
      <c r="T49" s="7" t="s">
        <v>174</v>
      </c>
      <c r="U49" s="4">
        <v>11</v>
      </c>
      <c r="V49" s="4">
        <v>11</v>
      </c>
      <c r="W49" s="4">
        <v>11</v>
      </c>
      <c r="X49" s="4">
        <v>6</v>
      </c>
      <c r="Y49" s="7" t="s">
        <v>175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0"/>
        <v>33.186274509803923</v>
      </c>
      <c r="AE49" s="4">
        <f t="shared" si="8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9"/>
        <v>43.75628983562563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175</v>
      </c>
      <c r="CB49" s="7" t="s">
        <v>175</v>
      </c>
    </row>
    <row r="50" spans="1:180" ht="15.5" x14ac:dyDescent="0.35">
      <c r="A50" s="8" t="s">
        <v>187</v>
      </c>
      <c r="B50" s="8" t="s">
        <v>180</v>
      </c>
      <c r="C50" t="s">
        <v>215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7"/>
        <v>117.5</v>
      </c>
      <c r="L50" s="5">
        <f t="shared" si="18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19"/>
        <v>97.25</v>
      </c>
      <c r="R50">
        <v>30</v>
      </c>
      <c r="S50" s="4">
        <v>21.75</v>
      </c>
      <c r="T50" s="7" t="s">
        <v>177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0"/>
        <v>31.400862068965516</v>
      </c>
      <c r="AE50" s="4">
        <f t="shared" si="8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9"/>
        <v>47.508303811739736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5.5" x14ac:dyDescent="0.35">
      <c r="A51" s="8" t="s">
        <v>188</v>
      </c>
      <c r="B51" s="8" t="s">
        <v>180</v>
      </c>
      <c r="C51" t="s">
        <v>215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7"/>
        <v>127.5</v>
      </c>
      <c r="L51" s="5">
        <f t="shared" si="18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19"/>
        <v>81.75</v>
      </c>
      <c r="R51">
        <v>48</v>
      </c>
      <c r="S51" s="4">
        <v>65</v>
      </c>
      <c r="T51" s="7" t="s">
        <v>174</v>
      </c>
      <c r="U51" s="4">
        <v>14</v>
      </c>
      <c r="V51" s="4">
        <v>14</v>
      </c>
      <c r="W51" s="4">
        <v>-26</v>
      </c>
      <c r="X51" s="4">
        <v>1.5</v>
      </c>
      <c r="Y51" s="7" t="s">
        <v>175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0"/>
        <v>38.999282639885223</v>
      </c>
      <c r="AE51" s="4">
        <f t="shared" si="8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9"/>
        <v>39.493712772998016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5.5" x14ac:dyDescent="0.35">
      <c r="A52" s="8" t="s">
        <v>189</v>
      </c>
      <c r="B52" s="8" t="s">
        <v>172</v>
      </c>
      <c r="C52" t="s">
        <v>215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7"/>
        <v>149.5</v>
      </c>
      <c r="L52" s="5">
        <f t="shared" si="18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19"/>
        <v>118.85</v>
      </c>
      <c r="R52">
        <v>45</v>
      </c>
      <c r="S52" s="4">
        <v>48.4</v>
      </c>
      <c r="T52" s="7" t="s">
        <v>177</v>
      </c>
      <c r="U52" s="4">
        <v>8</v>
      </c>
      <c r="V52" s="4">
        <v>7.6</v>
      </c>
      <c r="W52" s="4">
        <v>-3.4</v>
      </c>
      <c r="X52" s="4">
        <v>-7.6</v>
      </c>
      <c r="Y52" s="7" t="s">
        <v>175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0"/>
        <v>26.097128105840596</v>
      </c>
      <c r="AE52" s="4">
        <f t="shared" si="8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9"/>
        <v>54.507098411164137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175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5.5" x14ac:dyDescent="0.35">
      <c r="A53" s="8" t="s">
        <v>191</v>
      </c>
      <c r="B53" s="8" t="s">
        <v>180</v>
      </c>
      <c r="C53" t="s">
        <v>215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7"/>
        <v>162</v>
      </c>
      <c r="L53" s="5">
        <f t="shared" si="18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19"/>
        <v>114</v>
      </c>
      <c r="R53">
        <v>49</v>
      </c>
      <c r="S53" s="4">
        <v>15.8</v>
      </c>
      <c r="T53" s="7" t="s">
        <v>177</v>
      </c>
      <c r="U53" s="4">
        <v>-25</v>
      </c>
      <c r="V53" s="4">
        <v>-19</v>
      </c>
      <c r="W53" s="4">
        <v>-9.5</v>
      </c>
      <c r="X53" s="4">
        <v>-5.8</v>
      </c>
      <c r="Y53" s="7" t="s">
        <v>175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0"/>
        <v>30.048062015503874</v>
      </c>
      <c r="AE53" s="4">
        <f t="shared" si="8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9"/>
        <v>48.38541033434651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175</v>
      </c>
      <c r="BN53" s="15" t="s">
        <v>175</v>
      </c>
      <c r="BO53" s="15" t="s">
        <v>175</v>
      </c>
      <c r="BP53" s="15" t="s">
        <v>175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175</v>
      </c>
      <c r="BY53">
        <v>655</v>
      </c>
      <c r="BZ53">
        <v>1177</v>
      </c>
      <c r="CA53">
        <v>644</v>
      </c>
      <c r="CB53">
        <v>1196</v>
      </c>
    </row>
    <row r="54" spans="1:180" ht="15.5" x14ac:dyDescent="0.35">
      <c r="A54" s="8" t="s">
        <v>185</v>
      </c>
      <c r="B54" s="8" t="s">
        <v>180</v>
      </c>
      <c r="C54" t="s">
        <v>215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7"/>
        <v>138.5</v>
      </c>
      <c r="L54" s="5">
        <f t="shared" si="18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19"/>
        <v>101.5</v>
      </c>
      <c r="R54">
        <v>29</v>
      </c>
      <c r="S54" s="4">
        <v>63</v>
      </c>
      <c r="T54" s="7" t="s">
        <v>174</v>
      </c>
      <c r="U54" s="4">
        <v>0</v>
      </c>
      <c r="V54" s="4">
        <v>6</v>
      </c>
      <c r="W54" s="4">
        <v>-14</v>
      </c>
      <c r="X54" s="4">
        <v>-18</v>
      </c>
      <c r="Y54" s="7" t="s">
        <v>175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0"/>
        <v>27.108118219229333</v>
      </c>
      <c r="AE54" s="4">
        <f t="shared" si="8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9"/>
        <v>58.529517710626365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5.5" x14ac:dyDescent="0.35">
      <c r="A55" s="8" t="s">
        <v>195</v>
      </c>
      <c r="B55" s="8" t="s">
        <v>180</v>
      </c>
      <c r="C55" t="s">
        <v>215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7"/>
        <v>137.5</v>
      </c>
      <c r="L55" s="5">
        <f t="shared" si="18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19"/>
        <v>112.05</v>
      </c>
      <c r="R55">
        <v>50</v>
      </c>
      <c r="S55" s="4">
        <v>8.1999999999999993</v>
      </c>
      <c r="T55" s="7" t="s">
        <v>177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0"/>
        <v>27.522290809327846</v>
      </c>
      <c r="AE55" s="4">
        <f t="shared" si="8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9"/>
        <v>48.228712871287129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175</v>
      </c>
      <c r="BN55" s="15" t="s">
        <v>175</v>
      </c>
      <c r="BO55" s="15" t="s">
        <v>175</v>
      </c>
      <c r="BP55" s="15" t="s">
        <v>175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5.5" x14ac:dyDescent="0.35">
      <c r="A56" s="8" t="s">
        <v>193</v>
      </c>
      <c r="B56" s="8" t="s">
        <v>180</v>
      </c>
      <c r="C56" t="s">
        <v>215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7"/>
        <v>149</v>
      </c>
      <c r="L56" s="5">
        <f t="shared" si="18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19"/>
        <v>75</v>
      </c>
      <c r="R56">
        <v>23</v>
      </c>
      <c r="S56" s="4">
        <v>64</v>
      </c>
      <c r="T56" s="7" t="s">
        <v>174</v>
      </c>
      <c r="U56" s="4">
        <v>5</v>
      </c>
      <c r="V56" s="4">
        <v>6</v>
      </c>
      <c r="W56" s="4">
        <v>8</v>
      </c>
      <c r="X56" s="4">
        <v>-3</v>
      </c>
      <c r="Y56" s="7" t="s">
        <v>175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0"/>
        <v>42.610089186176147</v>
      </c>
      <c r="AE56" s="4">
        <f t="shared" si="8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9"/>
        <v>37.329878878165687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5.5" x14ac:dyDescent="0.35">
      <c r="A57" s="8" t="s">
        <v>197</v>
      </c>
      <c r="B57" s="8" t="s">
        <v>172</v>
      </c>
      <c r="C57" t="s">
        <v>215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7"/>
        <v>139</v>
      </c>
      <c r="L57" s="5">
        <f t="shared" si="18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19"/>
        <v>109</v>
      </c>
      <c r="R57">
        <v>37</v>
      </c>
      <c r="S57" s="4">
        <v>64.8</v>
      </c>
      <c r="T57" s="7" t="s">
        <v>174</v>
      </c>
      <c r="U57" s="4">
        <v>15.5</v>
      </c>
      <c r="V57" s="4">
        <v>19</v>
      </c>
      <c r="W57" s="4">
        <v>-30</v>
      </c>
      <c r="X57" s="4">
        <v>-38</v>
      </c>
      <c r="Y57" s="7" t="s">
        <v>175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0"/>
        <v>28.717468805704101</v>
      </c>
      <c r="AE57" s="4">
        <f t="shared" si="8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9"/>
        <v>50.342390642134774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175</v>
      </c>
      <c r="BX57" s="7" t="s">
        <v>175</v>
      </c>
      <c r="BY57" s="7" t="s">
        <v>175</v>
      </c>
      <c r="BZ57" s="7" t="s">
        <v>175</v>
      </c>
      <c r="CA57" s="7" t="s">
        <v>175</v>
      </c>
      <c r="CB57" s="7" t="s">
        <v>175</v>
      </c>
    </row>
    <row r="58" spans="1:180" ht="15.5" x14ac:dyDescent="0.35">
      <c r="A58" s="8" t="s">
        <v>200</v>
      </c>
      <c r="B58" s="8" t="s">
        <v>172</v>
      </c>
      <c r="C58" t="s">
        <v>215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7"/>
        <v>132.5</v>
      </c>
      <c r="L58" s="5">
        <f t="shared" si="18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19"/>
        <v>106.95</v>
      </c>
      <c r="R58">
        <v>35</v>
      </c>
      <c r="S58" s="4">
        <v>66.3</v>
      </c>
      <c r="T58" s="7" t="s">
        <v>174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175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0"/>
        <v>27.714308476736775</v>
      </c>
      <c r="AE58" s="4">
        <f t="shared" si="8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9"/>
        <v>54.334318853763932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5.5" x14ac:dyDescent="0.35">
      <c r="A59" s="8" t="s">
        <v>198</v>
      </c>
      <c r="B59" s="8" t="s">
        <v>180</v>
      </c>
      <c r="C59" t="s">
        <v>215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7" si="21">AVERAGE(G59,I59)</f>
        <v>157.5</v>
      </c>
      <c r="L59" s="5">
        <f t="shared" ref="L59:L77" si="22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19"/>
        <v>86.9</v>
      </c>
      <c r="R59">
        <v>67</v>
      </c>
      <c r="S59" s="4">
        <v>20</v>
      </c>
      <c r="T59" s="7" t="s">
        <v>177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175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0"/>
        <v>49.93219129193433</v>
      </c>
      <c r="AE59" s="4">
        <f t="shared" si="8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9"/>
        <v>32.722622125934727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5.5" x14ac:dyDescent="0.35">
      <c r="A60" s="8" t="s">
        <v>205</v>
      </c>
      <c r="B60" s="8" t="s">
        <v>180</v>
      </c>
      <c r="C60" t="s">
        <v>215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1"/>
        <v>163</v>
      </c>
      <c r="L60" s="5">
        <f t="shared" si="22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19"/>
        <v>98.95</v>
      </c>
      <c r="R60">
        <v>58</v>
      </c>
      <c r="S60">
        <v>18.2</v>
      </c>
      <c r="T60" s="7" t="s">
        <v>177</v>
      </c>
      <c r="U60" s="4">
        <v>4.8</v>
      </c>
      <c r="V60" s="4">
        <v>5.4</v>
      </c>
      <c r="W60" s="4">
        <v>-15</v>
      </c>
      <c r="X60" s="4">
        <v>-13.4</v>
      </c>
      <c r="Y60" s="7" t="s">
        <v>175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0"/>
        <v>36.335669781931465</v>
      </c>
      <c r="AE60" s="4">
        <f t="shared" si="8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9"/>
        <v>41.905100037592412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175</v>
      </c>
      <c r="BN60" s="15" t="s">
        <v>175</v>
      </c>
      <c r="BO60" s="15" t="s">
        <v>175</v>
      </c>
      <c r="BP60" s="15" t="s">
        <v>175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175</v>
      </c>
      <c r="FU60" t="s">
        <v>175</v>
      </c>
      <c r="FV60" t="s">
        <v>175</v>
      </c>
      <c r="FW60" t="s">
        <v>175</v>
      </c>
      <c r="FX60" t="s">
        <v>175</v>
      </c>
    </row>
    <row r="61" spans="1:180" ht="15.5" x14ac:dyDescent="0.35">
      <c r="A61" s="8" t="s">
        <v>203</v>
      </c>
      <c r="B61" s="8" t="s">
        <v>172</v>
      </c>
      <c r="C61" t="s">
        <v>215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1"/>
        <v>123</v>
      </c>
      <c r="L61" s="5">
        <f t="shared" si="22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19"/>
        <v>94.5</v>
      </c>
      <c r="R61">
        <v>54</v>
      </c>
      <c r="S61" s="4">
        <f>60+15.06</f>
        <v>75.06</v>
      </c>
      <c r="T61" s="7" t="s">
        <v>174</v>
      </c>
      <c r="U61" s="4">
        <v>-1</v>
      </c>
      <c r="V61" s="4">
        <v>-1</v>
      </c>
      <c r="W61" s="4">
        <v>6.5</v>
      </c>
      <c r="X61" s="4">
        <v>4.5</v>
      </c>
      <c r="Y61" s="7" t="s">
        <v>175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0"/>
        <v>41.519036519036526</v>
      </c>
      <c r="AE61" s="4">
        <f t="shared" si="8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9"/>
        <v>36.187872350251702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5.5" x14ac:dyDescent="0.35">
      <c r="A62" s="8" t="s">
        <v>201</v>
      </c>
      <c r="B62" s="8" t="s">
        <v>180</v>
      </c>
      <c r="C62" t="s">
        <v>215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1"/>
        <v>153</v>
      </c>
      <c r="L62" s="5">
        <f t="shared" si="22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19"/>
        <v>88.9</v>
      </c>
      <c r="R62">
        <v>53</v>
      </c>
      <c r="S62" s="4">
        <v>63.1</v>
      </c>
      <c r="T62" s="7" t="s">
        <v>174</v>
      </c>
      <c r="U62" s="4">
        <v>10.5</v>
      </c>
      <c r="V62" s="4">
        <v>10</v>
      </c>
      <c r="W62" s="4">
        <v>7.7</v>
      </c>
      <c r="X62" s="4">
        <v>4</v>
      </c>
      <c r="Y62" s="7" t="s">
        <v>175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0"/>
        <v>38.084813874788495</v>
      </c>
      <c r="AE62" s="4">
        <f t="shared" si="8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9"/>
        <v>39.208060131137053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5.5" x14ac:dyDescent="0.35">
      <c r="A63" s="8" t="s">
        <v>208</v>
      </c>
      <c r="B63" s="8" t="s">
        <v>180</v>
      </c>
      <c r="C63" t="s">
        <v>215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1"/>
        <v>144.5</v>
      </c>
      <c r="L63" s="5">
        <f t="shared" si="22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19"/>
        <v>89.8</v>
      </c>
      <c r="R63">
        <v>41</v>
      </c>
      <c r="S63" s="4">
        <v>24.9</v>
      </c>
      <c r="T63" s="7" t="s">
        <v>177</v>
      </c>
      <c r="U63" s="4">
        <v>3.7</v>
      </c>
      <c r="V63" s="4">
        <v>3.4</v>
      </c>
      <c r="W63" s="4">
        <v>-17</v>
      </c>
      <c r="X63" s="4">
        <v>-19</v>
      </c>
      <c r="Y63" s="7" t="s">
        <v>175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0"/>
        <v>33.170646067415731</v>
      </c>
      <c r="AE63" s="4">
        <f t="shared" si="8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9"/>
        <v>47.46810720964055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5.5" x14ac:dyDescent="0.35">
      <c r="A64" s="8" t="s">
        <v>210</v>
      </c>
      <c r="B64" s="8" t="s">
        <v>172</v>
      </c>
      <c r="C64" t="s">
        <v>215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1"/>
        <v>140.5</v>
      </c>
      <c r="L64" s="5">
        <f t="shared" si="22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19"/>
        <v>116.30000000000001</v>
      </c>
      <c r="R64">
        <v>39</v>
      </c>
      <c r="S64" s="4">
        <v>19.5</v>
      </c>
      <c r="T64" s="7" t="s">
        <v>177</v>
      </c>
      <c r="U64" s="4">
        <v>-3.05</v>
      </c>
      <c r="V64" s="4">
        <v>0</v>
      </c>
      <c r="W64" s="4">
        <v>-9</v>
      </c>
      <c r="X64" s="4">
        <v>-14</v>
      </c>
      <c r="Y64" s="7" t="s">
        <v>175</v>
      </c>
      <c r="Z64" s="4" t="s">
        <v>175</v>
      </c>
      <c r="AA64" s="4" t="s">
        <v>175</v>
      </c>
      <c r="AB64" s="4">
        <v>2281.1666666666665</v>
      </c>
      <c r="AC64" s="4" t="e">
        <f t="shared" ref="AC64" si="23">Z64/N64</f>
        <v>#VALUE!</v>
      </c>
      <c r="AD64" s="4" t="e">
        <f t="shared" si="20"/>
        <v>#VALUE!</v>
      </c>
      <c r="AE64" s="4">
        <f t="shared" ref="AE64" si="24">AB64/N64</f>
        <v>23.018836192398251</v>
      </c>
      <c r="AF64" s="4">
        <f t="shared" ref="AF64" si="25">AB64/AK64</f>
        <v>16.244872070593921</v>
      </c>
      <c r="AG64" s="5">
        <f>9*60+10</f>
        <v>550</v>
      </c>
      <c r="AH64">
        <v>3.8</v>
      </c>
      <c r="AI64">
        <v>14</v>
      </c>
      <c r="AJ64">
        <v>20</v>
      </c>
      <c r="AK64">
        <f>142*(1-1.11%)</f>
        <v>140.4238</v>
      </c>
      <c r="AL64" s="5" t="s">
        <v>175</v>
      </c>
      <c r="AM64" s="4">
        <f>87.8333333333333*(1-0.303%)</f>
        <v>87.567198333333309</v>
      </c>
      <c r="AN64" s="1">
        <f>1.195*(1-1.34%)</f>
        <v>1.178987</v>
      </c>
      <c r="AO64" s="5">
        <f>47.0666666666667*(1-3.8%)</f>
        <v>45.278133333333365</v>
      </c>
      <c r="AP64" s="1">
        <f>9.91*(1-6.6%)</f>
        <v>9.2559399999999989</v>
      </c>
      <c r="AQ64" s="4">
        <v>3</v>
      </c>
      <c r="AR64" s="1">
        <f t="shared" ref="AR64" si="26">AU64/N64*1</f>
        <v>14.998280928355197</v>
      </c>
      <c r="AS64" s="1">
        <f t="shared" ref="AS64" si="27">AU64/N64*0.75</f>
        <v>11.248710696266397</v>
      </c>
      <c r="AT64" s="5">
        <f t="shared" si="9"/>
        <v>65.156556148169798</v>
      </c>
      <c r="AU64" s="5">
        <f>1521.32*(1-2.3%)</f>
        <v>1486.3296399999999</v>
      </c>
      <c r="AV64" s="4">
        <v>1232.48</v>
      </c>
      <c r="AW64" s="4">
        <v>38.68</v>
      </c>
      <c r="AX64" s="1">
        <f>0.8096*(1+2.79%)</f>
        <v>0.83218784000000001</v>
      </c>
      <c r="AY64" s="4">
        <v>22.967999999999996</v>
      </c>
      <c r="AZ64" s="4">
        <f t="shared" ref="AZ64" si="28">BA64/AK64*100</f>
        <v>50.979677234201048</v>
      </c>
      <c r="BA64" s="4">
        <f>74*(1-3.26%)</f>
        <v>71.587600000000009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175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5.5" x14ac:dyDescent="0.35">
      <c r="A65" s="8" t="s">
        <v>207</v>
      </c>
      <c r="B65" s="8" t="s">
        <v>172</v>
      </c>
      <c r="C65" t="s">
        <v>215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1"/>
        <v>149</v>
      </c>
      <c r="L65" s="5">
        <f t="shared" si="22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19"/>
        <v>103.5</v>
      </c>
      <c r="R65">
        <v>12</v>
      </c>
      <c r="S65" s="4">
        <v>66</v>
      </c>
      <c r="T65" s="7" t="s">
        <v>174</v>
      </c>
      <c r="U65" s="4">
        <v>7</v>
      </c>
      <c r="V65" s="4">
        <v>8</v>
      </c>
      <c r="W65" s="4">
        <v>-5</v>
      </c>
      <c r="X65" s="4">
        <v>-9</v>
      </c>
      <c r="Y65" s="7" t="s">
        <v>175</v>
      </c>
      <c r="Z65" s="4">
        <v>1884</v>
      </c>
      <c r="AA65" s="4">
        <v>1863.8333333333333</v>
      </c>
      <c r="AB65" s="4">
        <v>1873.3333333333333</v>
      </c>
      <c r="AC65" s="4">
        <f t="shared" ref="AC65:AC77" si="29">Z65/N65</f>
        <v>22.919708029197079</v>
      </c>
      <c r="AD65" s="4">
        <f t="shared" si="20"/>
        <v>22.674371451743713</v>
      </c>
      <c r="AE65" s="4">
        <f t="shared" si="8"/>
        <v>22.789943227899432</v>
      </c>
      <c r="AF65" s="4">
        <f t="shared" ref="AF65:AF77" si="30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7" si="31">AU65/N65*1</f>
        <v>15.995620437956203</v>
      </c>
      <c r="AS65" s="1">
        <f t="shared" ref="AS65:AS77" si="32">AU65/N65*0.75</f>
        <v>11.996715328467152</v>
      </c>
      <c r="AT65" s="5">
        <f t="shared" si="9"/>
        <v>70.187188612099632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5.5" x14ac:dyDescent="0.35">
      <c r="A66" s="8" t="s">
        <v>196</v>
      </c>
      <c r="B66" s="8" t="s">
        <v>180</v>
      </c>
      <c r="C66" t="s">
        <v>215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1"/>
        <v>157</v>
      </c>
      <c r="L66" s="5">
        <f t="shared" si="22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19"/>
        <v>80</v>
      </c>
      <c r="R66">
        <v>28</v>
      </c>
      <c r="S66" s="4">
        <v>61.6</v>
      </c>
      <c r="T66" s="7" t="s">
        <v>174</v>
      </c>
      <c r="U66" s="4">
        <v>5</v>
      </c>
      <c r="V66" s="4">
        <v>6</v>
      </c>
      <c r="W66" s="4">
        <v>4</v>
      </c>
      <c r="X66" s="4">
        <v>-5.5</v>
      </c>
      <c r="Y66" s="7" t="s">
        <v>175</v>
      </c>
      <c r="Z66" s="4">
        <v>2291</v>
      </c>
      <c r="AA66" s="4">
        <v>2279.3333333333335</v>
      </c>
      <c r="AB66" s="4">
        <v>2344.5</v>
      </c>
      <c r="AC66" s="4">
        <f t="shared" si="29"/>
        <v>37.557377049180324</v>
      </c>
      <c r="AD66" s="4">
        <f t="shared" si="20"/>
        <v>37.36612021857924</v>
      </c>
      <c r="AE66" s="4">
        <f t="shared" si="8"/>
        <v>38.434426229508198</v>
      </c>
      <c r="AF66" s="4">
        <f t="shared" si="30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31"/>
        <v>18.859016393442623</v>
      </c>
      <c r="AS66" s="1">
        <f t="shared" si="32"/>
        <v>14.144262295081967</v>
      </c>
      <c r="AT66" s="5">
        <f t="shared" si="9"/>
        <v>49.068031563233099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5.5" x14ac:dyDescent="0.35">
      <c r="A67" s="8" t="s">
        <v>206</v>
      </c>
      <c r="B67" s="8" t="s">
        <v>172</v>
      </c>
      <c r="C67" t="s">
        <v>215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1"/>
        <v>157.5</v>
      </c>
      <c r="L67" s="5">
        <f t="shared" si="22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19"/>
        <v>103.5</v>
      </c>
      <c r="R67">
        <v>15</v>
      </c>
      <c r="S67" s="4">
        <v>5.34</v>
      </c>
      <c r="T67" s="7" t="s">
        <v>177</v>
      </c>
      <c r="U67" s="4">
        <v>3</v>
      </c>
      <c r="V67" s="4">
        <v>2.5</v>
      </c>
      <c r="W67" s="4">
        <v>-15</v>
      </c>
      <c r="X67" s="4">
        <v>-16.5</v>
      </c>
      <c r="Y67" s="7" t="s">
        <v>175</v>
      </c>
      <c r="Z67" s="4">
        <v>1973</v>
      </c>
      <c r="AA67" s="4">
        <v>2005.1666666666667</v>
      </c>
      <c r="AB67" s="4">
        <v>2017.3333333333333</v>
      </c>
      <c r="AC67" s="4">
        <f t="shared" si="29"/>
        <v>23.944174757281552</v>
      </c>
      <c r="AD67" s="4">
        <f t="shared" si="20"/>
        <v>24.334546925566343</v>
      </c>
      <c r="AE67" s="4">
        <f t="shared" ref="AE67:AE77" si="33">AB67/N67</f>
        <v>24.48220064724919</v>
      </c>
      <c r="AF67" s="4">
        <f t="shared" si="30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31"/>
        <v>14.270873786407767</v>
      </c>
      <c r="AS67" s="1">
        <f t="shared" si="32"/>
        <v>10.703155339805825</v>
      </c>
      <c r="AT67" s="5">
        <f t="shared" ref="AT67:AT76" si="34">AU67/AB67*100</f>
        <v>58.290812954395243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7" si="35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1" si="36">AVERAGE(BG67,BI67)</f>
        <v>701.07150479999996</v>
      </c>
      <c r="BL67" s="10">
        <f t="shared" ref="BL67:BL71" si="37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5.5" x14ac:dyDescent="0.35">
      <c r="A68" t="s">
        <v>209</v>
      </c>
      <c r="B68" t="s">
        <v>180</v>
      </c>
      <c r="C68" t="s">
        <v>215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1"/>
        <v>138.5</v>
      </c>
      <c r="L68" s="5">
        <f t="shared" si="22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19"/>
        <v>104.1</v>
      </c>
      <c r="R68">
        <v>53</v>
      </c>
      <c r="S68" s="4">
        <v>64.7</v>
      </c>
      <c r="T68" s="7" t="s">
        <v>174</v>
      </c>
      <c r="U68" s="4">
        <v>-15.5</v>
      </c>
      <c r="V68" s="4">
        <v>-5</v>
      </c>
      <c r="W68" s="4">
        <v>-6</v>
      </c>
      <c r="X68" s="4">
        <v>-19.3</v>
      </c>
      <c r="Y68" s="7" t="s">
        <v>175</v>
      </c>
      <c r="Z68" s="4">
        <v>3058</v>
      </c>
      <c r="AA68" s="4">
        <v>3069.9166666666665</v>
      </c>
      <c r="AB68" s="4">
        <v>3132.1666666666665</v>
      </c>
      <c r="AC68" s="4">
        <f t="shared" si="29"/>
        <v>32.881720430107528</v>
      </c>
      <c r="AD68" s="4">
        <f t="shared" si="20"/>
        <v>33.009856630824373</v>
      </c>
      <c r="AE68" s="4">
        <f t="shared" si="33"/>
        <v>33.679211469534046</v>
      </c>
      <c r="AF68" s="4">
        <f t="shared" si="30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31"/>
        <v>14.089892473118278</v>
      </c>
      <c r="AS68" s="1">
        <f t="shared" si="32"/>
        <v>10.567419354838709</v>
      </c>
      <c r="AT68" s="5">
        <f t="shared" si="34"/>
        <v>41.835577076571063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5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6"/>
        <v>2496.7179434999998</v>
      </c>
      <c r="BL68" s="10">
        <f t="shared" si="37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5.5" x14ac:dyDescent="0.35">
      <c r="A69" s="8" t="s">
        <v>211</v>
      </c>
      <c r="B69" s="8" t="s">
        <v>172</v>
      </c>
      <c r="C69" t="s">
        <v>215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1"/>
        <v>127</v>
      </c>
      <c r="L69" s="5">
        <f t="shared" si="22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19"/>
        <v>92.6</v>
      </c>
      <c r="R69">
        <v>24</v>
      </c>
      <c r="S69" s="4">
        <v>32</v>
      </c>
      <c r="T69" s="7" t="s">
        <v>177</v>
      </c>
      <c r="U69" s="4">
        <v>6.5</v>
      </c>
      <c r="V69" s="4">
        <v>6.5</v>
      </c>
      <c r="W69" s="4">
        <v>-2.5</v>
      </c>
      <c r="X69" s="4">
        <v>-5</v>
      </c>
      <c r="Y69" s="7" t="s">
        <v>175</v>
      </c>
      <c r="Z69">
        <v>2355.5</v>
      </c>
      <c r="AA69" s="4">
        <v>2399</v>
      </c>
      <c r="AB69" s="4">
        <v>2434.8333333333335</v>
      </c>
      <c r="AC69" s="4">
        <f t="shared" si="29"/>
        <v>29.008620689655171</v>
      </c>
      <c r="AD69" s="4">
        <f t="shared" si="20"/>
        <v>29.544334975369456</v>
      </c>
      <c r="AE69" s="4">
        <f t="shared" si="33"/>
        <v>29.985632183908045</v>
      </c>
      <c r="AF69" s="4">
        <f t="shared" si="30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31"/>
        <v>14.107881773399013</v>
      </c>
      <c r="AS69" s="1">
        <f t="shared" si="32"/>
        <v>10.580911330049259</v>
      </c>
      <c r="AT69" s="5">
        <f t="shared" si="34"/>
        <v>47.04880553083715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5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6"/>
        <v>1555.1438025</v>
      </c>
      <c r="BL69" s="10">
        <f t="shared" si="37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5.5" x14ac:dyDescent="0.35">
      <c r="A70" s="8" t="s">
        <v>212</v>
      </c>
      <c r="B70" s="8" t="s">
        <v>180</v>
      </c>
      <c r="C70" t="s">
        <v>215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1"/>
        <v>117</v>
      </c>
      <c r="L70" s="5">
        <f t="shared" si="22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19"/>
        <v>78.599999999999994</v>
      </c>
      <c r="R70">
        <v>34</v>
      </c>
      <c r="S70" s="4">
        <f>60+63.2</f>
        <v>123.2</v>
      </c>
      <c r="T70" s="7" t="s">
        <v>174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175</v>
      </c>
      <c r="Z70" s="4">
        <v>2226</v>
      </c>
      <c r="AA70" s="4">
        <v>2269.0833333333335</v>
      </c>
      <c r="AB70" s="4">
        <v>2358</v>
      </c>
      <c r="AC70" s="4">
        <f t="shared" si="29"/>
        <v>33.676248108925876</v>
      </c>
      <c r="AD70" s="4">
        <f t="shared" si="20"/>
        <v>34.328038325769043</v>
      </c>
      <c r="AE70" s="4">
        <f t="shared" si="33"/>
        <v>35.673222390317704</v>
      </c>
      <c r="AF70" s="4">
        <f t="shared" si="30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31"/>
        <v>14.10408472012103</v>
      </c>
      <c r="AS70" s="1">
        <f t="shared" si="32"/>
        <v>10.578063540090772</v>
      </c>
      <c r="AT70" s="5">
        <f t="shared" si="34"/>
        <v>39.536895674300254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5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6"/>
        <v>769.61220690000005</v>
      </c>
      <c r="BL70" s="10">
        <f t="shared" si="37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s="21" customFormat="1" ht="15.5" x14ac:dyDescent="0.35">
      <c r="A71" s="20" t="s">
        <v>179</v>
      </c>
      <c r="B71" s="20" t="s">
        <v>180</v>
      </c>
      <c r="C71" s="21" t="s">
        <v>215</v>
      </c>
      <c r="D71" s="21">
        <v>1</v>
      </c>
      <c r="E71" s="22">
        <v>61</v>
      </c>
      <c r="F71" s="23">
        <v>36.4</v>
      </c>
      <c r="G71" s="21">
        <v>168</v>
      </c>
      <c r="H71" s="21">
        <v>86</v>
      </c>
      <c r="I71" s="21">
        <v>161</v>
      </c>
      <c r="J71" s="21">
        <v>91</v>
      </c>
      <c r="K71" s="22">
        <f t="shared" si="21"/>
        <v>164.5</v>
      </c>
      <c r="L71" s="22">
        <f t="shared" si="22"/>
        <v>88.5</v>
      </c>
      <c r="M71" s="23">
        <v>166.4</v>
      </c>
      <c r="N71" s="23">
        <f>102.2*(1+0.19%)</f>
        <v>102.39418000000001</v>
      </c>
      <c r="O71" s="23">
        <v>120.5</v>
      </c>
      <c r="P71" s="23">
        <v>121.5</v>
      </c>
      <c r="Q71" s="23">
        <f t="shared" si="19"/>
        <v>121</v>
      </c>
      <c r="R71" s="22">
        <v>21</v>
      </c>
      <c r="S71" s="21">
        <v>5.8</v>
      </c>
      <c r="T71" s="24" t="s">
        <v>177</v>
      </c>
      <c r="U71" s="23">
        <v>3</v>
      </c>
      <c r="V71" s="23">
        <v>3</v>
      </c>
      <c r="W71" s="23">
        <v>-35</v>
      </c>
      <c r="X71" s="23">
        <v>-34</v>
      </c>
      <c r="Y71" s="24" t="s">
        <v>175</v>
      </c>
      <c r="Z71" s="23">
        <v>2004</v>
      </c>
      <c r="AA71" s="23">
        <v>2005</v>
      </c>
      <c r="AB71" s="23">
        <f>2037.5*(1+2.5%)</f>
        <v>2088.4375</v>
      </c>
      <c r="AC71" s="23">
        <f t="shared" si="29"/>
        <v>19.571424860280143</v>
      </c>
      <c r="AD71" s="23">
        <f t="shared" si="20"/>
        <v>19.581191040350145</v>
      </c>
      <c r="AE71" s="23">
        <f t="shared" si="33"/>
        <v>20.396056689940774</v>
      </c>
      <c r="AF71" s="23">
        <f t="shared" si="30"/>
        <v>12.956315097583174</v>
      </c>
      <c r="AG71" s="22">
        <f>8.5*60*(1+0.81%)</f>
        <v>514.13099999999997</v>
      </c>
      <c r="AH71" s="21">
        <v>3.8</v>
      </c>
      <c r="AI71" s="21">
        <v>14</v>
      </c>
      <c r="AJ71" s="21">
        <v>17</v>
      </c>
      <c r="AK71" s="21">
        <f>163*(1-1.11%)</f>
        <v>161.19069999999999</v>
      </c>
      <c r="AL71" s="22">
        <v>1954.8333333333333</v>
      </c>
      <c r="AM71" s="23">
        <f>58.6666666666667*(1-0.303%)</f>
        <v>58.488906666666701</v>
      </c>
      <c r="AN71" s="25">
        <f>0.99*(1-1.34%)</f>
        <v>0.97673399999999999</v>
      </c>
      <c r="AO71" s="22">
        <f>36.2*(1-3.8%)</f>
        <v>34.824400000000004</v>
      </c>
      <c r="AP71" s="25">
        <f>5.38*(1-6.6%)</f>
        <v>5.0249199999999998</v>
      </c>
      <c r="AQ71" s="23">
        <v>3</v>
      </c>
      <c r="AR71" s="25">
        <f t="shared" si="31"/>
        <v>13.643664512963531</v>
      </c>
      <c r="AS71" s="25">
        <f t="shared" si="32"/>
        <v>10.232748384722647</v>
      </c>
      <c r="AT71" s="5">
        <f t="shared" si="34"/>
        <v>66.893638904683527</v>
      </c>
      <c r="AU71" s="22">
        <f>1429.92*(1-2.3%)</f>
        <v>1397.0318400000001</v>
      </c>
      <c r="AV71" s="23">
        <v>1100.24</v>
      </c>
      <c r="AW71" s="23">
        <v>37.36</v>
      </c>
      <c r="AX71" s="25">
        <f>0.7692*(1+2.79%)</f>
        <v>0.79066068</v>
      </c>
      <c r="AY71" s="23">
        <v>23.48</v>
      </c>
      <c r="AZ71" s="23">
        <f t="shared" si="35"/>
        <v>75.980090662798787</v>
      </c>
      <c r="BA71" s="21">
        <f>126.6*(1-3.26%)</f>
        <v>122.47284000000001</v>
      </c>
      <c r="BB71" s="26">
        <v>100311.59</v>
      </c>
      <c r="BC71" s="26">
        <f>46882.90723*(1+0.15%)</f>
        <v>46953.231590844996</v>
      </c>
      <c r="BD71" s="23">
        <f>51204.99532*(1-0.163%)</f>
        <v>51121.5311776284</v>
      </c>
      <c r="BE71" s="26">
        <v>34117.10671</v>
      </c>
      <c r="BG71" s="27">
        <v>2887.6836159999998</v>
      </c>
      <c r="BH71" s="27">
        <v>3060.9446330000001</v>
      </c>
      <c r="BI71" s="27">
        <v>3092.3425299999999</v>
      </c>
      <c r="BJ71" s="27">
        <v>3277.8830819999998</v>
      </c>
      <c r="BK71" s="23">
        <f t="shared" si="36"/>
        <v>2990.0130730000001</v>
      </c>
      <c r="BL71" s="28">
        <f t="shared" si="37"/>
        <v>3169.4138574999997</v>
      </c>
      <c r="BM71" s="23">
        <v>10</v>
      </c>
      <c r="BN71" s="25">
        <v>1.58</v>
      </c>
      <c r="BO71" s="23">
        <v>1</v>
      </c>
      <c r="BP71" s="23">
        <v>5.7</v>
      </c>
      <c r="BQ71" s="21">
        <v>131</v>
      </c>
      <c r="BR71" s="21">
        <v>44</v>
      </c>
      <c r="BS71" s="21">
        <v>12</v>
      </c>
      <c r="BT71" s="21">
        <v>27</v>
      </c>
      <c r="BU71" s="21">
        <v>18</v>
      </c>
      <c r="BV71" s="29">
        <v>12.2</v>
      </c>
      <c r="BW71" s="24">
        <f>200*(1+0.93%)</f>
        <v>201.86</v>
      </c>
      <c r="BX71" s="24">
        <v>528</v>
      </c>
      <c r="BY71" s="21">
        <f>269*(1-4.38%)</f>
        <v>257.21780000000001</v>
      </c>
      <c r="BZ71" s="21">
        <f>1091*(1+6.82%)</f>
        <v>1165.4062000000001</v>
      </c>
      <c r="CA71" s="21">
        <f>318*(1-4.94%)</f>
        <v>302.29079999999999</v>
      </c>
      <c r="CB71" s="21">
        <f>1237*(1+7.13%)</f>
        <v>1325.1980999999998</v>
      </c>
    </row>
    <row r="72" spans="1:80" s="21" customFormat="1" ht="14.5" x14ac:dyDescent="0.35">
      <c r="A72" s="20" t="s">
        <v>204</v>
      </c>
      <c r="B72" s="20" t="s">
        <v>180</v>
      </c>
      <c r="C72" s="21" t="s">
        <v>215</v>
      </c>
      <c r="D72" s="21">
        <v>1</v>
      </c>
      <c r="E72" s="22">
        <v>45</v>
      </c>
      <c r="F72" s="21">
        <v>29.2</v>
      </c>
      <c r="G72" s="21">
        <v>128</v>
      </c>
      <c r="H72" s="21">
        <v>92</v>
      </c>
      <c r="I72" s="21">
        <v>120</v>
      </c>
      <c r="J72" s="21">
        <v>90</v>
      </c>
      <c r="K72" s="22">
        <f t="shared" si="21"/>
        <v>124</v>
      </c>
      <c r="L72" s="21">
        <f t="shared" si="22"/>
        <v>91</v>
      </c>
      <c r="M72" s="23">
        <v>171.1</v>
      </c>
      <c r="N72" s="23">
        <f>85.8*(1+0.19%)</f>
        <v>85.96302</v>
      </c>
      <c r="O72" s="23">
        <v>89.3</v>
      </c>
      <c r="P72" s="23">
        <v>90.8</v>
      </c>
      <c r="Q72" s="23">
        <f t="shared" si="19"/>
        <v>90.05</v>
      </c>
      <c r="R72" s="21">
        <v>38</v>
      </c>
      <c r="S72" s="21">
        <v>73.7</v>
      </c>
      <c r="T72" s="24" t="s">
        <v>174</v>
      </c>
      <c r="U72" s="23">
        <v>17.3</v>
      </c>
      <c r="V72" s="23">
        <v>17.8</v>
      </c>
      <c r="W72" s="23">
        <v>6.3</v>
      </c>
      <c r="X72" s="23">
        <v>2.2999999999999998</v>
      </c>
      <c r="Y72" s="24" t="s">
        <v>175</v>
      </c>
      <c r="Z72" s="23">
        <v>2729</v>
      </c>
      <c r="AA72" s="23">
        <v>2751.9166666666665</v>
      </c>
      <c r="AB72" s="23">
        <f>2843.83333333333*(1+2.5%)</f>
        <v>2914.9291666666627</v>
      </c>
      <c r="AC72" s="23">
        <f t="shared" si="29"/>
        <v>31.746209009408929</v>
      </c>
      <c r="AD72" s="23">
        <f t="shared" si="20"/>
        <v>32.012796510251341</v>
      </c>
      <c r="AE72" s="23">
        <f t="shared" si="33"/>
        <v>33.909106109425458</v>
      </c>
      <c r="AF72" s="23">
        <f t="shared" si="30"/>
        <v>15.596021482191279</v>
      </c>
      <c r="AG72" s="22">
        <f>12*60*(1+0.81%)</f>
        <v>725.83199999999999</v>
      </c>
      <c r="AH72" s="21">
        <v>4.8</v>
      </c>
      <c r="AI72" s="21">
        <v>20</v>
      </c>
      <c r="AJ72" s="21">
        <v>19</v>
      </c>
      <c r="AK72" s="21">
        <f>189*(1-1.11%)</f>
        <v>186.90209999999999</v>
      </c>
      <c r="AL72" s="22">
        <v>3413.1666666666665</v>
      </c>
      <c r="AM72" s="23">
        <f>96.3333333333333*(1-0.303%)</f>
        <v>96.041443333333305</v>
      </c>
      <c r="AN72" s="25">
        <f>1.23666666666667*(1-1.34%)</f>
        <v>1.2200953333333366</v>
      </c>
      <c r="AO72" s="22">
        <f>42.5833333333333*(1-3.8%)</f>
        <v>40.965166666666633</v>
      </c>
      <c r="AP72" s="25">
        <f>9.27*(1-6.6%)</f>
        <v>8.6581799999999998</v>
      </c>
      <c r="AQ72" s="23">
        <v>3.5</v>
      </c>
      <c r="AR72" s="25">
        <f t="shared" si="31"/>
        <v>15.931496124728984</v>
      </c>
      <c r="AS72" s="25">
        <f t="shared" si="32"/>
        <v>11.948622093546739</v>
      </c>
      <c r="AT72" s="5">
        <f t="shared" si="34"/>
        <v>46.982943381986189</v>
      </c>
      <c r="AU72" s="22">
        <f>1401.76*(1-2.3%)</f>
        <v>1369.5195200000001</v>
      </c>
      <c r="AV72" s="23">
        <v>1153.68</v>
      </c>
      <c r="AW72" s="23">
        <v>34.840000000000003</v>
      </c>
      <c r="AX72" s="25">
        <f>0.8248*(1+2.79%)</f>
        <v>0.84781192000000005</v>
      </c>
      <c r="AY72" s="23">
        <v>22.971999999999998</v>
      </c>
      <c r="AZ72" s="23">
        <f t="shared" si="35"/>
        <v>60.662389561165988</v>
      </c>
      <c r="BA72" s="21">
        <f>117.2*(1-3.26%)</f>
        <v>113.37928000000001</v>
      </c>
      <c r="BB72" s="26">
        <v>85828.390270000004</v>
      </c>
      <c r="BC72" s="26">
        <f>48248.86125*(1+0.15%)</f>
        <v>48321.234541875005</v>
      </c>
      <c r="BD72" s="26">
        <f>35113.28596*(1-0.163%)</f>
        <v>35056.0513038852</v>
      </c>
      <c r="BE72" s="26">
        <v>16707.703570000001</v>
      </c>
      <c r="BG72" s="29" t="s">
        <v>175</v>
      </c>
      <c r="BH72" s="29" t="s">
        <v>175</v>
      </c>
      <c r="BI72" s="29" t="s">
        <v>175</v>
      </c>
      <c r="BJ72" s="29" t="s">
        <v>175</v>
      </c>
      <c r="BK72" s="29" t="s">
        <v>175</v>
      </c>
      <c r="BL72" s="30" t="s">
        <v>175</v>
      </c>
      <c r="BM72" s="23">
        <v>4.2</v>
      </c>
      <c r="BN72" s="25">
        <v>0.98</v>
      </c>
      <c r="BO72" s="23">
        <v>1.2</v>
      </c>
      <c r="BP72" s="23">
        <v>2.7</v>
      </c>
      <c r="BQ72" s="21">
        <v>109</v>
      </c>
      <c r="BR72" s="21">
        <v>34</v>
      </c>
      <c r="BS72" s="21">
        <v>17</v>
      </c>
      <c r="BT72" s="21">
        <v>49</v>
      </c>
      <c r="BU72" s="21">
        <v>39</v>
      </c>
      <c r="BV72" s="23">
        <v>6.7</v>
      </c>
      <c r="BW72" s="21">
        <f>205*(1+0.93%)</f>
        <v>206.90650000000002</v>
      </c>
      <c r="BX72" s="21">
        <v>473</v>
      </c>
      <c r="BY72" s="21">
        <f>345*(1-4.38%)</f>
        <v>329.88900000000001</v>
      </c>
      <c r="BZ72" s="21">
        <f>1332*(1+6.82%)</f>
        <v>1422.8424</v>
      </c>
      <c r="CA72" s="21">
        <f>341*(1-4.94%)</f>
        <v>324.15460000000002</v>
      </c>
      <c r="CB72" s="21">
        <f>1275*(1+7.13%)</f>
        <v>1365.9074999999998</v>
      </c>
    </row>
    <row r="73" spans="1:80" s="21" customFormat="1" ht="15.5" x14ac:dyDescent="0.35">
      <c r="A73" s="20" t="s">
        <v>202</v>
      </c>
      <c r="B73" s="20" t="s">
        <v>180</v>
      </c>
      <c r="C73" s="21" t="s">
        <v>215</v>
      </c>
      <c r="D73" s="21">
        <v>1</v>
      </c>
      <c r="E73" s="22">
        <v>66</v>
      </c>
      <c r="F73" s="23">
        <v>26.6</v>
      </c>
      <c r="G73" s="21">
        <v>161</v>
      </c>
      <c r="H73" s="21">
        <v>85</v>
      </c>
      <c r="I73" s="21">
        <v>147</v>
      </c>
      <c r="J73" s="21">
        <v>79</v>
      </c>
      <c r="K73" s="22">
        <f t="shared" si="21"/>
        <v>154</v>
      </c>
      <c r="L73" s="21">
        <f t="shared" si="22"/>
        <v>82</v>
      </c>
      <c r="M73" s="23">
        <v>168.5</v>
      </c>
      <c r="N73" s="23">
        <f>75.6*(1+0.19%)</f>
        <v>75.743639999999999</v>
      </c>
      <c r="O73" s="23">
        <v>85</v>
      </c>
      <c r="P73" s="23">
        <v>85</v>
      </c>
      <c r="Q73" s="23">
        <f t="shared" si="19"/>
        <v>85</v>
      </c>
      <c r="R73" s="22">
        <v>21</v>
      </c>
      <c r="S73" s="23">
        <v>66</v>
      </c>
      <c r="T73" s="24" t="s">
        <v>174</v>
      </c>
      <c r="U73" s="23">
        <v>8</v>
      </c>
      <c r="V73" s="23">
        <v>11.5</v>
      </c>
      <c r="W73" s="23">
        <v>0</v>
      </c>
      <c r="X73" s="23">
        <v>-12</v>
      </c>
      <c r="Y73" s="21">
        <v>12</v>
      </c>
      <c r="Z73" s="23">
        <v>1950</v>
      </c>
      <c r="AA73" s="23">
        <v>1938.25</v>
      </c>
      <c r="AB73" s="23">
        <f>1968.16666666667*(1+2.5%)</f>
        <v>2017.3708333333366</v>
      </c>
      <c r="AC73" s="23">
        <f t="shared" si="29"/>
        <v>25.74473579563908</v>
      </c>
      <c r="AD73" s="23">
        <f t="shared" si="20"/>
        <v>25.589607259434587</v>
      </c>
      <c r="AE73" s="23">
        <f t="shared" si="33"/>
        <v>26.634194413330764</v>
      </c>
      <c r="AF73" s="23">
        <f t="shared" si="30"/>
        <v>12.000088234302741</v>
      </c>
      <c r="AG73" s="22">
        <f>60*11+50*(1+0.81%)</f>
        <v>710.40499999999997</v>
      </c>
      <c r="AH73" s="21">
        <v>3.8</v>
      </c>
      <c r="AI73" s="21">
        <v>18</v>
      </c>
      <c r="AJ73" s="21">
        <v>20</v>
      </c>
      <c r="AK73" s="21">
        <f>170*(1-1.11%)</f>
        <v>168.113</v>
      </c>
      <c r="AL73" s="22">
        <v>2318.3333333333335</v>
      </c>
      <c r="AM73" s="23">
        <f>72.3333333333333*(1-0.303%)</f>
        <v>72.114163333333309</v>
      </c>
      <c r="AN73" s="25">
        <f>1.2*(1-1.34%)</f>
        <v>1.1839200000000001</v>
      </c>
      <c r="AO73" s="22">
        <f>38.1*(1-3.8%)</f>
        <v>36.652200000000001</v>
      </c>
      <c r="AP73" s="25">
        <f>5.7*(1-6.6%)</f>
        <v>5.3237999999999994</v>
      </c>
      <c r="AQ73" s="23">
        <v>3</v>
      </c>
      <c r="AR73" s="25">
        <f t="shared" si="31"/>
        <v>13.995684390134933</v>
      </c>
      <c r="AS73" s="25">
        <f t="shared" si="32"/>
        <v>10.4967632926012</v>
      </c>
      <c r="AT73" s="5">
        <f t="shared" si="34"/>
        <v>52.547804423661894</v>
      </c>
      <c r="AU73" s="22">
        <f>1085.04*(1-2.3%)</f>
        <v>1060.0840799999999</v>
      </c>
      <c r="AV73" s="23">
        <v>903.76</v>
      </c>
      <c r="AW73" s="23">
        <v>30.2</v>
      </c>
      <c r="AX73" s="25">
        <f>0.8328*(1+2.79%)</f>
        <v>0.85603512000000004</v>
      </c>
      <c r="AY73" s="23">
        <v>21.475999999999999</v>
      </c>
      <c r="AZ73" s="23">
        <f t="shared" si="35"/>
        <v>76.649444123892849</v>
      </c>
      <c r="BA73" s="21">
        <f>133.2*(1-3.26%)</f>
        <v>128.85767999999999</v>
      </c>
      <c r="BB73" s="26">
        <v>75715.09</v>
      </c>
      <c r="BC73" s="26">
        <f>41266.96126*(1+0.15%)</f>
        <v>41328.861701889997</v>
      </c>
      <c r="BD73" s="26">
        <f>32618.59393*(1-0.163%)</f>
        <v>32565.425621894097</v>
      </c>
      <c r="BE73" s="26">
        <v>16043.331039999999</v>
      </c>
      <c r="BG73" s="27">
        <v>1141.71261</v>
      </c>
      <c r="BH73" s="27">
        <v>1210.2153659999999</v>
      </c>
      <c r="BI73" s="27">
        <v>1189.3955530000001</v>
      </c>
      <c r="BJ73" s="27">
        <v>1260.759286</v>
      </c>
      <c r="BK73" s="23">
        <f t="shared" ref="BK73:BK77" si="38">AVERAGE(BG73,BI73)</f>
        <v>1165.5540814999999</v>
      </c>
      <c r="BL73" s="28">
        <f t="shared" ref="BL73:BL77" si="39">AVERAGE(BH73,BJ73)</f>
        <v>1235.4873259999999</v>
      </c>
      <c r="BM73" s="23">
        <v>5.8</v>
      </c>
      <c r="BN73" s="25">
        <v>0.86</v>
      </c>
      <c r="BO73" s="23">
        <v>1.5</v>
      </c>
      <c r="BP73" s="23">
        <v>3.4</v>
      </c>
      <c r="BQ73" s="21">
        <v>136</v>
      </c>
      <c r="BR73" s="21">
        <v>58</v>
      </c>
      <c r="BS73" s="21">
        <v>14</v>
      </c>
      <c r="BT73" s="21">
        <v>25</v>
      </c>
      <c r="BU73" s="21">
        <v>17</v>
      </c>
      <c r="BV73" s="23">
        <v>8.1</v>
      </c>
      <c r="BW73" s="21">
        <f>175*(1+0.93%)</f>
        <v>176.62750000000003</v>
      </c>
      <c r="BX73" s="21">
        <v>171</v>
      </c>
      <c r="BY73" s="21">
        <f>240*(1-4.38%)</f>
        <v>229.488</v>
      </c>
      <c r="BZ73" s="21">
        <f>909*(1+6.82%)</f>
        <v>970.99380000000008</v>
      </c>
      <c r="CA73" s="21">
        <f>238*(1-4.94%)</f>
        <v>226.24279999999999</v>
      </c>
      <c r="CB73" s="21">
        <f>910*(1+7.13%)</f>
        <v>974.88299999999992</v>
      </c>
    </row>
    <row r="74" spans="1:80" s="21" customFormat="1" ht="15.5" x14ac:dyDescent="0.35">
      <c r="A74" s="20" t="s">
        <v>183</v>
      </c>
      <c r="B74" s="20" t="s">
        <v>172</v>
      </c>
      <c r="C74" s="21" t="s">
        <v>215</v>
      </c>
      <c r="D74" s="21">
        <v>2</v>
      </c>
      <c r="E74" s="22">
        <v>46</v>
      </c>
      <c r="F74" s="23">
        <v>42.8</v>
      </c>
      <c r="G74" s="21">
        <v>163</v>
      </c>
      <c r="H74" s="21">
        <v>105</v>
      </c>
      <c r="I74" s="21">
        <v>164</v>
      </c>
      <c r="J74" s="21">
        <v>112</v>
      </c>
      <c r="K74" s="22">
        <f t="shared" si="21"/>
        <v>163.5</v>
      </c>
      <c r="L74" s="22">
        <f t="shared" si="22"/>
        <v>108.5</v>
      </c>
      <c r="M74" s="23">
        <v>187.6</v>
      </c>
      <c r="N74" s="23">
        <f>149.7*(1+0.19%)</f>
        <v>149.98443</v>
      </c>
      <c r="O74" s="23">
        <v>146</v>
      </c>
      <c r="P74" s="23">
        <v>145</v>
      </c>
      <c r="Q74" s="23">
        <f t="shared" si="19"/>
        <v>145.5</v>
      </c>
      <c r="R74" s="22">
        <v>89</v>
      </c>
      <c r="S74" s="23">
        <v>64</v>
      </c>
      <c r="T74" s="24" t="s">
        <v>174</v>
      </c>
      <c r="U74" s="23">
        <v>-12.5</v>
      </c>
      <c r="V74" s="23">
        <v>-2.5</v>
      </c>
      <c r="W74" s="23">
        <v>-3.5</v>
      </c>
      <c r="X74" s="23">
        <v>-3</v>
      </c>
      <c r="Y74" s="24" t="s">
        <v>175</v>
      </c>
      <c r="Z74" s="23">
        <v>3715</v>
      </c>
      <c r="AA74" s="23">
        <v>3737.4166666666665</v>
      </c>
      <c r="AB74" s="23">
        <f>3757*(1+2.5%)</f>
        <v>3850.9249999999997</v>
      </c>
      <c r="AC74" s="23">
        <f t="shared" si="29"/>
        <v>24.769237713541333</v>
      </c>
      <c r="AD74" s="23">
        <f t="shared" si="20"/>
        <v>24.918697671929454</v>
      </c>
      <c r="AE74" s="23">
        <f t="shared" si="33"/>
        <v>25.67549845007245</v>
      </c>
      <c r="AF74" s="23">
        <f t="shared" si="30"/>
        <v>19.667424574391912</v>
      </c>
      <c r="AG74" s="22">
        <f>8.5*60+5*(1+0.81%)</f>
        <v>515.04049999999995</v>
      </c>
      <c r="AH74" s="23">
        <v>4.8</v>
      </c>
      <c r="AI74" s="21">
        <v>12</v>
      </c>
      <c r="AJ74" s="21">
        <v>19</v>
      </c>
      <c r="AK74" s="21">
        <f>198*(1-1.11%)</f>
        <v>195.8022</v>
      </c>
      <c r="AL74" s="22">
        <v>4427</v>
      </c>
      <c r="AM74" s="23">
        <f>128.5*(1-0.303%)</f>
        <v>128.11064500000001</v>
      </c>
      <c r="AN74" s="25">
        <f>1.2*(1-1.34%)</f>
        <v>1.1839200000000001</v>
      </c>
      <c r="AO74" s="22">
        <f>33.3666666666667*(1-3.8%)</f>
        <v>32.098733333333364</v>
      </c>
      <c r="AP74" s="25">
        <f>4.64*(1-6.6%)</f>
        <v>4.3337599999999998</v>
      </c>
      <c r="AQ74" s="23">
        <v>3.5</v>
      </c>
      <c r="AR74" s="25">
        <f t="shared" si="31"/>
        <v>15.622418673724999</v>
      </c>
      <c r="AS74" s="25">
        <f t="shared" si="32"/>
        <v>11.716814005293749</v>
      </c>
      <c r="AT74" s="5">
        <f t="shared" si="34"/>
        <v>60.84562955653513</v>
      </c>
      <c r="AU74" s="22">
        <f>2398.28*(1-2.3%)</f>
        <v>2343.1195600000001</v>
      </c>
      <c r="AV74" s="23">
        <v>1928.2</v>
      </c>
      <c r="AW74" s="23">
        <v>54.48</v>
      </c>
      <c r="AX74" s="25">
        <f>0.8028*(1+2.79%)</f>
        <v>0.82519812000000003</v>
      </c>
      <c r="AY74" s="23">
        <v>18.779999999999994</v>
      </c>
      <c r="AZ74" s="23">
        <f t="shared" si="35"/>
        <v>62.944522584526631</v>
      </c>
      <c r="BA74" s="23">
        <f>127.4*(1-3.26%)</f>
        <v>123.24676000000001</v>
      </c>
      <c r="BB74" s="26">
        <v>150206.23000000001</v>
      </c>
      <c r="BC74" s="26">
        <f>82789.58959*(1+0.15%)</f>
        <v>82913.773974385011</v>
      </c>
      <c r="BD74" s="26">
        <f>64095.72913*(1-0.163%)</f>
        <v>63991.253091518098</v>
      </c>
      <c r="BE74" s="26">
        <v>42715.55816</v>
      </c>
      <c r="BG74" s="27">
        <v>3601.528053</v>
      </c>
      <c r="BH74" s="27">
        <v>3817.6197360000001</v>
      </c>
      <c r="BI74" s="27">
        <v>3203.00614</v>
      </c>
      <c r="BJ74" s="27">
        <v>3395.1865079999998</v>
      </c>
      <c r="BK74" s="23">
        <f t="shared" si="38"/>
        <v>3402.2670964999998</v>
      </c>
      <c r="BL74" s="28">
        <f t="shared" si="39"/>
        <v>3606.4031219999997</v>
      </c>
      <c r="BM74" s="23">
        <v>5.7</v>
      </c>
      <c r="BN74" s="25">
        <v>1.97</v>
      </c>
      <c r="BO74" s="23">
        <v>1.2</v>
      </c>
      <c r="BP74" s="23">
        <v>3.5</v>
      </c>
      <c r="BQ74" s="21">
        <v>143</v>
      </c>
      <c r="BR74" s="21">
        <v>44</v>
      </c>
      <c r="BS74" s="21">
        <v>15</v>
      </c>
      <c r="BT74" s="21">
        <v>34</v>
      </c>
      <c r="BU74" s="21">
        <v>33</v>
      </c>
      <c r="BV74" s="29">
        <v>9.5</v>
      </c>
      <c r="BW74" s="24">
        <f>360*(1+0.93%)</f>
        <v>363.34800000000001</v>
      </c>
      <c r="BX74" s="24">
        <v>378</v>
      </c>
      <c r="BY74" s="21">
        <f>767*(1-4.38%)</f>
        <v>733.40539999999999</v>
      </c>
      <c r="BZ74" s="21">
        <f>1975*(1+6.82%)</f>
        <v>2109.6950000000002</v>
      </c>
      <c r="CA74" s="21">
        <f>784*(1-4.94%)</f>
        <v>745.2704</v>
      </c>
      <c r="CB74" s="21">
        <f>2068*(1+7.13%)</f>
        <v>2215.4483999999998</v>
      </c>
    </row>
    <row r="75" spans="1:80" s="21" customFormat="1" ht="15.5" x14ac:dyDescent="0.35">
      <c r="A75" s="20" t="s">
        <v>194</v>
      </c>
      <c r="B75" s="20" t="s">
        <v>172</v>
      </c>
      <c r="C75" s="21" t="s">
        <v>215</v>
      </c>
      <c r="D75" s="21">
        <v>1</v>
      </c>
      <c r="E75" s="22">
        <v>39</v>
      </c>
      <c r="F75" s="23">
        <v>41.6</v>
      </c>
      <c r="G75" s="21">
        <v>108</v>
      </c>
      <c r="H75" s="21">
        <v>70</v>
      </c>
      <c r="I75" s="21">
        <v>122</v>
      </c>
      <c r="J75" s="21">
        <v>77</v>
      </c>
      <c r="K75" s="22">
        <f t="shared" si="21"/>
        <v>115</v>
      </c>
      <c r="L75" s="22">
        <f t="shared" si="22"/>
        <v>73.5</v>
      </c>
      <c r="M75" s="23">
        <v>173.1</v>
      </c>
      <c r="N75" s="23">
        <f>125.5*(1+0.19%)</f>
        <v>125.73845</v>
      </c>
      <c r="O75" s="23">
        <v>118.7</v>
      </c>
      <c r="P75" s="23">
        <v>119.4</v>
      </c>
      <c r="Q75" s="23">
        <f t="shared" si="19"/>
        <v>119.05000000000001</v>
      </c>
      <c r="R75" s="21">
        <v>28</v>
      </c>
      <c r="S75" s="21">
        <v>31.6</v>
      </c>
      <c r="T75" s="24" t="s">
        <v>177</v>
      </c>
      <c r="U75" s="23">
        <v>5.2</v>
      </c>
      <c r="V75" s="23">
        <v>7.2</v>
      </c>
      <c r="W75" s="23">
        <v>-16</v>
      </c>
      <c r="X75" s="23">
        <v>-29.7</v>
      </c>
      <c r="Y75" s="24" t="s">
        <v>175</v>
      </c>
      <c r="Z75" s="23">
        <v>1744</v>
      </c>
      <c r="AA75" s="23">
        <v>1753.8333333333333</v>
      </c>
      <c r="AB75" s="23">
        <f>1858.16666666667*(1+2.5%)</f>
        <v>1904.6208333333366</v>
      </c>
      <c r="AC75" s="23">
        <f t="shared" si="29"/>
        <v>13.870061226299512</v>
      </c>
      <c r="AD75" s="23">
        <f t="shared" si="20"/>
        <v>13.948265891088472</v>
      </c>
      <c r="AE75" s="23">
        <f t="shared" si="33"/>
        <v>15.147481405515469</v>
      </c>
      <c r="AF75" s="23">
        <f t="shared" si="30"/>
        <v>12.113203943224743</v>
      </c>
      <c r="AG75" s="22">
        <f>3*60+25*(1+0.81%)</f>
        <v>205.20249999999999</v>
      </c>
      <c r="AH75" s="21">
        <v>3.5</v>
      </c>
      <c r="AI75" s="21">
        <v>6</v>
      </c>
      <c r="AJ75" s="21">
        <v>19</v>
      </c>
      <c r="AK75" s="21">
        <f>159*(1-1.11%)</f>
        <v>157.23509999999999</v>
      </c>
      <c r="AL75" s="22">
        <v>2068.3333333333335</v>
      </c>
      <c r="AM75" s="23">
        <f>70.1666666666667*(1-0.303%)</f>
        <v>69.954061666666703</v>
      </c>
      <c r="AN75" s="25">
        <f>1.145*(1-1.34%)</f>
        <v>1.1296570000000001</v>
      </c>
      <c r="AO75" s="22">
        <f>33.2833333333333*(1-3.8%)</f>
        <v>32.018566666666636</v>
      </c>
      <c r="AP75" s="25">
        <f>8.96*(1-6.6%)</f>
        <v>8.368640000000001</v>
      </c>
      <c r="AQ75" s="23">
        <v>3.5</v>
      </c>
      <c r="AR75" s="25">
        <f t="shared" si="31"/>
        <v>13.506882948817847</v>
      </c>
      <c r="AS75" s="25">
        <f t="shared" si="32"/>
        <v>10.130162211613385</v>
      </c>
      <c r="AT75" s="5">
        <f t="shared" si="34"/>
        <v>89.169166722989004</v>
      </c>
      <c r="AU75" s="22">
        <f>1738.31578947368*(1-2.3%)</f>
        <v>1698.3345263157853</v>
      </c>
      <c r="AV75" s="23">
        <v>1918.0526315789473</v>
      </c>
      <c r="AW75" s="23">
        <v>66.21052631578948</v>
      </c>
      <c r="AX75" s="25">
        <f>1.10631578947368*(1+2.79%)</f>
        <v>1.1371819999999957</v>
      </c>
      <c r="AY75" s="23">
        <v>29.994736842105269</v>
      </c>
      <c r="AZ75" s="23">
        <f t="shared" si="35"/>
        <v>96.902981586172558</v>
      </c>
      <c r="BA75" s="23">
        <f>157.5*(1-3.26%)</f>
        <v>152.3655</v>
      </c>
      <c r="BB75" s="26">
        <v>123884.22</v>
      </c>
      <c r="BC75" s="26">
        <f>54932.04188*(1+0.15%)</f>
        <v>55014.439942819998</v>
      </c>
      <c r="BD75" s="26">
        <f>66285.17254*(1-0.163%)</f>
        <v>66177.127708759799</v>
      </c>
      <c r="BE75" s="26">
        <v>39515.747750000002</v>
      </c>
      <c r="BG75" s="31">
        <v>2793.6388139999999</v>
      </c>
      <c r="BH75" s="27">
        <v>2961.2571429999998</v>
      </c>
      <c r="BI75" s="27">
        <v>2823.6868690000001</v>
      </c>
      <c r="BJ75" s="27">
        <v>2993.1080809999999</v>
      </c>
      <c r="BK75" s="23">
        <f t="shared" si="38"/>
        <v>2808.6628415</v>
      </c>
      <c r="BL75" s="28">
        <f t="shared" si="39"/>
        <v>2977.1826119999996</v>
      </c>
      <c r="BM75" s="23">
        <v>5</v>
      </c>
      <c r="BN75" s="25">
        <v>2.06</v>
      </c>
      <c r="BO75" s="23">
        <v>1</v>
      </c>
      <c r="BP75" s="23">
        <v>3.6</v>
      </c>
      <c r="BQ75" s="21">
        <v>104</v>
      </c>
      <c r="BR75" s="21">
        <v>46</v>
      </c>
      <c r="BS75" s="21">
        <v>20</v>
      </c>
      <c r="BT75" s="21">
        <v>43</v>
      </c>
      <c r="BU75" s="21">
        <v>32</v>
      </c>
      <c r="BV75" s="29" t="s">
        <v>175</v>
      </c>
      <c r="BW75" s="24">
        <f>150*(1+0.93%)</f>
        <v>151.39500000000001</v>
      </c>
      <c r="BX75" s="24">
        <v>275</v>
      </c>
      <c r="BY75" s="21">
        <f>253*(1-4.38%)</f>
        <v>241.91860000000003</v>
      </c>
      <c r="BZ75" s="21">
        <f>1339*(1+6.82%)</f>
        <v>1430.3198</v>
      </c>
      <c r="CA75" s="21">
        <f>258*(1-4.94%)</f>
        <v>245.25479999999999</v>
      </c>
      <c r="CB75" s="21">
        <f>1426*(1+7.13%)</f>
        <v>1527.6737999999998</v>
      </c>
    </row>
    <row r="76" spans="1:80" s="21" customFormat="1" ht="15.5" x14ac:dyDescent="0.35">
      <c r="A76" s="20" t="s">
        <v>199</v>
      </c>
      <c r="B76" s="20" t="s">
        <v>172</v>
      </c>
      <c r="C76" s="21" t="s">
        <v>215</v>
      </c>
      <c r="D76" s="21">
        <v>1</v>
      </c>
      <c r="E76" s="22">
        <v>56</v>
      </c>
      <c r="F76" s="23">
        <v>26.5</v>
      </c>
      <c r="G76" s="21">
        <v>118</v>
      </c>
      <c r="H76" s="21">
        <v>75</v>
      </c>
      <c r="I76" s="21">
        <v>110</v>
      </c>
      <c r="J76" s="21">
        <v>74</v>
      </c>
      <c r="K76" s="22">
        <f t="shared" si="21"/>
        <v>114</v>
      </c>
      <c r="L76" s="22">
        <f t="shared" si="22"/>
        <v>74.5</v>
      </c>
      <c r="M76" s="23">
        <v>174.4</v>
      </c>
      <c r="N76" s="23">
        <f>82.4*(1+0.19%)</f>
        <v>82.556560000000005</v>
      </c>
      <c r="O76" s="23">
        <v>90.5</v>
      </c>
      <c r="P76" s="23">
        <v>90.6</v>
      </c>
      <c r="Q76" s="23">
        <f t="shared" si="19"/>
        <v>90.55</v>
      </c>
      <c r="R76" s="22">
        <v>25</v>
      </c>
      <c r="S76" s="21">
        <v>18.8</v>
      </c>
      <c r="T76" s="24" t="s">
        <v>177</v>
      </c>
      <c r="U76" s="23">
        <v>-14.7</v>
      </c>
      <c r="V76" s="23">
        <v>-18</v>
      </c>
      <c r="W76" s="23">
        <v>3.4</v>
      </c>
      <c r="X76" s="23">
        <v>-21</v>
      </c>
      <c r="Y76" s="24" t="s">
        <v>175</v>
      </c>
      <c r="Z76" s="23">
        <v>2028</v>
      </c>
      <c r="AA76" s="23">
        <v>2049.3333333333335</v>
      </c>
      <c r="AB76" s="23">
        <f>2080.5*(1+2.5%)</f>
        <v>2132.5124999999998</v>
      </c>
      <c r="AC76" s="23">
        <f t="shared" si="29"/>
        <v>24.564977029081636</v>
      </c>
      <c r="AD76" s="23">
        <f t="shared" si="20"/>
        <v>24.823385728927335</v>
      </c>
      <c r="AE76" s="23">
        <f t="shared" si="33"/>
        <v>25.830927306079609</v>
      </c>
      <c r="AF76" s="23">
        <f t="shared" si="30"/>
        <v>12.537494679312459</v>
      </c>
      <c r="AG76" s="22">
        <f>10.5*60+5*(1+0.81%)</f>
        <v>635.04049999999995</v>
      </c>
      <c r="AH76" s="21">
        <v>3.8</v>
      </c>
      <c r="AI76" s="21">
        <v>18</v>
      </c>
      <c r="AJ76" s="21">
        <v>17</v>
      </c>
      <c r="AK76" s="21">
        <f>172*(1-1.11%)</f>
        <v>170.0908</v>
      </c>
      <c r="AL76" s="22">
        <v>2077.8333333333335</v>
      </c>
      <c r="AM76" s="23">
        <f>69.8333333333333*(1-0.303%)</f>
        <v>69.621738333333298</v>
      </c>
      <c r="AN76" s="25">
        <f>1.105*(1-1.34%)</f>
        <v>1.090193</v>
      </c>
      <c r="AO76" s="22">
        <f>34.25*(1-3.8%)</f>
        <v>32.948499999999996</v>
      </c>
      <c r="AP76" s="25">
        <f>6.92*(1-6.6%)</f>
        <v>6.4632799999999992</v>
      </c>
      <c r="AQ76" s="23">
        <v>3</v>
      </c>
      <c r="AR76" s="25">
        <f t="shared" si="31"/>
        <v>12.764014392072536</v>
      </c>
      <c r="AS76" s="25">
        <f t="shared" si="32"/>
        <v>9.5730107940544009</v>
      </c>
      <c r="AT76" s="5">
        <f t="shared" si="34"/>
        <v>49.413690189389278</v>
      </c>
      <c r="AU76" s="22">
        <f>1078.56*(1-2.3%)</f>
        <v>1053.7531199999999</v>
      </c>
      <c r="AV76" s="23">
        <v>902.64</v>
      </c>
      <c r="AW76" s="23">
        <v>32.64</v>
      </c>
      <c r="AX76" s="25">
        <f>0.8368*(1+2.79%)</f>
        <v>0.86014672000000003</v>
      </c>
      <c r="AY76" s="23">
        <v>21.588000000000001</v>
      </c>
      <c r="AZ76" s="23">
        <f t="shared" si="35"/>
        <v>64.383070689302428</v>
      </c>
      <c r="BA76" s="23">
        <f>113.2*(1-3.26%)</f>
        <v>109.50968</v>
      </c>
      <c r="BB76" s="26">
        <v>81656.970499999996</v>
      </c>
      <c r="BC76" s="26">
        <f>42701.58*(1+0.15%)</f>
        <v>42765.632370000007</v>
      </c>
      <c r="BD76" s="26">
        <f>36622.86*(1-0.163%)</f>
        <v>36563.164738200001</v>
      </c>
      <c r="BE76" s="26">
        <v>19029.759999999998</v>
      </c>
      <c r="BG76" s="27">
        <v>1289.6793729999999</v>
      </c>
      <c r="BH76" s="27">
        <v>1367.0601360000001</v>
      </c>
      <c r="BI76" s="27">
        <v>1316.524026</v>
      </c>
      <c r="BJ76" s="27">
        <v>1395.5154669999999</v>
      </c>
      <c r="BK76" s="23">
        <f t="shared" si="38"/>
        <v>1303.1016995</v>
      </c>
      <c r="BL76" s="28">
        <f t="shared" si="39"/>
        <v>1381.2878015000001</v>
      </c>
      <c r="BM76" s="23">
        <v>4.8</v>
      </c>
      <c r="BN76" s="25">
        <v>2.95</v>
      </c>
      <c r="BO76" s="25">
        <v>1.2</v>
      </c>
      <c r="BP76" s="25">
        <v>5</v>
      </c>
      <c r="BQ76" s="21">
        <v>100</v>
      </c>
      <c r="BR76" s="21">
        <v>23</v>
      </c>
      <c r="BS76" s="21">
        <v>8</v>
      </c>
      <c r="BT76" s="21">
        <v>33</v>
      </c>
      <c r="BU76" s="21">
        <v>40</v>
      </c>
      <c r="BV76" s="23">
        <v>7.4</v>
      </c>
      <c r="BW76" s="21">
        <f>170*(1+0.93%)</f>
        <v>171.58100000000002</v>
      </c>
      <c r="BX76" s="21">
        <v>789</v>
      </c>
      <c r="BY76" s="21">
        <f>330*(1-4.38%)</f>
        <v>315.54599999999999</v>
      </c>
      <c r="BZ76" s="21">
        <f>909*(1+6.82%)</f>
        <v>970.99380000000008</v>
      </c>
      <c r="CA76" s="21">
        <f>358*(1-4.94%)</f>
        <v>340.31479999999999</v>
      </c>
      <c r="CB76" s="21">
        <f>949*(1+7.13%)</f>
        <v>1016.6636999999999</v>
      </c>
    </row>
    <row r="77" spans="1:80" s="21" customFormat="1" ht="15.5" x14ac:dyDescent="0.35">
      <c r="A77" s="20" t="s">
        <v>213</v>
      </c>
      <c r="B77" s="20" t="s">
        <v>172</v>
      </c>
      <c r="C77" s="21" t="s">
        <v>215</v>
      </c>
      <c r="D77" s="21">
        <v>1</v>
      </c>
      <c r="E77" s="22">
        <v>46</v>
      </c>
      <c r="F77" s="23">
        <v>24.7</v>
      </c>
      <c r="G77" s="21">
        <v>142</v>
      </c>
      <c r="H77" s="21">
        <v>89</v>
      </c>
      <c r="I77" s="21">
        <v>139</v>
      </c>
      <c r="J77" s="21">
        <v>100</v>
      </c>
      <c r="K77" s="22">
        <f t="shared" si="21"/>
        <v>140.5</v>
      </c>
      <c r="L77" s="22">
        <f t="shared" si="22"/>
        <v>94.5</v>
      </c>
      <c r="M77" s="23">
        <v>166</v>
      </c>
      <c r="N77" s="23">
        <f>68.2*(1+0.19%)</f>
        <v>68.329580000000007</v>
      </c>
      <c r="O77" s="23">
        <v>80</v>
      </c>
      <c r="P77" s="23">
        <v>81</v>
      </c>
      <c r="Q77" s="23">
        <f t="shared" si="19"/>
        <v>80.5</v>
      </c>
      <c r="R77" s="22">
        <v>20</v>
      </c>
      <c r="S77" s="24" t="s">
        <v>175</v>
      </c>
      <c r="T77" s="24" t="s">
        <v>175</v>
      </c>
      <c r="U77" s="23">
        <v>7.5</v>
      </c>
      <c r="V77" s="23">
        <v>7</v>
      </c>
      <c r="W77" s="23">
        <v>2.5</v>
      </c>
      <c r="X77" s="23">
        <v>-8</v>
      </c>
      <c r="Y77" s="24" t="s">
        <v>175</v>
      </c>
      <c r="Z77" s="23">
        <v>2203</v>
      </c>
      <c r="AA77" s="23">
        <v>2196.5</v>
      </c>
      <c r="AB77" s="23">
        <f>2241.83333333333*(1+2.5%)</f>
        <v>2297.879166666663</v>
      </c>
      <c r="AC77" s="23">
        <f t="shared" si="29"/>
        <v>32.240795274901437</v>
      </c>
      <c r="AD77" s="23">
        <f t="shared" si="20"/>
        <v>32.145668098647754</v>
      </c>
      <c r="AE77" s="23">
        <f t="shared" si="33"/>
        <v>33.629347153409441</v>
      </c>
      <c r="AF77" s="23">
        <f t="shared" si="30"/>
        <v>13.998023644786425</v>
      </c>
      <c r="AG77" s="22">
        <f>11*60+35*(1+0.81%)</f>
        <v>695.2835</v>
      </c>
      <c r="AH77" s="21">
        <v>4.8</v>
      </c>
      <c r="AI77" s="21">
        <v>20</v>
      </c>
      <c r="AJ77" s="21">
        <v>20</v>
      </c>
      <c r="AK77" s="21">
        <f>166*(1-1.11%)</f>
        <v>164.1574</v>
      </c>
      <c r="AL77" s="22">
        <v>2878.5</v>
      </c>
      <c r="AM77" s="23">
        <f>88.3333333333333*(1-0.303%)</f>
        <v>88.065683333333297</v>
      </c>
      <c r="AN77" s="25">
        <f>1.31*(1-1.34%)</f>
        <v>1.2924460000000002</v>
      </c>
      <c r="AO77" s="22">
        <f>36.1333333333333*(1-3.8%)</f>
        <v>34.760266666666631</v>
      </c>
      <c r="AP77" s="25">
        <f>9.2*(1-6.6%)</f>
        <v>8.5927999999999987</v>
      </c>
      <c r="AQ77" s="23">
        <v>3.5</v>
      </c>
      <c r="AR77" s="25">
        <f t="shared" si="31"/>
        <v>15.812255248751711</v>
      </c>
      <c r="AS77" s="25">
        <f t="shared" si="32"/>
        <v>11.859191436563783</v>
      </c>
      <c r="AT77" s="5">
        <f>AU77/AB77*100</f>
        <v>47.019215617299366</v>
      </c>
      <c r="AU77" s="22">
        <f>1105.88*(1-2.3%)</f>
        <v>1080.4447600000001</v>
      </c>
      <c r="AV77" s="23">
        <v>936.48</v>
      </c>
      <c r="AW77" s="23">
        <v>25.92</v>
      </c>
      <c r="AX77" s="25">
        <f>0.8476*(1+2.79%)</f>
        <v>0.87124804</v>
      </c>
      <c r="AY77" s="23">
        <v>15.956</v>
      </c>
      <c r="AZ77" s="23">
        <f t="shared" si="35"/>
        <v>47.498583676398383</v>
      </c>
      <c r="BA77" s="23">
        <f>80.6*(1-3.26%)</f>
        <v>77.972439999999992</v>
      </c>
      <c r="BB77" s="26">
        <v>67825.422699999996</v>
      </c>
      <c r="BC77" s="26">
        <f>39237.40649*(1+0.15%)</f>
        <v>39296.262599735004</v>
      </c>
      <c r="BD77" s="26">
        <f>26185.67812*(1-0.163%)</f>
        <v>26142.9954646644</v>
      </c>
      <c r="BE77" s="26">
        <v>13984.327670000001</v>
      </c>
      <c r="BG77" s="27">
        <v>739.48006969999994</v>
      </c>
      <c r="BH77" s="27">
        <v>783.84887389999994</v>
      </c>
      <c r="BI77" s="27">
        <v>807.63366589999998</v>
      </c>
      <c r="BJ77" s="27">
        <v>856.09168580000005</v>
      </c>
      <c r="BK77" s="23">
        <f t="shared" si="38"/>
        <v>773.55686779999996</v>
      </c>
      <c r="BL77" s="28">
        <f t="shared" si="39"/>
        <v>819.97027985</v>
      </c>
      <c r="BM77" s="23">
        <v>4.5999999999999996</v>
      </c>
      <c r="BN77" s="25">
        <v>1.53</v>
      </c>
      <c r="BO77" s="23">
        <v>1.5</v>
      </c>
      <c r="BP77" s="23">
        <v>3.5</v>
      </c>
      <c r="BQ77" s="21">
        <v>101</v>
      </c>
      <c r="BR77" s="21">
        <v>35</v>
      </c>
      <c r="BS77" s="21">
        <v>15</v>
      </c>
      <c r="BT77" s="21">
        <v>44</v>
      </c>
      <c r="BU77" s="21">
        <v>30</v>
      </c>
      <c r="BV77" s="23">
        <v>5.4</v>
      </c>
      <c r="BW77" s="21">
        <f>190*(1+0.93%)</f>
        <v>191.76700000000002</v>
      </c>
      <c r="BX77" s="21">
        <v>304</v>
      </c>
      <c r="BY77" s="21">
        <f>168*(1-4.38%)</f>
        <v>160.64160000000001</v>
      </c>
      <c r="BZ77" s="21">
        <f>953*(1+6.82%)</f>
        <v>1017.9946</v>
      </c>
      <c r="CA77" s="21">
        <f>171*(1-4.94%)</f>
        <v>162.55260000000001</v>
      </c>
      <c r="CB77" s="21">
        <f>1043*(1+7.13%)</f>
        <v>1117.3659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217</v>
      </c>
    </row>
    <row r="2" spans="1:2" x14ac:dyDescent="0.35">
      <c r="A2" t="s">
        <v>218</v>
      </c>
      <c r="B2" t="s">
        <v>219</v>
      </c>
    </row>
    <row r="3" spans="1:2" x14ac:dyDescent="0.35">
      <c r="A3">
        <v>11451</v>
      </c>
      <c r="B3" t="s">
        <v>219</v>
      </c>
    </row>
    <row r="4" spans="1:2" x14ac:dyDescent="0.35">
      <c r="A4">
        <v>15448</v>
      </c>
      <c r="B4" t="s">
        <v>219</v>
      </c>
    </row>
    <row r="5" spans="1:2" x14ac:dyDescent="0.35">
      <c r="A5">
        <v>11442</v>
      </c>
      <c r="B5" t="s">
        <v>219</v>
      </c>
    </row>
    <row r="6" spans="1:2" x14ac:dyDescent="0.35">
      <c r="A6" t="s">
        <v>220</v>
      </c>
      <c r="B6" t="s">
        <v>219</v>
      </c>
    </row>
    <row r="7" spans="1:2" x14ac:dyDescent="0.35">
      <c r="A7">
        <v>11421</v>
      </c>
      <c r="B7" t="s">
        <v>219</v>
      </c>
    </row>
    <row r="8" spans="1:2" x14ac:dyDescent="0.35">
      <c r="A8" t="s">
        <v>221</v>
      </c>
      <c r="B8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222</v>
      </c>
    </row>
    <row r="2" spans="1:1" x14ac:dyDescent="0.35">
      <c r="A2" t="s">
        <v>223</v>
      </c>
    </row>
    <row r="3" spans="1:1" x14ac:dyDescent="0.35">
      <c r="A3" t="s">
        <v>224</v>
      </c>
    </row>
    <row r="4" spans="1:1" x14ac:dyDescent="0.35">
      <c r="A4" t="s">
        <v>225</v>
      </c>
    </row>
    <row r="5" spans="1:1" x14ac:dyDescent="0.35">
      <c r="A5" t="s">
        <v>226</v>
      </c>
    </row>
    <row r="6" spans="1:1" x14ac:dyDescent="0.35">
      <c r="A6" t="s">
        <v>227</v>
      </c>
    </row>
    <row r="7" spans="1:1" x14ac:dyDescent="0.35">
      <c r="A7" t="s">
        <v>228</v>
      </c>
    </row>
    <row r="8" spans="1:1" x14ac:dyDescent="0.35">
      <c r="A8" t="s">
        <v>229</v>
      </c>
    </row>
    <row r="9" spans="1:1" x14ac:dyDescent="0.35">
      <c r="A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2023-03-13T13:26:13Z</dcterms:modified>
  <cp:category/>
  <cp:contentStatus/>
</cp:coreProperties>
</file>