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nnlandet-my.sharepoint.com/personal/251458_stud_inn_no/Documents/KAN+FLS/"/>
    </mc:Choice>
  </mc:AlternateContent>
  <xr:revisionPtr revIDLastSave="3514" documentId="11_924805B546FA86936262E6F9983E8C1851038381" xr6:coauthVersionLast="47" xr6:coauthVersionMax="47" xr10:uidLastSave="{17B1E50B-01A3-44CF-AC6A-7D84DB5A9DD9}"/>
  <bookViews>
    <workbookView xWindow="-110" yWindow="-110" windowWidth="19420" windowHeight="10300" xr2:uid="{00000000-000D-0000-FFFF-FFFF00000000}"/>
  </bookViews>
  <sheets>
    <sheet name="Resultater" sheetId="1" r:id="rId1"/>
    <sheet name="PWV" sheetId="3" r:id="rId2"/>
    <sheet name="Koding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5" i="1"/>
  <c r="AC66" i="1"/>
  <c r="AC67" i="1"/>
  <c r="AC68" i="1"/>
  <c r="AC69" i="1"/>
  <c r="AC70" i="1"/>
  <c r="AC2" i="1"/>
  <c r="AG38" i="1"/>
  <c r="AG50" i="1"/>
  <c r="AG53" i="1"/>
  <c r="AG51" i="1"/>
  <c r="AG56" i="1"/>
  <c r="AG47" i="1"/>
  <c r="AG54" i="1"/>
  <c r="AG49" i="1"/>
  <c r="AG45" i="1"/>
  <c r="AG55" i="1"/>
  <c r="AG46" i="1"/>
  <c r="AZ44" i="1"/>
  <c r="AG44" i="1"/>
  <c r="AG41" i="1"/>
  <c r="AG66" i="1"/>
  <c r="AG68" i="1"/>
  <c r="AG58" i="1"/>
  <c r="AG48" i="1"/>
  <c r="AG61" i="1"/>
  <c r="AG11" i="1"/>
  <c r="AG10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5" i="1"/>
  <c r="AZ66" i="1"/>
  <c r="AZ67" i="1"/>
  <c r="AZ68" i="1"/>
  <c r="AZ69" i="1"/>
  <c r="AZ70" i="1"/>
  <c r="AT2" i="1"/>
  <c r="AZ2" i="1"/>
  <c r="AR40" i="1" l="1"/>
  <c r="AS40" i="1"/>
  <c r="AT40" i="1"/>
  <c r="AR41" i="1"/>
  <c r="AS41" i="1"/>
  <c r="AT41" i="1"/>
  <c r="AR42" i="1"/>
  <c r="AS42" i="1"/>
  <c r="AT42" i="1"/>
  <c r="AR43" i="1"/>
  <c r="AS43" i="1"/>
  <c r="AT43" i="1"/>
  <c r="AR44" i="1"/>
  <c r="AS44" i="1"/>
  <c r="AT44" i="1"/>
  <c r="AR45" i="1"/>
  <c r="AS45" i="1"/>
  <c r="AT45" i="1"/>
  <c r="AR46" i="1"/>
  <c r="AS46" i="1"/>
  <c r="AT46" i="1"/>
  <c r="AR47" i="1"/>
  <c r="AS47" i="1"/>
  <c r="AT47" i="1"/>
  <c r="AR48" i="1"/>
  <c r="AS48" i="1"/>
  <c r="AT48" i="1"/>
  <c r="AR49" i="1"/>
  <c r="AS49" i="1"/>
  <c r="AT49" i="1"/>
  <c r="AR50" i="1"/>
  <c r="AS50" i="1"/>
  <c r="AT50" i="1"/>
  <c r="AR51" i="1"/>
  <c r="AS51" i="1"/>
  <c r="AT51" i="1"/>
  <c r="AR52" i="1"/>
  <c r="AS52" i="1"/>
  <c r="AT52" i="1"/>
  <c r="AR53" i="1"/>
  <c r="AS53" i="1"/>
  <c r="AT53" i="1"/>
  <c r="AR54" i="1"/>
  <c r="AS54" i="1"/>
  <c r="AT54" i="1"/>
  <c r="AR55" i="1"/>
  <c r="AS55" i="1"/>
  <c r="AT55" i="1"/>
  <c r="AR56" i="1"/>
  <c r="AS56" i="1"/>
  <c r="AT56" i="1"/>
  <c r="AR57" i="1"/>
  <c r="AS57" i="1"/>
  <c r="AT57" i="1"/>
  <c r="AR58" i="1"/>
  <c r="AS58" i="1"/>
  <c r="AT58" i="1"/>
  <c r="AR59" i="1"/>
  <c r="AS59" i="1"/>
  <c r="AT59" i="1"/>
  <c r="AR60" i="1"/>
  <c r="AS60" i="1"/>
  <c r="AT60" i="1"/>
  <c r="AR61" i="1"/>
  <c r="AS61" i="1"/>
  <c r="AT61" i="1"/>
  <c r="AR62" i="1"/>
  <c r="AS62" i="1"/>
  <c r="AT62" i="1"/>
  <c r="AR63" i="1"/>
  <c r="AS63" i="1"/>
  <c r="AT63" i="1"/>
  <c r="AR65" i="1"/>
  <c r="AS65" i="1"/>
  <c r="AT65" i="1"/>
  <c r="AR66" i="1"/>
  <c r="AS66" i="1"/>
  <c r="AT66" i="1"/>
  <c r="AR67" i="1"/>
  <c r="AS67" i="1"/>
  <c r="AT67" i="1"/>
  <c r="AR68" i="1"/>
  <c r="AS68" i="1"/>
  <c r="AT68" i="1"/>
  <c r="AR69" i="1"/>
  <c r="AS69" i="1"/>
  <c r="AT69" i="1"/>
  <c r="AR70" i="1"/>
  <c r="AS70" i="1"/>
  <c r="AT70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5" i="1"/>
  <c r="AF66" i="1"/>
  <c r="AF67" i="1"/>
  <c r="AF68" i="1"/>
  <c r="AF69" i="1"/>
  <c r="AF70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5" i="1"/>
  <c r="AE66" i="1"/>
  <c r="AE67" i="1"/>
  <c r="AE68" i="1"/>
  <c r="AE69" i="1"/>
  <c r="AE70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5" i="1"/>
  <c r="AD66" i="1"/>
  <c r="AD67" i="1"/>
  <c r="AD68" i="1"/>
  <c r="AD69" i="1"/>
  <c r="AD70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5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24" i="1"/>
  <c r="AR24" i="1"/>
  <c r="AT24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9" i="1"/>
  <c r="BL20" i="1"/>
  <c r="BL21" i="1"/>
  <c r="BL22" i="1"/>
  <c r="BL23" i="1"/>
  <c r="BL24" i="1"/>
  <c r="BL25" i="1"/>
  <c r="BL26" i="1"/>
  <c r="BL27" i="1"/>
  <c r="BL28" i="1"/>
  <c r="BL30" i="1"/>
  <c r="BL31" i="1"/>
  <c r="BL32" i="1"/>
  <c r="BL33" i="1"/>
  <c r="BL34" i="1"/>
  <c r="BL35" i="1"/>
  <c r="BL36" i="1"/>
  <c r="BL37" i="1"/>
  <c r="BL38" i="1"/>
  <c r="BL40" i="1"/>
  <c r="BL41" i="1"/>
  <c r="BL42" i="1"/>
  <c r="BL43" i="1"/>
  <c r="BL44" i="1"/>
  <c r="BL45" i="1"/>
  <c r="BL46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K2" i="1"/>
  <c r="BL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9" i="1"/>
  <c r="BK20" i="1"/>
  <c r="BK21" i="1"/>
  <c r="BK22" i="1"/>
  <c r="BK23" i="1"/>
  <c r="BK24" i="1"/>
  <c r="BK25" i="1"/>
  <c r="BK26" i="1"/>
  <c r="BK27" i="1"/>
  <c r="BK28" i="1"/>
  <c r="BK30" i="1"/>
  <c r="BK31" i="1"/>
  <c r="BK32" i="1"/>
  <c r="BK33" i="1"/>
  <c r="BK34" i="1"/>
  <c r="BK35" i="1"/>
  <c r="BK36" i="1"/>
  <c r="BK37" i="1"/>
  <c r="BK38" i="1"/>
  <c r="BK40" i="1"/>
  <c r="BK41" i="1"/>
  <c r="BK42" i="1"/>
  <c r="BK43" i="1"/>
  <c r="BK44" i="1"/>
  <c r="BK45" i="1"/>
  <c r="BK46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AG70" i="1"/>
  <c r="AG65" i="1"/>
  <c r="AG63" i="1"/>
  <c r="AG62" i="1"/>
  <c r="S70" i="1"/>
  <c r="S61" i="1"/>
  <c r="Q61" i="1"/>
  <c r="Q62" i="1"/>
  <c r="Q63" i="1"/>
  <c r="Q64" i="1"/>
  <c r="Q65" i="1"/>
  <c r="Q66" i="1"/>
  <c r="Q67" i="1"/>
  <c r="Q68" i="1"/>
  <c r="Q69" i="1"/>
  <c r="Q70" i="1"/>
  <c r="L61" i="1"/>
  <c r="L62" i="1"/>
  <c r="L63" i="1"/>
  <c r="L64" i="1"/>
  <c r="L65" i="1"/>
  <c r="L66" i="1"/>
  <c r="L67" i="1"/>
  <c r="L68" i="1"/>
  <c r="L69" i="1"/>
  <c r="L70" i="1"/>
  <c r="K61" i="1"/>
  <c r="K62" i="1"/>
  <c r="K63" i="1"/>
  <c r="K64" i="1"/>
  <c r="K65" i="1"/>
  <c r="K66" i="1"/>
  <c r="K67" i="1"/>
  <c r="K68" i="1"/>
  <c r="K69" i="1"/>
  <c r="K70" i="1"/>
  <c r="Q60" i="1"/>
  <c r="K60" i="1"/>
  <c r="L60" i="1"/>
  <c r="AG59" i="1"/>
  <c r="Q59" i="1"/>
  <c r="K59" i="1"/>
  <c r="L59" i="1"/>
  <c r="AG25" i="1"/>
  <c r="AG33" i="1"/>
  <c r="AG18" i="1"/>
  <c r="AG13" i="1"/>
  <c r="AG39" i="1"/>
  <c r="AG7" i="1"/>
  <c r="AG12" i="1"/>
  <c r="AG6" i="1"/>
  <c r="AG17" i="1"/>
  <c r="AG15" i="1"/>
  <c r="AG34" i="1"/>
  <c r="AG37" i="1"/>
  <c r="AG23" i="1"/>
  <c r="AG29" i="1"/>
  <c r="AG5" i="1"/>
  <c r="AG27" i="1"/>
  <c r="AG26" i="1"/>
  <c r="AG20" i="1"/>
  <c r="AG16" i="1"/>
  <c r="AG30" i="1"/>
  <c r="AG21" i="1"/>
  <c r="AG36" i="1"/>
  <c r="AG35" i="1"/>
  <c r="AG32" i="1"/>
  <c r="AG31" i="1"/>
  <c r="AG24" i="1"/>
  <c r="AG3" i="1"/>
  <c r="AG8" i="1"/>
  <c r="AG57" i="1"/>
  <c r="AG9" i="1"/>
  <c r="AG22" i="1"/>
  <c r="AG42" i="1"/>
  <c r="AG28" i="1"/>
  <c r="AG19" i="1"/>
  <c r="AG40" i="1"/>
  <c r="AG2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Q39" i="1"/>
  <c r="L39" i="1"/>
  <c r="K39" i="1"/>
  <c r="AD13" i="1"/>
  <c r="AT39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2" i="1"/>
  <c r="AD3" i="1"/>
  <c r="AD4" i="1"/>
  <c r="AD5" i="1"/>
  <c r="AD6" i="1"/>
  <c r="AD7" i="1"/>
  <c r="AD8" i="1"/>
  <c r="AD9" i="1"/>
  <c r="AD10" i="1"/>
  <c r="AD11" i="1"/>
  <c r="AD12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2" i="1"/>
</calcChain>
</file>

<file path=xl/sharedStrings.xml><?xml version="1.0" encoding="utf-8"?>
<sst xmlns="http://schemas.openxmlformats.org/spreadsheetml/2006/main" count="680" uniqueCount="235">
  <si>
    <t>id</t>
  </si>
  <si>
    <t>group</t>
  </si>
  <si>
    <t>time</t>
  </si>
  <si>
    <t>sex</t>
  </si>
  <si>
    <t>age</t>
  </si>
  <si>
    <t>bmi</t>
  </si>
  <si>
    <t>sys_1</t>
  </si>
  <si>
    <t>dia_1</t>
  </si>
  <si>
    <t>sys_2</t>
  </si>
  <si>
    <t>dia_2</t>
  </si>
  <si>
    <t>sys</t>
  </si>
  <si>
    <t>dia</t>
  </si>
  <si>
    <t>height</t>
  </si>
  <si>
    <t>weight</t>
  </si>
  <si>
    <t>wc_1</t>
  </si>
  <si>
    <t>wc_2</t>
  </si>
  <si>
    <t>wc</t>
  </si>
  <si>
    <t>handgrip</t>
  </si>
  <si>
    <t>bal_time</t>
  </si>
  <si>
    <t>60_sek</t>
  </si>
  <si>
    <t>mobility_leg_right</t>
  </si>
  <si>
    <t>mobility_leg_left</t>
  </si>
  <si>
    <t>mobility_shoulder_right</t>
  </si>
  <si>
    <t>mobility_shoulder_left</t>
  </si>
  <si>
    <t>chair_stand_test</t>
  </si>
  <si>
    <t>vo2max_ml_min_2x30</t>
  </si>
  <si>
    <t>vo2max_ml_min_12x5</t>
  </si>
  <si>
    <t>vo2max_ml_min_6x5</t>
  </si>
  <si>
    <t>vo2max_ml_min_kg_2x30</t>
  </si>
  <si>
    <t>vo2max_ml_min_kg_12x5</t>
  </si>
  <si>
    <t>vo2max_ml_min_kg_6x5</t>
  </si>
  <si>
    <t>o2_puls (ml)</t>
  </si>
  <si>
    <t>time_to_exhaustion</t>
  </si>
  <si>
    <t>velocity_end</t>
  </si>
  <si>
    <t>elevation_end</t>
  </si>
  <si>
    <t>borg_end</t>
  </si>
  <si>
    <t>hf_max</t>
  </si>
  <si>
    <t>CO2_max (ml/min)_30sek</t>
  </si>
  <si>
    <t>Ve_L/min_max_30sek</t>
  </si>
  <si>
    <t>rer_max_30sek</t>
  </si>
  <si>
    <t>bfmax_30sek</t>
  </si>
  <si>
    <t>lac</t>
  </si>
  <si>
    <t>arbec_velocity</t>
  </si>
  <si>
    <t>arbec_mean_o2</t>
  </si>
  <si>
    <t>arbec_mean_ml_o2x0.75</t>
  </si>
  <si>
    <t>arbec_%_o2max</t>
  </si>
  <si>
    <t>arbec_vo2_ml_min</t>
  </si>
  <si>
    <t>arbec_vco2_ml_min</t>
  </si>
  <si>
    <t>arbec_ve_l_min</t>
  </si>
  <si>
    <t>arbec_RER</t>
  </si>
  <si>
    <t>arbec_BF</t>
  </si>
  <si>
    <t>arbec_%_maksHF</t>
  </si>
  <si>
    <t>arbec_HF</t>
  </si>
  <si>
    <t>total_mass</t>
  </si>
  <si>
    <t>lean_mass</t>
  </si>
  <si>
    <t>fat_mass</t>
  </si>
  <si>
    <t>fat_mass_upper</t>
  </si>
  <si>
    <t>bone_density</t>
  </si>
  <si>
    <t>vat_mass_1</t>
  </si>
  <si>
    <t>vat_volume_1</t>
  </si>
  <si>
    <t>vat_mass_2</t>
  </si>
  <si>
    <t>vat_volume_2</t>
  </si>
  <si>
    <t>vat_mass</t>
  </si>
  <si>
    <t>vat_volume</t>
  </si>
  <si>
    <t>s-glukose</t>
  </si>
  <si>
    <t>s-triglyserider</t>
  </si>
  <si>
    <t>s-hdl</t>
  </si>
  <si>
    <t>s-ldl</t>
  </si>
  <si>
    <t>sp</t>
  </si>
  <si>
    <t>pp</t>
  </si>
  <si>
    <t>ap</t>
  </si>
  <si>
    <t>alx</t>
  </si>
  <si>
    <t>alx75</t>
  </si>
  <si>
    <t>pwv</t>
  </si>
  <si>
    <t>1rm_newton</t>
  </si>
  <si>
    <t>1rm_watt</t>
  </si>
  <si>
    <t>pmax_left</t>
  </si>
  <si>
    <t>fmax_left</t>
  </si>
  <si>
    <t>pmax_right</t>
  </si>
  <si>
    <t>fmax_right</t>
  </si>
  <si>
    <t>phys_func</t>
  </si>
  <si>
    <t>lim_phys_health</t>
  </si>
  <si>
    <t>lim_emo</t>
  </si>
  <si>
    <t>energy_fatigue</t>
  </si>
  <si>
    <t>emo_well_being</t>
  </si>
  <si>
    <t>soc_func</t>
  </si>
  <si>
    <t>pain</t>
  </si>
  <si>
    <t>gen_health</t>
  </si>
  <si>
    <t xml:space="preserve">1year_better_health </t>
  </si>
  <si>
    <t>ext_mot</t>
  </si>
  <si>
    <t>amot</t>
  </si>
  <si>
    <t>intr_reg</t>
  </si>
  <si>
    <t>id_reg</t>
  </si>
  <si>
    <t>instr_reg</t>
  </si>
  <si>
    <t>cal_tot</t>
  </si>
  <si>
    <t>cal_act</t>
  </si>
  <si>
    <t>cal_work</t>
  </si>
  <si>
    <t>children</t>
  </si>
  <si>
    <t>born_self</t>
  </si>
  <si>
    <t>marital_status</t>
  </si>
  <si>
    <t>education</t>
  </si>
  <si>
    <t>employ_rate</t>
  </si>
  <si>
    <t>reason_not_employ</t>
  </si>
  <si>
    <t>days_absence</t>
  </si>
  <si>
    <t>reason_absence</t>
  </si>
  <si>
    <t>asthma</t>
  </si>
  <si>
    <t>copd</t>
  </si>
  <si>
    <t>t1dm</t>
  </si>
  <si>
    <t>t2dm</t>
  </si>
  <si>
    <t>osteoporosis</t>
  </si>
  <si>
    <t>fms</t>
  </si>
  <si>
    <t>mental_dis</t>
  </si>
  <si>
    <t>cvd</t>
  </si>
  <si>
    <t>other</t>
  </si>
  <si>
    <t>breast_pain</t>
  </si>
  <si>
    <t>medicine</t>
  </si>
  <si>
    <t>head_pain_12mnd</t>
  </si>
  <si>
    <t>head_disturb_12mnd</t>
  </si>
  <si>
    <t>head_pain_7d</t>
  </si>
  <si>
    <t>neck_pain_12mnd</t>
  </si>
  <si>
    <t>neck_disturb_12mnd</t>
  </si>
  <si>
    <t>neck_pain_7d</t>
  </si>
  <si>
    <t>shoulder_pain_12mnd</t>
  </si>
  <si>
    <t>shoulder_disturb_12mnd</t>
  </si>
  <si>
    <t>shoulder_pain_7d</t>
  </si>
  <si>
    <t>elbow_pain_12mnd</t>
  </si>
  <si>
    <t>elbow_disturb_12mnd</t>
  </si>
  <si>
    <t>elbow_pain_7d</t>
  </si>
  <si>
    <t>hand_pain_12mnd</t>
  </si>
  <si>
    <t>hand_disturb_12mnd</t>
  </si>
  <si>
    <t>hand_pain_7d</t>
  </si>
  <si>
    <t>upperback_pain_12mnd</t>
  </si>
  <si>
    <t>upperback_disturb_12mnd</t>
  </si>
  <si>
    <t>upperback_pain_7d</t>
  </si>
  <si>
    <t>lowerback_pain_12mnd</t>
  </si>
  <si>
    <t>lowerback_disturb_12mnd</t>
  </si>
  <si>
    <t>lowerback_pain_7d</t>
  </si>
  <si>
    <t>hip_pain_12mnd</t>
  </si>
  <si>
    <t>hip_disturb_12mnd</t>
  </si>
  <si>
    <t>hip_pain_7d</t>
  </si>
  <si>
    <t>knee_pain_12mnd</t>
  </si>
  <si>
    <t>knee_disturb_12mnd</t>
  </si>
  <si>
    <t>knee_pain_7d</t>
  </si>
  <si>
    <t>feet_pain_12mnd</t>
  </si>
  <si>
    <t>feet_disturb_12mnd</t>
  </si>
  <si>
    <t>feet_pain_7d</t>
  </si>
  <si>
    <t>smoker</t>
  </si>
  <si>
    <t>pack_years</t>
  </si>
  <si>
    <t>fruit</t>
  </si>
  <si>
    <t>cheese</t>
  </si>
  <si>
    <t>potato</t>
  </si>
  <si>
    <t>cook_weg</t>
  </si>
  <si>
    <t>raw_weg</t>
  </si>
  <si>
    <t>fish</t>
  </si>
  <si>
    <t>fat_bread</t>
  </si>
  <si>
    <t>fat_cook</t>
  </si>
  <si>
    <t>fishoil</t>
  </si>
  <si>
    <t>vit_min</t>
  </si>
  <si>
    <t>fat_milk</t>
  </si>
  <si>
    <t>light_milk</t>
  </si>
  <si>
    <t>skimmed_milk</t>
  </si>
  <si>
    <t>juice</t>
  </si>
  <si>
    <t>water</t>
  </si>
  <si>
    <t>sparkling_water</t>
  </si>
  <si>
    <t>cola_soda</t>
  </si>
  <si>
    <t>other_soda</t>
  </si>
  <si>
    <t>soda</t>
  </si>
  <si>
    <t>coffee</t>
  </si>
  <si>
    <t>tee</t>
  </si>
  <si>
    <t>alcohol_time</t>
  </si>
  <si>
    <t>alchol_glass</t>
  </si>
  <si>
    <t>alcohol_5g</t>
  </si>
  <si>
    <t>alcohol_beer</t>
  </si>
  <si>
    <t>alcohol_wine</t>
  </si>
  <si>
    <t>alcohol_liquor</t>
  </si>
  <si>
    <t>tr031 003</t>
  </si>
  <si>
    <t>fls</t>
  </si>
  <si>
    <t>pre</t>
  </si>
  <si>
    <t>ja</t>
  </si>
  <si>
    <t>NA</t>
  </si>
  <si>
    <t>tr031 002</t>
  </si>
  <si>
    <t>nei</t>
  </si>
  <si>
    <t xml:space="preserve">tr031 005 </t>
  </si>
  <si>
    <t>tr031 10541</t>
  </si>
  <si>
    <t>kon</t>
  </si>
  <si>
    <t>tr031 11018</t>
  </si>
  <si>
    <t>tr031 11451</t>
  </si>
  <si>
    <t>tr031 004</t>
  </si>
  <si>
    <t>tr031 006</t>
  </si>
  <si>
    <t>tr031 10538</t>
  </si>
  <si>
    <t>tr031 11583</t>
  </si>
  <si>
    <t>tr031 12448</t>
  </si>
  <si>
    <t>tr031 11159</t>
  </si>
  <si>
    <t>tr031 007</t>
  </si>
  <si>
    <t>tr031 15448</t>
  </si>
  <si>
    <t>tr031 11356</t>
  </si>
  <si>
    <t>tr031 14662</t>
  </si>
  <si>
    <t>tr031 11091</t>
  </si>
  <si>
    <t>tr031 008</t>
  </si>
  <si>
    <t>tr031 11806</t>
  </si>
  <si>
    <t>tr031 11442</t>
  </si>
  <si>
    <t>tr031 009</t>
  </si>
  <si>
    <t>tr031 15409</t>
  </si>
  <si>
    <t>tr031 001</t>
  </si>
  <si>
    <t>tr031 010</t>
  </si>
  <si>
    <t>tr031 14010</t>
  </si>
  <si>
    <t>tr031 13404</t>
  </si>
  <si>
    <t>tr031 011</t>
  </si>
  <si>
    <t>tr031 11421</t>
  </si>
  <si>
    <t>tr031 11887</t>
  </si>
  <si>
    <t>tr031 012</t>
  </si>
  <si>
    <t>tr031 013</t>
  </si>
  <si>
    <t>tr031 14269</t>
  </si>
  <si>
    <t>tr031 14626</t>
  </si>
  <si>
    <t>tr031 014</t>
  </si>
  <si>
    <t>tr031 015</t>
  </si>
  <si>
    <t>tr031 14265</t>
  </si>
  <si>
    <t>tr031 016</t>
  </si>
  <si>
    <t>tr031 11716</t>
  </si>
  <si>
    <t>post</t>
  </si>
  <si>
    <t>tr031 005</t>
  </si>
  <si>
    <t>PWV</t>
  </si>
  <si>
    <t>Tr031 005</t>
  </si>
  <si>
    <t>ikke QC</t>
  </si>
  <si>
    <t>Tr031 010</t>
  </si>
  <si>
    <t>Tr031 014</t>
  </si>
  <si>
    <t>balanse: total tid med åpne og lukkede øynde</t>
  </si>
  <si>
    <t>hvis over 60 sek: ja eller evt nei</t>
  </si>
  <si>
    <t>bevegelighet: velge det beste resultatet (målt i cm)</t>
  </si>
  <si>
    <t>handgrip: velge det høyeste resultatet (målt i kg)</t>
  </si>
  <si>
    <t>blodtrykk: snittet av de to nærmeste på systolisk (målt i mmHg)</t>
  </si>
  <si>
    <t>livvidde (wc): snittet av de to nærmeste målingene (cm)</t>
  </si>
  <si>
    <t>blodprøver: glukose, triglyserider, ldl, hdl (målt i mmol/l)</t>
  </si>
  <si>
    <t>sex: kvinne = 1, mann = 2</t>
  </si>
  <si>
    <t>visceralt fett: snittet av to målinger (masse målt i gram, volum målt i cm3)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</si>
</sst>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/>
    <xf numFmtId="0" fontId="1" fillId="0" borderId="0" xfId="0" applyFont="1"/>
    <xf numFmtId="49" fontId="0" fillId="0" borderId="0" xfId="0" applyNumberFormat="1" applyAlignment="1">
      <alignment horizontal="left"/>
    </xf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/>
    <xf numFmtId="2" fontId="0" fillId="0" borderId="0" xfId="0" applyNumberFormat="1" applyAlignment="1">
      <alignment horizontal="right"/>
    </xf>
    <xf numFmtId="2" fontId="2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2" fontId="2" fillId="0" borderId="0" xfId="0" applyNumberFormat="1" applyFont="1" applyAlignment="1">
      <alignment horizontal="right" wrapText="1"/>
    </xf>
    <xf numFmtId="164" fontId="3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164" fontId="0" fillId="0" borderId="0" xfId="0" applyNumberFormat="1" applyFill="1"/>
    <xf numFmtId="0" fontId="2" fillId="0" borderId="0" xfId="0" applyFont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X77"/>
  <sheetViews>
    <sheetView tabSelected="1" zoomScale="55" zoomScaleNormal="55" workbookViewId="0">
      <pane xSplit="1" topLeftCell="BO1" activePane="topRight" state="frozen"/>
      <selection pane="topRight" activeCell="CD61" sqref="CD61"/>
    </sheetView>
  </sheetViews>
  <sheetFormatPr defaultColWidth="8.7109375" defaultRowHeight="15" customHeight="1"/>
  <cols>
    <col min="1" max="1" width="12.140625" bestFit="1" customWidth="1"/>
    <col min="4" max="4" width="7.42578125" customWidth="1"/>
    <col min="5" max="6" width="10.42578125" customWidth="1"/>
    <col min="10" max="11" width="8.140625" customWidth="1"/>
    <col min="12" max="12" width="6.85546875" customWidth="1"/>
    <col min="21" max="22" width="17.85546875" customWidth="1"/>
    <col min="23" max="23" width="22.5703125" bestFit="1" customWidth="1"/>
    <col min="24" max="24" width="21.28515625" bestFit="1" customWidth="1"/>
    <col min="25" max="25" width="15.85546875" bestFit="1" customWidth="1"/>
    <col min="26" max="28" width="22.7109375" customWidth="1"/>
    <col min="29" max="29" width="24.42578125" customWidth="1"/>
    <col min="30" max="30" width="24.7109375" customWidth="1"/>
    <col min="31" max="33" width="23.7109375" customWidth="1"/>
    <col min="34" max="34" width="13.5703125" customWidth="1"/>
    <col min="35" max="35" width="15.5703125" customWidth="1"/>
    <col min="38" max="38" width="24.28515625" bestFit="1" customWidth="1"/>
    <col min="39" max="39" width="20.7109375" bestFit="1" customWidth="1"/>
    <col min="40" max="40" width="14.7109375" bestFit="1" customWidth="1"/>
    <col min="41" max="41" width="12.7109375" bestFit="1" customWidth="1"/>
    <col min="42" max="42" width="10.7109375" customWidth="1"/>
    <col min="43" max="43" width="14" bestFit="1" customWidth="1"/>
    <col min="44" max="44" width="15.42578125" bestFit="1" customWidth="1"/>
    <col min="45" max="45" width="20.28515625" bestFit="1" customWidth="1"/>
    <col min="46" max="46" width="18.140625" bestFit="1" customWidth="1"/>
    <col min="47" max="47" width="23.140625" bestFit="1" customWidth="1"/>
    <col min="48" max="48" width="14.7109375" bestFit="1" customWidth="1"/>
    <col min="49" max="49" width="23.140625" bestFit="1" customWidth="1"/>
    <col min="50" max="50" width="15.7109375" bestFit="1" customWidth="1"/>
    <col min="51" max="52" width="15.7109375" customWidth="1"/>
    <col min="53" max="53" width="15" bestFit="1" customWidth="1"/>
    <col min="54" max="54" width="15" customWidth="1"/>
    <col min="55" max="55" width="13.7109375" bestFit="1" customWidth="1"/>
    <col min="56" max="56" width="14" customWidth="1"/>
    <col min="57" max="57" width="15.42578125" bestFit="1" customWidth="1"/>
    <col min="58" max="58" width="13" bestFit="1" customWidth="1"/>
    <col min="59" max="59" width="13" customWidth="1"/>
    <col min="60" max="60" width="14.42578125" bestFit="1" customWidth="1"/>
    <col min="61" max="61" width="11.42578125" customWidth="1"/>
    <col min="62" max="62" width="14.42578125" bestFit="1" customWidth="1"/>
    <col min="63" max="63" width="13.7109375" bestFit="1" customWidth="1"/>
    <col min="64" max="65" width="11.140625" customWidth="1"/>
    <col min="66" max="66" width="13.28515625" bestFit="1" customWidth="1"/>
    <col min="67" max="68" width="11.140625" customWidth="1"/>
    <col min="75" max="75" width="12.42578125" bestFit="1" customWidth="1"/>
    <col min="76" max="76" width="10.85546875" bestFit="1" customWidth="1"/>
    <col min="77" max="77" width="10" bestFit="1" customWidth="1"/>
    <col min="78" max="78" width="9.42578125" bestFit="1" customWidth="1"/>
    <col min="79" max="79" width="11.140625" bestFit="1" customWidth="1"/>
    <col min="80" max="80" width="10.5703125" bestFit="1" customWidth="1"/>
    <col min="81" max="81" width="10.140625" bestFit="1" customWidth="1"/>
    <col min="82" max="82" width="15.7109375" bestFit="1" customWidth="1"/>
    <col min="84" max="84" width="14.42578125" bestFit="1" customWidth="1"/>
    <col min="85" max="85" width="15.7109375" bestFit="1" customWidth="1"/>
    <col min="88" max="88" width="11" bestFit="1" customWidth="1"/>
    <col min="89" max="89" width="20" bestFit="1" customWidth="1"/>
    <col min="95" max="95" width="10.85546875" bestFit="1" customWidth="1"/>
    <col min="100" max="100" width="13.85546875" bestFit="1" customWidth="1"/>
    <col min="101" max="101" width="9.85546875" bestFit="1" customWidth="1"/>
    <col min="102" max="102" width="12.28515625" bestFit="1" customWidth="1"/>
    <col min="103" max="103" width="19" bestFit="1" customWidth="1"/>
    <col min="104" max="104" width="13.42578125" bestFit="1" customWidth="1"/>
    <col min="105" max="105" width="15.42578125" bestFit="1" customWidth="1"/>
    <col min="110" max="110" width="12.28515625" bestFit="1" customWidth="1"/>
    <col min="112" max="112" width="10.85546875" bestFit="1" customWidth="1"/>
    <col min="115" max="115" width="11.5703125" customWidth="1"/>
    <col min="117" max="117" width="17.85546875" bestFit="1" customWidth="1"/>
    <col min="118" max="118" width="20.28515625" bestFit="1" customWidth="1"/>
    <col min="119" max="119" width="13.7109375" bestFit="1" customWidth="1"/>
    <col min="120" max="120" width="17.85546875" bestFit="1" customWidth="1"/>
    <col min="121" max="121" width="20.28515625" bestFit="1" customWidth="1"/>
    <col min="122" max="122" width="13.7109375" bestFit="1" customWidth="1"/>
    <col min="123" max="123" width="21.140625" bestFit="1" customWidth="1"/>
    <col min="124" max="124" width="23.7109375" bestFit="1" customWidth="1"/>
    <col min="125" max="125" width="17" bestFit="1" customWidth="1"/>
    <col min="126" max="126" width="18.85546875" bestFit="1" customWidth="1"/>
    <col min="127" max="127" width="21.28515625" bestFit="1" customWidth="1"/>
    <col min="128" max="128" width="14.7109375" bestFit="1" customWidth="1"/>
    <col min="129" max="129" width="17.85546875" bestFit="1" customWidth="1"/>
    <col min="130" max="130" width="20.28515625" bestFit="1" customWidth="1"/>
    <col min="131" max="131" width="13.85546875" bestFit="1" customWidth="1"/>
    <col min="132" max="132" width="22.85546875" bestFit="1" customWidth="1"/>
    <col min="133" max="133" width="25.28515625" bestFit="1" customWidth="1"/>
    <col min="134" max="134" width="18.7109375" bestFit="1" customWidth="1"/>
    <col min="135" max="135" width="22.5703125" bestFit="1" customWidth="1"/>
    <col min="136" max="136" width="25" bestFit="1" customWidth="1"/>
    <col min="137" max="137" width="18.5703125" bestFit="1" customWidth="1"/>
    <col min="138" max="138" width="16" bestFit="1" customWidth="1"/>
    <col min="139" max="139" width="18.5703125" bestFit="1" customWidth="1"/>
    <col min="140" max="140" width="12" bestFit="1" customWidth="1"/>
    <col min="141" max="141" width="17.7109375" bestFit="1" customWidth="1"/>
    <col min="142" max="142" width="20.140625" bestFit="1" customWidth="1"/>
    <col min="143" max="143" width="13.5703125" bestFit="1" customWidth="1"/>
    <col min="144" max="144" width="16.85546875" bestFit="1" customWidth="1"/>
    <col min="145" max="145" width="19.42578125" bestFit="1" customWidth="1"/>
    <col min="146" max="146" width="12.7109375" bestFit="1" customWidth="1"/>
    <col min="149" max="149" width="4.85546875" bestFit="1" customWidth="1"/>
    <col min="152" max="152" width="10" bestFit="1" customWidth="1"/>
    <col min="157" max="157" width="13" bestFit="1" customWidth="1"/>
    <col min="160" max="160" width="9.85546875" customWidth="1"/>
    <col min="161" max="161" width="14" bestFit="1" customWidth="1"/>
    <col min="164" max="164" width="15.28515625" bestFit="1" customWidth="1"/>
    <col min="165" max="165" width="9.85546875" bestFit="1" customWidth="1"/>
    <col min="166" max="166" width="11.140625" bestFit="1" customWidth="1"/>
    <col min="170" max="170" width="13.42578125" bestFit="1" customWidth="1"/>
    <col min="171" max="171" width="11.5703125" bestFit="1" customWidth="1"/>
    <col min="172" max="172" width="10.5703125" bestFit="1" customWidth="1"/>
    <col min="173" max="173" width="12.5703125" bestFit="1" customWidth="1"/>
    <col min="174" max="174" width="12.7109375" bestFit="1" customWidth="1"/>
    <col min="175" max="175" width="13.7109375" bestFit="1" customWidth="1"/>
    <col min="177" max="177" width="11.85546875" bestFit="1" customWidth="1"/>
    <col min="180" max="180" width="10" bestFit="1" customWidth="1"/>
  </cols>
  <sheetData>
    <row r="1" spans="1:1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5" t="s">
        <v>37</v>
      </c>
      <c r="AM1" s="4" t="s">
        <v>38</v>
      </c>
      <c r="AN1" s="1" t="s">
        <v>39</v>
      </c>
      <c r="AO1" s="5" t="s">
        <v>40</v>
      </c>
      <c r="AP1" s="2" t="s">
        <v>41</v>
      </c>
      <c r="AQ1" s="20" t="s">
        <v>42</v>
      </c>
      <c r="AR1" s="20" t="s">
        <v>43</v>
      </c>
      <c r="AS1" s="20" t="s">
        <v>44</v>
      </c>
      <c r="AT1" s="20" t="s">
        <v>45</v>
      </c>
      <c r="AU1" s="21" t="s">
        <v>46</v>
      </c>
      <c r="AV1" s="2" t="s">
        <v>47</v>
      </c>
      <c r="AW1" s="20" t="s">
        <v>48</v>
      </c>
      <c r="AX1" s="2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s="2" t="s">
        <v>116</v>
      </c>
      <c r="DN1" t="s">
        <v>117</v>
      </c>
      <c r="DO1" t="s">
        <v>118</v>
      </c>
      <c r="DP1" s="2" t="s">
        <v>119</v>
      </c>
      <c r="DQ1" t="s">
        <v>120</v>
      </c>
      <c r="DR1" t="s">
        <v>121</v>
      </c>
      <c r="DS1" s="2" t="s">
        <v>122</v>
      </c>
      <c r="DT1" t="s">
        <v>123</v>
      </c>
      <c r="DU1" t="s">
        <v>124</v>
      </c>
      <c r="DV1" s="2" t="s">
        <v>125</v>
      </c>
      <c r="DW1" t="s">
        <v>126</v>
      </c>
      <c r="DX1" t="s">
        <v>127</v>
      </c>
      <c r="DY1" s="2" t="s">
        <v>128</v>
      </c>
      <c r="DZ1" t="s">
        <v>129</v>
      </c>
      <c r="EA1" t="s">
        <v>130</v>
      </c>
      <c r="EB1" s="2" t="s">
        <v>131</v>
      </c>
      <c r="EC1" t="s">
        <v>132</v>
      </c>
      <c r="ED1" t="s">
        <v>133</v>
      </c>
      <c r="EE1" s="2" t="s">
        <v>134</v>
      </c>
      <c r="EF1" t="s">
        <v>135</v>
      </c>
      <c r="EG1" t="s">
        <v>136</v>
      </c>
      <c r="EH1" s="2" t="s">
        <v>137</v>
      </c>
      <c r="EI1" t="s">
        <v>138</v>
      </c>
      <c r="EJ1" t="s">
        <v>139</v>
      </c>
      <c r="EK1" s="2" t="s">
        <v>140</v>
      </c>
      <c r="EL1" t="s">
        <v>141</v>
      </c>
      <c r="EM1" t="s">
        <v>142</v>
      </c>
      <c r="EN1" s="2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</row>
    <row r="2" spans="1:175" ht="15.6">
      <c r="A2" s="3" t="s">
        <v>175</v>
      </c>
      <c r="B2" t="s">
        <v>176</v>
      </c>
      <c r="C2" t="s">
        <v>177</v>
      </c>
      <c r="D2">
        <v>1</v>
      </c>
      <c r="E2" s="5">
        <v>38</v>
      </c>
      <c r="F2" s="4">
        <v>23.8</v>
      </c>
      <c r="G2">
        <v>159</v>
      </c>
      <c r="H2">
        <v>106</v>
      </c>
      <c r="I2">
        <v>152</v>
      </c>
      <c r="J2">
        <v>108</v>
      </c>
      <c r="K2" s="5">
        <f>AVERAGE(G2,I2)</f>
        <v>155.5</v>
      </c>
      <c r="L2">
        <f>AVERAGE(H2,J2)</f>
        <v>107</v>
      </c>
      <c r="M2" s="4">
        <v>177.5</v>
      </c>
      <c r="N2" s="4">
        <v>75.3</v>
      </c>
      <c r="O2" s="4">
        <v>78</v>
      </c>
      <c r="P2" s="4">
        <v>78</v>
      </c>
      <c r="Q2" s="4">
        <f>AVERAGE(O2,P2)</f>
        <v>78</v>
      </c>
      <c r="R2">
        <v>34</v>
      </c>
      <c r="S2" s="4">
        <v>74</v>
      </c>
      <c r="T2" s="7" t="s">
        <v>178</v>
      </c>
      <c r="U2" s="4">
        <v>20</v>
      </c>
      <c r="V2" s="4">
        <v>23</v>
      </c>
      <c r="W2" s="4">
        <v>6.8</v>
      </c>
      <c r="X2" s="4">
        <v>0</v>
      </c>
      <c r="Y2" s="7" t="s">
        <v>179</v>
      </c>
      <c r="Z2" s="4">
        <v>2587</v>
      </c>
      <c r="AA2" s="4">
        <v>2577.25</v>
      </c>
      <c r="AB2" s="4">
        <v>2615.8333333333335</v>
      </c>
      <c r="AC2" s="4">
        <f>Z2/N2</f>
        <v>34.355909694555116</v>
      </c>
      <c r="AD2" s="4">
        <f t="shared" ref="AD2:AD39" si="0">AA2/N2</f>
        <v>34.226427622841967</v>
      </c>
      <c r="AE2" s="4">
        <f>AB2/N2</f>
        <v>34.738822487826475</v>
      </c>
      <c r="AF2" s="4">
        <f t="shared" ref="AF2:AF25" si="1">AB2/AK2</f>
        <v>13.767543859649123</v>
      </c>
      <c r="AG2" s="5">
        <f>12*60+40</f>
        <v>760</v>
      </c>
      <c r="AH2">
        <v>5.3</v>
      </c>
      <c r="AI2">
        <v>20</v>
      </c>
      <c r="AJ2">
        <v>20</v>
      </c>
      <c r="AK2">
        <v>190</v>
      </c>
      <c r="AL2" s="5">
        <v>3068.8333333333335</v>
      </c>
      <c r="AM2" s="4">
        <v>108.33333333333333</v>
      </c>
      <c r="AN2" s="1">
        <v>1.1816666666666666</v>
      </c>
      <c r="AO2" s="5">
        <v>55.266666666666673</v>
      </c>
      <c r="AP2" s="1">
        <v>10.47</v>
      </c>
      <c r="AQ2" s="4">
        <v>3.5</v>
      </c>
      <c r="AR2" s="1">
        <f t="shared" ref="AR2:AR33" si="2">AU2/N2*1</f>
        <v>16.688977423638779</v>
      </c>
      <c r="AS2" s="1">
        <f t="shared" ref="AS2:AS33" si="3">AU2/N2*0.75</f>
        <v>12.516733067729085</v>
      </c>
      <c r="AT2" s="5">
        <f t="shared" ref="AT2:AT33" si="4">AU2/AA2*100</f>
        <v>48.760500533514403</v>
      </c>
      <c r="AU2" s="5">
        <v>1256.68</v>
      </c>
      <c r="AV2" s="4">
        <v>979.28</v>
      </c>
      <c r="AW2" s="4">
        <v>36.24</v>
      </c>
      <c r="AX2" s="1">
        <v>0.78120000000000001</v>
      </c>
      <c r="AY2" s="4">
        <v>27.224</v>
      </c>
      <c r="AZ2" s="4">
        <f>BA2/AK2*100</f>
        <v>75.89473684210526</v>
      </c>
      <c r="BA2" s="4">
        <v>144.19999999999999</v>
      </c>
      <c r="BB2" s="11">
        <v>75387.318530000004</v>
      </c>
      <c r="BC2" s="11">
        <v>45306.021549999998</v>
      </c>
      <c r="BD2" s="11">
        <v>27331.706150000002</v>
      </c>
      <c r="BE2" s="11">
        <v>13500.91029</v>
      </c>
      <c r="BG2" s="12">
        <v>425.01482349999998</v>
      </c>
      <c r="BH2" s="12">
        <v>450.51571289999998</v>
      </c>
      <c r="BI2" s="12">
        <v>432.70202610000001</v>
      </c>
      <c r="BJ2" s="12">
        <v>458.66414759999998</v>
      </c>
      <c r="BK2" s="4">
        <f>AVERAGE(BG2,BI2)</f>
        <v>428.85842479999997</v>
      </c>
      <c r="BL2" s="10">
        <f>AVERAGE(BH2,BJ2)</f>
        <v>454.58993024999995</v>
      </c>
      <c r="BM2" s="4">
        <v>4.7</v>
      </c>
      <c r="BN2" s="1">
        <v>0.61</v>
      </c>
      <c r="BO2" s="4">
        <v>1.4</v>
      </c>
      <c r="BP2" s="4">
        <v>2.2000000000000002</v>
      </c>
      <c r="BQ2">
        <v>124</v>
      </c>
      <c r="BR2">
        <v>28</v>
      </c>
      <c r="BS2">
        <v>6</v>
      </c>
      <c r="BT2">
        <v>23</v>
      </c>
      <c r="BU2">
        <v>22</v>
      </c>
      <c r="BV2" s="4">
        <v>6.3</v>
      </c>
      <c r="BW2">
        <v>190</v>
      </c>
      <c r="BX2">
        <v>1244</v>
      </c>
      <c r="BY2">
        <v>409</v>
      </c>
      <c r="BZ2">
        <v>891</v>
      </c>
      <c r="CA2">
        <v>436</v>
      </c>
      <c r="CB2">
        <v>926</v>
      </c>
    </row>
    <row r="3" spans="1:175" ht="15.6">
      <c r="A3" t="s">
        <v>180</v>
      </c>
      <c r="B3" t="s">
        <v>176</v>
      </c>
      <c r="C3" t="s">
        <v>177</v>
      </c>
      <c r="D3">
        <v>2</v>
      </c>
      <c r="E3" s="5">
        <v>44</v>
      </c>
      <c r="F3" s="4">
        <v>28</v>
      </c>
      <c r="G3">
        <v>142</v>
      </c>
      <c r="H3">
        <v>121</v>
      </c>
      <c r="I3">
        <v>148</v>
      </c>
      <c r="J3">
        <v>114</v>
      </c>
      <c r="K3" s="5">
        <f t="shared" ref="K3:K38" si="5">AVERAGE(G3,I3)</f>
        <v>145</v>
      </c>
      <c r="L3" s="5">
        <f t="shared" ref="L3:L38" si="6">AVERAGE(H3,J3)</f>
        <v>117.5</v>
      </c>
      <c r="M3" s="4">
        <v>174.9</v>
      </c>
      <c r="N3" s="4">
        <v>85.9</v>
      </c>
      <c r="O3" s="4">
        <v>105.5</v>
      </c>
      <c r="P3" s="4">
        <v>105.7</v>
      </c>
      <c r="Q3" s="4">
        <f t="shared" ref="Q3:Q38" si="7">AVERAGE(O3,P3)</f>
        <v>105.6</v>
      </c>
      <c r="R3">
        <v>40</v>
      </c>
      <c r="S3">
        <v>42.8</v>
      </c>
      <c r="T3" s="7" t="s">
        <v>181</v>
      </c>
      <c r="U3" s="4">
        <v>-14</v>
      </c>
      <c r="V3" s="4">
        <v>-11.5</v>
      </c>
      <c r="W3" s="4">
        <v>6</v>
      </c>
      <c r="X3" s="4">
        <v>-10.4</v>
      </c>
      <c r="Y3" s="7" t="s">
        <v>179</v>
      </c>
      <c r="Z3" s="4">
        <v>2937.5</v>
      </c>
      <c r="AA3" s="4">
        <v>2968.75</v>
      </c>
      <c r="AB3" s="4">
        <v>3066.3333333333335</v>
      </c>
      <c r="AC3" s="4">
        <f>Z3/N3</f>
        <v>34.19674039580908</v>
      </c>
      <c r="AD3" s="4">
        <f t="shared" si="0"/>
        <v>34.560535506402793</v>
      </c>
      <c r="AE3" s="4">
        <f t="shared" ref="AE3:AE66" si="8">AB3/N3</f>
        <v>35.696546371750095</v>
      </c>
      <c r="AF3" s="4">
        <f t="shared" si="1"/>
        <v>15.486531986531988</v>
      </c>
      <c r="AG3" s="5">
        <f>12.5*60+5</f>
        <v>755</v>
      </c>
      <c r="AH3">
        <v>5.3</v>
      </c>
      <c r="AI3">
        <v>20</v>
      </c>
      <c r="AJ3">
        <v>19</v>
      </c>
      <c r="AK3">
        <v>198</v>
      </c>
      <c r="AL3" s="5">
        <v>3749</v>
      </c>
      <c r="AM3" s="4">
        <v>152</v>
      </c>
      <c r="AN3" s="1">
        <v>1.2533333333333334</v>
      </c>
      <c r="AO3" s="5">
        <v>51</v>
      </c>
      <c r="AP3" s="1">
        <v>13.74</v>
      </c>
      <c r="AQ3" s="4">
        <v>3.5</v>
      </c>
      <c r="AR3" s="1">
        <f t="shared" si="2"/>
        <v>15.712689173457507</v>
      </c>
      <c r="AS3" s="1">
        <f t="shared" si="3"/>
        <v>11.784516880093131</v>
      </c>
      <c r="AT3" s="5">
        <f t="shared" si="4"/>
        <v>45.464252631578951</v>
      </c>
      <c r="AU3" s="5">
        <v>1349.72</v>
      </c>
      <c r="AV3" s="4">
        <v>1128.56</v>
      </c>
      <c r="AW3" s="4">
        <v>39.08</v>
      </c>
      <c r="AX3" s="1">
        <v>0.8368000000000001</v>
      </c>
      <c r="AY3" s="4">
        <v>23.791999999999998</v>
      </c>
      <c r="AZ3" s="4">
        <f t="shared" ref="AZ3:AZ66" si="9">BA3/AK3*100</f>
        <v>68.98989898989899</v>
      </c>
      <c r="BA3" s="4">
        <v>136.6</v>
      </c>
      <c r="BB3" s="11">
        <v>86097.775930000003</v>
      </c>
      <c r="BC3" s="11">
        <v>50044.61679</v>
      </c>
      <c r="BD3" s="11">
        <v>33277.395729999997</v>
      </c>
      <c r="BE3" s="11">
        <v>20969.419829999999</v>
      </c>
      <c r="BG3" s="12">
        <v>2265.1368980000002</v>
      </c>
      <c r="BH3" s="12">
        <v>2401.0451119999998</v>
      </c>
      <c r="BI3" s="12">
        <v>2289.606092</v>
      </c>
      <c r="BJ3" s="12">
        <v>2426.9824570000001</v>
      </c>
      <c r="BK3" s="4">
        <f t="shared" ref="BK3:BK66" si="10">AVERAGE(BG3,BI3)</f>
        <v>2277.3714950000003</v>
      </c>
      <c r="BL3" s="10">
        <f t="shared" ref="BL3:BL66" si="11">AVERAGE(BH3,BJ3)</f>
        <v>2414.0137844999999</v>
      </c>
      <c r="BM3" s="4">
        <v>5.5</v>
      </c>
      <c r="BN3" s="1">
        <v>0.96</v>
      </c>
      <c r="BO3" s="4">
        <v>1.2</v>
      </c>
      <c r="BP3" s="4">
        <v>3.1</v>
      </c>
      <c r="BQ3">
        <v>127</v>
      </c>
      <c r="BR3">
        <v>28</v>
      </c>
      <c r="BS3">
        <v>5</v>
      </c>
      <c r="BT3">
        <v>17</v>
      </c>
      <c r="BU3">
        <v>22</v>
      </c>
      <c r="BV3" s="4">
        <v>8.1</v>
      </c>
      <c r="BW3">
        <v>215</v>
      </c>
      <c r="BX3">
        <v>797</v>
      </c>
      <c r="BY3">
        <v>481</v>
      </c>
      <c r="BZ3">
        <v>1156</v>
      </c>
      <c r="CA3">
        <v>478</v>
      </c>
      <c r="CB3">
        <v>1137</v>
      </c>
    </row>
    <row r="4" spans="1:175" ht="15.6">
      <c r="A4" t="s">
        <v>182</v>
      </c>
      <c r="B4" t="s">
        <v>176</v>
      </c>
      <c r="C4" t="s">
        <v>177</v>
      </c>
      <c r="D4">
        <v>1</v>
      </c>
      <c r="E4" s="5">
        <v>70</v>
      </c>
      <c r="F4" s="4">
        <v>30.3</v>
      </c>
      <c r="G4">
        <v>153</v>
      </c>
      <c r="H4">
        <v>89</v>
      </c>
      <c r="I4">
        <v>154</v>
      </c>
      <c r="J4">
        <v>82</v>
      </c>
      <c r="K4" s="5">
        <f t="shared" si="5"/>
        <v>153.5</v>
      </c>
      <c r="L4" s="5">
        <f t="shared" si="6"/>
        <v>85.5</v>
      </c>
      <c r="M4" s="4">
        <v>168.5</v>
      </c>
      <c r="N4" s="4">
        <v>86.3</v>
      </c>
      <c r="O4" s="4">
        <v>106</v>
      </c>
      <c r="P4" s="4">
        <v>106</v>
      </c>
      <c r="Q4" s="4">
        <f t="shared" si="7"/>
        <v>106</v>
      </c>
      <c r="R4" s="5">
        <v>25</v>
      </c>
      <c r="S4">
        <v>13.5</v>
      </c>
      <c r="T4" s="7" t="s">
        <v>181</v>
      </c>
      <c r="U4" s="4">
        <v>-7.5</v>
      </c>
      <c r="V4" s="4">
        <v>-11</v>
      </c>
      <c r="W4" s="4">
        <v>-5.5</v>
      </c>
      <c r="X4" s="4">
        <v>-9</v>
      </c>
      <c r="Y4">
        <v>8</v>
      </c>
      <c r="Z4" s="4">
        <v>1913</v>
      </c>
      <c r="AA4" s="4">
        <v>1901.5</v>
      </c>
      <c r="AB4" s="4">
        <v>1914.8333333333333</v>
      </c>
      <c r="AC4" s="4">
        <f>Z4/N4</f>
        <v>22.16685979142526</v>
      </c>
      <c r="AD4" s="4">
        <f t="shared" si="0"/>
        <v>22.033603707995365</v>
      </c>
      <c r="AE4" s="4">
        <f t="shared" si="8"/>
        <v>22.188103514870605</v>
      </c>
      <c r="AF4" s="4">
        <f t="shared" si="1"/>
        <v>11.747443762781186</v>
      </c>
      <c r="AG4" s="5">
        <v>600</v>
      </c>
      <c r="AH4">
        <v>3.8</v>
      </c>
      <c r="AI4">
        <v>16</v>
      </c>
      <c r="AJ4">
        <v>18</v>
      </c>
      <c r="AK4">
        <v>163</v>
      </c>
      <c r="AL4" s="5">
        <v>2077.8333333333335</v>
      </c>
      <c r="AM4" s="4">
        <v>69.833333333333329</v>
      </c>
      <c r="AN4" s="1">
        <v>1.1050000000000002</v>
      </c>
      <c r="AO4" s="5">
        <v>34.249999999999993</v>
      </c>
      <c r="AP4" s="1">
        <v>6.3</v>
      </c>
      <c r="AQ4" s="4">
        <v>3</v>
      </c>
      <c r="AR4" s="1">
        <f t="shared" si="2"/>
        <v>13.810892236384706</v>
      </c>
      <c r="AS4" s="1">
        <f t="shared" si="3"/>
        <v>10.358169177288531</v>
      </c>
      <c r="AT4" s="5">
        <f t="shared" si="4"/>
        <v>62.68104128319748</v>
      </c>
      <c r="AU4" s="5">
        <v>1191.8800000000001</v>
      </c>
      <c r="AV4" s="4">
        <v>918.52</v>
      </c>
      <c r="AW4" s="4">
        <v>35.76</v>
      </c>
      <c r="AX4" s="1">
        <v>0.77159999999999984</v>
      </c>
      <c r="AY4" s="4">
        <v>22.932000000000006</v>
      </c>
      <c r="AZ4" s="4">
        <f t="shared" si="9"/>
        <v>65.889570552147248</v>
      </c>
      <c r="BA4" s="4">
        <v>107.4</v>
      </c>
      <c r="BB4" s="11">
        <v>85628.58</v>
      </c>
      <c r="BC4" s="11">
        <v>47925.074289999997</v>
      </c>
      <c r="BD4" s="11">
        <v>35358.288919999999</v>
      </c>
      <c r="BE4" s="11">
        <v>22984.148710000001</v>
      </c>
      <c r="BG4" s="12">
        <v>2524.8064089999998</v>
      </c>
      <c r="BH4" s="12">
        <v>2676.294793</v>
      </c>
      <c r="BI4" s="12">
        <v>2364.1953020000001</v>
      </c>
      <c r="BJ4" s="12">
        <v>2506.04702</v>
      </c>
      <c r="BK4" s="4">
        <f t="shared" si="10"/>
        <v>2444.5008554999999</v>
      </c>
      <c r="BL4" s="10">
        <f t="shared" si="11"/>
        <v>2591.1709065</v>
      </c>
      <c r="BM4" s="4">
        <v>5.8</v>
      </c>
      <c r="BN4" s="1">
        <v>0.91</v>
      </c>
      <c r="BO4" s="4">
        <v>2.8</v>
      </c>
      <c r="BP4" s="4">
        <v>1.5</v>
      </c>
      <c r="BQ4">
        <v>118</v>
      </c>
      <c r="BR4">
        <v>38</v>
      </c>
      <c r="BS4">
        <v>8</v>
      </c>
      <c r="BT4">
        <v>21</v>
      </c>
      <c r="BU4">
        <v>19</v>
      </c>
      <c r="BV4" s="18">
        <v>11.4</v>
      </c>
      <c r="BW4" s="7">
        <v>190</v>
      </c>
      <c r="BX4" s="7" t="s">
        <v>179</v>
      </c>
      <c r="BY4">
        <v>172</v>
      </c>
      <c r="BZ4">
        <v>838</v>
      </c>
      <c r="CA4">
        <v>184</v>
      </c>
      <c r="CB4">
        <v>860</v>
      </c>
    </row>
    <row r="5" spans="1:175" ht="15.6">
      <c r="A5" t="s">
        <v>183</v>
      </c>
      <c r="B5" t="s">
        <v>184</v>
      </c>
      <c r="C5" t="s">
        <v>177</v>
      </c>
      <c r="D5">
        <v>1</v>
      </c>
      <c r="E5" s="5">
        <v>61</v>
      </c>
      <c r="F5" s="4">
        <v>36.4</v>
      </c>
      <c r="G5">
        <v>168</v>
      </c>
      <c r="H5">
        <v>86</v>
      </c>
      <c r="I5">
        <v>161</v>
      </c>
      <c r="J5">
        <v>91</v>
      </c>
      <c r="K5" s="5">
        <f t="shared" si="5"/>
        <v>164.5</v>
      </c>
      <c r="L5" s="5">
        <f t="shared" si="6"/>
        <v>88.5</v>
      </c>
      <c r="M5" s="4">
        <v>166.4</v>
      </c>
      <c r="N5" s="4">
        <v>102.2</v>
      </c>
      <c r="O5" s="4">
        <v>120.5</v>
      </c>
      <c r="P5" s="4">
        <v>121.5</v>
      </c>
      <c r="Q5" s="4">
        <f t="shared" si="7"/>
        <v>121</v>
      </c>
      <c r="R5" s="5">
        <v>21</v>
      </c>
      <c r="S5">
        <v>5.8</v>
      </c>
      <c r="T5" s="7" t="s">
        <v>181</v>
      </c>
      <c r="U5" s="4">
        <v>3</v>
      </c>
      <c r="V5" s="4">
        <v>3</v>
      </c>
      <c r="W5" s="4">
        <v>-35</v>
      </c>
      <c r="X5" s="4">
        <v>-34</v>
      </c>
      <c r="Y5" s="7" t="s">
        <v>179</v>
      </c>
      <c r="Z5" s="4">
        <v>2004</v>
      </c>
      <c r="AA5" s="4">
        <v>2005</v>
      </c>
      <c r="AB5" s="4">
        <v>2037.5</v>
      </c>
      <c r="AC5" s="4">
        <f>Z5/N5</f>
        <v>19.608610567514678</v>
      </c>
      <c r="AD5" s="4">
        <f t="shared" si="0"/>
        <v>19.61839530332681</v>
      </c>
      <c r="AE5" s="4">
        <f t="shared" si="8"/>
        <v>19.936399217221133</v>
      </c>
      <c r="AF5" s="4">
        <f t="shared" si="1"/>
        <v>12.5</v>
      </c>
      <c r="AG5" s="5">
        <f>8.5*60</f>
        <v>510</v>
      </c>
      <c r="AH5">
        <v>3.8</v>
      </c>
      <c r="AI5">
        <v>14</v>
      </c>
      <c r="AJ5">
        <v>17</v>
      </c>
      <c r="AK5">
        <v>163</v>
      </c>
      <c r="AL5" s="5">
        <v>1954.8333333333333</v>
      </c>
      <c r="AM5" s="4">
        <v>58.666666666666664</v>
      </c>
      <c r="AN5" s="1">
        <v>0.98999999999999988</v>
      </c>
      <c r="AO5" s="5">
        <v>36.199999999999996</v>
      </c>
      <c r="AP5" s="1">
        <v>5.38</v>
      </c>
      <c r="AQ5" s="4">
        <v>3</v>
      </c>
      <c r="AR5" s="1">
        <f t="shared" si="2"/>
        <v>13.991389432485324</v>
      </c>
      <c r="AS5" s="1">
        <f t="shared" si="3"/>
        <v>10.493542074363994</v>
      </c>
      <c r="AT5" s="5">
        <f t="shared" si="4"/>
        <v>71.317705735660851</v>
      </c>
      <c r="AU5" s="5">
        <v>1429.92</v>
      </c>
      <c r="AV5" s="4">
        <v>1100.24</v>
      </c>
      <c r="AW5" s="4">
        <v>37.36</v>
      </c>
      <c r="AX5" s="1">
        <v>0.76919999999999988</v>
      </c>
      <c r="AY5" s="4">
        <v>23.48</v>
      </c>
      <c r="AZ5" s="4">
        <f t="shared" si="9"/>
        <v>77.668711656441715</v>
      </c>
      <c r="BA5">
        <v>126.6</v>
      </c>
      <c r="BB5" s="11">
        <v>100311.59</v>
      </c>
      <c r="BC5" s="11">
        <v>46882.907229999997</v>
      </c>
      <c r="BD5" s="4">
        <v>51204.995320000002</v>
      </c>
      <c r="BE5" s="11">
        <v>34117.10671</v>
      </c>
      <c r="BG5" s="12">
        <v>2887.6836159999998</v>
      </c>
      <c r="BH5" s="12">
        <v>3060.9446330000001</v>
      </c>
      <c r="BI5" s="12">
        <v>3092.3425299999999</v>
      </c>
      <c r="BJ5" s="12">
        <v>3277.8830819999998</v>
      </c>
      <c r="BK5" s="4">
        <f t="shared" si="10"/>
        <v>2990.0130730000001</v>
      </c>
      <c r="BL5" s="10">
        <f t="shared" si="11"/>
        <v>3169.4138574999997</v>
      </c>
      <c r="BM5" s="4">
        <v>10</v>
      </c>
      <c r="BN5" s="1">
        <v>1.58</v>
      </c>
      <c r="BO5" s="4">
        <v>1</v>
      </c>
      <c r="BP5" s="4">
        <v>5.7</v>
      </c>
      <c r="BQ5">
        <v>131</v>
      </c>
      <c r="BR5">
        <v>44</v>
      </c>
      <c r="BS5">
        <v>12</v>
      </c>
      <c r="BT5">
        <v>27</v>
      </c>
      <c r="BU5">
        <v>18</v>
      </c>
      <c r="BV5" s="6">
        <v>12.2</v>
      </c>
      <c r="BW5" s="7">
        <v>200</v>
      </c>
      <c r="BX5" s="7">
        <v>528</v>
      </c>
      <c r="BY5">
        <v>269</v>
      </c>
      <c r="BZ5">
        <v>1091</v>
      </c>
      <c r="CA5">
        <v>318</v>
      </c>
      <c r="CB5">
        <v>1237</v>
      </c>
    </row>
    <row r="6" spans="1:175" ht="15.6">
      <c r="A6" t="s">
        <v>185</v>
      </c>
      <c r="B6" t="s">
        <v>184</v>
      </c>
      <c r="C6" t="s">
        <v>177</v>
      </c>
      <c r="D6">
        <v>1</v>
      </c>
      <c r="E6" s="5">
        <v>40</v>
      </c>
      <c r="F6" s="4">
        <v>28.3</v>
      </c>
      <c r="G6">
        <v>130</v>
      </c>
      <c r="H6">
        <v>90</v>
      </c>
      <c r="I6">
        <v>126</v>
      </c>
      <c r="J6">
        <v>86</v>
      </c>
      <c r="K6" s="5">
        <f t="shared" si="5"/>
        <v>128</v>
      </c>
      <c r="L6">
        <f t="shared" si="6"/>
        <v>88</v>
      </c>
      <c r="M6" s="4">
        <v>173.4</v>
      </c>
      <c r="N6" s="4">
        <v>86.1</v>
      </c>
      <c r="O6" s="4">
        <v>91.5</v>
      </c>
      <c r="P6" s="4">
        <v>91.5</v>
      </c>
      <c r="Q6" s="4">
        <f t="shared" si="7"/>
        <v>91.5</v>
      </c>
      <c r="R6" s="5">
        <v>27</v>
      </c>
      <c r="S6">
        <v>73.5</v>
      </c>
      <c r="T6" s="7" t="s">
        <v>178</v>
      </c>
      <c r="U6" s="4">
        <v>12.5</v>
      </c>
      <c r="V6" s="4">
        <v>11</v>
      </c>
      <c r="W6" s="4">
        <v>10</v>
      </c>
      <c r="X6" s="4">
        <v>5.5</v>
      </c>
      <c r="Y6" s="7" t="s">
        <v>179</v>
      </c>
      <c r="Z6" s="4">
        <v>3131</v>
      </c>
      <c r="AA6" s="4">
        <v>3113.0833333333335</v>
      </c>
      <c r="AB6" s="4">
        <v>3124.6666666666665</v>
      </c>
      <c r="AC6" s="4">
        <f>Z6/N6</f>
        <v>36.364692218350754</v>
      </c>
      <c r="AD6" s="4">
        <f t="shared" si="0"/>
        <v>36.156600851722807</v>
      </c>
      <c r="AE6" s="4">
        <f t="shared" si="8"/>
        <v>36.291134339914827</v>
      </c>
      <c r="AF6" s="4">
        <f t="shared" si="1"/>
        <v>17.359259259259257</v>
      </c>
      <c r="AG6" s="5">
        <f>13*60+5</f>
        <v>785</v>
      </c>
      <c r="AH6">
        <v>5.3</v>
      </c>
      <c r="AI6">
        <v>20</v>
      </c>
      <c r="AJ6">
        <v>18</v>
      </c>
      <c r="AK6">
        <v>180</v>
      </c>
      <c r="AL6" s="5">
        <v>3681.5</v>
      </c>
      <c r="AM6" s="4">
        <v>110</v>
      </c>
      <c r="AN6" s="1">
        <v>1.1866666666666665</v>
      </c>
      <c r="AO6" s="5">
        <v>41.416666666666664</v>
      </c>
      <c r="AP6" s="1">
        <v>7.45</v>
      </c>
      <c r="AQ6" s="4">
        <v>3.5</v>
      </c>
      <c r="AR6" s="1">
        <f t="shared" si="2"/>
        <v>15.484522547088826</v>
      </c>
      <c r="AS6" s="1">
        <f t="shared" si="3"/>
        <v>11.613391910316619</v>
      </c>
      <c r="AT6" s="5">
        <f t="shared" si="4"/>
        <v>42.826267354584608</v>
      </c>
      <c r="AU6" s="5">
        <v>1333.2173913043478</v>
      </c>
      <c r="AV6" s="4">
        <v>1036.8695652173913</v>
      </c>
      <c r="AW6" s="4">
        <v>30.304347826086957</v>
      </c>
      <c r="AX6" s="1">
        <v>0.77739130434782588</v>
      </c>
      <c r="AY6" s="4">
        <v>14.056521739130437</v>
      </c>
      <c r="AZ6" s="4">
        <f t="shared" si="9"/>
        <v>56.666666666666664</v>
      </c>
      <c r="BA6">
        <v>102</v>
      </c>
      <c r="BB6" s="11">
        <v>85980.21</v>
      </c>
      <c r="BC6" s="11">
        <v>47561.21387</v>
      </c>
      <c r="BD6" s="11">
        <v>35508.400719999998</v>
      </c>
      <c r="BE6" s="11">
        <v>20702.070400000001</v>
      </c>
      <c r="BG6" s="12">
        <v>1176.1774800000001</v>
      </c>
      <c r="BH6" s="12">
        <v>1246.7481290000001</v>
      </c>
      <c r="BI6" s="12">
        <v>1164.8005949999999</v>
      </c>
      <c r="BJ6" s="12">
        <v>1234.688631</v>
      </c>
      <c r="BK6" s="4">
        <f t="shared" si="10"/>
        <v>1170.4890375</v>
      </c>
      <c r="BL6" s="10">
        <f t="shared" si="11"/>
        <v>1240.71838</v>
      </c>
      <c r="BM6" s="4">
        <v>5</v>
      </c>
      <c r="BN6" s="1">
        <v>0.59</v>
      </c>
      <c r="BO6" s="4">
        <v>1.6</v>
      </c>
      <c r="BP6" s="4">
        <v>3.4</v>
      </c>
      <c r="BQ6">
        <v>115</v>
      </c>
      <c r="BR6">
        <v>29</v>
      </c>
      <c r="BS6">
        <v>4</v>
      </c>
      <c r="BT6">
        <v>13</v>
      </c>
      <c r="BU6">
        <v>9</v>
      </c>
      <c r="BV6" s="6">
        <v>7.9</v>
      </c>
      <c r="BW6" s="7">
        <v>110</v>
      </c>
      <c r="BX6" s="7">
        <v>387</v>
      </c>
      <c r="BY6">
        <v>218</v>
      </c>
      <c r="BZ6">
        <v>552</v>
      </c>
      <c r="CA6" s="7" t="s">
        <v>179</v>
      </c>
      <c r="CB6" s="7" t="s">
        <v>179</v>
      </c>
    </row>
    <row r="7" spans="1:175" ht="15.75">
      <c r="A7" t="s">
        <v>186</v>
      </c>
      <c r="B7" t="s">
        <v>184</v>
      </c>
      <c r="C7" t="s">
        <v>177</v>
      </c>
      <c r="D7">
        <v>2</v>
      </c>
      <c r="E7" s="5">
        <v>69</v>
      </c>
      <c r="F7" s="4">
        <v>25.4</v>
      </c>
      <c r="G7">
        <v>159</v>
      </c>
      <c r="H7">
        <v>91</v>
      </c>
      <c r="I7">
        <v>163</v>
      </c>
      <c r="J7">
        <v>91</v>
      </c>
      <c r="K7" s="5">
        <f t="shared" si="5"/>
        <v>161</v>
      </c>
      <c r="L7">
        <f t="shared" si="6"/>
        <v>91</v>
      </c>
      <c r="M7" s="4">
        <v>171.1</v>
      </c>
      <c r="N7" s="4">
        <v>75.8</v>
      </c>
      <c r="O7" s="4">
        <v>94</v>
      </c>
      <c r="P7" s="4">
        <v>96</v>
      </c>
      <c r="Q7" s="4">
        <f t="shared" si="7"/>
        <v>95</v>
      </c>
      <c r="R7">
        <v>45</v>
      </c>
      <c r="S7" s="4">
        <v>66</v>
      </c>
      <c r="T7" s="7" t="s">
        <v>178</v>
      </c>
      <c r="U7" s="4">
        <v>7.5</v>
      </c>
      <c r="V7" s="4">
        <v>8</v>
      </c>
      <c r="W7" s="4">
        <v>1</v>
      </c>
      <c r="X7" s="4">
        <v>-12</v>
      </c>
      <c r="Y7">
        <v>16</v>
      </c>
      <c r="Z7" s="4">
        <v>2506</v>
      </c>
      <c r="AA7" s="4">
        <v>2499.9166666666665</v>
      </c>
      <c r="AB7" s="4">
        <v>2524</v>
      </c>
      <c r="AC7" s="4">
        <f>Z7/N7</f>
        <v>33.060686015831138</v>
      </c>
      <c r="AD7" s="4">
        <f t="shared" si="0"/>
        <v>32.980430958663149</v>
      </c>
      <c r="AE7" s="4">
        <f t="shared" si="8"/>
        <v>33.298153034300796</v>
      </c>
      <c r="AF7" s="4">
        <f t="shared" si="1"/>
        <v>14.589595375722544</v>
      </c>
      <c r="AG7" s="5">
        <f>14*60</f>
        <v>840</v>
      </c>
      <c r="AH7">
        <v>4.8</v>
      </c>
      <c r="AI7">
        <v>20</v>
      </c>
      <c r="AJ7">
        <v>20</v>
      </c>
      <c r="AK7">
        <v>173</v>
      </c>
      <c r="AL7" s="5">
        <v>2882.8333333333335</v>
      </c>
      <c r="AM7" s="4">
        <v>99.666666666666671</v>
      </c>
      <c r="AN7" s="1">
        <v>1.165</v>
      </c>
      <c r="AO7" s="5">
        <v>44.9</v>
      </c>
      <c r="AP7" s="1">
        <v>6.7</v>
      </c>
      <c r="AQ7" s="4">
        <v>3</v>
      </c>
      <c r="AR7" s="1">
        <f t="shared" si="2"/>
        <v>16.139313984168865</v>
      </c>
      <c r="AS7" s="1">
        <f t="shared" si="3"/>
        <v>12.104485488126649</v>
      </c>
      <c r="AT7" s="5">
        <f t="shared" si="4"/>
        <v>48.936031201040031</v>
      </c>
      <c r="AU7" s="5">
        <v>1223.3599999999999</v>
      </c>
      <c r="AV7" s="4">
        <v>1031.5999999999999</v>
      </c>
      <c r="AW7" s="4">
        <v>34.840000000000003</v>
      </c>
      <c r="AX7" s="1">
        <v>0.84600000000000009</v>
      </c>
      <c r="AY7" s="4">
        <v>20.715999999999998</v>
      </c>
      <c r="AZ7" s="4">
        <f t="shared" si="9"/>
        <v>60.115606936416185</v>
      </c>
      <c r="BA7">
        <v>104</v>
      </c>
      <c r="BB7" s="11">
        <v>74978.97107</v>
      </c>
      <c r="BC7" s="4">
        <v>51879.2742</v>
      </c>
      <c r="BD7" s="11">
        <v>20265.14615</v>
      </c>
      <c r="BE7" s="11">
        <v>11478.44925</v>
      </c>
      <c r="BG7" s="12">
        <v>1307.7768779999999</v>
      </c>
      <c r="BH7" s="12">
        <v>1386.2434909999999</v>
      </c>
      <c r="BI7" s="12">
        <v>1260.7077509999999</v>
      </c>
      <c r="BJ7" s="12">
        <v>1336.350216</v>
      </c>
      <c r="BK7" s="4">
        <f t="shared" si="10"/>
        <v>1284.2423144999998</v>
      </c>
      <c r="BL7" s="10">
        <f t="shared" si="11"/>
        <v>1361.2968535</v>
      </c>
      <c r="BM7" s="4">
        <v>4.9000000000000004</v>
      </c>
      <c r="BN7" s="1">
        <v>0.93</v>
      </c>
      <c r="BO7" s="4">
        <v>1.1000000000000001</v>
      </c>
      <c r="BP7" s="4">
        <v>3.9</v>
      </c>
      <c r="BQ7">
        <v>152</v>
      </c>
      <c r="BR7">
        <v>51</v>
      </c>
      <c r="BS7">
        <v>12</v>
      </c>
      <c r="BT7">
        <v>24</v>
      </c>
      <c r="BU7">
        <v>17</v>
      </c>
      <c r="BV7" s="18">
        <v>8.8000000000000007</v>
      </c>
      <c r="BW7" s="7">
        <v>255</v>
      </c>
      <c r="BX7" s="7">
        <v>277</v>
      </c>
      <c r="BY7">
        <v>514</v>
      </c>
      <c r="BZ7">
        <v>989</v>
      </c>
      <c r="CA7">
        <v>490</v>
      </c>
      <c r="CB7">
        <v>1006</v>
      </c>
    </row>
    <row r="8" spans="1:175" ht="15.75">
      <c r="A8" t="s">
        <v>187</v>
      </c>
      <c r="B8" t="s">
        <v>176</v>
      </c>
      <c r="C8" t="s">
        <v>177</v>
      </c>
      <c r="D8">
        <v>2</v>
      </c>
      <c r="E8" s="5">
        <v>46</v>
      </c>
      <c r="F8" s="4">
        <v>42.8</v>
      </c>
      <c r="G8">
        <v>163</v>
      </c>
      <c r="H8">
        <v>105</v>
      </c>
      <c r="I8">
        <v>164</v>
      </c>
      <c r="J8">
        <v>112</v>
      </c>
      <c r="K8" s="5">
        <f t="shared" si="5"/>
        <v>163.5</v>
      </c>
      <c r="L8" s="5">
        <f t="shared" si="6"/>
        <v>108.5</v>
      </c>
      <c r="M8" s="4">
        <v>187.6</v>
      </c>
      <c r="N8" s="4">
        <v>149.69999999999999</v>
      </c>
      <c r="O8" s="4">
        <v>146</v>
      </c>
      <c r="P8" s="4">
        <v>145</v>
      </c>
      <c r="Q8" s="4">
        <f t="shared" si="7"/>
        <v>145.5</v>
      </c>
      <c r="R8" s="5">
        <v>89</v>
      </c>
      <c r="S8" s="4">
        <v>64</v>
      </c>
      <c r="T8" s="7" t="s">
        <v>178</v>
      </c>
      <c r="U8" s="4">
        <v>-12.5</v>
      </c>
      <c r="V8" s="4">
        <v>-2.5</v>
      </c>
      <c r="W8" s="4">
        <v>-3.5</v>
      </c>
      <c r="X8" s="4">
        <v>-3</v>
      </c>
      <c r="Y8" s="7" t="s">
        <v>179</v>
      </c>
      <c r="Z8" s="4">
        <v>3715</v>
      </c>
      <c r="AA8" s="4">
        <v>3737.4166666666665</v>
      </c>
      <c r="AB8" s="4">
        <v>3757</v>
      </c>
      <c r="AC8" s="4">
        <f>Z8/N8</f>
        <v>24.816299265197063</v>
      </c>
      <c r="AD8" s="4">
        <f t="shared" si="0"/>
        <v>24.966043197506124</v>
      </c>
      <c r="AE8" s="4">
        <f t="shared" si="8"/>
        <v>25.096860387441552</v>
      </c>
      <c r="AF8" s="4">
        <f t="shared" si="1"/>
        <v>18.974747474747474</v>
      </c>
      <c r="AG8" s="5">
        <f>8.5*60+5</f>
        <v>515</v>
      </c>
      <c r="AH8" s="4">
        <v>4.8</v>
      </c>
      <c r="AI8">
        <v>12</v>
      </c>
      <c r="AJ8">
        <v>19</v>
      </c>
      <c r="AK8">
        <v>198</v>
      </c>
      <c r="AL8" s="5">
        <v>4427</v>
      </c>
      <c r="AM8" s="4">
        <v>128.5</v>
      </c>
      <c r="AN8" s="1">
        <v>1.2</v>
      </c>
      <c r="AO8" s="5">
        <v>33.366666666666667</v>
      </c>
      <c r="AP8" s="1">
        <v>4.6399999999999997</v>
      </c>
      <c r="AQ8" s="4">
        <v>3.5</v>
      </c>
      <c r="AR8" s="1">
        <f t="shared" si="2"/>
        <v>16.020574482297931</v>
      </c>
      <c r="AS8" s="1">
        <f t="shared" si="3"/>
        <v>12.015430861723448</v>
      </c>
      <c r="AT8" s="5">
        <f t="shared" si="4"/>
        <v>64.169457512988032</v>
      </c>
      <c r="AU8" s="5">
        <v>2398.2800000000002</v>
      </c>
      <c r="AV8" s="4">
        <v>1928.2</v>
      </c>
      <c r="AW8" s="4">
        <v>54.48</v>
      </c>
      <c r="AX8" s="1">
        <v>0.80279999999999985</v>
      </c>
      <c r="AY8" s="4">
        <v>18.779999999999994</v>
      </c>
      <c r="AZ8" s="4">
        <f t="shared" si="9"/>
        <v>64.343434343434353</v>
      </c>
      <c r="BA8" s="4">
        <v>127.4</v>
      </c>
      <c r="BB8" s="11">
        <v>150206.23000000001</v>
      </c>
      <c r="BC8" s="11">
        <v>82789.589590000003</v>
      </c>
      <c r="BD8" s="11">
        <v>64095.72913</v>
      </c>
      <c r="BE8" s="11">
        <v>42715.55816</v>
      </c>
      <c r="BG8" s="12">
        <v>3601.528053</v>
      </c>
      <c r="BH8" s="12">
        <v>3817.6197360000001</v>
      </c>
      <c r="BI8" s="12">
        <v>3203.00614</v>
      </c>
      <c r="BJ8" s="12">
        <v>3395.1865079999998</v>
      </c>
      <c r="BK8" s="4">
        <f t="shared" si="10"/>
        <v>3402.2670964999998</v>
      </c>
      <c r="BL8" s="10">
        <f t="shared" si="11"/>
        <v>3606.4031219999997</v>
      </c>
      <c r="BM8" s="4">
        <v>5.7</v>
      </c>
      <c r="BN8" s="1">
        <v>1.97</v>
      </c>
      <c r="BO8" s="4">
        <v>1.2</v>
      </c>
      <c r="BP8" s="4">
        <v>3.5</v>
      </c>
      <c r="BQ8">
        <v>143</v>
      </c>
      <c r="BR8">
        <v>44</v>
      </c>
      <c r="BS8">
        <v>15</v>
      </c>
      <c r="BT8">
        <v>34</v>
      </c>
      <c r="BU8">
        <v>33</v>
      </c>
      <c r="BV8" s="6">
        <v>9.5</v>
      </c>
      <c r="BW8" s="7">
        <v>360</v>
      </c>
      <c r="BX8" s="7">
        <v>378</v>
      </c>
      <c r="BY8">
        <v>767</v>
      </c>
      <c r="BZ8">
        <v>1975</v>
      </c>
      <c r="CA8">
        <v>784</v>
      </c>
      <c r="CB8">
        <v>2068</v>
      </c>
    </row>
    <row r="9" spans="1:175" ht="15.75">
      <c r="A9" t="s">
        <v>188</v>
      </c>
      <c r="B9" t="s">
        <v>176</v>
      </c>
      <c r="C9" t="s">
        <v>177</v>
      </c>
      <c r="D9">
        <v>1</v>
      </c>
      <c r="E9" s="5">
        <v>54</v>
      </c>
      <c r="F9" s="4">
        <v>25.4</v>
      </c>
      <c r="G9">
        <v>138</v>
      </c>
      <c r="H9">
        <v>69</v>
      </c>
      <c r="I9">
        <v>132</v>
      </c>
      <c r="J9">
        <v>112</v>
      </c>
      <c r="K9" s="5">
        <f t="shared" si="5"/>
        <v>135</v>
      </c>
      <c r="L9" s="5">
        <f t="shared" si="6"/>
        <v>90.5</v>
      </c>
      <c r="M9" s="4">
        <v>164.2</v>
      </c>
      <c r="N9" s="4">
        <v>68.400000000000006</v>
      </c>
      <c r="O9" s="4">
        <v>101</v>
      </c>
      <c r="P9" s="4">
        <v>102</v>
      </c>
      <c r="Q9" s="4">
        <f t="shared" si="7"/>
        <v>101.5</v>
      </c>
      <c r="R9">
        <v>28</v>
      </c>
      <c r="S9" s="4">
        <v>64</v>
      </c>
      <c r="T9" s="7" t="s">
        <v>178</v>
      </c>
      <c r="U9" s="4">
        <v>16</v>
      </c>
      <c r="V9" s="4">
        <v>12.5</v>
      </c>
      <c r="W9" s="4">
        <v>6</v>
      </c>
      <c r="X9" s="4">
        <v>6</v>
      </c>
      <c r="Y9" s="7" t="s">
        <v>179</v>
      </c>
      <c r="Z9" s="4">
        <v>1623</v>
      </c>
      <c r="AA9" s="4">
        <v>1624.8333333333333</v>
      </c>
      <c r="AB9" s="4">
        <v>1670.1666666666667</v>
      </c>
      <c r="AC9" s="4">
        <f>Z9/N9</f>
        <v>23.728070175438596</v>
      </c>
      <c r="AD9" s="4">
        <f t="shared" si="0"/>
        <v>23.754873294346975</v>
      </c>
      <c r="AE9" s="4">
        <f t="shared" si="8"/>
        <v>24.41764132553606</v>
      </c>
      <c r="AF9" s="4">
        <f t="shared" si="1"/>
        <v>12.463930348258707</v>
      </c>
      <c r="AG9" s="5">
        <f>7*60+40</f>
        <v>460</v>
      </c>
      <c r="AH9">
        <v>4.8</v>
      </c>
      <c r="AI9">
        <v>12</v>
      </c>
      <c r="AJ9">
        <v>17</v>
      </c>
      <c r="AK9">
        <v>134</v>
      </c>
      <c r="AL9" s="5">
        <v>2066.3333333333335</v>
      </c>
      <c r="AM9" s="4">
        <v>71.666666666666671</v>
      </c>
      <c r="AN9" s="1">
        <v>1.2466666666666666</v>
      </c>
      <c r="AO9" s="5">
        <v>33.416666666666664</v>
      </c>
      <c r="AP9" s="1">
        <v>7.02</v>
      </c>
      <c r="AQ9" s="4">
        <v>3.5</v>
      </c>
      <c r="AR9" s="1">
        <f t="shared" si="2"/>
        <v>15.264327485380115</v>
      </c>
      <c r="AS9" s="1">
        <f t="shared" si="3"/>
        <v>11.448245614035086</v>
      </c>
      <c r="AT9" s="5">
        <f t="shared" si="4"/>
        <v>64.257667453072116</v>
      </c>
      <c r="AU9" s="5">
        <v>1044.08</v>
      </c>
      <c r="AV9" s="4">
        <v>870.48</v>
      </c>
      <c r="AW9" s="4">
        <v>28.92</v>
      </c>
      <c r="AX9" s="1">
        <v>0.83440000000000003</v>
      </c>
      <c r="AY9" s="4">
        <v>20.239999999999998</v>
      </c>
      <c r="AZ9" s="4">
        <f t="shared" si="9"/>
        <v>72.388059701492537</v>
      </c>
      <c r="BA9" s="4">
        <v>97</v>
      </c>
      <c r="BB9" s="11">
        <v>68902.351429999995</v>
      </c>
      <c r="BC9" s="11">
        <v>35385.26339</v>
      </c>
      <c r="BD9" s="11">
        <v>31667.448659999998</v>
      </c>
      <c r="BE9" s="11">
        <v>16487.502769999999</v>
      </c>
      <c r="BG9" s="12">
        <v>574.04146779999996</v>
      </c>
      <c r="BH9" s="12">
        <v>608.48395579999999</v>
      </c>
      <c r="BI9" s="12">
        <v>590.55515509999998</v>
      </c>
      <c r="BJ9" s="12">
        <v>625.9884644</v>
      </c>
      <c r="BK9" s="4">
        <f t="shared" si="10"/>
        <v>582.29831145000003</v>
      </c>
      <c r="BL9" s="10">
        <f t="shared" si="11"/>
        <v>617.23621009999999</v>
      </c>
      <c r="BM9" s="4">
        <v>5.0999999999999996</v>
      </c>
      <c r="BN9" s="1">
        <v>0.9</v>
      </c>
      <c r="BO9" s="4">
        <v>1.1000000000000001</v>
      </c>
      <c r="BP9" s="4">
        <v>2</v>
      </c>
      <c r="BQ9">
        <v>109</v>
      </c>
      <c r="BR9">
        <v>40</v>
      </c>
      <c r="BS9">
        <v>21</v>
      </c>
      <c r="BT9">
        <v>51</v>
      </c>
      <c r="BU9">
        <v>45</v>
      </c>
      <c r="BV9" s="6" t="s">
        <v>179</v>
      </c>
      <c r="BW9" s="7">
        <v>135</v>
      </c>
      <c r="BX9" s="7">
        <v>440</v>
      </c>
      <c r="BY9">
        <v>200</v>
      </c>
      <c r="BZ9">
        <v>589</v>
      </c>
      <c r="CA9">
        <v>210</v>
      </c>
      <c r="CB9">
        <v>657</v>
      </c>
    </row>
    <row r="10" spans="1:175" ht="15.6">
      <c r="A10" t="s">
        <v>189</v>
      </c>
      <c r="B10" t="s">
        <v>184</v>
      </c>
      <c r="C10" t="s">
        <v>177</v>
      </c>
      <c r="D10">
        <v>1</v>
      </c>
      <c r="E10" s="5">
        <v>55</v>
      </c>
      <c r="F10" s="4">
        <v>31</v>
      </c>
      <c r="G10">
        <v>127</v>
      </c>
      <c r="H10">
        <v>79</v>
      </c>
      <c r="I10">
        <v>125</v>
      </c>
      <c r="J10">
        <v>79</v>
      </c>
      <c r="K10" s="5">
        <f t="shared" si="5"/>
        <v>126</v>
      </c>
      <c r="L10">
        <f t="shared" si="6"/>
        <v>79</v>
      </c>
      <c r="M10" s="4">
        <v>164.7</v>
      </c>
      <c r="N10" s="4">
        <v>83.6</v>
      </c>
      <c r="O10" s="4">
        <v>102</v>
      </c>
      <c r="P10" s="4">
        <v>103</v>
      </c>
      <c r="Q10" s="4">
        <f t="shared" si="7"/>
        <v>102.5</v>
      </c>
      <c r="R10">
        <v>25</v>
      </c>
      <c r="S10">
        <v>48.6</v>
      </c>
      <c r="T10" s="7" t="s">
        <v>181</v>
      </c>
      <c r="U10" s="4">
        <v>2</v>
      </c>
      <c r="V10" s="4">
        <v>5.3</v>
      </c>
      <c r="W10" s="4">
        <v>-23</v>
      </c>
      <c r="X10" s="4">
        <v>-20</v>
      </c>
      <c r="Y10" s="7" t="s">
        <v>179</v>
      </c>
      <c r="Z10" s="4">
        <v>2328.5</v>
      </c>
      <c r="AA10" s="4">
        <v>2303.25</v>
      </c>
      <c r="AB10" s="4">
        <v>2389</v>
      </c>
      <c r="AC10" s="4">
        <f>Z10/N10</f>
        <v>27.852870813397132</v>
      </c>
      <c r="AD10" s="4">
        <f t="shared" si="0"/>
        <v>27.550837320574164</v>
      </c>
      <c r="AE10" s="4">
        <f>AB10/N10</f>
        <v>28.576555023923447</v>
      </c>
      <c r="AF10" s="4">
        <f t="shared" si="1"/>
        <v>12.573684210526316</v>
      </c>
      <c r="AG10" s="5">
        <f>9*60+35</f>
        <v>575</v>
      </c>
      <c r="AH10">
        <v>4.8</v>
      </c>
      <c r="AI10">
        <v>14</v>
      </c>
      <c r="AJ10">
        <v>19</v>
      </c>
      <c r="AK10">
        <v>190</v>
      </c>
      <c r="AL10" s="5">
        <v>2532.5</v>
      </c>
      <c r="AM10" s="4">
        <v>77.333333333333329</v>
      </c>
      <c r="AN10" s="1">
        <v>1.1416666666666666</v>
      </c>
      <c r="AO10" s="5">
        <v>34.199999999999996</v>
      </c>
      <c r="AP10" s="1">
        <v>8.68</v>
      </c>
      <c r="AQ10" s="4">
        <v>3.5</v>
      </c>
      <c r="AR10" s="1">
        <f t="shared" si="2"/>
        <v>17.84258373205742</v>
      </c>
      <c r="AS10" s="1">
        <f t="shared" si="3"/>
        <v>13.381937799043065</v>
      </c>
      <c r="AT10" s="5">
        <f t="shared" si="4"/>
        <v>64.762400955172041</v>
      </c>
      <c r="AU10" s="5">
        <v>1491.64</v>
      </c>
      <c r="AV10" s="4">
        <v>1066.8399999999999</v>
      </c>
      <c r="AW10" s="4">
        <v>32.08</v>
      </c>
      <c r="AX10" s="1">
        <v>0.71560000000000012</v>
      </c>
      <c r="AY10" s="4">
        <v>18.175999999999998</v>
      </c>
      <c r="AZ10" s="4">
        <f t="shared" si="9"/>
        <v>64.21052631578948</v>
      </c>
      <c r="BA10">
        <v>122</v>
      </c>
      <c r="BB10" s="11">
        <v>83973.88</v>
      </c>
      <c r="BC10" s="11">
        <v>45417.0556</v>
      </c>
      <c r="BD10" s="11">
        <v>36266.638529999997</v>
      </c>
      <c r="BE10" s="11">
        <v>19335.514569999999</v>
      </c>
      <c r="BG10" s="12">
        <v>1526.5150000000001</v>
      </c>
      <c r="BH10" s="12">
        <v>1618.1059</v>
      </c>
      <c r="BI10" s="12">
        <v>1366.261002</v>
      </c>
      <c r="BJ10" s="12">
        <v>1448.236662</v>
      </c>
      <c r="BK10" s="4">
        <f t="shared" si="10"/>
        <v>1446.388001</v>
      </c>
      <c r="BL10" s="10">
        <f t="shared" si="11"/>
        <v>1533.1712809999999</v>
      </c>
      <c r="BM10" s="4">
        <v>4.9000000000000004</v>
      </c>
      <c r="BN10" s="1">
        <v>0.46</v>
      </c>
      <c r="BO10" s="4">
        <v>1.6</v>
      </c>
      <c r="BP10" s="4">
        <v>2.7</v>
      </c>
      <c r="BQ10">
        <v>115</v>
      </c>
      <c r="BR10">
        <v>38</v>
      </c>
      <c r="BS10">
        <v>9</v>
      </c>
      <c r="BT10">
        <v>23</v>
      </c>
      <c r="BU10">
        <v>24</v>
      </c>
      <c r="BV10" s="6">
        <v>6</v>
      </c>
      <c r="BW10" s="7">
        <v>220</v>
      </c>
      <c r="BX10" s="7">
        <v>504</v>
      </c>
      <c r="BY10">
        <v>402</v>
      </c>
      <c r="BZ10">
        <v>1131</v>
      </c>
      <c r="CA10">
        <v>407</v>
      </c>
      <c r="CB10">
        <v>1057</v>
      </c>
    </row>
    <row r="11" spans="1:175" ht="15.6">
      <c r="A11" t="s">
        <v>190</v>
      </c>
      <c r="B11" t="s">
        <v>184</v>
      </c>
      <c r="C11" t="s">
        <v>177</v>
      </c>
      <c r="D11">
        <v>1</v>
      </c>
      <c r="E11" s="5">
        <v>24</v>
      </c>
      <c r="F11" s="4">
        <v>22.9</v>
      </c>
      <c r="G11">
        <v>114</v>
      </c>
      <c r="H11">
        <v>82</v>
      </c>
      <c r="I11">
        <v>123</v>
      </c>
      <c r="J11">
        <v>80</v>
      </c>
      <c r="K11" s="5">
        <f t="shared" si="5"/>
        <v>118.5</v>
      </c>
      <c r="L11">
        <f t="shared" si="6"/>
        <v>81</v>
      </c>
      <c r="M11" s="4">
        <v>149.69999999999999</v>
      </c>
      <c r="N11" s="4">
        <v>53.6</v>
      </c>
      <c r="O11" s="4">
        <v>76.5</v>
      </c>
      <c r="P11" s="4">
        <v>76</v>
      </c>
      <c r="Q11" s="4">
        <f t="shared" si="7"/>
        <v>76.25</v>
      </c>
      <c r="R11">
        <v>12</v>
      </c>
      <c r="S11" s="4">
        <v>65</v>
      </c>
      <c r="T11" s="7" t="s">
        <v>178</v>
      </c>
      <c r="U11" s="4">
        <v>7</v>
      </c>
      <c r="V11" s="4">
        <v>17.5</v>
      </c>
      <c r="W11" s="4">
        <v>3</v>
      </c>
      <c r="X11" s="4">
        <v>0</v>
      </c>
      <c r="Y11" s="7" t="s">
        <v>179</v>
      </c>
      <c r="Z11" s="4">
        <v>1711</v>
      </c>
      <c r="AA11" s="4">
        <v>1732.6666666666667</v>
      </c>
      <c r="AB11" s="4">
        <v>1746.5</v>
      </c>
      <c r="AC11" s="4">
        <f>Z11/N11</f>
        <v>31.921641791044774</v>
      </c>
      <c r="AD11" s="4">
        <f t="shared" si="0"/>
        <v>32.32587064676617</v>
      </c>
      <c r="AE11" s="4">
        <f t="shared" si="8"/>
        <v>32.583955223880594</v>
      </c>
      <c r="AF11" s="4">
        <f t="shared" si="1"/>
        <v>9.491847826086957</v>
      </c>
      <c r="AG11" s="5">
        <f>10.5*60+25</f>
        <v>655</v>
      </c>
      <c r="AH11">
        <v>4.8</v>
      </c>
      <c r="AI11">
        <v>16</v>
      </c>
      <c r="AJ11">
        <v>19</v>
      </c>
      <c r="AK11">
        <v>184</v>
      </c>
      <c r="AL11" s="5">
        <v>2035.5</v>
      </c>
      <c r="AM11" s="4">
        <v>65</v>
      </c>
      <c r="AN11" s="1">
        <v>1.1749999999999998</v>
      </c>
      <c r="AO11" s="5">
        <v>59.233333333333327</v>
      </c>
      <c r="AP11" s="1">
        <v>12.24</v>
      </c>
      <c r="AQ11" s="4">
        <v>3.5</v>
      </c>
      <c r="AR11" s="1">
        <f t="shared" si="2"/>
        <v>17.564179104477613</v>
      </c>
      <c r="AS11" s="1">
        <f t="shared" si="3"/>
        <v>13.173134328358209</v>
      </c>
      <c r="AT11" s="5">
        <f t="shared" si="4"/>
        <v>54.334744132358601</v>
      </c>
      <c r="AU11" s="5">
        <v>941.44</v>
      </c>
      <c r="AV11" s="4">
        <v>705.84</v>
      </c>
      <c r="AW11" s="4">
        <v>22.08</v>
      </c>
      <c r="AX11" s="1">
        <v>0.74959999999999993</v>
      </c>
      <c r="AY11" s="4">
        <v>28.244000000000007</v>
      </c>
      <c r="AZ11" s="4">
        <f t="shared" si="9"/>
        <v>78.043478260869563</v>
      </c>
      <c r="BA11">
        <v>143.6</v>
      </c>
      <c r="BB11" s="11">
        <v>53018.40597</v>
      </c>
      <c r="BC11" s="11">
        <v>30461.861420000001</v>
      </c>
      <c r="BD11" s="11">
        <v>20708.731339999998</v>
      </c>
      <c r="BE11" s="11">
        <v>10569.18007</v>
      </c>
      <c r="BG11" s="12">
        <v>355.81505950000002</v>
      </c>
      <c r="BH11" s="12">
        <v>377.16396300000002</v>
      </c>
      <c r="BI11" s="12">
        <v>351.49760830000002</v>
      </c>
      <c r="BJ11" s="12">
        <v>372.58746480000002</v>
      </c>
      <c r="BK11" s="4">
        <f t="shared" si="10"/>
        <v>353.65633390000005</v>
      </c>
      <c r="BL11" s="10">
        <f t="shared" si="11"/>
        <v>374.87571390000005</v>
      </c>
      <c r="BM11" s="4">
        <v>4.5999999999999996</v>
      </c>
      <c r="BN11" s="1">
        <v>1.1299999999999999</v>
      </c>
      <c r="BO11" s="4">
        <v>1.2</v>
      </c>
      <c r="BP11" s="4">
        <v>1.8</v>
      </c>
      <c r="BQ11">
        <v>103</v>
      </c>
      <c r="BR11">
        <v>31</v>
      </c>
      <c r="BS11">
        <v>5</v>
      </c>
      <c r="BT11">
        <v>16</v>
      </c>
      <c r="BU11">
        <v>12</v>
      </c>
      <c r="BV11" s="6">
        <v>5</v>
      </c>
      <c r="BW11" s="7">
        <v>180</v>
      </c>
      <c r="BX11" s="7" t="s">
        <v>179</v>
      </c>
      <c r="BY11">
        <v>292</v>
      </c>
      <c r="BZ11">
        <v>907</v>
      </c>
      <c r="CA11">
        <v>303</v>
      </c>
      <c r="CB11">
        <v>864</v>
      </c>
    </row>
    <row r="12" spans="1:175" ht="15.6">
      <c r="A12" t="s">
        <v>191</v>
      </c>
      <c r="B12" t="s">
        <v>184</v>
      </c>
      <c r="C12" t="s">
        <v>177</v>
      </c>
      <c r="D12">
        <v>1</v>
      </c>
      <c r="E12" s="5">
        <v>67</v>
      </c>
      <c r="F12" s="4">
        <v>27.2</v>
      </c>
      <c r="G12">
        <v>138</v>
      </c>
      <c r="H12">
        <v>94</v>
      </c>
      <c r="I12">
        <v>134</v>
      </c>
      <c r="J12">
        <v>91</v>
      </c>
      <c r="K12" s="5">
        <f t="shared" si="5"/>
        <v>136</v>
      </c>
      <c r="L12" s="5">
        <f t="shared" si="6"/>
        <v>92.5</v>
      </c>
      <c r="M12" s="4">
        <v>173.8</v>
      </c>
      <c r="N12" s="4">
        <v>83.1</v>
      </c>
      <c r="O12" s="4">
        <v>93.6</v>
      </c>
      <c r="P12" s="4">
        <v>91.5</v>
      </c>
      <c r="Q12" s="4">
        <f t="shared" si="7"/>
        <v>92.55</v>
      </c>
      <c r="R12" s="5">
        <v>29</v>
      </c>
      <c r="S12">
        <v>51.7</v>
      </c>
      <c r="T12" s="7" t="s">
        <v>181</v>
      </c>
      <c r="U12" s="4">
        <v>-0.2</v>
      </c>
      <c r="V12" s="4">
        <v>-2.7</v>
      </c>
      <c r="W12" s="4">
        <v>-10</v>
      </c>
      <c r="X12" s="4">
        <v>-12</v>
      </c>
      <c r="Y12">
        <v>11</v>
      </c>
      <c r="Z12" s="4">
        <v>2461.5</v>
      </c>
      <c r="AA12" s="4">
        <v>2457.8333333333335</v>
      </c>
      <c r="AB12" s="4">
        <v>2466.6666666666665</v>
      </c>
      <c r="AC12" s="4">
        <f>Z12/N12</f>
        <v>29.620938628158846</v>
      </c>
      <c r="AD12" s="4">
        <f t="shared" si="0"/>
        <v>29.576815082230247</v>
      </c>
      <c r="AE12" s="4">
        <f t="shared" si="8"/>
        <v>29.683112715603691</v>
      </c>
      <c r="AF12" s="4">
        <f t="shared" si="1"/>
        <v>13.405797101449275</v>
      </c>
      <c r="AG12" s="5">
        <f>60*13+10</f>
        <v>790</v>
      </c>
      <c r="AH12">
        <v>4.3</v>
      </c>
      <c r="AI12">
        <v>20</v>
      </c>
      <c r="AJ12">
        <v>19</v>
      </c>
      <c r="AK12">
        <v>184</v>
      </c>
      <c r="AL12" s="5">
        <v>2931.8333333333335</v>
      </c>
      <c r="AM12" s="4">
        <v>95.333333333333329</v>
      </c>
      <c r="AN12" s="1">
        <v>1.1966666666666665</v>
      </c>
      <c r="AO12" s="5">
        <v>38.150000000000006</v>
      </c>
      <c r="AP12" s="1">
        <v>6.99</v>
      </c>
      <c r="AQ12" s="4">
        <v>3</v>
      </c>
      <c r="AR12" s="1">
        <f t="shared" si="2"/>
        <v>14.690252707581228</v>
      </c>
      <c r="AS12" s="1">
        <f t="shared" si="3"/>
        <v>11.017689530685921</v>
      </c>
      <c r="AT12" s="5">
        <f t="shared" si="4"/>
        <v>49.668135892045832</v>
      </c>
      <c r="AU12" s="5">
        <v>1220.76</v>
      </c>
      <c r="AV12" s="4">
        <v>962.72</v>
      </c>
      <c r="AW12" s="4">
        <v>33.159999999999997</v>
      </c>
      <c r="AX12" s="1">
        <v>0.78959999999999975</v>
      </c>
      <c r="AY12" s="4">
        <v>21.131999999999998</v>
      </c>
      <c r="AZ12" s="4">
        <f t="shared" si="9"/>
        <v>56.195652173913047</v>
      </c>
      <c r="BA12">
        <v>103.4</v>
      </c>
      <c r="BB12" s="11">
        <v>83013.406629999998</v>
      </c>
      <c r="BC12" s="11">
        <v>49894.368199999997</v>
      </c>
      <c r="BD12" s="11">
        <v>30858.66632</v>
      </c>
      <c r="BE12" s="11">
        <v>16130.965039999999</v>
      </c>
      <c r="BG12" s="12">
        <v>742.66886209999996</v>
      </c>
      <c r="BH12" s="12">
        <v>787.22899389999998</v>
      </c>
      <c r="BI12" s="12">
        <v>735.98918079999999</v>
      </c>
      <c r="BJ12" s="12">
        <v>780.14853170000004</v>
      </c>
      <c r="BK12" s="4">
        <f t="shared" si="10"/>
        <v>739.32902145000003</v>
      </c>
      <c r="BL12" s="10">
        <f t="shared" si="11"/>
        <v>783.68876279999995</v>
      </c>
      <c r="BM12" s="4">
        <v>5</v>
      </c>
      <c r="BN12" s="1">
        <v>0.87</v>
      </c>
      <c r="BO12" s="4">
        <v>1.6</v>
      </c>
      <c r="BP12" s="4">
        <v>1.9</v>
      </c>
      <c r="BQ12">
        <v>114</v>
      </c>
      <c r="BR12">
        <v>30</v>
      </c>
      <c r="BS12">
        <v>5</v>
      </c>
      <c r="BT12">
        <v>17</v>
      </c>
      <c r="BU12">
        <v>15</v>
      </c>
      <c r="BV12" s="6">
        <v>9</v>
      </c>
      <c r="BW12" s="7">
        <v>186</v>
      </c>
      <c r="BX12" s="7">
        <v>267</v>
      </c>
      <c r="BY12">
        <v>315</v>
      </c>
      <c r="BZ12">
        <v>1026</v>
      </c>
      <c r="CA12">
        <v>336</v>
      </c>
      <c r="CB12">
        <v>1054</v>
      </c>
    </row>
    <row r="13" spans="1:175" ht="15.6">
      <c r="A13" t="s">
        <v>192</v>
      </c>
      <c r="B13" t="s">
        <v>184</v>
      </c>
      <c r="C13" t="s">
        <v>177</v>
      </c>
      <c r="D13">
        <v>2</v>
      </c>
      <c r="E13" s="5">
        <v>23</v>
      </c>
      <c r="F13" s="4">
        <v>22.9</v>
      </c>
      <c r="G13">
        <v>127</v>
      </c>
      <c r="H13">
        <v>90</v>
      </c>
      <c r="I13">
        <v>125</v>
      </c>
      <c r="J13">
        <v>82</v>
      </c>
      <c r="K13" s="5">
        <f t="shared" si="5"/>
        <v>126</v>
      </c>
      <c r="L13">
        <f t="shared" si="6"/>
        <v>86</v>
      </c>
      <c r="M13" s="4">
        <v>177.5</v>
      </c>
      <c r="N13" s="4">
        <v>71.900000000000006</v>
      </c>
      <c r="O13" s="4">
        <v>79</v>
      </c>
      <c r="P13" s="4">
        <v>80</v>
      </c>
      <c r="Q13" s="4">
        <f t="shared" si="7"/>
        <v>79.5</v>
      </c>
      <c r="R13">
        <v>53</v>
      </c>
      <c r="S13">
        <v>66.3</v>
      </c>
      <c r="T13" s="7" t="s">
        <v>178</v>
      </c>
      <c r="U13" s="4">
        <v>12.1</v>
      </c>
      <c r="V13" s="4">
        <v>12.5</v>
      </c>
      <c r="W13" s="4">
        <v>-8</v>
      </c>
      <c r="X13" s="4">
        <v>2.5</v>
      </c>
      <c r="Y13" s="7" t="s">
        <v>179</v>
      </c>
      <c r="Z13" s="4">
        <v>2589.5</v>
      </c>
      <c r="AA13" s="4">
        <v>2644.75</v>
      </c>
      <c r="AB13" s="4">
        <v>2677.6666666666665</v>
      </c>
      <c r="AC13" s="4">
        <f>Z13/N13</f>
        <v>36.015299026425588</v>
      </c>
      <c r="AD13" s="4">
        <f t="shared" si="0"/>
        <v>36.783727399165507</v>
      </c>
      <c r="AE13" s="4">
        <f t="shared" si="8"/>
        <v>37.241539174779781</v>
      </c>
      <c r="AF13" s="4">
        <f t="shared" si="1"/>
        <v>17.055201698513798</v>
      </c>
      <c r="AG13" s="5">
        <f>12*60</f>
        <v>720</v>
      </c>
      <c r="AH13">
        <v>4.8</v>
      </c>
      <c r="AI13">
        <v>20</v>
      </c>
      <c r="AJ13">
        <v>20</v>
      </c>
      <c r="AK13">
        <v>157</v>
      </c>
      <c r="AL13" s="5">
        <v>3106.3333333333335</v>
      </c>
      <c r="AM13" s="4">
        <v>166</v>
      </c>
      <c r="AN13" s="1">
        <v>1.1649999999999998</v>
      </c>
      <c r="AO13" s="5">
        <v>55.916666666666664</v>
      </c>
      <c r="AP13" s="1">
        <v>9.02</v>
      </c>
      <c r="AQ13" s="4">
        <v>3.5</v>
      </c>
      <c r="AR13" s="1">
        <f t="shared" si="2"/>
        <v>16.320445062586927</v>
      </c>
      <c r="AS13" s="1">
        <f t="shared" si="3"/>
        <v>12.240333796940195</v>
      </c>
      <c r="AT13" s="5">
        <f t="shared" si="4"/>
        <v>44.368654882314019</v>
      </c>
      <c r="AU13" s="5">
        <v>1173.44</v>
      </c>
      <c r="AV13" s="4">
        <v>915.84</v>
      </c>
      <c r="AW13" s="4">
        <v>33.04</v>
      </c>
      <c r="AX13" s="1">
        <v>0.7799999999999998</v>
      </c>
      <c r="AY13" s="4">
        <v>17.920000000000002</v>
      </c>
      <c r="AZ13" s="4">
        <f t="shared" si="9"/>
        <v>70.573248407643305</v>
      </c>
      <c r="BA13">
        <v>110.8</v>
      </c>
      <c r="BB13" s="11">
        <v>72867.525469999993</v>
      </c>
      <c r="BC13" s="4">
        <v>53640.089789999998</v>
      </c>
      <c r="BD13" s="11">
        <v>16028.282149999999</v>
      </c>
      <c r="BE13" s="11">
        <v>7905.1714540000003</v>
      </c>
      <c r="BG13" s="12">
        <v>422.08275279999998</v>
      </c>
      <c r="BH13" s="12">
        <v>447.40771790000002</v>
      </c>
      <c r="BI13" s="12">
        <v>418.75297569999998</v>
      </c>
      <c r="BJ13" s="12">
        <v>443.87815430000001</v>
      </c>
      <c r="BK13" s="4">
        <f t="shared" si="10"/>
        <v>420.41786424999998</v>
      </c>
      <c r="BL13" s="10">
        <f t="shared" si="11"/>
        <v>445.64293610000004</v>
      </c>
      <c r="BM13" s="4">
        <v>4.3</v>
      </c>
      <c r="BN13" s="1">
        <v>3.97</v>
      </c>
      <c r="BO13" s="4">
        <v>0.9</v>
      </c>
      <c r="BP13" s="4">
        <v>1.9</v>
      </c>
      <c r="BQ13">
        <v>103</v>
      </c>
      <c r="BR13">
        <v>30</v>
      </c>
      <c r="BS13">
        <v>-2</v>
      </c>
      <c r="BT13">
        <v>-6</v>
      </c>
      <c r="BU13">
        <v>-1</v>
      </c>
      <c r="BV13" s="6">
        <v>6.7</v>
      </c>
      <c r="BW13" s="7">
        <v>275</v>
      </c>
      <c r="BX13" s="7">
        <v>1100</v>
      </c>
      <c r="BY13">
        <v>598</v>
      </c>
      <c r="BZ13">
        <v>1058</v>
      </c>
      <c r="CA13">
        <v>578</v>
      </c>
      <c r="CB13">
        <v>1117</v>
      </c>
    </row>
    <row r="14" spans="1:175" ht="15.6">
      <c r="A14" t="s">
        <v>193</v>
      </c>
      <c r="B14" t="s">
        <v>176</v>
      </c>
      <c r="C14" t="s">
        <v>177</v>
      </c>
      <c r="D14">
        <v>2</v>
      </c>
      <c r="E14" s="5">
        <v>47</v>
      </c>
      <c r="F14" s="4">
        <v>35.700000000000003</v>
      </c>
      <c r="G14">
        <v>148</v>
      </c>
      <c r="H14">
        <v>101</v>
      </c>
      <c r="I14">
        <v>153</v>
      </c>
      <c r="J14">
        <v>105</v>
      </c>
      <c r="K14" s="5">
        <f t="shared" si="5"/>
        <v>150.5</v>
      </c>
      <c r="L14">
        <f t="shared" si="6"/>
        <v>103</v>
      </c>
      <c r="M14" s="4">
        <v>171.3</v>
      </c>
      <c r="N14" s="4">
        <v>104.8</v>
      </c>
      <c r="O14" s="4">
        <v>120.5</v>
      </c>
      <c r="P14" s="4">
        <v>120.5</v>
      </c>
      <c r="Q14" s="4">
        <f t="shared" si="7"/>
        <v>120.5</v>
      </c>
      <c r="R14" s="5">
        <v>45</v>
      </c>
      <c r="S14">
        <v>43.4</v>
      </c>
      <c r="T14" s="7" t="s">
        <v>181</v>
      </c>
      <c r="U14" s="4">
        <v>0</v>
      </c>
      <c r="V14" s="4">
        <v>5.0999999999999996</v>
      </c>
      <c r="W14" s="4">
        <v>-6</v>
      </c>
      <c r="X14" s="4">
        <v>-8.5</v>
      </c>
      <c r="Y14" s="7" t="s">
        <v>179</v>
      </c>
      <c r="Z14" s="4">
        <v>2579</v>
      </c>
      <c r="AA14" s="4">
        <v>2585.5833333333335</v>
      </c>
      <c r="AB14" s="4">
        <v>2615.5</v>
      </c>
      <c r="AC14" s="4">
        <f>Z14/N14</f>
        <v>24.608778625954198</v>
      </c>
      <c r="AD14" s="4">
        <f t="shared" si="0"/>
        <v>24.671596692111962</v>
      </c>
      <c r="AE14" s="4">
        <f>AB14/N14</f>
        <v>24.957061068702291</v>
      </c>
      <c r="AF14" s="4">
        <f t="shared" si="1"/>
        <v>15.661676646706587</v>
      </c>
      <c r="AG14" s="5">
        <v>600</v>
      </c>
      <c r="AH14">
        <v>4.8</v>
      </c>
      <c r="AI14">
        <v>16</v>
      </c>
      <c r="AJ14">
        <v>15</v>
      </c>
      <c r="AK14">
        <v>167</v>
      </c>
      <c r="AL14" s="5">
        <v>3318</v>
      </c>
      <c r="AM14" s="4">
        <v>113.5</v>
      </c>
      <c r="AN14" s="1">
        <v>1.28</v>
      </c>
      <c r="AO14" s="5">
        <v>48.416666666666664</v>
      </c>
      <c r="AP14" s="1">
        <v>8.3000000000000007</v>
      </c>
      <c r="AQ14" s="4">
        <v>3.5</v>
      </c>
      <c r="AR14" s="1">
        <f t="shared" si="2"/>
        <v>14.393129770992367</v>
      </c>
      <c r="AS14" s="1">
        <f t="shared" si="3"/>
        <v>10.794847328244275</v>
      </c>
      <c r="AT14" s="5">
        <f t="shared" si="4"/>
        <v>58.338866148838108</v>
      </c>
      <c r="AU14" s="5">
        <v>1508.4</v>
      </c>
      <c r="AV14" s="4">
        <v>1323</v>
      </c>
      <c r="AW14" s="4">
        <v>42.56</v>
      </c>
      <c r="AX14" s="1">
        <v>0.87760000000000005</v>
      </c>
      <c r="AY14" s="4">
        <v>23.188000000000006</v>
      </c>
      <c r="AZ14" s="4">
        <f t="shared" si="9"/>
        <v>68.063872255489017</v>
      </c>
      <c r="BA14" s="4">
        <v>113.66666666666667</v>
      </c>
      <c r="BB14" s="11">
        <v>105588.37</v>
      </c>
      <c r="BC14" s="11">
        <v>58651.481399999997</v>
      </c>
      <c r="BD14" s="11">
        <v>43989.92252</v>
      </c>
      <c r="BE14" s="11">
        <v>27465.726859999999</v>
      </c>
      <c r="BG14" s="12">
        <v>2156.8205950000001</v>
      </c>
      <c r="BH14" s="12">
        <v>2286.2298300000002</v>
      </c>
      <c r="BI14" s="12">
        <v>2162.530706</v>
      </c>
      <c r="BJ14" s="12">
        <v>2292.2825480000001</v>
      </c>
      <c r="BK14" s="4">
        <f t="shared" si="10"/>
        <v>2159.6756505000003</v>
      </c>
      <c r="BL14" s="10">
        <f t="shared" si="11"/>
        <v>2289.2561890000002</v>
      </c>
      <c r="BM14" s="4">
        <v>9.9</v>
      </c>
      <c r="BN14" s="1">
        <v>2.25</v>
      </c>
      <c r="BO14" s="4">
        <v>1</v>
      </c>
      <c r="BP14" s="4">
        <v>2.9</v>
      </c>
      <c r="BQ14">
        <v>128</v>
      </c>
      <c r="BR14">
        <v>38</v>
      </c>
      <c r="BS14">
        <v>13</v>
      </c>
      <c r="BT14">
        <v>35</v>
      </c>
      <c r="BU14">
        <v>33</v>
      </c>
      <c r="BV14" s="6" t="s">
        <v>179</v>
      </c>
      <c r="BW14" s="7">
        <v>320</v>
      </c>
      <c r="BX14" s="7">
        <v>535</v>
      </c>
      <c r="BY14">
        <v>467</v>
      </c>
      <c r="BZ14">
        <v>1629</v>
      </c>
      <c r="CA14">
        <v>493</v>
      </c>
      <c r="CB14">
        <v>1653</v>
      </c>
    </row>
    <row r="15" spans="1:175" ht="15.6">
      <c r="A15" t="s">
        <v>194</v>
      </c>
      <c r="B15" t="s">
        <v>184</v>
      </c>
      <c r="C15" t="s">
        <v>177</v>
      </c>
      <c r="D15">
        <v>2</v>
      </c>
      <c r="E15" s="5">
        <v>74</v>
      </c>
      <c r="F15" s="4">
        <v>28.9</v>
      </c>
      <c r="G15">
        <v>153</v>
      </c>
      <c r="H15">
        <v>96</v>
      </c>
      <c r="I15">
        <v>157</v>
      </c>
      <c r="J15">
        <v>96</v>
      </c>
      <c r="K15" s="5">
        <f t="shared" si="5"/>
        <v>155</v>
      </c>
      <c r="L15">
        <f t="shared" si="6"/>
        <v>96</v>
      </c>
      <c r="M15" s="4">
        <v>176.5</v>
      </c>
      <c r="N15" s="4">
        <v>90</v>
      </c>
      <c r="O15" s="4">
        <v>114</v>
      </c>
      <c r="P15" s="4">
        <v>115</v>
      </c>
      <c r="Q15" s="4">
        <f t="shared" si="7"/>
        <v>114.5</v>
      </c>
      <c r="R15">
        <v>30</v>
      </c>
      <c r="S15" s="4">
        <v>11</v>
      </c>
      <c r="T15" s="7" t="s">
        <v>181</v>
      </c>
      <c r="U15" s="4">
        <v>3</v>
      </c>
      <c r="V15" s="4">
        <v>-6</v>
      </c>
      <c r="W15" s="4">
        <v>30</v>
      </c>
      <c r="X15" s="4">
        <v>29</v>
      </c>
      <c r="Y15">
        <v>12</v>
      </c>
      <c r="Z15" s="4">
        <v>2050.5</v>
      </c>
      <c r="AA15" s="4">
        <v>2039.9166666666667</v>
      </c>
      <c r="AB15" s="4">
        <v>2073.8333333333335</v>
      </c>
      <c r="AC15" s="4">
        <f>Z15/N15</f>
        <v>22.783333333333335</v>
      </c>
      <c r="AD15" s="4">
        <f t="shared" si="0"/>
        <v>22.665740740740741</v>
      </c>
      <c r="AE15" s="4">
        <f t="shared" si="8"/>
        <v>23.042592592592595</v>
      </c>
      <c r="AF15" s="4">
        <f t="shared" si="1"/>
        <v>16.860433604336045</v>
      </c>
      <c r="AG15" s="5">
        <f>635</f>
        <v>635</v>
      </c>
      <c r="AH15">
        <v>3.8</v>
      </c>
      <c r="AI15">
        <v>18</v>
      </c>
      <c r="AJ15">
        <v>18</v>
      </c>
      <c r="AK15">
        <v>123</v>
      </c>
      <c r="AL15" s="5">
        <v>2078.5</v>
      </c>
      <c r="AM15" s="4">
        <v>63.166666666666664</v>
      </c>
      <c r="AN15" s="1">
        <v>1.0216666666666667</v>
      </c>
      <c r="AO15" s="5">
        <v>35.766666666666659</v>
      </c>
      <c r="AP15" s="1">
        <v>4.71</v>
      </c>
      <c r="AQ15" s="4">
        <v>3</v>
      </c>
      <c r="AR15" s="1">
        <f t="shared" si="2"/>
        <v>14.770222222222221</v>
      </c>
      <c r="AS15" s="1">
        <f t="shared" si="3"/>
        <v>11.077666666666666</v>
      </c>
      <c r="AT15" s="5">
        <f t="shared" si="4"/>
        <v>65.165407083622696</v>
      </c>
      <c r="AU15" s="5">
        <v>1329.32</v>
      </c>
      <c r="AV15" s="4">
        <v>1111.2</v>
      </c>
      <c r="AW15" s="4">
        <v>41.44</v>
      </c>
      <c r="AX15" s="1">
        <v>0.83600000000000008</v>
      </c>
      <c r="AY15" s="4">
        <v>27.664000000000005</v>
      </c>
      <c r="AZ15" s="4">
        <f t="shared" si="9"/>
        <v>84.065040650406502</v>
      </c>
      <c r="BA15">
        <v>103.4</v>
      </c>
      <c r="BB15" s="11">
        <v>90288.38</v>
      </c>
      <c r="BC15" s="11">
        <v>57568.732530000001</v>
      </c>
      <c r="BD15" s="11">
        <v>29446.394100000001</v>
      </c>
      <c r="BE15" s="11">
        <v>18188.567660000001</v>
      </c>
      <c r="BG15" s="12">
        <v>2552.9491579999999</v>
      </c>
      <c r="BH15" s="12">
        <v>2706.126107</v>
      </c>
      <c r="BI15" s="12">
        <v>2554.6955560000001</v>
      </c>
      <c r="BJ15" s="12">
        <v>2707.9772899999998</v>
      </c>
      <c r="BK15" s="4">
        <f t="shared" si="10"/>
        <v>2553.822357</v>
      </c>
      <c r="BL15" s="10">
        <f t="shared" si="11"/>
        <v>2707.0516984999999</v>
      </c>
      <c r="BM15" s="4">
        <v>6.5</v>
      </c>
      <c r="BN15" s="1">
        <v>0.92</v>
      </c>
      <c r="BO15" s="4">
        <v>1</v>
      </c>
      <c r="BP15" s="4">
        <v>2.6</v>
      </c>
      <c r="BQ15">
        <v>112</v>
      </c>
      <c r="BR15">
        <v>39</v>
      </c>
      <c r="BS15">
        <v>9</v>
      </c>
      <c r="BT15">
        <v>22</v>
      </c>
      <c r="BU15">
        <v>18</v>
      </c>
      <c r="BV15" s="6">
        <v>9.6999999999999993</v>
      </c>
      <c r="BW15" s="7">
        <v>240</v>
      </c>
      <c r="BX15" s="7">
        <v>543</v>
      </c>
      <c r="BY15">
        <v>373</v>
      </c>
      <c r="BZ15">
        <v>959</v>
      </c>
      <c r="CA15">
        <v>345</v>
      </c>
      <c r="CB15">
        <v>974</v>
      </c>
    </row>
    <row r="16" spans="1:175" ht="15.75">
      <c r="A16" t="s">
        <v>195</v>
      </c>
      <c r="B16" t="s">
        <v>184</v>
      </c>
      <c r="C16" t="s">
        <v>177</v>
      </c>
      <c r="D16">
        <v>2</v>
      </c>
      <c r="E16" s="5">
        <v>55</v>
      </c>
      <c r="F16" s="4">
        <v>30.9</v>
      </c>
      <c r="G16">
        <v>160</v>
      </c>
      <c r="H16">
        <v>104</v>
      </c>
      <c r="I16">
        <v>161</v>
      </c>
      <c r="J16">
        <v>99</v>
      </c>
      <c r="K16" s="5">
        <f t="shared" si="5"/>
        <v>160.5</v>
      </c>
      <c r="L16" s="5">
        <f t="shared" si="6"/>
        <v>101.5</v>
      </c>
      <c r="M16" s="4">
        <v>187.3</v>
      </c>
      <c r="N16" s="4">
        <v>109.3</v>
      </c>
      <c r="O16" s="4">
        <v>117</v>
      </c>
      <c r="P16" s="4">
        <v>116</v>
      </c>
      <c r="Q16" s="4">
        <f t="shared" si="7"/>
        <v>116.5</v>
      </c>
      <c r="R16" s="5">
        <v>50</v>
      </c>
      <c r="S16">
        <v>12.8</v>
      </c>
      <c r="T16" s="7" t="s">
        <v>181</v>
      </c>
      <c r="U16" s="4">
        <v>-12</v>
      </c>
      <c r="V16" s="4">
        <v>-10.5</v>
      </c>
      <c r="W16" s="4">
        <v>-12.5</v>
      </c>
      <c r="X16" s="4">
        <v>-7.3</v>
      </c>
      <c r="Y16" s="7" t="s">
        <v>179</v>
      </c>
      <c r="Z16" s="4">
        <v>3146</v>
      </c>
      <c r="AA16" s="4">
        <v>3131.5833333333335</v>
      </c>
      <c r="AB16" s="4">
        <v>3217.8333333333335</v>
      </c>
      <c r="AC16" s="4">
        <f>Z16/N16</f>
        <v>28.78316559926807</v>
      </c>
      <c r="AD16" s="4">
        <f t="shared" si="0"/>
        <v>28.651265629765174</v>
      </c>
      <c r="AE16" s="4">
        <f t="shared" si="8"/>
        <v>29.440378164074414</v>
      </c>
      <c r="AF16" s="4">
        <f t="shared" si="1"/>
        <v>18.387619047619047</v>
      </c>
      <c r="AG16" s="5">
        <f>13*60+35</f>
        <v>815</v>
      </c>
      <c r="AH16">
        <v>4.8</v>
      </c>
      <c r="AI16">
        <v>20</v>
      </c>
      <c r="AJ16">
        <v>19</v>
      </c>
      <c r="AK16">
        <v>175</v>
      </c>
      <c r="AL16" s="5">
        <v>3906.1666666666665</v>
      </c>
      <c r="AM16">
        <v>122.5</v>
      </c>
      <c r="AN16" s="1">
        <v>1.2616666666666667</v>
      </c>
      <c r="AO16" s="5">
        <v>40.016666666666659</v>
      </c>
      <c r="AP16" s="1">
        <v>11.05</v>
      </c>
      <c r="AQ16" s="4">
        <v>3</v>
      </c>
      <c r="AR16" s="1">
        <f t="shared" si="2"/>
        <v>14.376578225068618</v>
      </c>
      <c r="AS16" s="1">
        <f t="shared" si="3"/>
        <v>10.782433668801463</v>
      </c>
      <c r="AT16" s="5">
        <f t="shared" si="4"/>
        <v>50.177812075893449</v>
      </c>
      <c r="AU16" s="5">
        <v>1571.36</v>
      </c>
      <c r="AV16" s="4">
        <v>1284.8</v>
      </c>
      <c r="AW16" s="4">
        <v>38</v>
      </c>
      <c r="AX16" s="1">
        <v>0.81760000000000033</v>
      </c>
      <c r="AY16" s="4">
        <v>15.436</v>
      </c>
      <c r="AZ16" s="4">
        <f t="shared" si="9"/>
        <v>60.457142857142856</v>
      </c>
      <c r="BA16">
        <v>105.8</v>
      </c>
      <c r="BB16" s="11">
        <v>107964.01</v>
      </c>
      <c r="BC16" s="11">
        <v>64762.828930000003</v>
      </c>
      <c r="BD16" s="11">
        <v>40117.348859999998</v>
      </c>
      <c r="BE16" s="11">
        <v>25169.46963</v>
      </c>
      <c r="BG16" s="12">
        <v>3188.5315679999999</v>
      </c>
      <c r="BH16" s="12">
        <v>3379.8434619999998</v>
      </c>
      <c r="BI16" s="12">
        <v>3339.1972190000001</v>
      </c>
      <c r="BJ16" s="12">
        <v>3539.5490519999998</v>
      </c>
      <c r="BK16" s="4">
        <f t="shared" si="10"/>
        <v>3263.8643935</v>
      </c>
      <c r="BL16" s="10">
        <f t="shared" si="11"/>
        <v>3459.6962569999996</v>
      </c>
      <c r="BM16" s="15" t="s">
        <v>179</v>
      </c>
      <c r="BN16" s="15" t="s">
        <v>179</v>
      </c>
      <c r="BO16" s="15" t="s">
        <v>179</v>
      </c>
      <c r="BP16" s="15" t="s">
        <v>179</v>
      </c>
      <c r="BQ16">
        <v>142</v>
      </c>
      <c r="BR16">
        <v>45</v>
      </c>
      <c r="BS16">
        <v>11</v>
      </c>
      <c r="BT16">
        <v>26</v>
      </c>
      <c r="BU16">
        <v>15</v>
      </c>
      <c r="BV16" s="6">
        <v>14.1</v>
      </c>
      <c r="BW16" s="7">
        <v>285</v>
      </c>
      <c r="BX16" s="7">
        <v>858</v>
      </c>
      <c r="BY16">
        <v>704</v>
      </c>
      <c r="BZ16">
        <v>1343</v>
      </c>
      <c r="CA16">
        <v>673</v>
      </c>
      <c r="CB16">
        <v>1306</v>
      </c>
    </row>
    <row r="17" spans="1:80" ht="15.6">
      <c r="A17" t="s">
        <v>196</v>
      </c>
      <c r="B17" t="s">
        <v>184</v>
      </c>
      <c r="C17" t="s">
        <v>177</v>
      </c>
      <c r="D17">
        <v>2</v>
      </c>
      <c r="E17" s="5">
        <v>67</v>
      </c>
      <c r="F17" s="4">
        <v>25</v>
      </c>
      <c r="G17">
        <v>142</v>
      </c>
      <c r="H17">
        <v>99</v>
      </c>
      <c r="I17">
        <v>137</v>
      </c>
      <c r="J17">
        <v>110</v>
      </c>
      <c r="K17" s="5">
        <f t="shared" si="5"/>
        <v>139.5</v>
      </c>
      <c r="L17" s="5">
        <f t="shared" si="6"/>
        <v>104.5</v>
      </c>
      <c r="M17" s="4">
        <v>179.7</v>
      </c>
      <c r="N17" s="4">
        <v>84.2</v>
      </c>
      <c r="O17" s="4">
        <v>97.8</v>
      </c>
      <c r="P17" s="4">
        <v>97.8</v>
      </c>
      <c r="Q17" s="4">
        <f t="shared" si="7"/>
        <v>97.8</v>
      </c>
      <c r="R17">
        <v>41</v>
      </c>
      <c r="S17">
        <v>8.6999999999999993</v>
      </c>
      <c r="T17" s="7" t="s">
        <v>181</v>
      </c>
      <c r="U17" s="4">
        <v>-19.8</v>
      </c>
      <c r="V17" s="4">
        <v>-19.399999999999999</v>
      </c>
      <c r="W17" s="4">
        <v>-34.5</v>
      </c>
      <c r="X17" s="4">
        <v>-15.2</v>
      </c>
      <c r="Y17" s="7" t="s">
        <v>179</v>
      </c>
      <c r="Z17" s="4">
        <v>2581.5</v>
      </c>
      <c r="AA17" s="4">
        <v>2570.6666666666665</v>
      </c>
      <c r="AB17" s="4">
        <v>2601.1666666666665</v>
      </c>
      <c r="AC17" s="4">
        <f>Z17/N17</f>
        <v>30.659144893111637</v>
      </c>
      <c r="AD17" s="4">
        <f t="shared" si="0"/>
        <v>30.530482977038794</v>
      </c>
      <c r="AE17" s="4">
        <f t="shared" si="8"/>
        <v>30.89271575613618</v>
      </c>
      <c r="AF17" s="4">
        <f t="shared" si="1"/>
        <v>13.071189279731993</v>
      </c>
      <c r="AG17" s="5">
        <f>14*60</f>
        <v>840</v>
      </c>
      <c r="AH17">
        <v>4.8</v>
      </c>
      <c r="AI17">
        <v>20</v>
      </c>
      <c r="AJ17">
        <v>19</v>
      </c>
      <c r="AK17">
        <v>199</v>
      </c>
      <c r="AL17" s="5">
        <v>3077.6666666666665</v>
      </c>
      <c r="AM17" s="4">
        <v>120.83333333333333</v>
      </c>
      <c r="AN17" s="1">
        <v>1.2883333333333333</v>
      </c>
      <c r="AO17" s="5">
        <v>56.283333333333331</v>
      </c>
      <c r="AP17" s="1">
        <v>7.07</v>
      </c>
      <c r="AQ17" s="4">
        <v>3</v>
      </c>
      <c r="AR17" s="1">
        <f t="shared" si="2"/>
        <v>15.01900237529691</v>
      </c>
      <c r="AS17" s="1">
        <f t="shared" si="3"/>
        <v>11.264251781472684</v>
      </c>
      <c r="AT17" s="5">
        <f t="shared" si="4"/>
        <v>49.193464730290451</v>
      </c>
      <c r="AU17" s="5">
        <v>1264.5999999999999</v>
      </c>
      <c r="AV17" s="4">
        <v>1030.1199999999999</v>
      </c>
      <c r="AW17" s="4">
        <v>38.24</v>
      </c>
      <c r="AX17" s="1">
        <v>0.81640000000000013</v>
      </c>
      <c r="AY17" s="4">
        <v>24.748000000000001</v>
      </c>
      <c r="AZ17" s="4">
        <f t="shared" si="9"/>
        <v>64.020100502512562</v>
      </c>
      <c r="BA17">
        <v>127.4</v>
      </c>
      <c r="BB17" s="11">
        <v>82548.38162</v>
      </c>
      <c r="BC17" s="11">
        <v>55000.623299999999</v>
      </c>
      <c r="BD17" s="11">
        <v>24343.168180000001</v>
      </c>
      <c r="BE17" s="11">
        <v>13671.18845</v>
      </c>
      <c r="BG17" s="12">
        <v>1267.6985649999999</v>
      </c>
      <c r="BH17" s="12">
        <v>1343.7604779999999</v>
      </c>
      <c r="BI17" s="12">
        <v>1297.1648090000001</v>
      </c>
      <c r="BJ17" s="12">
        <v>1374.994698</v>
      </c>
      <c r="BK17" s="4">
        <f t="shared" si="10"/>
        <v>1282.431687</v>
      </c>
      <c r="BL17" s="10">
        <f t="shared" si="11"/>
        <v>1359.3775879999998</v>
      </c>
      <c r="BM17" s="4">
        <v>4.2</v>
      </c>
      <c r="BN17" s="1">
        <v>4.18</v>
      </c>
      <c r="BO17" s="4">
        <v>0.9</v>
      </c>
      <c r="BP17" s="4">
        <v>2.5</v>
      </c>
      <c r="BQ17">
        <v>111</v>
      </c>
      <c r="BR17">
        <v>30</v>
      </c>
      <c r="BS17">
        <v>9</v>
      </c>
      <c r="BT17">
        <v>31</v>
      </c>
      <c r="BU17">
        <v>31</v>
      </c>
      <c r="BV17" s="6">
        <v>7.6</v>
      </c>
      <c r="BW17" s="7">
        <v>195</v>
      </c>
      <c r="BX17" s="7" t="s">
        <v>179</v>
      </c>
      <c r="BY17">
        <v>428</v>
      </c>
      <c r="BZ17">
        <v>988</v>
      </c>
      <c r="CA17">
        <v>458</v>
      </c>
      <c r="CB17">
        <v>1021</v>
      </c>
    </row>
    <row r="18" spans="1:80" ht="15.6">
      <c r="A18" t="s">
        <v>197</v>
      </c>
      <c r="B18" t="s">
        <v>184</v>
      </c>
      <c r="C18" t="s">
        <v>177</v>
      </c>
      <c r="D18">
        <v>1</v>
      </c>
      <c r="E18" s="5">
        <v>51</v>
      </c>
      <c r="F18" s="4">
        <v>19.8</v>
      </c>
      <c r="G18">
        <v>142</v>
      </c>
      <c r="H18">
        <v>92</v>
      </c>
      <c r="I18">
        <v>139</v>
      </c>
      <c r="J18">
        <v>94</v>
      </c>
      <c r="K18" s="5">
        <f t="shared" si="5"/>
        <v>140.5</v>
      </c>
      <c r="L18">
        <f t="shared" si="6"/>
        <v>93</v>
      </c>
      <c r="M18" s="4">
        <v>172.3</v>
      </c>
      <c r="N18" s="4">
        <v>59.9</v>
      </c>
      <c r="O18" s="4">
        <v>74.5</v>
      </c>
      <c r="P18" s="4">
        <v>74</v>
      </c>
      <c r="Q18" s="4">
        <f t="shared" si="7"/>
        <v>74.25</v>
      </c>
      <c r="R18">
        <v>30</v>
      </c>
      <c r="S18" s="4">
        <v>69</v>
      </c>
      <c r="T18" s="7" t="s">
        <v>178</v>
      </c>
      <c r="U18" s="4">
        <v>6.5</v>
      </c>
      <c r="V18" s="4">
        <v>8</v>
      </c>
      <c r="W18" s="4">
        <v>4.5</v>
      </c>
      <c r="X18" s="4">
        <v>-4</v>
      </c>
      <c r="Y18" s="7" t="s">
        <v>179</v>
      </c>
      <c r="Z18" s="4">
        <v>2592</v>
      </c>
      <c r="AA18" s="4">
        <v>2590.5833333333335</v>
      </c>
      <c r="AB18" s="4">
        <v>2656.5</v>
      </c>
      <c r="AC18" s="4">
        <f>Z18/N18</f>
        <v>43.272120200333887</v>
      </c>
      <c r="AD18" s="4">
        <f t="shared" si="0"/>
        <v>43.248469671675018</v>
      </c>
      <c r="AE18" s="4">
        <f t="shared" si="8"/>
        <v>44.348914858096826</v>
      </c>
      <c r="AF18" s="4">
        <f t="shared" si="1"/>
        <v>15.267241379310345</v>
      </c>
      <c r="AG18" s="5">
        <f>15*60</f>
        <v>900</v>
      </c>
      <c r="AH18">
        <v>6.3</v>
      </c>
      <c r="AI18">
        <v>20</v>
      </c>
      <c r="AJ18">
        <v>19</v>
      </c>
      <c r="AK18">
        <v>174</v>
      </c>
      <c r="AL18" s="5">
        <v>3153.8333333333335</v>
      </c>
      <c r="AM18" s="4">
        <v>93.333333333333329</v>
      </c>
      <c r="AN18" s="1">
        <v>1.21</v>
      </c>
      <c r="AO18" s="5">
        <v>45.766666666666673</v>
      </c>
      <c r="AP18" s="1">
        <v>5.7</v>
      </c>
      <c r="AQ18" s="4">
        <v>3.5</v>
      </c>
      <c r="AR18" s="1">
        <f t="shared" si="2"/>
        <v>18.574958263772956</v>
      </c>
      <c r="AS18" s="1">
        <f t="shared" si="3"/>
        <v>13.931218697829717</v>
      </c>
      <c r="AT18" s="5">
        <f t="shared" si="4"/>
        <v>42.949400070769137</v>
      </c>
      <c r="AU18" s="5">
        <v>1112.6400000000001</v>
      </c>
      <c r="AV18" s="4">
        <v>965.8</v>
      </c>
      <c r="AW18" s="4">
        <v>29.64</v>
      </c>
      <c r="AX18" s="1">
        <v>0.86879999999999991</v>
      </c>
      <c r="AY18" s="4">
        <v>20.475999999999999</v>
      </c>
      <c r="AZ18" s="4">
        <f t="shared" si="9"/>
        <v>60.229885057471265</v>
      </c>
      <c r="BA18">
        <v>104.8</v>
      </c>
      <c r="BB18" s="11">
        <v>59276.804479999999</v>
      </c>
      <c r="BC18" s="11">
        <v>42628.06596</v>
      </c>
      <c r="BD18" s="11">
        <v>14230.982379999999</v>
      </c>
      <c r="BE18" s="11">
        <v>6245.3818069999998</v>
      </c>
      <c r="BG18" s="14" t="s">
        <v>179</v>
      </c>
      <c r="BH18" s="14" t="s">
        <v>179</v>
      </c>
      <c r="BI18" s="14" t="s">
        <v>179</v>
      </c>
      <c r="BJ18" s="14" t="s">
        <v>179</v>
      </c>
      <c r="BK18" s="6" t="s">
        <v>179</v>
      </c>
      <c r="BL18" s="15" t="s">
        <v>179</v>
      </c>
      <c r="BM18" s="4">
        <v>5.0999999999999996</v>
      </c>
      <c r="BN18" s="1">
        <v>0.68</v>
      </c>
      <c r="BO18" s="4">
        <v>1.8</v>
      </c>
      <c r="BP18" s="4">
        <v>3.7</v>
      </c>
      <c r="BQ18">
        <v>136</v>
      </c>
      <c r="BR18">
        <v>49</v>
      </c>
      <c r="BS18">
        <v>14</v>
      </c>
      <c r="BT18">
        <v>28</v>
      </c>
      <c r="BU18">
        <v>17</v>
      </c>
      <c r="BV18" s="6">
        <v>6</v>
      </c>
      <c r="BW18" s="7">
        <v>160</v>
      </c>
      <c r="BX18" s="7">
        <v>388</v>
      </c>
      <c r="BY18">
        <v>259</v>
      </c>
      <c r="BZ18">
        <v>975</v>
      </c>
      <c r="CA18">
        <v>250</v>
      </c>
      <c r="CB18">
        <v>902</v>
      </c>
    </row>
    <row r="19" spans="1:80" ht="15.75">
      <c r="A19" t="s">
        <v>198</v>
      </c>
      <c r="B19" t="s">
        <v>176</v>
      </c>
      <c r="C19" t="s">
        <v>177</v>
      </c>
      <c r="D19">
        <v>1</v>
      </c>
      <c r="E19" s="5">
        <v>39</v>
      </c>
      <c r="F19" s="4">
        <v>41.6</v>
      </c>
      <c r="G19">
        <v>108</v>
      </c>
      <c r="H19">
        <v>70</v>
      </c>
      <c r="I19">
        <v>122</v>
      </c>
      <c r="J19">
        <v>77</v>
      </c>
      <c r="K19" s="5">
        <f t="shared" si="5"/>
        <v>115</v>
      </c>
      <c r="L19" s="5">
        <f t="shared" si="6"/>
        <v>73.5</v>
      </c>
      <c r="M19" s="4">
        <v>173.1</v>
      </c>
      <c r="N19" s="4">
        <v>125.5</v>
      </c>
      <c r="O19" s="4">
        <v>118.7</v>
      </c>
      <c r="P19" s="4">
        <v>119.4</v>
      </c>
      <c r="Q19" s="4">
        <f t="shared" si="7"/>
        <v>119.05000000000001</v>
      </c>
      <c r="R19">
        <v>28</v>
      </c>
      <c r="S19">
        <v>31.6</v>
      </c>
      <c r="T19" s="7" t="s">
        <v>181</v>
      </c>
      <c r="U19" s="4">
        <v>5.2</v>
      </c>
      <c r="V19" s="4">
        <v>7.2</v>
      </c>
      <c r="W19" s="4">
        <v>-16</v>
      </c>
      <c r="X19" s="4">
        <v>-29.7</v>
      </c>
      <c r="Y19" s="7" t="s">
        <v>179</v>
      </c>
      <c r="Z19" s="4">
        <v>1744</v>
      </c>
      <c r="AA19" s="4">
        <v>1753.8333333333333</v>
      </c>
      <c r="AB19" s="4">
        <v>1858.1666666666667</v>
      </c>
      <c r="AC19" s="4">
        <f>Z19/N19</f>
        <v>13.896414342629482</v>
      </c>
      <c r="AD19" s="4">
        <f t="shared" si="0"/>
        <v>13.97476759628154</v>
      </c>
      <c r="AE19" s="4">
        <f t="shared" si="8"/>
        <v>14.806108897742364</v>
      </c>
      <c r="AF19" s="4">
        <f t="shared" si="1"/>
        <v>11.686582809224319</v>
      </c>
      <c r="AG19" s="5">
        <f>3*60+25</f>
        <v>205</v>
      </c>
      <c r="AH19">
        <v>3.5</v>
      </c>
      <c r="AI19">
        <v>6</v>
      </c>
      <c r="AJ19">
        <v>19</v>
      </c>
      <c r="AK19">
        <v>159</v>
      </c>
      <c r="AL19" s="5">
        <v>2068.3333333333335</v>
      </c>
      <c r="AM19" s="4">
        <v>70.166666666666671</v>
      </c>
      <c r="AN19" s="1">
        <v>1.1449999999999998</v>
      </c>
      <c r="AO19" s="5">
        <v>33.283333333333331</v>
      </c>
      <c r="AP19" s="1">
        <v>8.9600000000000009</v>
      </c>
      <c r="AQ19" s="4">
        <v>3.5</v>
      </c>
      <c r="AR19" s="1">
        <f t="shared" si="2"/>
        <v>13.851121828475572</v>
      </c>
      <c r="AS19" s="1">
        <f t="shared" si="3"/>
        <v>10.388341371356679</v>
      </c>
      <c r="AT19" s="5">
        <f t="shared" si="4"/>
        <v>99.115221294707837</v>
      </c>
      <c r="AU19" s="5">
        <v>1738.3157894736842</v>
      </c>
      <c r="AV19" s="4">
        <v>1918.0526315789473</v>
      </c>
      <c r="AW19" s="4">
        <v>66.21052631578948</v>
      </c>
      <c r="AX19" s="1">
        <v>1.1063157894736844</v>
      </c>
      <c r="AY19" s="4">
        <v>29.994736842105269</v>
      </c>
      <c r="AZ19" s="4">
        <f t="shared" si="9"/>
        <v>99.056603773584911</v>
      </c>
      <c r="BA19" s="4">
        <v>157.5</v>
      </c>
      <c r="BB19" s="11">
        <v>123884.22</v>
      </c>
      <c r="BC19" s="11">
        <v>54932.041879999997</v>
      </c>
      <c r="BD19" s="11">
        <v>66285.17254</v>
      </c>
      <c r="BE19" s="11">
        <v>39515.747750000002</v>
      </c>
      <c r="BG19" s="14">
        <v>2793.6388139999999</v>
      </c>
      <c r="BH19" s="12">
        <v>2961.2571429999998</v>
      </c>
      <c r="BI19" s="12">
        <v>2823.6868690000001</v>
      </c>
      <c r="BJ19" s="12">
        <v>2993.1080809999999</v>
      </c>
      <c r="BK19" s="4">
        <f t="shared" si="10"/>
        <v>2808.6628415</v>
      </c>
      <c r="BL19" s="10">
        <f t="shared" si="11"/>
        <v>2977.1826119999996</v>
      </c>
      <c r="BM19" s="4">
        <v>5</v>
      </c>
      <c r="BN19" s="1">
        <v>2.06</v>
      </c>
      <c r="BO19" s="4">
        <v>1</v>
      </c>
      <c r="BP19" s="4">
        <v>3.6</v>
      </c>
      <c r="BQ19">
        <v>104</v>
      </c>
      <c r="BR19">
        <v>46</v>
      </c>
      <c r="BS19">
        <v>20</v>
      </c>
      <c r="BT19">
        <v>43</v>
      </c>
      <c r="BU19">
        <v>32</v>
      </c>
      <c r="BV19" s="6" t="s">
        <v>179</v>
      </c>
      <c r="BW19" s="7">
        <v>150</v>
      </c>
      <c r="BX19" s="7">
        <v>275</v>
      </c>
      <c r="BY19">
        <v>253</v>
      </c>
      <c r="BZ19">
        <v>1339</v>
      </c>
      <c r="CA19">
        <v>258</v>
      </c>
      <c r="CB19">
        <v>1426</v>
      </c>
    </row>
    <row r="20" spans="1:80" ht="15.6">
      <c r="A20" t="s">
        <v>199</v>
      </c>
      <c r="B20" t="s">
        <v>184</v>
      </c>
      <c r="C20" t="s">
        <v>177</v>
      </c>
      <c r="D20">
        <v>2</v>
      </c>
      <c r="E20" s="5">
        <v>65</v>
      </c>
      <c r="F20" s="4">
        <v>30.6</v>
      </c>
      <c r="G20">
        <v>132</v>
      </c>
      <c r="H20">
        <v>80</v>
      </c>
      <c r="I20">
        <v>140</v>
      </c>
      <c r="J20">
        <v>83</v>
      </c>
      <c r="K20" s="5">
        <f t="shared" si="5"/>
        <v>136</v>
      </c>
      <c r="L20" s="5">
        <f t="shared" si="6"/>
        <v>81.5</v>
      </c>
      <c r="M20" s="4">
        <v>178</v>
      </c>
      <c r="N20" s="4">
        <v>98.5</v>
      </c>
      <c r="O20" s="4">
        <v>113.5</v>
      </c>
      <c r="P20" s="4">
        <v>112.6</v>
      </c>
      <c r="Q20" s="4">
        <f t="shared" si="7"/>
        <v>113.05</v>
      </c>
      <c r="R20">
        <v>51</v>
      </c>
      <c r="S20">
        <v>4.2</v>
      </c>
      <c r="T20" s="7" t="s">
        <v>181</v>
      </c>
      <c r="U20">
        <v>7.2</v>
      </c>
      <c r="V20" s="4">
        <v>8</v>
      </c>
      <c r="W20" s="7" t="s">
        <v>179</v>
      </c>
      <c r="X20" s="4">
        <v>-26</v>
      </c>
      <c r="Y20" s="5">
        <v>8</v>
      </c>
      <c r="Z20" s="4">
        <v>2618.5</v>
      </c>
      <c r="AA20" s="4">
        <v>2672.0833333333335</v>
      </c>
      <c r="AB20" s="4">
        <v>2685.1666666666665</v>
      </c>
      <c r="AC20" s="4">
        <f>Z20/N20</f>
        <v>26.583756345177665</v>
      </c>
      <c r="AD20" s="4">
        <f t="shared" si="0"/>
        <v>27.127749576988158</v>
      </c>
      <c r="AE20" s="4">
        <f t="shared" si="8"/>
        <v>27.260575296108289</v>
      </c>
      <c r="AF20" s="4">
        <f t="shared" si="1"/>
        <v>15.795098039215686</v>
      </c>
      <c r="AG20" s="5">
        <f>12.5*60</f>
        <v>750</v>
      </c>
      <c r="AH20">
        <v>4.3</v>
      </c>
      <c r="AI20">
        <v>20</v>
      </c>
      <c r="AJ20">
        <v>20</v>
      </c>
      <c r="AK20">
        <v>170</v>
      </c>
      <c r="AL20" s="5">
        <v>2740.3333333333335</v>
      </c>
      <c r="AM20" s="4">
        <v>94.166666666666671</v>
      </c>
      <c r="AN20" s="1">
        <v>1.0450000000000002</v>
      </c>
      <c r="AO20" s="5">
        <v>41.75</v>
      </c>
      <c r="AP20" s="1">
        <v>5.25</v>
      </c>
      <c r="AQ20" s="4">
        <v>3</v>
      </c>
      <c r="AR20" s="1">
        <f t="shared" si="2"/>
        <v>15.189441624365482</v>
      </c>
      <c r="AS20" s="1">
        <f t="shared" si="3"/>
        <v>11.392081218274111</v>
      </c>
      <c r="AT20" s="5">
        <f t="shared" si="4"/>
        <v>55.992265710276001</v>
      </c>
      <c r="AU20" s="5">
        <v>1496.16</v>
      </c>
      <c r="AV20" s="4">
        <v>1095.56</v>
      </c>
      <c r="AW20" s="4">
        <v>40.4</v>
      </c>
      <c r="AX20" s="1">
        <v>0.73159999999999992</v>
      </c>
      <c r="AY20" s="4">
        <v>23.875999999999994</v>
      </c>
      <c r="AZ20" s="4">
        <f t="shared" si="9"/>
        <v>70.588235294117652</v>
      </c>
      <c r="BA20">
        <v>120</v>
      </c>
      <c r="BB20" s="11">
        <v>96478.7</v>
      </c>
      <c r="BC20" s="11">
        <v>62395.290309999997</v>
      </c>
      <c r="BD20" s="11">
        <v>31412.463070000002</v>
      </c>
      <c r="BE20" s="11">
        <v>21251.014770000002</v>
      </c>
      <c r="BG20" s="12">
        <v>3151.2840449999999</v>
      </c>
      <c r="BH20" s="12">
        <v>3340.3610880000001</v>
      </c>
      <c r="BI20" s="12">
        <v>3230.97496</v>
      </c>
      <c r="BJ20" s="12">
        <v>3424.8334580000001</v>
      </c>
      <c r="BK20" s="4">
        <f t="shared" si="10"/>
        <v>3191.1295024999999</v>
      </c>
      <c r="BL20" s="10">
        <f t="shared" si="11"/>
        <v>3382.5972730000003</v>
      </c>
      <c r="BM20" s="15" t="s">
        <v>179</v>
      </c>
      <c r="BN20" s="15" t="s">
        <v>179</v>
      </c>
      <c r="BO20" s="15" t="s">
        <v>179</v>
      </c>
      <c r="BP20" s="15" t="s">
        <v>179</v>
      </c>
      <c r="BQ20">
        <v>121</v>
      </c>
      <c r="BR20">
        <v>47</v>
      </c>
      <c r="BS20">
        <v>17</v>
      </c>
      <c r="BT20">
        <v>37</v>
      </c>
      <c r="BU20">
        <v>34</v>
      </c>
      <c r="BV20" s="6">
        <v>9.9</v>
      </c>
      <c r="BW20" s="7">
        <v>260</v>
      </c>
      <c r="BX20" s="7">
        <v>616</v>
      </c>
      <c r="BY20">
        <v>419</v>
      </c>
      <c r="BZ20">
        <v>1551</v>
      </c>
      <c r="CA20">
        <v>381</v>
      </c>
      <c r="CB20">
        <v>1707</v>
      </c>
    </row>
    <row r="21" spans="1:80" ht="15.6">
      <c r="A21" t="s">
        <v>200</v>
      </c>
      <c r="B21" t="s">
        <v>184</v>
      </c>
      <c r="C21" t="s">
        <v>177</v>
      </c>
      <c r="D21">
        <v>1</v>
      </c>
      <c r="E21" s="5">
        <v>63</v>
      </c>
      <c r="F21" s="4">
        <v>22.2</v>
      </c>
      <c r="G21">
        <v>169</v>
      </c>
      <c r="H21">
        <v>93</v>
      </c>
      <c r="I21">
        <v>165</v>
      </c>
      <c r="J21">
        <v>97</v>
      </c>
      <c r="K21" s="5">
        <f t="shared" si="5"/>
        <v>167</v>
      </c>
      <c r="L21">
        <f t="shared" si="6"/>
        <v>95</v>
      </c>
      <c r="M21" s="4">
        <v>163.6</v>
      </c>
      <c r="N21" s="4">
        <v>59.3</v>
      </c>
      <c r="O21" s="4">
        <v>78.2</v>
      </c>
      <c r="P21" s="4">
        <v>78.5</v>
      </c>
      <c r="Q21" s="4">
        <f t="shared" si="7"/>
        <v>78.349999999999994</v>
      </c>
      <c r="R21" s="5">
        <v>30</v>
      </c>
      <c r="S21">
        <v>3.3</v>
      </c>
      <c r="T21" s="7" t="s">
        <v>181</v>
      </c>
      <c r="U21" s="4">
        <v>2.2000000000000002</v>
      </c>
      <c r="V21" s="4">
        <v>2.9</v>
      </c>
      <c r="W21" s="4">
        <v>3.3</v>
      </c>
      <c r="X21" s="4">
        <v>-5</v>
      </c>
      <c r="Y21" s="7" t="s">
        <v>179</v>
      </c>
      <c r="Z21" s="4">
        <v>2167.5</v>
      </c>
      <c r="AA21" s="4">
        <v>2168.5833333333335</v>
      </c>
      <c r="AB21" s="4">
        <v>2213.5</v>
      </c>
      <c r="AC21" s="4">
        <f>Z21/N21</f>
        <v>36.551433389544691</v>
      </c>
      <c r="AD21" s="4">
        <f t="shared" si="0"/>
        <v>36.569702079820125</v>
      </c>
      <c r="AE21" s="4">
        <f t="shared" si="8"/>
        <v>37.327150084317033</v>
      </c>
      <c r="AF21" s="4">
        <f t="shared" si="1"/>
        <v>13.33433734939759</v>
      </c>
      <c r="AG21" s="5">
        <f>13*60+35</f>
        <v>815</v>
      </c>
      <c r="AH21">
        <v>4.8</v>
      </c>
      <c r="AI21">
        <v>20</v>
      </c>
      <c r="AJ21">
        <v>19</v>
      </c>
      <c r="AK21">
        <v>166</v>
      </c>
      <c r="AL21" s="5">
        <v>2556.5</v>
      </c>
      <c r="AM21" s="4">
        <v>88</v>
      </c>
      <c r="AN21" s="1">
        <v>1.1633333333333333</v>
      </c>
      <c r="AO21" s="5">
        <v>53.150000000000006</v>
      </c>
      <c r="AP21" s="1">
        <v>7.86</v>
      </c>
      <c r="AQ21" s="4">
        <v>3</v>
      </c>
      <c r="AR21" s="1">
        <f t="shared" si="2"/>
        <v>18.828330522765601</v>
      </c>
      <c r="AS21" s="1">
        <f t="shared" si="3"/>
        <v>14.121247892074202</v>
      </c>
      <c r="AT21" s="5">
        <f t="shared" si="4"/>
        <v>51.486146870076468</v>
      </c>
      <c r="AU21" s="5">
        <v>1116.52</v>
      </c>
      <c r="AV21" s="4">
        <v>913.2</v>
      </c>
      <c r="AW21" s="4">
        <v>30.4</v>
      </c>
      <c r="AX21" s="1">
        <v>0.81880000000000008</v>
      </c>
      <c r="AY21" s="4">
        <v>27.228000000000005</v>
      </c>
      <c r="AZ21" s="4">
        <f t="shared" si="9"/>
        <v>61.445783132530117</v>
      </c>
      <c r="BA21">
        <v>102</v>
      </c>
      <c r="BB21" s="11">
        <v>59786.891109999997</v>
      </c>
      <c r="BC21" s="11">
        <v>36924.660900000003</v>
      </c>
      <c r="BD21" s="11">
        <v>20825.374940000002</v>
      </c>
      <c r="BE21" s="11">
        <v>9984.3160559999997</v>
      </c>
      <c r="BG21" s="12">
        <v>453.0441141</v>
      </c>
      <c r="BH21" s="12">
        <v>480.22676100000001</v>
      </c>
      <c r="BI21" s="12">
        <v>449.6834207</v>
      </c>
      <c r="BJ21" s="12">
        <v>476.66442590000003</v>
      </c>
      <c r="BK21" s="4">
        <f t="shared" si="10"/>
        <v>451.36376740000003</v>
      </c>
      <c r="BL21" s="10">
        <f t="shared" si="11"/>
        <v>478.44559345000005</v>
      </c>
      <c r="BM21" s="4">
        <v>4.7</v>
      </c>
      <c r="BN21" s="1">
        <v>1.01</v>
      </c>
      <c r="BO21" s="1">
        <v>2.1</v>
      </c>
      <c r="BP21" s="1">
        <v>3.3</v>
      </c>
      <c r="BQ21">
        <v>133</v>
      </c>
      <c r="BR21">
        <v>52</v>
      </c>
      <c r="BS21">
        <v>17</v>
      </c>
      <c r="BT21">
        <v>33</v>
      </c>
      <c r="BU21">
        <v>25</v>
      </c>
      <c r="BV21" s="4">
        <v>8.6999999999999993</v>
      </c>
      <c r="BW21">
        <v>145</v>
      </c>
      <c r="BX21">
        <v>568</v>
      </c>
      <c r="BY21">
        <v>268</v>
      </c>
      <c r="BZ21">
        <v>761</v>
      </c>
      <c r="CA21">
        <v>263</v>
      </c>
      <c r="CB21">
        <v>738</v>
      </c>
    </row>
    <row r="22" spans="1:80" ht="15.6">
      <c r="A22" t="s">
        <v>201</v>
      </c>
      <c r="B22" t="s">
        <v>176</v>
      </c>
      <c r="C22" t="s">
        <v>177</v>
      </c>
      <c r="D22">
        <v>2</v>
      </c>
      <c r="E22" s="5">
        <v>55</v>
      </c>
      <c r="F22" s="4">
        <v>29.3</v>
      </c>
      <c r="G22">
        <v>126</v>
      </c>
      <c r="H22">
        <v>82</v>
      </c>
      <c r="I22">
        <v>124</v>
      </c>
      <c r="J22">
        <v>78</v>
      </c>
      <c r="K22" s="5">
        <f t="shared" si="5"/>
        <v>125</v>
      </c>
      <c r="L22">
        <f t="shared" si="6"/>
        <v>80</v>
      </c>
      <c r="M22" s="4">
        <v>175.5</v>
      </c>
      <c r="N22" s="4">
        <v>91.7</v>
      </c>
      <c r="O22" s="4">
        <v>107.5</v>
      </c>
      <c r="P22" s="4">
        <v>107.9</v>
      </c>
      <c r="Q22" s="4">
        <f t="shared" si="7"/>
        <v>107.7</v>
      </c>
      <c r="R22">
        <v>29</v>
      </c>
      <c r="S22">
        <v>5.7</v>
      </c>
      <c r="T22" s="7" t="s">
        <v>181</v>
      </c>
      <c r="U22" s="4">
        <v>-17.5</v>
      </c>
      <c r="V22" s="4">
        <v>-15.5</v>
      </c>
      <c r="W22" s="4">
        <v>-49.5</v>
      </c>
      <c r="X22" s="4">
        <v>-60</v>
      </c>
      <c r="Y22" s="7" t="s">
        <v>179</v>
      </c>
      <c r="Z22" s="4">
        <v>2703.5</v>
      </c>
      <c r="AA22" s="4">
        <v>2634.5833333333335</v>
      </c>
      <c r="AB22" s="4">
        <v>2726.0833333333335</v>
      </c>
      <c r="AC22" s="4">
        <f>Z22/N22</f>
        <v>29.482006543075244</v>
      </c>
      <c r="AD22" s="4">
        <f t="shared" si="0"/>
        <v>28.730461650308978</v>
      </c>
      <c r="AE22" s="4">
        <f t="shared" si="8"/>
        <v>29.728280625227193</v>
      </c>
      <c r="AF22" s="4">
        <f t="shared" si="1"/>
        <v>18.93113425925926</v>
      </c>
      <c r="AG22" s="5">
        <f>12*60</f>
        <v>720</v>
      </c>
      <c r="AH22">
        <v>3.8</v>
      </c>
      <c r="AI22">
        <v>20</v>
      </c>
      <c r="AJ22">
        <v>17</v>
      </c>
      <c r="AK22">
        <v>144</v>
      </c>
      <c r="AL22" s="5">
        <v>2801.1666666666665</v>
      </c>
      <c r="AM22" s="4">
        <v>78.666666666666671</v>
      </c>
      <c r="AN22" s="1">
        <v>1.0549999999999999</v>
      </c>
      <c r="AO22" s="5">
        <v>30.3</v>
      </c>
      <c r="AP22" s="1">
        <v>3.52</v>
      </c>
      <c r="AQ22" s="4">
        <v>3</v>
      </c>
      <c r="AR22" s="1">
        <f t="shared" si="2"/>
        <v>15.236641221374045</v>
      </c>
      <c r="AS22" s="1">
        <f t="shared" si="3"/>
        <v>11.427480916030534</v>
      </c>
      <c r="AT22" s="5">
        <f t="shared" si="4"/>
        <v>53.033053930096472</v>
      </c>
      <c r="AU22" s="5">
        <v>1397.2</v>
      </c>
      <c r="AV22" s="4">
        <v>1073.52</v>
      </c>
      <c r="AW22" s="4">
        <v>34</v>
      </c>
      <c r="AX22" s="1">
        <v>0.76880000000000015</v>
      </c>
      <c r="AY22" s="4">
        <v>20.227999999999998</v>
      </c>
      <c r="AZ22" s="4">
        <f t="shared" si="9"/>
        <v>65.972222222222214</v>
      </c>
      <c r="BA22" s="4">
        <v>95</v>
      </c>
      <c r="BB22" s="11">
        <v>90898.37</v>
      </c>
      <c r="BC22" s="11">
        <v>57312.592349999999</v>
      </c>
      <c r="BD22" s="11">
        <v>30492.426530000001</v>
      </c>
      <c r="BE22" s="11">
        <v>20830.70894</v>
      </c>
      <c r="BG22" s="12">
        <v>2524.4021339999999</v>
      </c>
      <c r="BH22" s="12">
        <v>2675.866262</v>
      </c>
      <c r="BI22" s="12">
        <v>2528.0966979999998</v>
      </c>
      <c r="BJ22" s="12">
        <v>2679.7824999999998</v>
      </c>
      <c r="BK22" s="4">
        <f t="shared" si="10"/>
        <v>2526.2494159999997</v>
      </c>
      <c r="BL22" s="10">
        <f t="shared" si="11"/>
        <v>2677.8243809999999</v>
      </c>
      <c r="BM22" s="4">
        <v>7.7</v>
      </c>
      <c r="BN22" s="1">
        <v>0.66</v>
      </c>
      <c r="BO22" s="1">
        <v>1.1000000000000001</v>
      </c>
      <c r="BP22" s="1">
        <v>2.4</v>
      </c>
      <c r="BQ22">
        <v>119</v>
      </c>
      <c r="BR22">
        <v>43</v>
      </c>
      <c r="BS22">
        <v>5</v>
      </c>
      <c r="BT22">
        <v>11</v>
      </c>
      <c r="BU22">
        <v>7</v>
      </c>
      <c r="BV22" s="4">
        <v>8</v>
      </c>
      <c r="BW22">
        <v>250</v>
      </c>
      <c r="BX22">
        <v>294</v>
      </c>
      <c r="BY22">
        <v>264</v>
      </c>
      <c r="BZ22">
        <v>1098</v>
      </c>
      <c r="CA22">
        <v>293</v>
      </c>
      <c r="CB22">
        <v>1186</v>
      </c>
    </row>
    <row r="23" spans="1:80" ht="15.6">
      <c r="A23" t="s">
        <v>202</v>
      </c>
      <c r="B23" t="s">
        <v>184</v>
      </c>
      <c r="C23" t="s">
        <v>177</v>
      </c>
      <c r="D23">
        <v>2</v>
      </c>
      <c r="E23" s="5">
        <v>29</v>
      </c>
      <c r="F23" s="4">
        <v>24.2</v>
      </c>
      <c r="G23">
        <v>147</v>
      </c>
      <c r="H23">
        <v>91</v>
      </c>
      <c r="I23">
        <v>151</v>
      </c>
      <c r="J23">
        <v>86</v>
      </c>
      <c r="K23" s="5">
        <f t="shared" si="5"/>
        <v>149</v>
      </c>
      <c r="L23" s="5">
        <f t="shared" si="6"/>
        <v>88.5</v>
      </c>
      <c r="M23" s="4">
        <v>195.8</v>
      </c>
      <c r="N23" s="4">
        <v>93.7</v>
      </c>
      <c r="O23" s="4">
        <v>89.2</v>
      </c>
      <c r="P23" s="4">
        <v>89.5</v>
      </c>
      <c r="Q23" s="4">
        <f t="shared" si="7"/>
        <v>89.35</v>
      </c>
      <c r="R23">
        <v>58</v>
      </c>
      <c r="S23">
        <v>87.3</v>
      </c>
      <c r="T23" s="7" t="s">
        <v>178</v>
      </c>
      <c r="U23" s="4">
        <v>27.3</v>
      </c>
      <c r="V23" s="4">
        <v>24.5</v>
      </c>
      <c r="W23" s="4">
        <v>19.5</v>
      </c>
      <c r="X23" s="4">
        <v>15</v>
      </c>
      <c r="Y23" s="7" t="s">
        <v>179</v>
      </c>
      <c r="Z23" s="4">
        <v>4555</v>
      </c>
      <c r="AA23" s="4">
        <v>4567.083333333333</v>
      </c>
      <c r="AB23" s="4">
        <v>4589.833333333333</v>
      </c>
      <c r="AC23" s="4">
        <f>Z23/N23</f>
        <v>48.612593383137671</v>
      </c>
      <c r="AD23" s="4">
        <f t="shared" si="0"/>
        <v>48.741551049448589</v>
      </c>
      <c r="AE23" s="4">
        <f t="shared" si="8"/>
        <v>48.984347207399495</v>
      </c>
      <c r="AF23" s="4">
        <f t="shared" si="1"/>
        <v>24.157017543859649</v>
      </c>
      <c r="AG23" s="5">
        <f>16.5*60</f>
        <v>990</v>
      </c>
      <c r="AH23">
        <v>7.3</v>
      </c>
      <c r="AI23">
        <v>20</v>
      </c>
      <c r="AJ23">
        <v>19</v>
      </c>
      <c r="AK23">
        <v>190</v>
      </c>
      <c r="AL23" s="5">
        <v>5631.5</v>
      </c>
      <c r="AM23" s="4">
        <v>180.83333333333334</v>
      </c>
      <c r="AN23" s="1">
        <v>1.2666666666666668</v>
      </c>
      <c r="AO23" s="5">
        <v>44.916666666666664</v>
      </c>
      <c r="AP23" s="1">
        <v>10.210000000000001</v>
      </c>
      <c r="AQ23" s="4">
        <v>3.5</v>
      </c>
      <c r="AR23" s="1">
        <f t="shared" si="2"/>
        <v>16.713340448239059</v>
      </c>
      <c r="AS23" s="1">
        <f t="shared" si="3"/>
        <v>12.535005336179294</v>
      </c>
      <c r="AT23" s="5">
        <f t="shared" si="4"/>
        <v>34.289718091415018</v>
      </c>
      <c r="AU23" s="5">
        <v>1566.04</v>
      </c>
      <c r="AV23" s="4">
        <v>1228.76</v>
      </c>
      <c r="AW23" s="4">
        <v>39.76</v>
      </c>
      <c r="AX23" s="1">
        <v>0.78599999999999992</v>
      </c>
      <c r="AY23" s="4">
        <v>25.644000000000002</v>
      </c>
      <c r="AZ23" s="4">
        <f t="shared" si="9"/>
        <v>59.15789473684211</v>
      </c>
      <c r="BA23">
        <v>112.4</v>
      </c>
      <c r="BB23" s="11">
        <v>93561.912110000005</v>
      </c>
      <c r="BC23" s="11">
        <v>69720.493180000005</v>
      </c>
      <c r="BD23" s="11">
        <v>20244.297640000001</v>
      </c>
      <c r="BE23" s="11">
        <v>10663.689990000001</v>
      </c>
      <c r="BG23" s="12">
        <v>788.06443630000001</v>
      </c>
      <c r="BH23" s="12">
        <v>835.34830250000005</v>
      </c>
      <c r="BI23" s="12">
        <v>789.38840640000001</v>
      </c>
      <c r="BJ23" s="12">
        <v>836.75171079999996</v>
      </c>
      <c r="BK23" s="4">
        <f t="shared" si="10"/>
        <v>788.72642135000001</v>
      </c>
      <c r="BL23" s="10">
        <f t="shared" si="11"/>
        <v>836.05000665</v>
      </c>
      <c r="BM23" s="4">
        <v>5.4</v>
      </c>
      <c r="BN23" s="1">
        <v>1.9</v>
      </c>
      <c r="BO23" s="1">
        <v>0.9</v>
      </c>
      <c r="BP23" s="1">
        <v>2.8</v>
      </c>
      <c r="BQ23">
        <v>118</v>
      </c>
      <c r="BR23">
        <v>39</v>
      </c>
      <c r="BS23">
        <v>5</v>
      </c>
      <c r="BT23">
        <v>14</v>
      </c>
      <c r="BU23">
        <v>9</v>
      </c>
      <c r="BV23" s="4">
        <v>7.5</v>
      </c>
      <c r="BW23">
        <v>390</v>
      </c>
      <c r="BX23">
        <v>855</v>
      </c>
      <c r="BY23">
        <v>850</v>
      </c>
      <c r="BZ23">
        <v>2113</v>
      </c>
      <c r="CA23">
        <v>905</v>
      </c>
      <c r="CB23">
        <v>2049</v>
      </c>
    </row>
    <row r="24" spans="1:80" ht="15.6">
      <c r="A24" t="s">
        <v>203</v>
      </c>
      <c r="B24" t="s">
        <v>176</v>
      </c>
      <c r="C24" t="s">
        <v>177</v>
      </c>
      <c r="D24">
        <v>1</v>
      </c>
      <c r="E24" s="5">
        <v>56</v>
      </c>
      <c r="F24" s="4">
        <v>26.5</v>
      </c>
      <c r="G24">
        <v>118</v>
      </c>
      <c r="H24">
        <v>75</v>
      </c>
      <c r="I24">
        <v>110</v>
      </c>
      <c r="J24">
        <v>74</v>
      </c>
      <c r="K24" s="5">
        <f t="shared" si="5"/>
        <v>114</v>
      </c>
      <c r="L24" s="5">
        <f t="shared" si="6"/>
        <v>74.5</v>
      </c>
      <c r="M24" s="4">
        <v>174.4</v>
      </c>
      <c r="N24" s="4">
        <v>82.4</v>
      </c>
      <c r="O24" s="4">
        <v>90.5</v>
      </c>
      <c r="P24" s="4">
        <v>90.6</v>
      </c>
      <c r="Q24" s="4">
        <f t="shared" si="7"/>
        <v>90.55</v>
      </c>
      <c r="R24" s="5">
        <v>25</v>
      </c>
      <c r="S24">
        <v>18.8</v>
      </c>
      <c r="T24" s="7" t="s">
        <v>181</v>
      </c>
      <c r="U24" s="4">
        <v>-14.7</v>
      </c>
      <c r="V24" s="4">
        <v>-18</v>
      </c>
      <c r="W24" s="4">
        <v>3.4</v>
      </c>
      <c r="X24" s="4">
        <v>-21</v>
      </c>
      <c r="Y24" s="7" t="s">
        <v>179</v>
      </c>
      <c r="Z24" s="4">
        <v>2028</v>
      </c>
      <c r="AA24" s="4">
        <v>2049.3333333333335</v>
      </c>
      <c r="AB24" s="4">
        <v>2080.5</v>
      </c>
      <c r="AC24" s="4">
        <f>Z24/N24</f>
        <v>24.61165048543689</v>
      </c>
      <c r="AD24" s="4">
        <f t="shared" si="0"/>
        <v>24.870550161812297</v>
      </c>
      <c r="AE24" s="4">
        <f t="shared" si="8"/>
        <v>25.248786407766989</v>
      </c>
      <c r="AF24" s="4">
        <f t="shared" si="1"/>
        <v>12.095930232558139</v>
      </c>
      <c r="AG24" s="5">
        <f>10.5*60+5</f>
        <v>635</v>
      </c>
      <c r="AH24">
        <v>3.8</v>
      </c>
      <c r="AI24">
        <v>18</v>
      </c>
      <c r="AJ24">
        <v>17</v>
      </c>
      <c r="AK24">
        <v>172</v>
      </c>
      <c r="AL24" s="5">
        <v>2077.8333333333335</v>
      </c>
      <c r="AM24" s="4">
        <v>69.833333333333329</v>
      </c>
      <c r="AN24" s="1">
        <v>1.1050000000000002</v>
      </c>
      <c r="AO24" s="5">
        <v>34.249999999999993</v>
      </c>
      <c r="AP24" s="1">
        <v>6.92</v>
      </c>
      <c r="AQ24" s="4">
        <v>3</v>
      </c>
      <c r="AR24" s="1">
        <f t="shared" si="2"/>
        <v>13.089320388349513</v>
      </c>
      <c r="AS24" s="1">
        <f t="shared" si="3"/>
        <v>9.816990291262135</v>
      </c>
      <c r="AT24" s="5">
        <f t="shared" si="4"/>
        <v>52.629798308392971</v>
      </c>
      <c r="AU24" s="5">
        <v>1078.56</v>
      </c>
      <c r="AV24" s="4">
        <v>902.64</v>
      </c>
      <c r="AW24" s="4">
        <v>32.64</v>
      </c>
      <c r="AX24" s="1">
        <v>0.8368000000000001</v>
      </c>
      <c r="AY24" s="4">
        <v>21.588000000000001</v>
      </c>
      <c r="AZ24" s="4">
        <f t="shared" si="9"/>
        <v>65.813953488372093</v>
      </c>
      <c r="BA24" s="4">
        <v>113.2</v>
      </c>
      <c r="BB24" s="11">
        <v>81656.970499999996</v>
      </c>
      <c r="BC24" s="11">
        <v>42701.58</v>
      </c>
      <c r="BD24" s="11">
        <v>36622.86</v>
      </c>
      <c r="BE24" s="11">
        <v>19029.759999999998</v>
      </c>
      <c r="BG24" s="12">
        <v>1289.6793729999999</v>
      </c>
      <c r="BH24" s="12">
        <v>1367.0601360000001</v>
      </c>
      <c r="BI24" s="12">
        <v>1316.524026</v>
      </c>
      <c r="BJ24" s="12">
        <v>1395.5154669999999</v>
      </c>
      <c r="BK24" s="4">
        <f t="shared" si="10"/>
        <v>1303.1016995</v>
      </c>
      <c r="BL24" s="10">
        <f t="shared" si="11"/>
        <v>1381.2878015000001</v>
      </c>
      <c r="BM24" s="4">
        <v>4.8</v>
      </c>
      <c r="BN24" s="1">
        <v>2.95</v>
      </c>
      <c r="BO24" s="1">
        <v>1.2</v>
      </c>
      <c r="BP24" s="1">
        <v>5</v>
      </c>
      <c r="BQ24">
        <v>100</v>
      </c>
      <c r="BR24">
        <v>23</v>
      </c>
      <c r="BS24">
        <v>8</v>
      </c>
      <c r="BT24">
        <v>33</v>
      </c>
      <c r="BU24">
        <v>40</v>
      </c>
      <c r="BV24" s="4">
        <v>7.4</v>
      </c>
      <c r="BW24">
        <v>170</v>
      </c>
      <c r="BX24">
        <v>789</v>
      </c>
      <c r="BY24">
        <v>330</v>
      </c>
      <c r="BZ24">
        <v>909</v>
      </c>
      <c r="CA24">
        <v>358</v>
      </c>
      <c r="CB24">
        <v>949</v>
      </c>
    </row>
    <row r="25" spans="1:80" ht="15.6">
      <c r="A25" t="s">
        <v>204</v>
      </c>
      <c r="B25" t="s">
        <v>176</v>
      </c>
      <c r="C25" t="s">
        <v>177</v>
      </c>
      <c r="D25">
        <v>1</v>
      </c>
      <c r="E25" s="5">
        <v>45</v>
      </c>
      <c r="F25" s="4">
        <v>33.200000000000003</v>
      </c>
      <c r="G25">
        <v>164</v>
      </c>
      <c r="H25">
        <v>117</v>
      </c>
      <c r="I25">
        <v>156</v>
      </c>
      <c r="J25">
        <v>106</v>
      </c>
      <c r="K25" s="5">
        <f t="shared" si="5"/>
        <v>160</v>
      </c>
      <c r="L25" s="5">
        <f t="shared" si="6"/>
        <v>111.5</v>
      </c>
      <c r="M25" s="4">
        <v>177.4</v>
      </c>
      <c r="N25" s="4">
        <v>104.7</v>
      </c>
      <c r="O25" s="4">
        <v>111.5</v>
      </c>
      <c r="P25" s="4">
        <v>111.3</v>
      </c>
      <c r="Q25" s="4">
        <f t="shared" si="7"/>
        <v>111.4</v>
      </c>
      <c r="R25" s="5">
        <v>35</v>
      </c>
      <c r="S25">
        <v>52.5</v>
      </c>
      <c r="T25" s="7" t="s">
        <v>181</v>
      </c>
      <c r="U25">
        <v>1.8</v>
      </c>
      <c r="V25">
        <v>1.7</v>
      </c>
      <c r="W25">
        <v>-2.8</v>
      </c>
      <c r="X25">
        <v>-9.5</v>
      </c>
      <c r="Y25" s="7" t="s">
        <v>179</v>
      </c>
      <c r="Z25" s="4">
        <v>2871.5</v>
      </c>
      <c r="AA25" s="4">
        <v>2884.1666666666665</v>
      </c>
      <c r="AB25" s="4">
        <v>2952</v>
      </c>
      <c r="AC25" s="4">
        <f>Z25/N25</f>
        <v>27.425978987583573</v>
      </c>
      <c r="AD25" s="4">
        <f t="shared" si="0"/>
        <v>27.54695956701687</v>
      </c>
      <c r="AE25" s="4">
        <f t="shared" si="8"/>
        <v>28.194842406876791</v>
      </c>
      <c r="AF25" s="4">
        <f t="shared" si="1"/>
        <v>15.061224489795919</v>
      </c>
      <c r="AG25" s="5">
        <f>10*60+15</f>
        <v>615</v>
      </c>
      <c r="AH25">
        <v>4.8</v>
      </c>
      <c r="AI25">
        <v>16</v>
      </c>
      <c r="AJ25">
        <v>19</v>
      </c>
      <c r="AK25">
        <v>196</v>
      </c>
      <c r="AL25" s="5">
        <v>3779.3333333333335</v>
      </c>
      <c r="AM25" s="4">
        <v>123.66666666666667</v>
      </c>
      <c r="AN25" s="1">
        <v>1.3233333333333333</v>
      </c>
      <c r="AO25" s="5">
        <v>43.04999999999999</v>
      </c>
      <c r="AP25" s="1">
        <v>9.8800000000000008</v>
      </c>
      <c r="AQ25" s="4">
        <v>3.5</v>
      </c>
      <c r="AR25" s="1">
        <f t="shared" si="2"/>
        <v>16.494746895893027</v>
      </c>
      <c r="AS25" s="1">
        <f t="shared" si="3"/>
        <v>12.371060171919769</v>
      </c>
      <c r="AT25" s="5">
        <f t="shared" si="4"/>
        <v>59.878647789656171</v>
      </c>
      <c r="AU25" s="5">
        <v>1727</v>
      </c>
      <c r="AV25" s="4">
        <v>1377.4</v>
      </c>
      <c r="AW25" s="4">
        <v>45.52</v>
      </c>
      <c r="AX25" s="1">
        <v>0.7971999999999998</v>
      </c>
      <c r="AY25" s="4">
        <v>25.148000000000003</v>
      </c>
      <c r="AZ25" s="4">
        <f t="shared" si="9"/>
        <v>65.306122448979593</v>
      </c>
      <c r="BA25" s="4">
        <v>128</v>
      </c>
      <c r="BB25" s="11">
        <v>105626.26</v>
      </c>
      <c r="BC25" s="11">
        <v>57566.921260000003</v>
      </c>
      <c r="BD25" s="11">
        <v>44951.877560000001</v>
      </c>
      <c r="BE25" s="11">
        <v>26329.804789999998</v>
      </c>
      <c r="BG25" s="12">
        <v>2225.8784810000002</v>
      </c>
      <c r="BH25" s="12">
        <v>2359.4311899999998</v>
      </c>
      <c r="BI25" s="12">
        <v>2297.4173660000001</v>
      </c>
      <c r="BJ25" s="12">
        <v>2435.2624080000001</v>
      </c>
      <c r="BK25" s="4">
        <f t="shared" si="10"/>
        <v>2261.6479235000002</v>
      </c>
      <c r="BL25" s="10">
        <f t="shared" si="11"/>
        <v>2397.3467989999999</v>
      </c>
      <c r="BM25" s="4">
        <v>5.2</v>
      </c>
      <c r="BN25" s="1">
        <v>1.1599999999999999</v>
      </c>
      <c r="BO25" s="1">
        <v>1.3</v>
      </c>
      <c r="BP25" s="1">
        <v>3.2</v>
      </c>
      <c r="BQ25">
        <v>118</v>
      </c>
      <c r="BR25">
        <v>26</v>
      </c>
      <c r="BS25">
        <v>10</v>
      </c>
      <c r="BT25">
        <v>39</v>
      </c>
      <c r="BU25">
        <v>44</v>
      </c>
      <c r="BV25" s="17">
        <v>7.2</v>
      </c>
      <c r="BW25">
        <v>245</v>
      </c>
      <c r="BX25">
        <v>412</v>
      </c>
      <c r="BY25">
        <v>418</v>
      </c>
      <c r="BZ25">
        <v>1541</v>
      </c>
      <c r="CA25">
        <v>396</v>
      </c>
      <c r="CB25">
        <v>1423</v>
      </c>
    </row>
    <row r="26" spans="1:80" ht="15.6">
      <c r="A26" t="s">
        <v>205</v>
      </c>
      <c r="B26" t="s">
        <v>184</v>
      </c>
      <c r="C26" t="s">
        <v>177</v>
      </c>
      <c r="D26">
        <v>2</v>
      </c>
      <c r="E26" s="5">
        <v>61</v>
      </c>
      <c r="F26" s="4">
        <v>25</v>
      </c>
      <c r="G26">
        <v>173</v>
      </c>
      <c r="H26">
        <v>80</v>
      </c>
      <c r="I26">
        <v>160</v>
      </c>
      <c r="J26">
        <v>94</v>
      </c>
      <c r="K26" s="5">
        <f t="shared" si="5"/>
        <v>166.5</v>
      </c>
      <c r="L26">
        <f t="shared" si="6"/>
        <v>87</v>
      </c>
      <c r="M26" s="4">
        <v>177.4</v>
      </c>
      <c r="N26" s="4">
        <v>80.2</v>
      </c>
      <c r="O26" s="4">
        <v>89</v>
      </c>
      <c r="P26" s="4">
        <v>88.5</v>
      </c>
      <c r="Q26" s="4">
        <f t="shared" si="7"/>
        <v>88.75</v>
      </c>
      <c r="R26" s="5">
        <v>53</v>
      </c>
      <c r="S26" s="4">
        <v>65</v>
      </c>
      <c r="T26" s="7" t="s">
        <v>178</v>
      </c>
      <c r="U26" s="4">
        <v>8</v>
      </c>
      <c r="V26" s="4">
        <v>8.5</v>
      </c>
      <c r="W26" s="4">
        <v>7.5</v>
      </c>
      <c r="X26" s="4">
        <v>3.5</v>
      </c>
      <c r="Y26" s="7" t="s">
        <v>179</v>
      </c>
      <c r="Z26" s="4">
        <v>2983</v>
      </c>
      <c r="AA26" s="4">
        <v>2987.75</v>
      </c>
      <c r="AB26" s="4">
        <v>3086.1666666666665</v>
      </c>
      <c r="AC26" s="4">
        <f>Z26/N26</f>
        <v>37.19451371571072</v>
      </c>
      <c r="AD26" s="4">
        <f t="shared" si="0"/>
        <v>37.253740648379051</v>
      </c>
      <c r="AE26" s="4">
        <f t="shared" si="8"/>
        <v>38.480881130507065</v>
      </c>
      <c r="AF26" s="6" t="s">
        <v>179</v>
      </c>
      <c r="AG26" s="5">
        <f>14*60+5</f>
        <v>845</v>
      </c>
      <c r="AH26">
        <v>4.8</v>
      </c>
      <c r="AI26">
        <v>20</v>
      </c>
      <c r="AJ26">
        <v>20</v>
      </c>
      <c r="AK26" s="7" t="s">
        <v>179</v>
      </c>
      <c r="AL26" s="5">
        <v>4053</v>
      </c>
      <c r="AM26" s="4">
        <v>157.5</v>
      </c>
      <c r="AN26" s="1">
        <v>1.3350000000000002</v>
      </c>
      <c r="AO26" s="5">
        <v>65.95</v>
      </c>
      <c r="AP26" s="1">
        <v>9.93</v>
      </c>
      <c r="AQ26" s="4">
        <v>3</v>
      </c>
      <c r="AR26" s="1">
        <f t="shared" si="2"/>
        <v>16.990024937655857</v>
      </c>
      <c r="AS26" s="1">
        <f t="shared" si="3"/>
        <v>12.742518703241892</v>
      </c>
      <c r="AT26" s="5">
        <f t="shared" si="4"/>
        <v>45.606225420466906</v>
      </c>
      <c r="AU26" s="5">
        <v>1362.6</v>
      </c>
      <c r="AV26" s="4">
        <v>1215.44</v>
      </c>
      <c r="AW26" s="4">
        <v>40.68</v>
      </c>
      <c r="AX26" s="1">
        <v>0.89439999999999997</v>
      </c>
      <c r="AY26" s="4">
        <v>22.772000000000002</v>
      </c>
      <c r="AZ26" s="6" t="s">
        <v>179</v>
      </c>
      <c r="BA26" s="7" t="s">
        <v>179</v>
      </c>
      <c r="BB26" s="11">
        <v>79257.789980000001</v>
      </c>
      <c r="BC26" s="11">
        <v>54357.578750000001</v>
      </c>
      <c r="BD26" s="11">
        <v>21705.344450000001</v>
      </c>
      <c r="BE26" s="11">
        <v>12077.385469999999</v>
      </c>
      <c r="BG26" s="12">
        <v>1075.8862750000001</v>
      </c>
      <c r="BH26" s="12">
        <v>1140.4394520000001</v>
      </c>
      <c r="BI26" s="12">
        <v>1106.25659</v>
      </c>
      <c r="BJ26" s="12">
        <v>1172.6319860000001</v>
      </c>
      <c r="BK26" s="4">
        <f t="shared" si="10"/>
        <v>1091.0714324999999</v>
      </c>
      <c r="BL26" s="10">
        <f t="shared" si="11"/>
        <v>1156.535719</v>
      </c>
      <c r="BM26" s="4">
        <v>5.4</v>
      </c>
      <c r="BN26" s="1">
        <v>0.66</v>
      </c>
      <c r="BO26" s="4">
        <v>1.6</v>
      </c>
      <c r="BP26" s="4">
        <v>3.9</v>
      </c>
      <c r="BQ26">
        <v>123</v>
      </c>
      <c r="BR26">
        <v>38</v>
      </c>
      <c r="BS26">
        <v>9</v>
      </c>
      <c r="BT26">
        <v>24</v>
      </c>
      <c r="BU26">
        <v>15</v>
      </c>
      <c r="BV26" s="4">
        <v>7.2</v>
      </c>
      <c r="BW26">
        <v>280</v>
      </c>
      <c r="BX26">
        <v>589</v>
      </c>
      <c r="BY26">
        <v>480</v>
      </c>
      <c r="BZ26">
        <v>1326</v>
      </c>
      <c r="CA26">
        <v>460</v>
      </c>
      <c r="CB26">
        <v>1312</v>
      </c>
    </row>
    <row r="27" spans="1:80" ht="15.6">
      <c r="A27" t="s">
        <v>206</v>
      </c>
      <c r="B27" t="s">
        <v>184</v>
      </c>
      <c r="C27" t="s">
        <v>177</v>
      </c>
      <c r="D27">
        <v>1</v>
      </c>
      <c r="E27" s="5">
        <v>66</v>
      </c>
      <c r="F27" s="4">
        <v>26.6</v>
      </c>
      <c r="G27">
        <v>161</v>
      </c>
      <c r="H27">
        <v>85</v>
      </c>
      <c r="I27">
        <v>147</v>
      </c>
      <c r="J27">
        <v>79</v>
      </c>
      <c r="K27" s="5">
        <f t="shared" si="5"/>
        <v>154</v>
      </c>
      <c r="L27">
        <f t="shared" si="6"/>
        <v>82</v>
      </c>
      <c r="M27" s="4">
        <v>168.5</v>
      </c>
      <c r="N27" s="4">
        <v>75.599999999999994</v>
      </c>
      <c r="O27" s="4">
        <v>85</v>
      </c>
      <c r="P27" s="4">
        <v>85</v>
      </c>
      <c r="Q27" s="4">
        <f t="shared" si="7"/>
        <v>85</v>
      </c>
      <c r="R27" s="5">
        <v>21</v>
      </c>
      <c r="S27" s="4">
        <v>66</v>
      </c>
      <c r="T27" s="7" t="s">
        <v>178</v>
      </c>
      <c r="U27" s="4">
        <v>8</v>
      </c>
      <c r="V27" s="4">
        <v>11.5</v>
      </c>
      <c r="W27" s="4">
        <v>0</v>
      </c>
      <c r="X27" s="4">
        <v>-12</v>
      </c>
      <c r="Y27">
        <v>12</v>
      </c>
      <c r="Z27" s="4">
        <v>1950</v>
      </c>
      <c r="AA27" s="4">
        <v>1938.25</v>
      </c>
      <c r="AB27" s="4">
        <v>1968.1666666666667</v>
      </c>
      <c r="AC27" s="4">
        <f>Z27/N27</f>
        <v>25.793650793650794</v>
      </c>
      <c r="AD27" s="4">
        <f t="shared" si="0"/>
        <v>25.638227513227516</v>
      </c>
      <c r="AE27" s="4">
        <f t="shared" si="8"/>
        <v>26.033950617283953</v>
      </c>
      <c r="AF27" s="4">
        <f t="shared" ref="AF27:AF63" si="12">AB27/AK27</f>
        <v>11.577450980392157</v>
      </c>
      <c r="AG27" s="5">
        <f>60*11+50</f>
        <v>710</v>
      </c>
      <c r="AH27">
        <v>3.8</v>
      </c>
      <c r="AI27">
        <v>18</v>
      </c>
      <c r="AJ27">
        <v>20</v>
      </c>
      <c r="AK27">
        <v>170</v>
      </c>
      <c r="AL27" s="5">
        <v>2318.3333333333335</v>
      </c>
      <c r="AM27" s="4">
        <v>72.333333333333329</v>
      </c>
      <c r="AN27" s="1">
        <v>1.2</v>
      </c>
      <c r="AO27" s="5">
        <v>38.099999999999994</v>
      </c>
      <c r="AP27" s="1">
        <v>5.7</v>
      </c>
      <c r="AQ27" s="4">
        <v>3</v>
      </c>
      <c r="AR27" s="1">
        <f t="shared" si="2"/>
        <v>14.352380952380953</v>
      </c>
      <c r="AS27" s="1">
        <f t="shared" si="3"/>
        <v>10.764285714285714</v>
      </c>
      <c r="AT27" s="5">
        <f t="shared" si="4"/>
        <v>55.980394685928026</v>
      </c>
      <c r="AU27" s="5">
        <v>1085.04</v>
      </c>
      <c r="AV27" s="4">
        <v>903.76</v>
      </c>
      <c r="AW27" s="4">
        <v>30.2</v>
      </c>
      <c r="AX27" s="1">
        <v>0.83279999999999987</v>
      </c>
      <c r="AY27" s="4">
        <v>21.475999999999999</v>
      </c>
      <c r="AZ27" s="4">
        <f t="shared" si="9"/>
        <v>78.35294117647058</v>
      </c>
      <c r="BA27">
        <v>133.19999999999999</v>
      </c>
      <c r="BB27" s="11">
        <v>75715.09</v>
      </c>
      <c r="BC27" s="11">
        <v>41266.961259999996</v>
      </c>
      <c r="BD27" s="11">
        <v>32618.593929999999</v>
      </c>
      <c r="BE27" s="11">
        <v>16043.331039999999</v>
      </c>
      <c r="BG27" s="12">
        <v>1141.71261</v>
      </c>
      <c r="BH27" s="12">
        <v>1210.2153659999999</v>
      </c>
      <c r="BI27" s="12">
        <v>1189.3955530000001</v>
      </c>
      <c r="BJ27" s="12">
        <v>1260.759286</v>
      </c>
      <c r="BK27" s="4">
        <f t="shared" si="10"/>
        <v>1165.5540814999999</v>
      </c>
      <c r="BL27" s="10">
        <f t="shared" si="11"/>
        <v>1235.4873259999999</v>
      </c>
      <c r="BM27" s="4">
        <v>5.8</v>
      </c>
      <c r="BN27" s="1">
        <v>0.86</v>
      </c>
      <c r="BO27" s="4">
        <v>1.5</v>
      </c>
      <c r="BP27" s="4">
        <v>3.4</v>
      </c>
      <c r="BQ27">
        <v>136</v>
      </c>
      <c r="BR27">
        <v>58</v>
      </c>
      <c r="BS27">
        <v>14</v>
      </c>
      <c r="BT27">
        <v>25</v>
      </c>
      <c r="BU27">
        <v>17</v>
      </c>
      <c r="BV27" s="4">
        <v>8.1</v>
      </c>
      <c r="BW27">
        <v>175</v>
      </c>
      <c r="BX27">
        <v>171</v>
      </c>
      <c r="BY27">
        <v>240</v>
      </c>
      <c r="BZ27">
        <v>909</v>
      </c>
      <c r="CA27">
        <v>238</v>
      </c>
      <c r="CB27">
        <v>910</v>
      </c>
    </row>
    <row r="28" spans="1:80" ht="15.6">
      <c r="A28" t="s">
        <v>207</v>
      </c>
      <c r="B28" t="s">
        <v>176</v>
      </c>
      <c r="C28" t="s">
        <v>177</v>
      </c>
      <c r="D28">
        <v>2</v>
      </c>
      <c r="E28" s="5">
        <v>27</v>
      </c>
      <c r="F28" s="4">
        <v>28.4</v>
      </c>
      <c r="G28">
        <v>111</v>
      </c>
      <c r="H28">
        <v>65</v>
      </c>
      <c r="I28">
        <v>111</v>
      </c>
      <c r="J28">
        <v>62</v>
      </c>
      <c r="K28" s="5">
        <f t="shared" si="5"/>
        <v>111</v>
      </c>
      <c r="L28" s="5">
        <f t="shared" si="6"/>
        <v>63.5</v>
      </c>
      <c r="M28" s="4">
        <v>181.2</v>
      </c>
      <c r="N28" s="4">
        <v>93.4</v>
      </c>
      <c r="O28" s="4">
        <v>102</v>
      </c>
      <c r="P28" s="4">
        <v>100.5</v>
      </c>
      <c r="Q28" s="4">
        <f t="shared" si="7"/>
        <v>101.25</v>
      </c>
      <c r="R28" s="5">
        <v>51</v>
      </c>
      <c r="S28">
        <v>68.5</v>
      </c>
      <c r="T28" s="7" t="s">
        <v>178</v>
      </c>
      <c r="U28" s="4">
        <v>-3</v>
      </c>
      <c r="V28" s="4">
        <v>-7.5</v>
      </c>
      <c r="W28" s="4">
        <v>2</v>
      </c>
      <c r="X28" s="4">
        <v>1</v>
      </c>
      <c r="Y28" s="7" t="s">
        <v>179</v>
      </c>
      <c r="Z28" s="4">
        <v>3234</v>
      </c>
      <c r="AA28" s="4">
        <v>3360.5</v>
      </c>
      <c r="AB28" s="4">
        <v>3380.6666666666665</v>
      </c>
      <c r="AC28" s="4">
        <f>Z28/N28</f>
        <v>34.62526766595289</v>
      </c>
      <c r="AD28" s="4">
        <f t="shared" si="0"/>
        <v>35.979657387580296</v>
      </c>
      <c r="AE28" s="4">
        <f t="shared" si="8"/>
        <v>36.195574589578868</v>
      </c>
      <c r="AF28" s="4">
        <f t="shared" si="12"/>
        <v>18.886405959031656</v>
      </c>
      <c r="AG28" s="5">
        <f>12*60+40</f>
        <v>760</v>
      </c>
      <c r="AH28">
        <v>5.3</v>
      </c>
      <c r="AI28">
        <v>20</v>
      </c>
      <c r="AJ28">
        <v>19</v>
      </c>
      <c r="AK28">
        <v>179</v>
      </c>
      <c r="AL28" s="5">
        <v>3994.6666666666665</v>
      </c>
      <c r="AM28" s="4">
        <v>112.66666666666667</v>
      </c>
      <c r="AN28" s="1">
        <v>1.1966666666666665</v>
      </c>
      <c r="AO28" s="5">
        <v>44.633333333333333</v>
      </c>
      <c r="AP28" s="1">
        <v>7.52</v>
      </c>
      <c r="AQ28" s="4">
        <v>3.5</v>
      </c>
      <c r="AR28" s="1">
        <f t="shared" si="2"/>
        <v>12.367880085653105</v>
      </c>
      <c r="AS28" s="1">
        <f t="shared" si="3"/>
        <v>9.2759100642398291</v>
      </c>
      <c r="AT28" s="5">
        <f t="shared" si="4"/>
        <v>34.374646629965781</v>
      </c>
      <c r="AU28" s="5">
        <v>1155.1600000000001</v>
      </c>
      <c r="AV28" s="4">
        <v>1000.2</v>
      </c>
      <c r="AW28" s="4">
        <v>32.880000000000003</v>
      </c>
      <c r="AX28" s="1">
        <v>0.8655999999999997</v>
      </c>
      <c r="AY28" s="4">
        <v>27.244</v>
      </c>
      <c r="AZ28" s="4">
        <f t="shared" si="9"/>
        <v>52.960893854748605</v>
      </c>
      <c r="BA28" s="4">
        <v>94.8</v>
      </c>
      <c r="BB28" s="11">
        <v>93997.94</v>
      </c>
      <c r="BC28" s="11">
        <v>68243.623789999998</v>
      </c>
      <c r="BD28" s="11">
        <v>22576.9139</v>
      </c>
      <c r="BE28" s="11">
        <v>12709.041380000001</v>
      </c>
      <c r="BG28" s="12">
        <v>859.04973619999998</v>
      </c>
      <c r="BH28" s="12">
        <v>910.5927203</v>
      </c>
      <c r="BI28" s="12">
        <v>904.57013979999999</v>
      </c>
      <c r="BJ28" s="12">
        <v>958.84434820000001</v>
      </c>
      <c r="BK28" s="4">
        <f t="shared" si="10"/>
        <v>881.80993799999999</v>
      </c>
      <c r="BL28" s="10">
        <f t="shared" si="11"/>
        <v>934.71853424999995</v>
      </c>
      <c r="BM28" s="4">
        <v>5.6</v>
      </c>
      <c r="BN28" s="1">
        <v>1.33</v>
      </c>
      <c r="BO28" s="4">
        <v>0.9</v>
      </c>
      <c r="BP28" s="4">
        <v>2.5</v>
      </c>
      <c r="BQ28">
        <v>102</v>
      </c>
      <c r="BR28">
        <v>45</v>
      </c>
      <c r="BS28">
        <v>7</v>
      </c>
      <c r="BT28">
        <v>15</v>
      </c>
      <c r="BU28">
        <v>1</v>
      </c>
      <c r="BV28" s="4">
        <v>6</v>
      </c>
      <c r="BW28">
        <v>225</v>
      </c>
      <c r="BX28">
        <v>977</v>
      </c>
      <c r="BY28">
        <v>472</v>
      </c>
      <c r="BZ28">
        <v>1193</v>
      </c>
      <c r="CA28">
        <v>487</v>
      </c>
      <c r="CB28">
        <v>1276</v>
      </c>
    </row>
    <row r="29" spans="1:80" ht="14.45">
      <c r="A29" t="s">
        <v>208</v>
      </c>
      <c r="B29" t="s">
        <v>184</v>
      </c>
      <c r="C29" t="s">
        <v>177</v>
      </c>
      <c r="D29">
        <v>1</v>
      </c>
      <c r="E29" s="5">
        <v>45</v>
      </c>
      <c r="F29">
        <v>29.2</v>
      </c>
      <c r="G29">
        <v>128</v>
      </c>
      <c r="H29">
        <v>92</v>
      </c>
      <c r="I29">
        <v>120</v>
      </c>
      <c r="J29">
        <v>90</v>
      </c>
      <c r="K29" s="5">
        <f t="shared" si="5"/>
        <v>124</v>
      </c>
      <c r="L29">
        <f t="shared" si="6"/>
        <v>91</v>
      </c>
      <c r="M29" s="4">
        <v>171.1</v>
      </c>
      <c r="N29" s="4">
        <v>85.8</v>
      </c>
      <c r="O29" s="4">
        <v>89.3</v>
      </c>
      <c r="P29" s="4">
        <v>90.8</v>
      </c>
      <c r="Q29" s="4">
        <f t="shared" si="7"/>
        <v>90.05</v>
      </c>
      <c r="R29">
        <v>38</v>
      </c>
      <c r="S29">
        <v>73.7</v>
      </c>
      <c r="T29" s="7" t="s">
        <v>178</v>
      </c>
      <c r="U29" s="4">
        <v>17.3</v>
      </c>
      <c r="V29" s="4">
        <v>17.8</v>
      </c>
      <c r="W29" s="4">
        <v>6.3</v>
      </c>
      <c r="X29" s="4">
        <v>2.2999999999999998</v>
      </c>
      <c r="Y29" s="7" t="s">
        <v>179</v>
      </c>
      <c r="Z29" s="4">
        <v>2729</v>
      </c>
      <c r="AA29" s="4">
        <v>2751.9166666666665</v>
      </c>
      <c r="AB29" s="4">
        <v>2843.8333333333335</v>
      </c>
      <c r="AC29" s="4">
        <f>Z29/N29</f>
        <v>31.806526806526808</v>
      </c>
      <c r="AD29" s="4">
        <f t="shared" si="0"/>
        <v>32.073620823620821</v>
      </c>
      <c r="AE29" s="4">
        <f t="shared" si="8"/>
        <v>33.144910644910645</v>
      </c>
      <c r="AF29" s="4">
        <f t="shared" si="12"/>
        <v>15.046737213403881</v>
      </c>
      <c r="AG29" s="5">
        <f>12*60</f>
        <v>720</v>
      </c>
      <c r="AH29">
        <v>4.8</v>
      </c>
      <c r="AI29">
        <v>20</v>
      </c>
      <c r="AJ29">
        <v>19</v>
      </c>
      <c r="AK29">
        <v>189</v>
      </c>
      <c r="AL29" s="5">
        <v>3413.1666666666665</v>
      </c>
      <c r="AM29" s="4">
        <v>96.333333333333329</v>
      </c>
      <c r="AN29" s="1">
        <v>1.2366666666666666</v>
      </c>
      <c r="AO29" s="5">
        <v>42.583333333333336</v>
      </c>
      <c r="AP29" s="1">
        <v>9.27</v>
      </c>
      <c r="AQ29" s="4">
        <v>3.5</v>
      </c>
      <c r="AR29" s="1">
        <f t="shared" si="2"/>
        <v>16.337529137529138</v>
      </c>
      <c r="AS29" s="1">
        <f t="shared" si="3"/>
        <v>12.253146853146854</v>
      </c>
      <c r="AT29" s="5">
        <f t="shared" si="4"/>
        <v>50.93758895315387</v>
      </c>
      <c r="AU29" s="5">
        <v>1401.76</v>
      </c>
      <c r="AV29" s="4">
        <v>1153.68</v>
      </c>
      <c r="AW29" s="4">
        <v>34.840000000000003</v>
      </c>
      <c r="AX29" s="1">
        <v>0.8248000000000002</v>
      </c>
      <c r="AY29" s="4">
        <v>22.971999999999998</v>
      </c>
      <c r="AZ29" s="4">
        <f t="shared" si="9"/>
        <v>62.010582010582013</v>
      </c>
      <c r="BA29">
        <v>117.2</v>
      </c>
      <c r="BB29" s="11">
        <v>85828.390270000004</v>
      </c>
      <c r="BC29" s="11">
        <v>48248.861250000002</v>
      </c>
      <c r="BD29" s="11">
        <v>35113.285960000001</v>
      </c>
      <c r="BE29" s="11">
        <v>16707.703570000001</v>
      </c>
      <c r="BG29" s="6" t="s">
        <v>179</v>
      </c>
      <c r="BH29" s="6" t="s">
        <v>179</v>
      </c>
      <c r="BI29" s="6" t="s">
        <v>179</v>
      </c>
      <c r="BJ29" s="6" t="s">
        <v>179</v>
      </c>
      <c r="BK29" s="6" t="s">
        <v>179</v>
      </c>
      <c r="BL29" s="13" t="s">
        <v>179</v>
      </c>
      <c r="BM29" s="4">
        <v>4.2</v>
      </c>
      <c r="BN29" s="1">
        <v>0.98</v>
      </c>
      <c r="BO29" s="4">
        <v>1.2</v>
      </c>
      <c r="BP29" s="4">
        <v>2.7</v>
      </c>
      <c r="BQ29">
        <v>109</v>
      </c>
      <c r="BR29">
        <v>34</v>
      </c>
      <c r="BS29">
        <v>17</v>
      </c>
      <c r="BT29">
        <v>49</v>
      </c>
      <c r="BU29">
        <v>39</v>
      </c>
      <c r="BV29" s="4">
        <v>6.7</v>
      </c>
      <c r="BW29">
        <v>205</v>
      </c>
      <c r="BX29">
        <v>473</v>
      </c>
      <c r="BY29">
        <v>345</v>
      </c>
      <c r="BZ29">
        <v>1332</v>
      </c>
      <c r="CA29">
        <v>341</v>
      </c>
      <c r="CB29">
        <v>1275</v>
      </c>
    </row>
    <row r="30" spans="1:80" ht="15.6">
      <c r="A30" t="s">
        <v>209</v>
      </c>
      <c r="B30" t="s">
        <v>184</v>
      </c>
      <c r="C30" t="s">
        <v>177</v>
      </c>
      <c r="D30">
        <v>2</v>
      </c>
      <c r="E30" s="5">
        <v>31</v>
      </c>
      <c r="F30" s="4">
        <v>29.9</v>
      </c>
      <c r="G30">
        <v>163</v>
      </c>
      <c r="H30">
        <v>106</v>
      </c>
      <c r="I30">
        <v>170</v>
      </c>
      <c r="J30">
        <v>99</v>
      </c>
      <c r="K30" s="5">
        <f t="shared" si="5"/>
        <v>166.5</v>
      </c>
      <c r="L30" s="5">
        <f t="shared" si="6"/>
        <v>102.5</v>
      </c>
      <c r="M30" s="4">
        <v>187.2</v>
      </c>
      <c r="N30" s="4">
        <v>106.2</v>
      </c>
      <c r="O30" s="4">
        <v>98.2</v>
      </c>
      <c r="P30" s="4">
        <v>98.2</v>
      </c>
      <c r="Q30" s="4">
        <f t="shared" si="7"/>
        <v>98.2</v>
      </c>
      <c r="R30">
        <v>59</v>
      </c>
      <c r="S30">
        <v>66.599999999999994</v>
      </c>
      <c r="T30" s="7" t="s">
        <v>178</v>
      </c>
      <c r="U30" s="4">
        <v>12.3</v>
      </c>
      <c r="V30" s="4">
        <v>12.8</v>
      </c>
      <c r="W30" s="4">
        <v>-10.4</v>
      </c>
      <c r="X30" s="4">
        <v>-4.5</v>
      </c>
      <c r="Y30" s="7" t="s">
        <v>179</v>
      </c>
      <c r="Z30" s="4">
        <v>3931</v>
      </c>
      <c r="AA30" s="4">
        <v>3868.9166666666665</v>
      </c>
      <c r="AB30" s="4">
        <v>4048.5</v>
      </c>
      <c r="AC30" s="4">
        <f>Z30/N30</f>
        <v>37.015065913370996</v>
      </c>
      <c r="AD30" s="4">
        <f t="shared" si="0"/>
        <v>36.430477087256747</v>
      </c>
      <c r="AE30" s="4">
        <f t="shared" si="8"/>
        <v>38.121468926553675</v>
      </c>
      <c r="AF30" s="4">
        <f t="shared" si="12"/>
        <v>22.244505494505493</v>
      </c>
      <c r="AG30" s="5">
        <f>12.5*60</f>
        <v>750</v>
      </c>
      <c r="AH30">
        <v>5.3</v>
      </c>
      <c r="AI30">
        <v>20</v>
      </c>
      <c r="AJ30">
        <v>17</v>
      </c>
      <c r="AK30">
        <v>182</v>
      </c>
      <c r="AL30" s="5">
        <v>4619.333333333333</v>
      </c>
      <c r="AM30" s="4">
        <v>137.33333333333334</v>
      </c>
      <c r="AN30" s="1">
        <v>1.1566666666666665</v>
      </c>
      <c r="AO30" s="5">
        <v>32.35</v>
      </c>
      <c r="AP30" s="1">
        <v>9.33</v>
      </c>
      <c r="AQ30" s="4">
        <v>3.5</v>
      </c>
      <c r="AR30" s="1">
        <f t="shared" si="2"/>
        <v>16.94836785938481</v>
      </c>
      <c r="AS30" s="1">
        <f t="shared" si="3"/>
        <v>12.711275894538607</v>
      </c>
      <c r="AT30" s="5">
        <f t="shared" si="4"/>
        <v>46.522497684537015</v>
      </c>
      <c r="AU30" s="5">
        <v>1799.9166666666667</v>
      </c>
      <c r="AV30" s="4">
        <v>1517.25</v>
      </c>
      <c r="AW30" s="4">
        <v>44.75</v>
      </c>
      <c r="AX30" s="1">
        <v>0.84458333333333335</v>
      </c>
      <c r="AY30" s="4">
        <v>12.579166666666666</v>
      </c>
      <c r="AZ30" s="4">
        <f t="shared" si="9"/>
        <v>70.219780219780219</v>
      </c>
      <c r="BA30">
        <v>127.8</v>
      </c>
      <c r="BB30" s="11">
        <v>106191.71</v>
      </c>
      <c r="BC30" s="11">
        <v>72643.926630000002</v>
      </c>
      <c r="BD30" s="11">
        <v>30439.40625</v>
      </c>
      <c r="BE30" s="11">
        <v>18224.91992</v>
      </c>
      <c r="BG30" s="12">
        <v>896.30818180000006</v>
      </c>
      <c r="BH30" s="12">
        <v>950.08667270000001</v>
      </c>
      <c r="BI30" s="12">
        <v>934.72990830000003</v>
      </c>
      <c r="BJ30" s="12">
        <v>990.81370279999999</v>
      </c>
      <c r="BK30" s="4">
        <f t="shared" si="10"/>
        <v>915.51904505000005</v>
      </c>
      <c r="BL30" s="10">
        <f t="shared" si="11"/>
        <v>970.45018774999994</v>
      </c>
      <c r="BM30" s="4">
        <v>5.6</v>
      </c>
      <c r="BN30" s="1">
        <v>4.29</v>
      </c>
      <c r="BO30" s="4">
        <v>0.8</v>
      </c>
      <c r="BP30" s="4">
        <v>2.8</v>
      </c>
      <c r="BQ30">
        <v>147</v>
      </c>
      <c r="BR30">
        <v>40</v>
      </c>
      <c r="BS30">
        <v>9</v>
      </c>
      <c r="BT30">
        <v>22</v>
      </c>
      <c r="BU30">
        <v>24</v>
      </c>
      <c r="BV30" s="4">
        <v>7.2</v>
      </c>
      <c r="BW30">
        <v>530</v>
      </c>
      <c r="BX30">
        <v>1186</v>
      </c>
      <c r="BY30">
        <v>660</v>
      </c>
      <c r="BZ30">
        <v>2399</v>
      </c>
      <c r="CA30">
        <v>712</v>
      </c>
      <c r="CB30">
        <v>2566</v>
      </c>
    </row>
    <row r="31" spans="1:80" ht="15.6">
      <c r="A31" t="s">
        <v>210</v>
      </c>
      <c r="B31" t="s">
        <v>176</v>
      </c>
      <c r="C31" t="s">
        <v>177</v>
      </c>
      <c r="D31">
        <v>1</v>
      </c>
      <c r="E31" s="5">
        <v>42</v>
      </c>
      <c r="F31" s="4">
        <v>31.3</v>
      </c>
      <c r="G31">
        <v>143</v>
      </c>
      <c r="H31">
        <v>99</v>
      </c>
      <c r="I31">
        <v>132</v>
      </c>
      <c r="J31">
        <v>92</v>
      </c>
      <c r="K31" s="5">
        <f t="shared" si="5"/>
        <v>137.5</v>
      </c>
      <c r="L31" s="5">
        <f t="shared" si="6"/>
        <v>95.5</v>
      </c>
      <c r="M31" s="4">
        <v>158.80000000000001</v>
      </c>
      <c r="N31" s="4">
        <v>79.900000000000006</v>
      </c>
      <c r="O31" s="4">
        <v>102.5</v>
      </c>
      <c r="P31" s="4">
        <v>102</v>
      </c>
      <c r="Q31" s="4">
        <f t="shared" si="7"/>
        <v>102.25</v>
      </c>
      <c r="R31" s="5">
        <v>21</v>
      </c>
      <c r="S31">
        <v>3.6</v>
      </c>
      <c r="T31" s="7" t="s">
        <v>181</v>
      </c>
      <c r="U31" s="4">
        <v>-3.5</v>
      </c>
      <c r="V31" s="4">
        <v>-5.5</v>
      </c>
      <c r="W31" s="4">
        <v>-12</v>
      </c>
      <c r="X31" s="4">
        <v>-15</v>
      </c>
      <c r="Y31" s="7" t="s">
        <v>179</v>
      </c>
      <c r="Z31" s="4">
        <v>2062</v>
      </c>
      <c r="AA31" s="4">
        <v>2062.9166666666665</v>
      </c>
      <c r="AB31" s="4">
        <v>2116.5</v>
      </c>
      <c r="AC31" s="4">
        <f>Z31/N31</f>
        <v>25.8072590738423</v>
      </c>
      <c r="AD31" s="4">
        <f t="shared" si="0"/>
        <v>25.818731748018351</v>
      </c>
      <c r="AE31" s="4">
        <f t="shared" si="8"/>
        <v>26.489361702127656</v>
      </c>
      <c r="AF31" s="4">
        <f t="shared" si="12"/>
        <v>12.984662576687116</v>
      </c>
      <c r="AG31" s="5">
        <f>11*60+15</f>
        <v>675</v>
      </c>
      <c r="AH31">
        <v>3.8</v>
      </c>
      <c r="AI31">
        <v>18</v>
      </c>
      <c r="AJ31">
        <v>20</v>
      </c>
      <c r="AK31">
        <v>163</v>
      </c>
      <c r="AL31" s="5">
        <v>2181.3333333333335</v>
      </c>
      <c r="AM31" s="4">
        <v>65.5</v>
      </c>
      <c r="AN31" s="1">
        <v>1.0966666666666667</v>
      </c>
      <c r="AO31" s="5">
        <v>34.533333333333324</v>
      </c>
      <c r="AP31" s="1">
        <v>5.15</v>
      </c>
      <c r="AQ31" s="4">
        <v>3</v>
      </c>
      <c r="AR31" s="1">
        <f t="shared" si="2"/>
        <v>14.391989987484356</v>
      </c>
      <c r="AS31" s="1">
        <f t="shared" si="3"/>
        <v>10.793992490613267</v>
      </c>
      <c r="AT31" s="5">
        <f t="shared" si="4"/>
        <v>55.742435871541105</v>
      </c>
      <c r="AU31" s="5">
        <v>1149.92</v>
      </c>
      <c r="AV31" s="4">
        <v>856.72</v>
      </c>
      <c r="AW31" s="4">
        <v>25</v>
      </c>
      <c r="AX31" s="1">
        <v>0.74560000000000004</v>
      </c>
      <c r="AY31" s="4">
        <v>15.903999999999998</v>
      </c>
      <c r="AZ31" s="4">
        <f t="shared" si="9"/>
        <v>67.331288343558285</v>
      </c>
      <c r="BA31" s="4">
        <v>109.75</v>
      </c>
      <c r="BB31" s="11">
        <v>80005.08</v>
      </c>
      <c r="BC31" s="11">
        <v>42999.722580000001</v>
      </c>
      <c r="BD31" s="11">
        <v>34576.931360000002</v>
      </c>
      <c r="BE31" s="11">
        <v>19489.5268</v>
      </c>
      <c r="BG31" s="12">
        <v>983.93353630000001</v>
      </c>
      <c r="BH31" s="12">
        <v>1042.969548</v>
      </c>
      <c r="BI31" s="12">
        <v>996.29426209999997</v>
      </c>
      <c r="BJ31" s="12">
        <v>1056.0719180000001</v>
      </c>
      <c r="BK31" s="4">
        <f t="shared" si="10"/>
        <v>990.11389919999999</v>
      </c>
      <c r="BL31" s="10">
        <f t="shared" si="11"/>
        <v>1049.5207330000001</v>
      </c>
      <c r="BM31" s="4">
        <v>5.3</v>
      </c>
      <c r="BN31" s="1">
        <v>0.6</v>
      </c>
      <c r="BO31" s="4">
        <v>1.5</v>
      </c>
      <c r="BP31" s="4">
        <v>1.7</v>
      </c>
      <c r="BQ31">
        <v>127</v>
      </c>
      <c r="BR31">
        <v>41</v>
      </c>
      <c r="BS31">
        <v>12</v>
      </c>
      <c r="BT31">
        <v>28</v>
      </c>
      <c r="BU31">
        <v>26</v>
      </c>
      <c r="BV31" s="4">
        <v>7.6</v>
      </c>
      <c r="BW31">
        <v>150</v>
      </c>
      <c r="BX31">
        <v>280</v>
      </c>
      <c r="BY31">
        <v>172</v>
      </c>
      <c r="BZ31">
        <v>1164</v>
      </c>
      <c r="CA31" s="7" t="s">
        <v>179</v>
      </c>
      <c r="CB31" s="7" t="s">
        <v>179</v>
      </c>
    </row>
    <row r="32" spans="1:80" ht="15.6">
      <c r="A32" t="s">
        <v>211</v>
      </c>
      <c r="B32" t="s">
        <v>176</v>
      </c>
      <c r="C32" t="s">
        <v>177</v>
      </c>
      <c r="D32">
        <v>1</v>
      </c>
      <c r="E32" s="5">
        <v>54</v>
      </c>
      <c r="F32" s="4">
        <v>31.5</v>
      </c>
      <c r="G32">
        <v>153</v>
      </c>
      <c r="H32">
        <v>103</v>
      </c>
      <c r="I32">
        <v>146</v>
      </c>
      <c r="J32">
        <v>100</v>
      </c>
      <c r="K32" s="5">
        <f t="shared" si="5"/>
        <v>149.5</v>
      </c>
      <c r="L32" s="5">
        <f t="shared" si="6"/>
        <v>101.5</v>
      </c>
      <c r="M32" s="4">
        <v>162.19999999999999</v>
      </c>
      <c r="N32" s="4">
        <v>84.6</v>
      </c>
      <c r="O32" s="4">
        <v>104.5</v>
      </c>
      <c r="P32" s="4">
        <v>104</v>
      </c>
      <c r="Q32" s="4">
        <f t="shared" si="7"/>
        <v>104.25</v>
      </c>
      <c r="R32">
        <v>22</v>
      </c>
      <c r="S32">
        <v>47.1</v>
      </c>
      <c r="T32" s="7" t="s">
        <v>181</v>
      </c>
      <c r="U32" s="4">
        <v>7</v>
      </c>
      <c r="V32" s="4">
        <v>10.5</v>
      </c>
      <c r="W32" s="4">
        <v>-7</v>
      </c>
      <c r="X32" s="4">
        <v>-8</v>
      </c>
      <c r="Y32" s="7" t="s">
        <v>179</v>
      </c>
      <c r="Z32" s="4">
        <v>1790</v>
      </c>
      <c r="AA32" s="4">
        <v>1757.25</v>
      </c>
      <c r="AB32" s="4">
        <v>1840.6666666666667</v>
      </c>
      <c r="AC32" s="4">
        <f>Z32/N32</f>
        <v>21.15839243498818</v>
      </c>
      <c r="AD32" s="4">
        <f t="shared" si="0"/>
        <v>20.771276595744681</v>
      </c>
      <c r="AE32" s="4">
        <f t="shared" si="8"/>
        <v>21.757289204097717</v>
      </c>
      <c r="AF32" s="4">
        <f t="shared" si="12"/>
        <v>10.113553113553113</v>
      </c>
      <c r="AG32" s="5">
        <f>9*60+5</f>
        <v>545</v>
      </c>
      <c r="AH32">
        <v>3.8</v>
      </c>
      <c r="AI32">
        <v>14</v>
      </c>
      <c r="AJ32">
        <v>15</v>
      </c>
      <c r="AK32">
        <v>182</v>
      </c>
      <c r="AL32" s="5">
        <v>2259.1666666666665</v>
      </c>
      <c r="AM32" s="4">
        <v>71.666666666666671</v>
      </c>
      <c r="AN32" s="1">
        <v>1.2966666666666669</v>
      </c>
      <c r="AO32" s="5">
        <v>46.683333333333337</v>
      </c>
      <c r="AP32" s="1">
        <v>6.26</v>
      </c>
      <c r="AQ32" s="4">
        <v>3</v>
      </c>
      <c r="AR32" s="1">
        <f t="shared" si="2"/>
        <v>14.688416075650121</v>
      </c>
      <c r="AS32" s="1">
        <f t="shared" si="3"/>
        <v>11.01631205673759</v>
      </c>
      <c r="AT32" s="5">
        <f t="shared" si="4"/>
        <v>70.715037700953204</v>
      </c>
      <c r="AU32" s="5">
        <v>1242.6400000000001</v>
      </c>
      <c r="AV32" s="4">
        <v>1098.28</v>
      </c>
      <c r="AW32" s="4">
        <v>34.04</v>
      </c>
      <c r="AX32" s="1">
        <v>0.88519999999999999</v>
      </c>
      <c r="AY32" s="4">
        <v>23.624000000000002</v>
      </c>
      <c r="AZ32" s="4">
        <f t="shared" si="9"/>
        <v>69.340659340659343</v>
      </c>
      <c r="BA32" s="4">
        <v>126.2</v>
      </c>
      <c r="BB32" s="11">
        <v>82501.673859999995</v>
      </c>
      <c r="BC32" s="11">
        <v>41592.03901</v>
      </c>
      <c r="BD32" s="11">
        <v>38685.510090000003</v>
      </c>
      <c r="BE32" s="11">
        <v>19489.5268</v>
      </c>
      <c r="BG32" s="12">
        <v>2597.8764529999999</v>
      </c>
      <c r="BH32" s="12">
        <v>2753.7490400000002</v>
      </c>
      <c r="BI32" s="12">
        <v>2727.893059</v>
      </c>
      <c r="BJ32" s="12">
        <v>2891.5666430000001</v>
      </c>
      <c r="BK32" s="4">
        <f t="shared" si="10"/>
        <v>2662.8847559999999</v>
      </c>
      <c r="BL32" s="10">
        <f t="shared" si="11"/>
        <v>2822.6578415000004</v>
      </c>
      <c r="BM32" s="4">
        <v>5.3</v>
      </c>
      <c r="BN32" s="1">
        <v>1.08</v>
      </c>
      <c r="BO32" s="4">
        <v>1.3</v>
      </c>
      <c r="BP32" s="4">
        <v>3.1</v>
      </c>
      <c r="BQ32">
        <v>112</v>
      </c>
      <c r="BR32">
        <v>29</v>
      </c>
      <c r="BS32">
        <v>9</v>
      </c>
      <c r="BT32">
        <v>31</v>
      </c>
      <c r="BU32">
        <v>35</v>
      </c>
      <c r="BV32" s="4">
        <v>8.4</v>
      </c>
      <c r="BW32">
        <v>150</v>
      </c>
      <c r="BX32">
        <v>304</v>
      </c>
      <c r="BY32">
        <v>260</v>
      </c>
      <c r="BZ32">
        <v>973</v>
      </c>
      <c r="CA32">
        <v>279</v>
      </c>
      <c r="CB32">
        <v>1077</v>
      </c>
    </row>
    <row r="33" spans="1:80" ht="15.6">
      <c r="A33" t="s">
        <v>212</v>
      </c>
      <c r="B33" t="s">
        <v>184</v>
      </c>
      <c r="C33" t="s">
        <v>177</v>
      </c>
      <c r="D33">
        <v>2</v>
      </c>
      <c r="E33" s="5">
        <v>60</v>
      </c>
      <c r="F33" s="4">
        <v>25.6</v>
      </c>
      <c r="G33">
        <v>141</v>
      </c>
      <c r="H33">
        <v>87</v>
      </c>
      <c r="I33">
        <v>142</v>
      </c>
      <c r="J33">
        <v>92</v>
      </c>
      <c r="K33" s="5">
        <f t="shared" si="5"/>
        <v>141.5</v>
      </c>
      <c r="L33" s="5">
        <f t="shared" si="6"/>
        <v>89.5</v>
      </c>
      <c r="M33" s="4">
        <v>163.9</v>
      </c>
      <c r="N33" s="4">
        <v>70.400000000000006</v>
      </c>
      <c r="O33" s="4">
        <v>90.1</v>
      </c>
      <c r="P33" s="4">
        <v>89.9</v>
      </c>
      <c r="Q33" s="4">
        <f t="shared" si="7"/>
        <v>90</v>
      </c>
      <c r="R33" s="5">
        <v>42</v>
      </c>
      <c r="S33">
        <v>28.3</v>
      </c>
      <c r="T33" s="7" t="s">
        <v>181</v>
      </c>
      <c r="U33" s="4">
        <v>3.2</v>
      </c>
      <c r="V33" s="4">
        <v>7.9</v>
      </c>
      <c r="W33" s="4">
        <v>-18.2</v>
      </c>
      <c r="X33" s="4">
        <v>-14.4</v>
      </c>
      <c r="Y33" s="7" t="s">
        <v>179</v>
      </c>
      <c r="Z33" s="4">
        <v>2223</v>
      </c>
      <c r="AA33" s="4">
        <v>2185.3333333333335</v>
      </c>
      <c r="AB33" s="4">
        <v>2216</v>
      </c>
      <c r="AC33" s="4">
        <f>Z33/N33</f>
        <v>31.576704545454543</v>
      </c>
      <c r="AD33" s="4">
        <f t="shared" si="0"/>
        <v>31.041666666666668</v>
      </c>
      <c r="AE33" s="4">
        <f t="shared" si="8"/>
        <v>31.477272727272723</v>
      </c>
      <c r="AF33" s="4">
        <f t="shared" si="12"/>
        <v>11.913978494623656</v>
      </c>
      <c r="AG33" s="5">
        <f>14*60</f>
        <v>840</v>
      </c>
      <c r="AH33">
        <v>4.8</v>
      </c>
      <c r="AI33">
        <v>20</v>
      </c>
      <c r="AJ33">
        <v>17</v>
      </c>
      <c r="AK33">
        <v>186</v>
      </c>
      <c r="AL33" s="5">
        <v>2677.5</v>
      </c>
      <c r="AM33" s="4">
        <v>98.5</v>
      </c>
      <c r="AN33" s="1">
        <v>1.2416666666666667</v>
      </c>
      <c r="AO33" s="5">
        <v>52.81666666666667</v>
      </c>
      <c r="AP33" s="1">
        <v>10.72</v>
      </c>
      <c r="AQ33" s="4">
        <v>3</v>
      </c>
      <c r="AR33" s="1">
        <f t="shared" si="2"/>
        <v>15.274431818181816</v>
      </c>
      <c r="AS33" s="1">
        <f t="shared" si="3"/>
        <v>11.455823863636361</v>
      </c>
      <c r="AT33" s="5">
        <f t="shared" si="4"/>
        <v>49.206223306894444</v>
      </c>
      <c r="AU33" s="5">
        <v>1075.32</v>
      </c>
      <c r="AV33" s="4">
        <v>896.52</v>
      </c>
      <c r="AW33" s="4">
        <v>31.64</v>
      </c>
      <c r="AX33" s="1">
        <v>0.83480000000000021</v>
      </c>
      <c r="AY33" s="4">
        <v>20.428000000000001</v>
      </c>
      <c r="AZ33" s="4">
        <f t="shared" si="9"/>
        <v>65.268817204301072</v>
      </c>
      <c r="BA33">
        <v>121.4</v>
      </c>
      <c r="BB33" s="11">
        <v>69345.164600000004</v>
      </c>
      <c r="BC33" s="11">
        <v>45775.563679999999</v>
      </c>
      <c r="BD33" s="11">
        <v>21246.33656</v>
      </c>
      <c r="BE33" s="11">
        <v>12388.41488</v>
      </c>
      <c r="BG33" s="12">
        <v>1479.1066060000001</v>
      </c>
      <c r="BH33" s="12">
        <v>1567.8530020000001</v>
      </c>
      <c r="BI33" s="12">
        <v>1475.7671339999999</v>
      </c>
      <c r="BJ33" s="12">
        <v>1564.3131619999999</v>
      </c>
      <c r="BK33" s="4">
        <f t="shared" si="10"/>
        <v>1477.43687</v>
      </c>
      <c r="BL33" s="10">
        <f t="shared" si="11"/>
        <v>1566.0830820000001</v>
      </c>
      <c r="BM33" s="4">
        <v>5.8</v>
      </c>
      <c r="BN33" s="1">
        <v>1.59</v>
      </c>
      <c r="BO33" s="4">
        <v>1.1000000000000001</v>
      </c>
      <c r="BP33" s="4">
        <v>2.6</v>
      </c>
      <c r="BQ33">
        <v>112</v>
      </c>
      <c r="BR33">
        <v>30</v>
      </c>
      <c r="BS33">
        <v>0</v>
      </c>
      <c r="BT33">
        <v>1</v>
      </c>
      <c r="BU33">
        <v>5</v>
      </c>
      <c r="BV33" s="4">
        <v>8.1</v>
      </c>
      <c r="BW33">
        <v>260</v>
      </c>
      <c r="BX33">
        <v>227</v>
      </c>
      <c r="BY33">
        <v>300</v>
      </c>
      <c r="BZ33">
        <v>1789</v>
      </c>
      <c r="CA33">
        <v>298</v>
      </c>
      <c r="CB33">
        <v>1376</v>
      </c>
    </row>
    <row r="34" spans="1:80" ht="15.6">
      <c r="A34" t="s">
        <v>213</v>
      </c>
      <c r="B34" t="s">
        <v>184</v>
      </c>
      <c r="C34" t="s">
        <v>177</v>
      </c>
      <c r="D34">
        <v>2</v>
      </c>
      <c r="E34" s="5">
        <v>32</v>
      </c>
      <c r="F34" s="4">
        <v>31.5</v>
      </c>
      <c r="G34">
        <v>134</v>
      </c>
      <c r="H34">
        <v>80</v>
      </c>
      <c r="I34">
        <v>140</v>
      </c>
      <c r="J34">
        <v>86</v>
      </c>
      <c r="K34" s="5">
        <f t="shared" si="5"/>
        <v>137</v>
      </c>
      <c r="L34">
        <f t="shared" si="6"/>
        <v>83</v>
      </c>
      <c r="M34" s="4">
        <v>168.9</v>
      </c>
      <c r="N34" s="4">
        <v>90.6</v>
      </c>
      <c r="O34" s="4">
        <v>99.7</v>
      </c>
      <c r="P34" s="4">
        <v>100.7</v>
      </c>
      <c r="Q34" s="4">
        <f t="shared" si="7"/>
        <v>100.2</v>
      </c>
      <c r="R34" s="5">
        <v>53</v>
      </c>
      <c r="S34">
        <v>73.5</v>
      </c>
      <c r="T34" s="7" t="s">
        <v>178</v>
      </c>
      <c r="U34" s="4">
        <v>-10.5</v>
      </c>
      <c r="V34" s="4">
        <v>0</v>
      </c>
      <c r="W34" s="4">
        <v>-7.3</v>
      </c>
      <c r="X34" s="4">
        <v>-21.5</v>
      </c>
      <c r="Y34" s="7" t="s">
        <v>179</v>
      </c>
      <c r="Z34" s="4">
        <v>3195</v>
      </c>
      <c r="AA34" s="4">
        <v>3165.5833333333335</v>
      </c>
      <c r="AB34" s="4">
        <v>3184.6666666666665</v>
      </c>
      <c r="AC34" s="4">
        <f>Z34/N34</f>
        <v>35.264900662251655</v>
      </c>
      <c r="AD34" s="4">
        <f t="shared" si="0"/>
        <v>34.94021339220015</v>
      </c>
      <c r="AE34" s="4">
        <f t="shared" si="8"/>
        <v>35.150846210448861</v>
      </c>
      <c r="AF34" s="4">
        <f t="shared" si="12"/>
        <v>16.673647469458988</v>
      </c>
      <c r="AG34" s="5">
        <f>12*60+10</f>
        <v>730</v>
      </c>
      <c r="AH34">
        <v>5.3</v>
      </c>
      <c r="AI34">
        <v>20</v>
      </c>
      <c r="AJ34">
        <v>20</v>
      </c>
      <c r="AK34">
        <v>191</v>
      </c>
      <c r="AL34" s="5">
        <v>3730</v>
      </c>
      <c r="AM34" s="4">
        <v>100</v>
      </c>
      <c r="AN34" s="1">
        <v>1.1866666666666668</v>
      </c>
      <c r="AO34" s="5">
        <v>41.283333333333331</v>
      </c>
      <c r="AP34" s="1">
        <v>9.4499999999999993</v>
      </c>
      <c r="AQ34" s="4">
        <v>3.5</v>
      </c>
      <c r="AR34" s="1">
        <f t="shared" ref="AR34:AR63" si="13">AU34/N34*1</f>
        <v>13.601766004415012</v>
      </c>
      <c r="AS34" s="1">
        <f t="shared" ref="AS34:AS63" si="14">AU34/N34*0.75</f>
        <v>10.201324503311259</v>
      </c>
      <c r="AT34" s="5">
        <f t="shared" ref="AT34:AT65" si="15">AU34/AA34*100</f>
        <v>38.928686129465341</v>
      </c>
      <c r="AU34" s="5">
        <v>1232.32</v>
      </c>
      <c r="AV34" s="4">
        <v>975.4</v>
      </c>
      <c r="AW34" s="4">
        <v>29.88</v>
      </c>
      <c r="AX34" s="1">
        <v>0.79239999999999977</v>
      </c>
      <c r="AY34" s="4">
        <v>18.896000000000001</v>
      </c>
      <c r="AZ34" s="4">
        <f t="shared" si="9"/>
        <v>53.298429319371735</v>
      </c>
      <c r="BA34">
        <v>101.8</v>
      </c>
      <c r="BB34" s="11">
        <v>90465.1</v>
      </c>
      <c r="BC34" s="11">
        <v>51080.56882</v>
      </c>
      <c r="BD34" s="11">
        <v>36377.004240000002</v>
      </c>
      <c r="BE34" s="11">
        <v>22736.979630000002</v>
      </c>
      <c r="BG34" s="12">
        <v>2520.3772749999998</v>
      </c>
      <c r="BH34" s="12">
        <v>2671.5999109999998</v>
      </c>
      <c r="BI34" s="12">
        <v>2543.89588</v>
      </c>
      <c r="BJ34" s="12">
        <v>2696.5296330000001</v>
      </c>
      <c r="BK34" s="4">
        <f t="shared" si="10"/>
        <v>2532.1365774999999</v>
      </c>
      <c r="BL34" s="10">
        <f t="shared" si="11"/>
        <v>2684.0647719999997</v>
      </c>
      <c r="BM34" s="4">
        <v>5</v>
      </c>
      <c r="BN34" s="1">
        <v>1.23</v>
      </c>
      <c r="BO34" s="4">
        <v>1</v>
      </c>
      <c r="BP34" s="4">
        <v>2.8</v>
      </c>
      <c r="BQ34">
        <v>126</v>
      </c>
      <c r="BR34">
        <v>35</v>
      </c>
      <c r="BS34">
        <v>10</v>
      </c>
      <c r="BT34">
        <v>28</v>
      </c>
      <c r="BU34">
        <v>20</v>
      </c>
      <c r="BV34" s="4">
        <v>7.4</v>
      </c>
      <c r="BW34">
        <v>395</v>
      </c>
      <c r="BX34">
        <v>176</v>
      </c>
      <c r="BY34">
        <v>602</v>
      </c>
      <c r="BZ34">
        <v>2049</v>
      </c>
      <c r="CA34">
        <v>603</v>
      </c>
      <c r="CB34">
        <v>1937</v>
      </c>
    </row>
    <row r="35" spans="1:80" ht="15.6">
      <c r="A35" t="s">
        <v>214</v>
      </c>
      <c r="B35" t="s">
        <v>176</v>
      </c>
      <c r="C35" t="s">
        <v>177</v>
      </c>
      <c r="D35">
        <v>1</v>
      </c>
      <c r="E35" s="5">
        <v>55</v>
      </c>
      <c r="F35" s="4">
        <v>40.5</v>
      </c>
      <c r="G35">
        <v>135</v>
      </c>
      <c r="H35">
        <v>88</v>
      </c>
      <c r="I35">
        <v>139</v>
      </c>
      <c r="J35">
        <v>91</v>
      </c>
      <c r="K35" s="5">
        <f t="shared" si="5"/>
        <v>137</v>
      </c>
      <c r="L35" s="5">
        <f t="shared" si="6"/>
        <v>89.5</v>
      </c>
      <c r="M35" s="4">
        <v>160.6</v>
      </c>
      <c r="N35" s="4">
        <v>105</v>
      </c>
      <c r="O35" s="4">
        <v>118</v>
      </c>
      <c r="P35" s="4">
        <v>119.8</v>
      </c>
      <c r="Q35" s="4">
        <f t="shared" si="7"/>
        <v>118.9</v>
      </c>
      <c r="R35">
        <v>22</v>
      </c>
      <c r="S35">
        <v>6.6</v>
      </c>
      <c r="T35" s="7" t="s">
        <v>181</v>
      </c>
      <c r="U35" s="4">
        <v>6.8</v>
      </c>
      <c r="V35" s="4">
        <v>5.6</v>
      </c>
      <c r="W35" s="4">
        <v>-11.4</v>
      </c>
      <c r="X35" s="4">
        <v>-18</v>
      </c>
      <c r="Y35" s="7" t="s">
        <v>179</v>
      </c>
      <c r="Z35" s="4">
        <v>2304</v>
      </c>
      <c r="AA35" s="4">
        <v>2269.9166666666665</v>
      </c>
      <c r="AB35" s="4">
        <v>2281.1666666666665</v>
      </c>
      <c r="AC35" s="4">
        <f>Z35/N35</f>
        <v>21.942857142857143</v>
      </c>
      <c r="AD35" s="4">
        <f t="shared" si="0"/>
        <v>21.618253968253967</v>
      </c>
      <c r="AE35" s="4">
        <f t="shared" si="8"/>
        <v>21.725396825396825</v>
      </c>
      <c r="AF35" s="4">
        <f t="shared" si="12"/>
        <v>16.064553990610328</v>
      </c>
      <c r="AG35" s="5">
        <f>9*60+10</f>
        <v>550</v>
      </c>
      <c r="AH35">
        <v>3.8</v>
      </c>
      <c r="AI35">
        <v>14</v>
      </c>
      <c r="AJ35">
        <v>20</v>
      </c>
      <c r="AK35">
        <v>142</v>
      </c>
      <c r="AL35" s="5">
        <v>2676.1666666666665</v>
      </c>
      <c r="AM35" s="4">
        <v>87.833333333333329</v>
      </c>
      <c r="AN35" s="1">
        <v>1.1950000000000001</v>
      </c>
      <c r="AO35" s="5">
        <v>47.066666666666663</v>
      </c>
      <c r="AP35" s="1">
        <v>9.91</v>
      </c>
      <c r="AQ35" s="4">
        <v>3</v>
      </c>
      <c r="AR35" s="1">
        <f t="shared" si="13"/>
        <v>14.488761904761905</v>
      </c>
      <c r="AS35" s="1">
        <f t="shared" si="14"/>
        <v>10.866571428571429</v>
      </c>
      <c r="AT35" s="5">
        <f t="shared" si="15"/>
        <v>67.020962590403471</v>
      </c>
      <c r="AU35" s="5">
        <v>1521.32</v>
      </c>
      <c r="AV35" s="4">
        <v>1232.48</v>
      </c>
      <c r="AW35" s="4">
        <v>38.68</v>
      </c>
      <c r="AX35" s="1">
        <v>0.80959999999999976</v>
      </c>
      <c r="AY35" s="4">
        <v>22.967999999999996</v>
      </c>
      <c r="AZ35" s="4">
        <f t="shared" si="9"/>
        <v>52.112676056338024</v>
      </c>
      <c r="BA35" s="4">
        <v>74</v>
      </c>
      <c r="BB35" s="11">
        <v>105217.97</v>
      </c>
      <c r="BC35" s="11">
        <v>53393.174830000004</v>
      </c>
      <c r="BD35" s="11">
        <v>49451.047919999997</v>
      </c>
      <c r="BE35" s="11">
        <v>28387.970140000001</v>
      </c>
      <c r="BG35" s="12">
        <v>1979.469542</v>
      </c>
      <c r="BH35" s="12">
        <v>2098.2377139999999</v>
      </c>
      <c r="BI35" s="12">
        <v>620.23580679999998</v>
      </c>
      <c r="BJ35" s="12">
        <v>657.44995519999998</v>
      </c>
      <c r="BK35" s="4">
        <f t="shared" si="10"/>
        <v>1299.8526744000001</v>
      </c>
      <c r="BL35" s="10">
        <f t="shared" si="11"/>
        <v>1377.8438345999998</v>
      </c>
      <c r="BM35" s="4">
        <v>5</v>
      </c>
      <c r="BN35" s="1">
        <v>0.91</v>
      </c>
      <c r="BO35" s="4">
        <v>1.1000000000000001</v>
      </c>
      <c r="BP35" s="4">
        <v>2.9</v>
      </c>
      <c r="BQ35">
        <v>122</v>
      </c>
      <c r="BR35">
        <v>33</v>
      </c>
      <c r="BS35">
        <v>8</v>
      </c>
      <c r="BT35">
        <v>23</v>
      </c>
      <c r="BU35">
        <v>23</v>
      </c>
      <c r="BV35" s="17">
        <v>6.7</v>
      </c>
      <c r="BW35">
        <v>245</v>
      </c>
      <c r="BX35">
        <v>471</v>
      </c>
      <c r="BY35">
        <v>458</v>
      </c>
      <c r="BZ35">
        <v>2122</v>
      </c>
      <c r="CA35">
        <v>544</v>
      </c>
      <c r="CB35">
        <v>2530</v>
      </c>
    </row>
    <row r="36" spans="1:80" ht="15.6">
      <c r="A36" t="s">
        <v>215</v>
      </c>
      <c r="B36" t="s">
        <v>176</v>
      </c>
      <c r="C36" t="s">
        <v>177</v>
      </c>
      <c r="D36">
        <v>1</v>
      </c>
      <c r="E36" s="5">
        <v>57</v>
      </c>
      <c r="F36" s="4">
        <v>28.2</v>
      </c>
      <c r="G36">
        <v>132</v>
      </c>
      <c r="H36">
        <v>91</v>
      </c>
      <c r="I36">
        <v>141</v>
      </c>
      <c r="J36">
        <v>88</v>
      </c>
      <c r="K36" s="5">
        <f t="shared" si="5"/>
        <v>136.5</v>
      </c>
      <c r="L36" s="5">
        <f t="shared" si="6"/>
        <v>89.5</v>
      </c>
      <c r="M36" s="4">
        <v>166.3</v>
      </c>
      <c r="N36" s="4">
        <v>79.7</v>
      </c>
      <c r="O36" s="4">
        <v>89.5</v>
      </c>
      <c r="P36" s="4">
        <v>90.5</v>
      </c>
      <c r="Q36" s="4">
        <f t="shared" si="7"/>
        <v>90</v>
      </c>
      <c r="R36" s="5">
        <v>25</v>
      </c>
      <c r="S36">
        <v>35.5</v>
      </c>
      <c r="T36" s="7" t="s">
        <v>181</v>
      </c>
      <c r="U36" s="4">
        <v>3</v>
      </c>
      <c r="V36" s="4">
        <v>2.5</v>
      </c>
      <c r="W36" s="4">
        <v>-1</v>
      </c>
      <c r="X36" s="4">
        <v>-4.5</v>
      </c>
      <c r="Y36" s="7" t="s">
        <v>179</v>
      </c>
      <c r="Z36" s="4">
        <v>2544.5</v>
      </c>
      <c r="AA36" s="4">
        <v>2541.9166666666665</v>
      </c>
      <c r="AB36" s="4">
        <v>2595</v>
      </c>
      <c r="AC36" s="4">
        <f>Z36/N36</f>
        <v>31.925972396486824</v>
      </c>
      <c r="AD36" s="4">
        <f t="shared" si="0"/>
        <v>31.893559180259302</v>
      </c>
      <c r="AE36" s="4">
        <f t="shared" si="8"/>
        <v>32.559598494353828</v>
      </c>
      <c r="AF36" s="4">
        <f t="shared" si="12"/>
        <v>14.828571428571429</v>
      </c>
      <c r="AG36" s="5">
        <f>14*60</f>
        <v>840</v>
      </c>
      <c r="AH36">
        <v>4.8</v>
      </c>
      <c r="AI36">
        <v>20</v>
      </c>
      <c r="AJ36">
        <v>20</v>
      </c>
      <c r="AK36">
        <v>175</v>
      </c>
      <c r="AL36" s="5">
        <v>2903.1666666666665</v>
      </c>
      <c r="AM36" s="4">
        <v>84.666666666666671</v>
      </c>
      <c r="AN36" s="1">
        <v>1.1583333333333332</v>
      </c>
      <c r="AO36" s="5">
        <v>43.20000000000001</v>
      </c>
      <c r="AP36" s="1">
        <v>10.31</v>
      </c>
      <c r="AQ36" s="4">
        <v>3</v>
      </c>
      <c r="AR36" s="1">
        <f t="shared" si="13"/>
        <v>14.244416562107904</v>
      </c>
      <c r="AS36" s="1">
        <f t="shared" si="14"/>
        <v>10.683312421580929</v>
      </c>
      <c r="AT36" s="5">
        <f t="shared" si="15"/>
        <v>44.66236107923811</v>
      </c>
      <c r="AU36" s="5">
        <v>1135.28</v>
      </c>
      <c r="AV36" s="4">
        <v>950.12</v>
      </c>
      <c r="AW36" s="4">
        <v>29.64</v>
      </c>
      <c r="AX36" s="1">
        <v>0.8380000000000003</v>
      </c>
      <c r="AY36" s="4">
        <v>19.896000000000004</v>
      </c>
      <c r="AZ36" s="4">
        <f t="shared" si="9"/>
        <v>64.914285714285711</v>
      </c>
      <c r="BA36" s="4">
        <v>113.6</v>
      </c>
      <c r="BB36" s="11">
        <v>78121.333989999999</v>
      </c>
      <c r="BC36" s="11">
        <v>41107.331870000002</v>
      </c>
      <c r="BD36" s="11">
        <v>34993.746220000001</v>
      </c>
      <c r="BE36" s="11">
        <v>19443.662219999998</v>
      </c>
      <c r="BG36" s="12">
        <v>1552.999215</v>
      </c>
      <c r="BH36" s="12">
        <v>1646.1791679999999</v>
      </c>
      <c r="BI36" s="12">
        <v>1603.683039</v>
      </c>
      <c r="BJ36" s="12">
        <v>1699.9040210000001</v>
      </c>
      <c r="BK36" s="4">
        <f t="shared" si="10"/>
        <v>1578.3411270000001</v>
      </c>
      <c r="BL36" s="10">
        <f t="shared" si="11"/>
        <v>1673.0415945</v>
      </c>
      <c r="BM36" s="4">
        <v>5.6</v>
      </c>
      <c r="BN36" s="1">
        <v>1.31</v>
      </c>
      <c r="BO36" s="4">
        <v>0.9</v>
      </c>
      <c r="BP36" s="4">
        <v>5.0999999999999996</v>
      </c>
      <c r="BQ36">
        <v>116</v>
      </c>
      <c r="BR36">
        <v>37</v>
      </c>
      <c r="BS36">
        <v>14</v>
      </c>
      <c r="BT36">
        <v>37</v>
      </c>
      <c r="BU36">
        <v>33</v>
      </c>
      <c r="BV36" s="4">
        <v>6.2</v>
      </c>
      <c r="BW36">
        <v>200</v>
      </c>
      <c r="BX36">
        <v>698</v>
      </c>
      <c r="BY36">
        <v>270</v>
      </c>
      <c r="BZ36">
        <v>1037</v>
      </c>
      <c r="CA36">
        <v>249</v>
      </c>
      <c r="CB36">
        <v>940</v>
      </c>
    </row>
    <row r="37" spans="1:80" ht="15.6">
      <c r="A37" s="2" t="s">
        <v>216</v>
      </c>
      <c r="B37" t="s">
        <v>184</v>
      </c>
      <c r="C37" t="s">
        <v>177</v>
      </c>
      <c r="D37">
        <v>1</v>
      </c>
      <c r="E37" s="5">
        <v>58</v>
      </c>
      <c r="F37" s="4">
        <v>23</v>
      </c>
      <c r="G37">
        <v>114</v>
      </c>
      <c r="H37">
        <v>75</v>
      </c>
      <c r="I37">
        <v>116</v>
      </c>
      <c r="J37">
        <v>77</v>
      </c>
      <c r="K37" s="5">
        <f t="shared" si="5"/>
        <v>115</v>
      </c>
      <c r="L37">
        <f t="shared" si="6"/>
        <v>76</v>
      </c>
      <c r="M37" s="4">
        <v>167.5</v>
      </c>
      <c r="N37" s="4">
        <v>65.3</v>
      </c>
      <c r="O37" s="4">
        <v>83.7</v>
      </c>
      <c r="P37" s="4">
        <v>83.2</v>
      </c>
      <c r="Q37" s="4">
        <f t="shared" si="7"/>
        <v>83.45</v>
      </c>
      <c r="R37" s="5">
        <v>32</v>
      </c>
      <c r="S37">
        <v>70.3</v>
      </c>
      <c r="T37" s="7" t="s">
        <v>178</v>
      </c>
      <c r="U37" s="4">
        <v>22</v>
      </c>
      <c r="V37" s="4">
        <v>18.5</v>
      </c>
      <c r="W37" s="4">
        <v>0.2</v>
      </c>
      <c r="X37" s="4">
        <v>-11.5</v>
      </c>
      <c r="Y37" s="7" t="s">
        <v>179</v>
      </c>
      <c r="Z37" s="4">
        <v>2241.5</v>
      </c>
      <c r="AA37" s="4">
        <v>2280.75</v>
      </c>
      <c r="AB37" s="4">
        <v>2312.3333333333335</v>
      </c>
      <c r="AC37" s="4">
        <f>Z37/N37</f>
        <v>34.326186830015317</v>
      </c>
      <c r="AD37" s="4">
        <f t="shared" si="0"/>
        <v>34.92725880551302</v>
      </c>
      <c r="AE37" s="4">
        <f t="shared" si="8"/>
        <v>35.41092394078612</v>
      </c>
      <c r="AF37" s="4">
        <f t="shared" si="12"/>
        <v>13.682445759368838</v>
      </c>
      <c r="AG37" s="5">
        <f>14.5*60+5</f>
        <v>875</v>
      </c>
      <c r="AH37">
        <v>5.3</v>
      </c>
      <c r="AI37">
        <v>20</v>
      </c>
      <c r="AJ37">
        <v>19</v>
      </c>
      <c r="AK37">
        <v>169</v>
      </c>
      <c r="AL37" s="5">
        <v>2938.8333333333335</v>
      </c>
      <c r="AM37" s="4">
        <v>94.166666666666671</v>
      </c>
      <c r="AN37" s="1">
        <v>1.2833333333333334</v>
      </c>
      <c r="AO37" s="5">
        <v>41.583333333333336</v>
      </c>
      <c r="AP37" s="1">
        <v>9.77</v>
      </c>
      <c r="AQ37" s="4">
        <v>3</v>
      </c>
      <c r="AR37" s="1">
        <f t="shared" si="13"/>
        <v>14.437366003062788</v>
      </c>
      <c r="AS37" s="1">
        <f t="shared" si="14"/>
        <v>10.82802450229709</v>
      </c>
      <c r="AT37" s="5">
        <f t="shared" si="15"/>
        <v>41.335525594650882</v>
      </c>
      <c r="AU37" s="5">
        <v>942.76</v>
      </c>
      <c r="AV37" s="4">
        <v>817.08</v>
      </c>
      <c r="AW37" s="4">
        <v>24.68</v>
      </c>
      <c r="AX37" s="1">
        <v>0.86519999999999953</v>
      </c>
      <c r="AY37" s="4">
        <v>15.376000000000001</v>
      </c>
      <c r="AZ37" s="4">
        <f t="shared" si="9"/>
        <v>61.183431952662723</v>
      </c>
      <c r="BA37">
        <v>103.4</v>
      </c>
      <c r="BB37" s="11">
        <v>64817.415840000001</v>
      </c>
      <c r="BC37" s="11">
        <v>41062.658719999999</v>
      </c>
      <c r="BD37" s="11">
        <v>21443.827499999999</v>
      </c>
      <c r="BE37" s="11">
        <v>11254.34375</v>
      </c>
      <c r="BG37" s="12">
        <v>700.55434400000001</v>
      </c>
      <c r="BH37" s="12">
        <v>742.58760470000004</v>
      </c>
      <c r="BI37" s="12">
        <v>693.0980687</v>
      </c>
      <c r="BJ37" s="12">
        <v>734.68395280000004</v>
      </c>
      <c r="BK37" s="4">
        <f t="shared" si="10"/>
        <v>696.82620635000001</v>
      </c>
      <c r="BL37" s="10">
        <f t="shared" si="11"/>
        <v>738.6357787500001</v>
      </c>
      <c r="BM37" s="4">
        <v>5.0999999999999996</v>
      </c>
      <c r="BN37" s="1">
        <v>0.44</v>
      </c>
      <c r="BO37" s="4">
        <v>1.6</v>
      </c>
      <c r="BP37" s="4">
        <v>2.1</v>
      </c>
      <c r="BQ37">
        <v>119</v>
      </c>
      <c r="BR37">
        <v>44</v>
      </c>
      <c r="BS37">
        <v>17</v>
      </c>
      <c r="BT37">
        <v>39</v>
      </c>
      <c r="BU37">
        <v>28</v>
      </c>
      <c r="BV37" s="4">
        <v>8.1</v>
      </c>
      <c r="BW37">
        <v>245</v>
      </c>
      <c r="BX37">
        <v>384</v>
      </c>
      <c r="BY37">
        <v>221</v>
      </c>
      <c r="BZ37">
        <v>1030</v>
      </c>
      <c r="CA37">
        <v>245</v>
      </c>
      <c r="CB37">
        <v>1098</v>
      </c>
    </row>
    <row r="38" spans="1:80" ht="15.6">
      <c r="A38" t="s">
        <v>217</v>
      </c>
      <c r="B38" t="s">
        <v>176</v>
      </c>
      <c r="C38" t="s">
        <v>177</v>
      </c>
      <c r="D38">
        <v>1</v>
      </c>
      <c r="E38" s="5">
        <v>46</v>
      </c>
      <c r="F38" s="4">
        <v>24.7</v>
      </c>
      <c r="G38">
        <v>142</v>
      </c>
      <c r="H38">
        <v>89</v>
      </c>
      <c r="I38">
        <v>139</v>
      </c>
      <c r="J38">
        <v>100</v>
      </c>
      <c r="K38" s="5">
        <f t="shared" si="5"/>
        <v>140.5</v>
      </c>
      <c r="L38" s="5">
        <f t="shared" si="6"/>
        <v>94.5</v>
      </c>
      <c r="M38" s="4">
        <v>166</v>
      </c>
      <c r="N38" s="4">
        <v>68.2</v>
      </c>
      <c r="O38" s="4">
        <v>80</v>
      </c>
      <c r="P38" s="4">
        <v>81</v>
      </c>
      <c r="Q38" s="4">
        <f t="shared" si="7"/>
        <v>80.5</v>
      </c>
      <c r="R38" s="5">
        <v>20</v>
      </c>
      <c r="S38" s="7" t="s">
        <v>179</v>
      </c>
      <c r="T38" s="7" t="s">
        <v>179</v>
      </c>
      <c r="U38" s="4">
        <v>7.5</v>
      </c>
      <c r="V38" s="4">
        <v>7</v>
      </c>
      <c r="W38" s="4">
        <v>2.5</v>
      </c>
      <c r="X38" s="4">
        <v>-8</v>
      </c>
      <c r="Y38" s="7" t="s">
        <v>179</v>
      </c>
      <c r="Z38" s="4">
        <v>2203</v>
      </c>
      <c r="AA38" s="4">
        <v>2196.5</v>
      </c>
      <c r="AB38" s="4">
        <v>2241.8333333333335</v>
      </c>
      <c r="AC38" s="4">
        <f>Z38/N38</f>
        <v>32.302052785923749</v>
      </c>
      <c r="AD38" s="4">
        <f t="shared" si="0"/>
        <v>32.206744868035187</v>
      </c>
      <c r="AE38" s="4">
        <f t="shared" si="8"/>
        <v>32.871456500488762</v>
      </c>
      <c r="AF38" s="4">
        <f t="shared" si="12"/>
        <v>13.505020080321286</v>
      </c>
      <c r="AG38" s="5">
        <f>11*60+35</f>
        <v>695</v>
      </c>
      <c r="AH38">
        <v>4.8</v>
      </c>
      <c r="AI38">
        <v>20</v>
      </c>
      <c r="AJ38">
        <v>20</v>
      </c>
      <c r="AK38">
        <v>166</v>
      </c>
      <c r="AL38" s="5">
        <v>2878.5</v>
      </c>
      <c r="AM38" s="4">
        <v>88.333333333333329</v>
      </c>
      <c r="AN38" s="1">
        <v>1.3100000000000003</v>
      </c>
      <c r="AO38" s="5">
        <v>36.133333333333333</v>
      </c>
      <c r="AP38" s="1">
        <v>9.1999999999999993</v>
      </c>
      <c r="AQ38" s="4">
        <v>3.5</v>
      </c>
      <c r="AR38" s="1">
        <f t="shared" si="13"/>
        <v>16.21524926686217</v>
      </c>
      <c r="AS38" s="1">
        <f t="shared" si="14"/>
        <v>12.161436950146626</v>
      </c>
      <c r="AT38" s="5">
        <f t="shared" si="15"/>
        <v>50.347370817209203</v>
      </c>
      <c r="AU38" s="5">
        <v>1105.8800000000001</v>
      </c>
      <c r="AV38" s="4">
        <v>936.48</v>
      </c>
      <c r="AW38" s="4">
        <v>25.92</v>
      </c>
      <c r="AX38" s="1">
        <v>0.84760000000000002</v>
      </c>
      <c r="AY38" s="4">
        <v>15.956</v>
      </c>
      <c r="AZ38" s="4">
        <f t="shared" si="9"/>
        <v>48.554216867469876</v>
      </c>
      <c r="BA38" s="4">
        <v>80.599999999999994</v>
      </c>
      <c r="BB38" s="11">
        <v>67825.422699999996</v>
      </c>
      <c r="BC38" s="11">
        <v>39237.406490000001</v>
      </c>
      <c r="BD38" s="11">
        <v>26185.67812</v>
      </c>
      <c r="BE38" s="11">
        <v>13984.327670000001</v>
      </c>
      <c r="BG38" s="12">
        <v>739.48006969999994</v>
      </c>
      <c r="BH38" s="12">
        <v>783.84887389999994</v>
      </c>
      <c r="BI38" s="12">
        <v>807.63366589999998</v>
      </c>
      <c r="BJ38" s="12">
        <v>856.09168580000005</v>
      </c>
      <c r="BK38" s="4">
        <f t="shared" si="10"/>
        <v>773.55686779999996</v>
      </c>
      <c r="BL38" s="10">
        <f t="shared" si="11"/>
        <v>819.97027985</v>
      </c>
      <c r="BM38" s="4">
        <v>4.5999999999999996</v>
      </c>
      <c r="BN38" s="1">
        <v>1.53</v>
      </c>
      <c r="BO38" s="4">
        <v>1.5</v>
      </c>
      <c r="BP38" s="4">
        <v>3.5</v>
      </c>
      <c r="BQ38">
        <v>101</v>
      </c>
      <c r="BR38">
        <v>35</v>
      </c>
      <c r="BS38">
        <v>15</v>
      </c>
      <c r="BT38">
        <v>44</v>
      </c>
      <c r="BU38">
        <v>30</v>
      </c>
      <c r="BV38" s="4">
        <v>5.4</v>
      </c>
      <c r="BW38">
        <v>190</v>
      </c>
      <c r="BX38">
        <v>304</v>
      </c>
      <c r="BY38">
        <v>168</v>
      </c>
      <c r="BZ38">
        <v>953</v>
      </c>
      <c r="CA38">
        <v>171</v>
      </c>
      <c r="CB38">
        <v>1043</v>
      </c>
    </row>
    <row r="39" spans="1:80" ht="14.45">
      <c r="A39" t="s">
        <v>218</v>
      </c>
      <c r="B39" t="s">
        <v>184</v>
      </c>
      <c r="C39" t="s">
        <v>177</v>
      </c>
      <c r="D39">
        <v>2</v>
      </c>
      <c r="E39" s="5">
        <v>65</v>
      </c>
      <c r="F39" s="6">
        <v>27.8</v>
      </c>
      <c r="G39">
        <v>161</v>
      </c>
      <c r="H39">
        <v>100</v>
      </c>
      <c r="I39">
        <v>164</v>
      </c>
      <c r="J39">
        <v>99</v>
      </c>
      <c r="K39" s="5">
        <f>AVERAGE(G39,I39)</f>
        <v>162.5</v>
      </c>
      <c r="L39" s="5">
        <f>AVERAGE(H39,J39)</f>
        <v>99.5</v>
      </c>
      <c r="M39">
        <v>168.5</v>
      </c>
      <c r="N39">
        <v>78.8</v>
      </c>
      <c r="O39" s="4">
        <v>95</v>
      </c>
      <c r="P39">
        <v>95.5</v>
      </c>
      <c r="Q39" s="4">
        <f>AVERAGE(O39,P39)</f>
        <v>95.25</v>
      </c>
      <c r="R39">
        <v>28</v>
      </c>
      <c r="S39" s="4">
        <v>68</v>
      </c>
      <c r="T39" s="7" t="s">
        <v>178</v>
      </c>
      <c r="U39" s="4">
        <v>3</v>
      </c>
      <c r="V39" s="4">
        <v>3</v>
      </c>
      <c r="W39">
        <v>0.5</v>
      </c>
      <c r="X39" s="4">
        <v>-5</v>
      </c>
      <c r="Y39">
        <v>15</v>
      </c>
      <c r="Z39">
        <v>2481.5</v>
      </c>
      <c r="AA39" s="4">
        <v>2478.8333333333335</v>
      </c>
      <c r="AB39" s="4">
        <v>2501</v>
      </c>
      <c r="AC39" s="4">
        <f>Z39/N39</f>
        <v>31.491116751269036</v>
      </c>
      <c r="AD39" s="4">
        <f t="shared" si="0"/>
        <v>31.457275803722506</v>
      </c>
      <c r="AE39" s="4">
        <f t="shared" si="8"/>
        <v>31.738578680203048</v>
      </c>
      <c r="AF39" s="4">
        <f t="shared" si="12"/>
        <v>14.798816568047338</v>
      </c>
      <c r="AG39" s="5">
        <f>14.5*60+5</f>
        <v>875</v>
      </c>
      <c r="AH39">
        <v>5.3</v>
      </c>
      <c r="AI39">
        <v>20</v>
      </c>
      <c r="AJ39">
        <v>17</v>
      </c>
      <c r="AK39">
        <v>169</v>
      </c>
      <c r="AL39" s="5">
        <v>3045.8333333333335</v>
      </c>
      <c r="AM39" s="4">
        <v>98.166666666666671</v>
      </c>
      <c r="AN39" s="1">
        <v>1.2549999999999999</v>
      </c>
      <c r="AO39" s="5">
        <v>45.20000000000001</v>
      </c>
      <c r="AP39" s="1">
        <v>8.56</v>
      </c>
      <c r="AQ39" s="4">
        <v>3</v>
      </c>
      <c r="AR39" s="1">
        <f t="shared" si="13"/>
        <v>15.020812182741119</v>
      </c>
      <c r="AS39" s="1">
        <f t="shared" si="14"/>
        <v>11.26560913705584</v>
      </c>
      <c r="AT39" s="5">
        <f t="shared" si="15"/>
        <v>47.749882337120958</v>
      </c>
      <c r="AU39" s="5">
        <v>1183.6400000000001</v>
      </c>
      <c r="AV39" s="4">
        <v>974.28</v>
      </c>
      <c r="AW39" s="4">
        <v>34.6</v>
      </c>
      <c r="AX39" s="1">
        <v>0.82440000000000013</v>
      </c>
      <c r="AY39" s="4">
        <v>22.631999999999998</v>
      </c>
      <c r="AZ39" s="4">
        <f t="shared" si="9"/>
        <v>57.396449704142015</v>
      </c>
      <c r="BA39">
        <v>97</v>
      </c>
      <c r="BB39" s="6" t="s">
        <v>179</v>
      </c>
      <c r="BC39" s="6" t="s">
        <v>179</v>
      </c>
      <c r="BD39" s="6" t="s">
        <v>179</v>
      </c>
      <c r="BE39" s="6" t="s">
        <v>179</v>
      </c>
      <c r="BF39" s="9" t="s">
        <v>179</v>
      </c>
      <c r="BG39" s="6" t="s">
        <v>179</v>
      </c>
      <c r="BH39" s="6" t="s">
        <v>179</v>
      </c>
      <c r="BI39" s="6" t="s">
        <v>179</v>
      </c>
      <c r="BJ39" s="6" t="s">
        <v>179</v>
      </c>
      <c r="BK39" s="6" t="s">
        <v>179</v>
      </c>
      <c r="BL39" s="13" t="s">
        <v>179</v>
      </c>
      <c r="BM39" s="15" t="s">
        <v>179</v>
      </c>
      <c r="BN39" s="15" t="s">
        <v>179</v>
      </c>
      <c r="BO39" s="15" t="s">
        <v>179</v>
      </c>
      <c r="BP39" s="15" t="s">
        <v>179</v>
      </c>
      <c r="BQ39" s="7" t="s">
        <v>179</v>
      </c>
      <c r="BR39" s="7" t="s">
        <v>179</v>
      </c>
      <c r="BS39" s="7" t="s">
        <v>179</v>
      </c>
      <c r="BT39" s="7" t="s">
        <v>179</v>
      </c>
      <c r="BU39" s="7" t="s">
        <v>179</v>
      </c>
      <c r="BV39" s="7" t="s">
        <v>179</v>
      </c>
      <c r="BW39" s="7" t="s">
        <v>179</v>
      </c>
      <c r="BX39" s="7" t="s">
        <v>179</v>
      </c>
      <c r="BY39" s="7" t="s">
        <v>179</v>
      </c>
      <c r="BZ39" s="7" t="s">
        <v>179</v>
      </c>
      <c r="CA39" s="7" t="s">
        <v>179</v>
      </c>
      <c r="CB39" s="7" t="s">
        <v>179</v>
      </c>
    </row>
    <row r="40" spans="1:80" ht="15.6">
      <c r="A40" s="8" t="s">
        <v>175</v>
      </c>
      <c r="B40" s="8" t="s">
        <v>176</v>
      </c>
      <c r="C40" t="s">
        <v>219</v>
      </c>
      <c r="D40">
        <v>1</v>
      </c>
      <c r="E40">
        <v>38</v>
      </c>
      <c r="F40" s="4">
        <v>23.8</v>
      </c>
      <c r="G40">
        <v>139</v>
      </c>
      <c r="H40">
        <v>101</v>
      </c>
      <c r="I40">
        <v>126</v>
      </c>
      <c r="J40">
        <v>94</v>
      </c>
      <c r="K40" s="5">
        <f t="shared" ref="K40:K58" si="16">AVERAGE(G40,I40)</f>
        <v>132.5</v>
      </c>
      <c r="L40" s="5">
        <f t="shared" ref="L40:L58" si="17">AVERAGE(H40,J40)</f>
        <v>97.5</v>
      </c>
      <c r="M40" s="4">
        <v>177.7</v>
      </c>
      <c r="N40" s="4">
        <v>75.7</v>
      </c>
      <c r="O40" s="4">
        <v>78.5</v>
      </c>
      <c r="P40" s="4">
        <v>79</v>
      </c>
      <c r="Q40" s="4">
        <f t="shared" ref="Q40:Q70" si="18">AVERAGE(O40,P40)</f>
        <v>78.75</v>
      </c>
      <c r="R40">
        <v>30</v>
      </c>
      <c r="S40" s="4">
        <v>64</v>
      </c>
      <c r="T40" s="7" t="s">
        <v>178</v>
      </c>
      <c r="U40" s="4">
        <v>22</v>
      </c>
      <c r="V40" s="4">
        <v>25</v>
      </c>
      <c r="W40" s="4">
        <v>6.5</v>
      </c>
      <c r="X40" s="4">
        <v>3</v>
      </c>
      <c r="Y40" s="7" t="s">
        <v>179</v>
      </c>
      <c r="Z40" s="4">
        <v>2878</v>
      </c>
      <c r="AA40" s="4">
        <v>2914</v>
      </c>
      <c r="AB40" s="4">
        <v>2939.1666666666665</v>
      </c>
      <c r="AC40" s="4">
        <f>Z40/N40</f>
        <v>38.018494055482165</v>
      </c>
      <c r="AD40" s="4">
        <f t="shared" ref="AD40:AD70" si="19">AA40/N40</f>
        <v>38.494055482166445</v>
      </c>
      <c r="AE40" s="4">
        <f t="shared" si="8"/>
        <v>38.826508146191102</v>
      </c>
      <c r="AF40" s="4">
        <f t="shared" si="12"/>
        <v>15.801971326164873</v>
      </c>
      <c r="AG40" s="5">
        <f>14*60</f>
        <v>840</v>
      </c>
      <c r="AH40">
        <v>5.8</v>
      </c>
      <c r="AI40">
        <v>20</v>
      </c>
      <c r="AJ40">
        <v>19</v>
      </c>
      <c r="AK40">
        <v>186</v>
      </c>
      <c r="AL40" s="5">
        <v>3418.5</v>
      </c>
      <c r="AM40" s="4">
        <v>115.33333333333333</v>
      </c>
      <c r="AN40" s="1">
        <v>1.1649999999999998</v>
      </c>
      <c r="AO40" s="5">
        <v>56.81666666666667</v>
      </c>
      <c r="AP40" s="1">
        <v>11.16</v>
      </c>
      <c r="AQ40">
        <v>3.5</v>
      </c>
      <c r="AR40" s="1">
        <f t="shared" si="13"/>
        <v>17.497490092470276</v>
      </c>
      <c r="AS40" s="1">
        <f t="shared" si="14"/>
        <v>13.123117569352708</v>
      </c>
      <c r="AT40" s="5">
        <f t="shared" si="15"/>
        <v>45.455044612216881</v>
      </c>
      <c r="AU40" s="5">
        <v>1324.56</v>
      </c>
      <c r="AV40" s="4">
        <v>1075.52</v>
      </c>
      <c r="AW40" s="4">
        <v>37.200000000000003</v>
      </c>
      <c r="AX40" s="1">
        <v>0.81120000000000003</v>
      </c>
      <c r="AY40" s="4">
        <v>20.815999999999999</v>
      </c>
      <c r="AZ40" s="4">
        <f t="shared" si="9"/>
        <v>71.612903225806448</v>
      </c>
      <c r="BA40" s="4">
        <v>133.19999999999999</v>
      </c>
      <c r="BB40" s="11">
        <v>75462.601819999996</v>
      </c>
      <c r="BC40" s="11">
        <v>45195.22479</v>
      </c>
      <c r="BD40" s="11">
        <v>27528.214449999999</v>
      </c>
      <c r="BE40" s="11">
        <v>13880.376819999999</v>
      </c>
      <c r="BG40" s="12">
        <v>387.6798331</v>
      </c>
      <c r="BH40" s="12">
        <v>410.94062309999998</v>
      </c>
      <c r="BI40" s="12">
        <v>394.3960611</v>
      </c>
      <c r="BJ40" s="12">
        <v>418.0598248</v>
      </c>
      <c r="BK40" s="4">
        <f t="shared" si="10"/>
        <v>391.0379471</v>
      </c>
      <c r="BL40" s="10">
        <f t="shared" si="11"/>
        <v>414.50022394999996</v>
      </c>
      <c r="BM40" s="4">
        <v>5.3</v>
      </c>
      <c r="BN40" s="1">
        <v>0.9</v>
      </c>
      <c r="BO40" s="4">
        <v>1.5</v>
      </c>
      <c r="BP40" s="4">
        <v>2.5</v>
      </c>
      <c r="BQ40">
        <v>121</v>
      </c>
      <c r="BR40">
        <v>34</v>
      </c>
      <c r="BS40">
        <v>5</v>
      </c>
      <c r="BT40">
        <v>14</v>
      </c>
      <c r="BU40">
        <v>11</v>
      </c>
      <c r="BV40">
        <v>5.6</v>
      </c>
      <c r="BW40">
        <v>210</v>
      </c>
      <c r="BX40">
        <v>831</v>
      </c>
      <c r="BY40">
        <v>415</v>
      </c>
      <c r="BZ40">
        <v>936</v>
      </c>
      <c r="CA40">
        <v>435</v>
      </c>
      <c r="CB40">
        <v>966</v>
      </c>
    </row>
    <row r="41" spans="1:80" ht="15.75">
      <c r="A41" s="8" t="s">
        <v>186</v>
      </c>
      <c r="B41" s="8" t="s">
        <v>184</v>
      </c>
      <c r="C41" t="s">
        <v>219</v>
      </c>
      <c r="D41">
        <v>2</v>
      </c>
      <c r="E41">
        <v>69</v>
      </c>
      <c r="F41" s="4">
        <v>25.7</v>
      </c>
      <c r="G41">
        <v>176</v>
      </c>
      <c r="H41">
        <v>94</v>
      </c>
      <c r="I41">
        <v>183</v>
      </c>
      <c r="J41">
        <v>103</v>
      </c>
      <c r="K41" s="5">
        <f t="shared" si="16"/>
        <v>179.5</v>
      </c>
      <c r="L41" s="5">
        <f t="shared" si="17"/>
        <v>98.5</v>
      </c>
      <c r="M41" s="4">
        <v>177</v>
      </c>
      <c r="N41" s="4">
        <v>76.599999999999994</v>
      </c>
      <c r="O41" s="4">
        <v>94.5</v>
      </c>
      <c r="P41" s="4">
        <v>93.9</v>
      </c>
      <c r="Q41" s="4">
        <f t="shared" si="18"/>
        <v>94.2</v>
      </c>
      <c r="R41">
        <v>54</v>
      </c>
      <c r="S41" s="4">
        <v>44.8</v>
      </c>
      <c r="T41" s="7" t="s">
        <v>181</v>
      </c>
      <c r="U41" s="4">
        <v>4.8</v>
      </c>
      <c r="V41" s="4">
        <v>9.6999999999999993</v>
      </c>
      <c r="W41" s="4">
        <v>2.1</v>
      </c>
      <c r="X41" s="4">
        <v>-15.3</v>
      </c>
      <c r="Y41">
        <v>15</v>
      </c>
      <c r="Z41" s="4">
        <v>2605</v>
      </c>
      <c r="AA41" s="4">
        <v>2603.6666666666665</v>
      </c>
      <c r="AB41" s="4">
        <v>2624.8333333333335</v>
      </c>
      <c r="AC41" s="4">
        <f>Z41/N41</f>
        <v>34.007832898172325</v>
      </c>
      <c r="AD41" s="4">
        <f t="shared" si="19"/>
        <v>33.990426457789383</v>
      </c>
      <c r="AE41" s="4">
        <f t="shared" si="8"/>
        <v>34.266753698868584</v>
      </c>
      <c r="AF41" s="4">
        <f t="shared" si="12"/>
        <v>15.812248995983937</v>
      </c>
      <c r="AG41" s="5">
        <f>14.25*60</f>
        <v>855</v>
      </c>
      <c r="AH41">
        <v>4.8</v>
      </c>
      <c r="AI41">
        <v>20</v>
      </c>
      <c r="AJ41">
        <v>20</v>
      </c>
      <c r="AK41">
        <v>166</v>
      </c>
      <c r="AL41" s="5">
        <v>2807.6666666666665</v>
      </c>
      <c r="AM41" s="4">
        <v>94</v>
      </c>
      <c r="AN41" s="1">
        <v>1.0783333333333334</v>
      </c>
      <c r="AO41" s="5">
        <v>38.566666666666663</v>
      </c>
      <c r="AP41" s="1">
        <v>5.37</v>
      </c>
      <c r="AQ41" s="4">
        <v>3</v>
      </c>
      <c r="AR41" s="1">
        <f t="shared" si="13"/>
        <v>15.697127937336816</v>
      </c>
      <c r="AS41" s="1">
        <f t="shared" si="14"/>
        <v>11.772845953002612</v>
      </c>
      <c r="AT41" s="5">
        <f t="shared" si="15"/>
        <v>46.181026757137374</v>
      </c>
      <c r="AU41" s="5">
        <v>1202.4000000000001</v>
      </c>
      <c r="AV41" s="4">
        <v>924.44</v>
      </c>
      <c r="AW41" s="4">
        <v>34.4</v>
      </c>
      <c r="AX41" s="1">
        <v>0.76960000000000006</v>
      </c>
      <c r="AY41" s="4">
        <v>22.727999999999998</v>
      </c>
      <c r="AZ41" s="4">
        <f t="shared" si="9"/>
        <v>61.566265060240966</v>
      </c>
      <c r="BA41">
        <v>102.2</v>
      </c>
      <c r="BB41" s="11">
        <v>75671.924190000005</v>
      </c>
      <c r="BC41" s="11">
        <v>51629.879840000001</v>
      </c>
      <c r="BD41" s="11">
        <v>21136.87616</v>
      </c>
      <c r="BE41" s="11">
        <v>11708.551880000001</v>
      </c>
      <c r="BG41" s="12">
        <v>1512.9617290000001</v>
      </c>
      <c r="BH41" s="12">
        <v>1603.739433</v>
      </c>
      <c r="BI41" s="12">
        <v>1511.1812870000001</v>
      </c>
      <c r="BJ41" s="12">
        <v>1601.8521639999999</v>
      </c>
      <c r="BK41" s="4">
        <f t="shared" si="10"/>
        <v>1512.071508</v>
      </c>
      <c r="BL41" s="10">
        <f t="shared" si="11"/>
        <v>1602.7957984999998</v>
      </c>
      <c r="BM41" s="4">
        <v>4.9000000000000004</v>
      </c>
      <c r="BN41" s="1">
        <v>0.54</v>
      </c>
      <c r="BO41" s="4">
        <v>1.3</v>
      </c>
      <c r="BP41" s="4">
        <v>3.8</v>
      </c>
      <c r="BQ41">
        <v>140</v>
      </c>
      <c r="BR41">
        <v>43</v>
      </c>
      <c r="BS41">
        <v>9</v>
      </c>
      <c r="BT41">
        <v>22</v>
      </c>
      <c r="BU41">
        <v>18</v>
      </c>
      <c r="BV41">
        <v>9.3000000000000007</v>
      </c>
      <c r="BW41">
        <v>280</v>
      </c>
      <c r="BX41">
        <v>945</v>
      </c>
      <c r="BY41">
        <v>498</v>
      </c>
      <c r="BZ41">
        <v>1164</v>
      </c>
      <c r="CA41">
        <v>503</v>
      </c>
      <c r="CB41">
        <v>1224</v>
      </c>
    </row>
    <row r="42" spans="1:80" ht="15.6">
      <c r="A42" s="8" t="s">
        <v>180</v>
      </c>
      <c r="B42" s="8" t="s">
        <v>176</v>
      </c>
      <c r="C42" t="s">
        <v>219</v>
      </c>
      <c r="D42">
        <v>2</v>
      </c>
      <c r="E42">
        <v>44</v>
      </c>
      <c r="F42" s="4">
        <v>28</v>
      </c>
      <c r="G42">
        <v>141</v>
      </c>
      <c r="H42">
        <v>110</v>
      </c>
      <c r="I42">
        <v>144</v>
      </c>
      <c r="J42">
        <v>112</v>
      </c>
      <c r="K42" s="5">
        <f t="shared" si="16"/>
        <v>142.5</v>
      </c>
      <c r="L42" s="5">
        <f t="shared" si="17"/>
        <v>111</v>
      </c>
      <c r="M42" s="4">
        <v>175.1</v>
      </c>
      <c r="N42" s="4">
        <v>84.8</v>
      </c>
      <c r="O42" s="4">
        <v>102.5</v>
      </c>
      <c r="P42" s="4">
        <v>103.1</v>
      </c>
      <c r="Q42" s="4">
        <f t="shared" si="18"/>
        <v>102.8</v>
      </c>
      <c r="R42">
        <v>40</v>
      </c>
      <c r="S42" s="4">
        <v>66.400000000000006</v>
      </c>
      <c r="T42" s="7" t="s">
        <v>178</v>
      </c>
      <c r="U42" s="4">
        <v>-17</v>
      </c>
      <c r="V42" s="4">
        <v>-11.8</v>
      </c>
      <c r="W42" s="4">
        <v>3.5</v>
      </c>
      <c r="X42" s="4">
        <v>-12</v>
      </c>
      <c r="Y42" s="7" t="s">
        <v>179</v>
      </c>
      <c r="Z42" s="4">
        <v>3171</v>
      </c>
      <c r="AA42" s="4">
        <v>3159.0833333333335</v>
      </c>
      <c r="AB42" s="4">
        <v>3206.6666666666665</v>
      </c>
      <c r="AC42" s="4">
        <f>Z42/N42</f>
        <v>37.393867924528301</v>
      </c>
      <c r="AD42" s="4">
        <f t="shared" si="19"/>
        <v>37.253341194968556</v>
      </c>
      <c r="AE42" s="4">
        <f t="shared" si="8"/>
        <v>37.814465408805027</v>
      </c>
      <c r="AF42" s="4">
        <f t="shared" si="12"/>
        <v>16.360544217687075</v>
      </c>
      <c r="AG42" s="5">
        <f>13*60</f>
        <v>780</v>
      </c>
      <c r="AH42">
        <v>5.3</v>
      </c>
      <c r="AI42">
        <v>20</v>
      </c>
      <c r="AJ42">
        <v>20</v>
      </c>
      <c r="AK42">
        <v>196</v>
      </c>
      <c r="AL42" s="5">
        <v>3801.1666666666665</v>
      </c>
      <c r="AM42" s="4">
        <v>147.16666666666666</v>
      </c>
      <c r="AN42" s="1">
        <v>1.2133333333333332</v>
      </c>
      <c r="AO42" s="5">
        <v>49.050000000000004</v>
      </c>
      <c r="AP42" s="1">
        <v>10.87</v>
      </c>
      <c r="AQ42" s="4">
        <v>3.5</v>
      </c>
      <c r="AR42" s="1">
        <f t="shared" si="13"/>
        <v>14.135849056603774</v>
      </c>
      <c r="AS42" s="1">
        <f t="shared" si="14"/>
        <v>10.601886792452831</v>
      </c>
      <c r="AT42" s="5">
        <f t="shared" si="15"/>
        <v>37.945184520826189</v>
      </c>
      <c r="AU42" s="5">
        <v>1198.72</v>
      </c>
      <c r="AV42" s="4">
        <v>957.76</v>
      </c>
      <c r="AW42" s="4">
        <v>32.880000000000003</v>
      </c>
      <c r="AX42" s="1">
        <v>0.80039999999999989</v>
      </c>
      <c r="AY42" s="4">
        <v>21.36</v>
      </c>
      <c r="AZ42" s="4">
        <f t="shared" si="9"/>
        <v>62.755102040816325</v>
      </c>
      <c r="BA42" s="4">
        <v>123</v>
      </c>
      <c r="BB42" s="11">
        <v>84322.911330000003</v>
      </c>
      <c r="BC42" s="11">
        <v>50460.705800000003</v>
      </c>
      <c r="BD42" s="11">
        <v>31144.213479999999</v>
      </c>
      <c r="BE42" s="11">
        <v>19212.737369999999</v>
      </c>
      <c r="BG42" s="12">
        <v>1996.576607</v>
      </c>
      <c r="BH42" s="12">
        <v>2116.3712030000002</v>
      </c>
      <c r="BI42" s="12">
        <v>1977.848956</v>
      </c>
      <c r="BJ42" s="12">
        <v>2096.519894</v>
      </c>
      <c r="BK42" s="4">
        <f t="shared" si="10"/>
        <v>1987.2127814999999</v>
      </c>
      <c r="BL42" s="10">
        <f t="shared" si="11"/>
        <v>2106.4455484999999</v>
      </c>
      <c r="BM42" s="4">
        <v>5</v>
      </c>
      <c r="BN42" s="1">
        <v>1.0900000000000001</v>
      </c>
      <c r="BO42" s="4">
        <v>1.3</v>
      </c>
      <c r="BP42" s="4">
        <v>3.4</v>
      </c>
      <c r="BQ42">
        <v>130</v>
      </c>
      <c r="BR42">
        <v>28</v>
      </c>
      <c r="BS42">
        <v>6</v>
      </c>
      <c r="BT42">
        <v>20</v>
      </c>
      <c r="BU42">
        <v>28</v>
      </c>
      <c r="BV42">
        <v>9.3000000000000007</v>
      </c>
      <c r="BW42">
        <v>235</v>
      </c>
      <c r="BX42">
        <v>587</v>
      </c>
      <c r="BY42">
        <v>506</v>
      </c>
      <c r="BZ42">
        <v>985</v>
      </c>
      <c r="CA42">
        <v>515</v>
      </c>
      <c r="CB42">
        <v>1053</v>
      </c>
    </row>
    <row r="43" spans="1:80" ht="15.6">
      <c r="A43" s="8" t="s">
        <v>220</v>
      </c>
      <c r="B43" s="8" t="s">
        <v>176</v>
      </c>
      <c r="C43" t="s">
        <v>219</v>
      </c>
      <c r="D43">
        <v>1</v>
      </c>
      <c r="E43">
        <v>70</v>
      </c>
      <c r="F43" s="4">
        <v>30.3</v>
      </c>
      <c r="G43">
        <v>162</v>
      </c>
      <c r="H43">
        <v>96</v>
      </c>
      <c r="I43">
        <v>166</v>
      </c>
      <c r="J43">
        <v>93</v>
      </c>
      <c r="K43" s="5">
        <f t="shared" si="16"/>
        <v>164</v>
      </c>
      <c r="L43" s="5">
        <f t="shared" si="17"/>
        <v>94.5</v>
      </c>
      <c r="M43" s="4">
        <v>168.1</v>
      </c>
      <c r="N43" s="4">
        <v>84.7</v>
      </c>
      <c r="O43" s="4">
        <v>106.7</v>
      </c>
      <c r="P43" s="4">
        <v>106.5</v>
      </c>
      <c r="Q43" s="4">
        <f t="shared" si="18"/>
        <v>106.6</v>
      </c>
      <c r="R43">
        <v>25</v>
      </c>
      <c r="S43" s="4">
        <v>5.2</v>
      </c>
      <c r="T43" s="7" t="s">
        <v>181</v>
      </c>
      <c r="U43" s="4">
        <v>-6.5</v>
      </c>
      <c r="V43" s="4">
        <v>-8</v>
      </c>
      <c r="W43" s="4">
        <v>-3</v>
      </c>
      <c r="X43" s="4">
        <v>-8</v>
      </c>
      <c r="Y43">
        <v>9</v>
      </c>
      <c r="Z43" s="4">
        <v>2029</v>
      </c>
      <c r="AA43" s="4">
        <v>2036.8333333333333</v>
      </c>
      <c r="AB43" s="4">
        <v>2070.1666666666665</v>
      </c>
      <c r="AC43" s="4">
        <f>Z43/N43</f>
        <v>23.95513577331759</v>
      </c>
      <c r="AD43" s="4">
        <f t="shared" si="19"/>
        <v>24.047619047619047</v>
      </c>
      <c r="AE43" s="4">
        <f t="shared" si="8"/>
        <v>24.441164895710347</v>
      </c>
      <c r="AF43" s="4">
        <f t="shared" si="12"/>
        <v>12.622967479674795</v>
      </c>
      <c r="AG43" s="5">
        <v>670</v>
      </c>
      <c r="AH43">
        <v>3.8</v>
      </c>
      <c r="AI43">
        <v>20</v>
      </c>
      <c r="AJ43">
        <v>18</v>
      </c>
      <c r="AK43">
        <v>164</v>
      </c>
      <c r="AL43" s="5">
        <v>2240.8333333333335</v>
      </c>
      <c r="AM43" s="4">
        <v>77</v>
      </c>
      <c r="AN43" s="1">
        <v>1.175</v>
      </c>
      <c r="AO43" s="5">
        <v>39.4</v>
      </c>
      <c r="AP43" s="1">
        <v>7.56</v>
      </c>
      <c r="AQ43" s="4">
        <v>3</v>
      </c>
      <c r="AR43" s="1">
        <f t="shared" si="13"/>
        <v>12.934120425029516</v>
      </c>
      <c r="AS43" s="1">
        <f t="shared" si="14"/>
        <v>9.7005903187721358</v>
      </c>
      <c r="AT43" s="5">
        <f t="shared" si="15"/>
        <v>53.785451272399968</v>
      </c>
      <c r="AU43" s="5">
        <v>1095.52</v>
      </c>
      <c r="AV43" s="4">
        <v>876.36</v>
      </c>
      <c r="AW43" s="4">
        <v>34.799999999999997</v>
      </c>
      <c r="AX43" s="1">
        <v>0.8</v>
      </c>
      <c r="AY43" s="4">
        <v>24.592000000000002</v>
      </c>
      <c r="AZ43" s="4">
        <f t="shared" si="9"/>
        <v>64.512195121951223</v>
      </c>
      <c r="BA43" s="4">
        <v>105.8</v>
      </c>
      <c r="BB43" s="11">
        <v>85692.28</v>
      </c>
      <c r="BC43" s="11">
        <v>48988.087299999999</v>
      </c>
      <c r="BD43" s="11">
        <v>34245.766470000002</v>
      </c>
      <c r="BE43" s="11">
        <v>22181.367320000001</v>
      </c>
      <c r="BG43" s="12">
        <v>2081.7407349999999</v>
      </c>
      <c r="BH43" s="12">
        <v>2206.6451790000001</v>
      </c>
      <c r="BI43" s="12">
        <v>2120.9171930000002</v>
      </c>
      <c r="BJ43" s="12">
        <v>2248.1722239999999</v>
      </c>
      <c r="BK43" s="4">
        <f t="shared" si="10"/>
        <v>2101.3289640000003</v>
      </c>
      <c r="BL43" s="10">
        <f t="shared" si="11"/>
        <v>2227.4087015</v>
      </c>
      <c r="BM43" s="15" t="s">
        <v>179</v>
      </c>
      <c r="BN43" s="15" t="s">
        <v>179</v>
      </c>
      <c r="BO43" s="15" t="s">
        <v>179</v>
      </c>
      <c r="BP43" s="15" t="s">
        <v>179</v>
      </c>
      <c r="BQ43">
        <v>128</v>
      </c>
      <c r="BR43">
        <v>44</v>
      </c>
      <c r="BS43">
        <v>10</v>
      </c>
      <c r="BT43">
        <v>22</v>
      </c>
      <c r="BU43">
        <v>21</v>
      </c>
      <c r="BV43" s="4">
        <v>13</v>
      </c>
      <c r="BW43">
        <v>166</v>
      </c>
      <c r="BX43">
        <v>290</v>
      </c>
      <c r="BY43">
        <v>165</v>
      </c>
      <c r="BZ43">
        <v>894</v>
      </c>
      <c r="CA43">
        <v>196</v>
      </c>
      <c r="CB43">
        <v>996</v>
      </c>
    </row>
    <row r="44" spans="1:80" ht="15.6">
      <c r="A44" s="8" t="s">
        <v>190</v>
      </c>
      <c r="B44" s="8" t="s">
        <v>184</v>
      </c>
      <c r="C44" t="s">
        <v>219</v>
      </c>
      <c r="D44">
        <v>1</v>
      </c>
      <c r="E44">
        <v>24</v>
      </c>
      <c r="F44" s="4">
        <v>23.5</v>
      </c>
      <c r="G44">
        <v>107</v>
      </c>
      <c r="H44">
        <v>72</v>
      </c>
      <c r="I44">
        <v>106</v>
      </c>
      <c r="J44">
        <v>70</v>
      </c>
      <c r="K44" s="5">
        <f t="shared" si="16"/>
        <v>106.5</v>
      </c>
      <c r="L44" s="5">
        <f t="shared" si="17"/>
        <v>71</v>
      </c>
      <c r="M44" s="4">
        <v>149.1</v>
      </c>
      <c r="N44" s="4">
        <v>52.1</v>
      </c>
      <c r="O44" s="4">
        <v>69</v>
      </c>
      <c r="P44" s="4">
        <v>70</v>
      </c>
      <c r="Q44" s="4">
        <f t="shared" si="18"/>
        <v>69.5</v>
      </c>
      <c r="R44">
        <v>12</v>
      </c>
      <c r="S44" s="4">
        <v>104.9</v>
      </c>
      <c r="T44" s="7" t="s">
        <v>178</v>
      </c>
      <c r="U44" s="4">
        <v>15</v>
      </c>
      <c r="V44" s="4">
        <v>18</v>
      </c>
      <c r="W44" s="4">
        <v>4</v>
      </c>
      <c r="X44" s="4">
        <v>0</v>
      </c>
      <c r="Y44" s="7" t="s">
        <v>179</v>
      </c>
      <c r="Z44" s="4">
        <v>1746</v>
      </c>
      <c r="AA44" s="4">
        <v>1698.75</v>
      </c>
      <c r="AB44" s="4">
        <v>1723.6666666666667</v>
      </c>
      <c r="AC44" s="4">
        <f>Z44/N44</f>
        <v>33.512476007677542</v>
      </c>
      <c r="AD44" s="4">
        <f t="shared" si="19"/>
        <v>32.605566218809983</v>
      </c>
      <c r="AE44" s="4">
        <f t="shared" si="8"/>
        <v>33.083813179782467</v>
      </c>
      <c r="AF44" s="4">
        <f t="shared" si="12"/>
        <v>9.3171171171171174</v>
      </c>
      <c r="AG44" s="5">
        <f>11*60</f>
        <v>660</v>
      </c>
      <c r="AH44">
        <v>4.8</v>
      </c>
      <c r="AI44">
        <v>18</v>
      </c>
      <c r="AJ44">
        <v>19</v>
      </c>
      <c r="AK44">
        <v>185</v>
      </c>
      <c r="AL44" s="5">
        <v>2125.1666666666665</v>
      </c>
      <c r="AM44" s="4">
        <v>65.5</v>
      </c>
      <c r="AN44" s="1">
        <v>1.2566666666666668</v>
      </c>
      <c r="AO44" s="5">
        <v>55.433333333333337</v>
      </c>
      <c r="AP44" s="1">
        <v>11.56</v>
      </c>
      <c r="AQ44" s="4">
        <v>3.5</v>
      </c>
      <c r="AR44" s="1">
        <f t="shared" si="13"/>
        <v>16.539731285988484</v>
      </c>
      <c r="AS44" s="1">
        <f t="shared" si="14"/>
        <v>12.404798464491364</v>
      </c>
      <c r="AT44" s="5">
        <f t="shared" si="15"/>
        <v>50.726710816777043</v>
      </c>
      <c r="AU44" s="5">
        <v>861.72</v>
      </c>
      <c r="AV44" s="4">
        <v>727.6</v>
      </c>
      <c r="AW44" s="4">
        <v>23.16</v>
      </c>
      <c r="AX44" s="1">
        <v>0.84440000000000015</v>
      </c>
      <c r="AY44" s="4">
        <v>28.596</v>
      </c>
      <c r="AZ44" s="4">
        <f t="shared" si="9"/>
        <v>65.729729729729726</v>
      </c>
      <c r="BA44">
        <v>121.6</v>
      </c>
      <c r="BB44" s="11">
        <v>51276.100330000001</v>
      </c>
      <c r="BC44" s="11">
        <v>30162.728169999998</v>
      </c>
      <c r="BD44" s="11">
        <v>19259.849999999999</v>
      </c>
      <c r="BE44" s="11">
        <v>9836.4012149999999</v>
      </c>
      <c r="BG44" s="12">
        <v>337.6508786</v>
      </c>
      <c r="BH44" s="12">
        <v>357.90993129999998</v>
      </c>
      <c r="BI44" s="12">
        <v>337.13216190000003</v>
      </c>
      <c r="BJ44" s="12">
        <v>357.36009159999998</v>
      </c>
      <c r="BK44" s="4">
        <f t="shared" si="10"/>
        <v>337.39152024999999</v>
      </c>
      <c r="BL44" s="10">
        <f t="shared" si="11"/>
        <v>357.63501144999998</v>
      </c>
      <c r="BM44" s="4">
        <v>5.0999999999999996</v>
      </c>
      <c r="BN44" s="1">
        <v>0.81</v>
      </c>
      <c r="BO44" s="4">
        <v>1.4</v>
      </c>
      <c r="BP44" s="4">
        <v>3.8</v>
      </c>
      <c r="BQ44">
        <v>97</v>
      </c>
      <c r="BR44">
        <v>22</v>
      </c>
      <c r="BS44">
        <v>2</v>
      </c>
      <c r="BT44">
        <v>11</v>
      </c>
      <c r="BU44">
        <v>12</v>
      </c>
      <c r="BV44">
        <v>5.3</v>
      </c>
      <c r="BW44">
        <v>165</v>
      </c>
      <c r="BX44">
        <v>289</v>
      </c>
      <c r="BY44">
        <v>319</v>
      </c>
      <c r="BZ44">
        <v>1729</v>
      </c>
      <c r="CA44">
        <v>376</v>
      </c>
      <c r="CB44">
        <v>1838</v>
      </c>
    </row>
    <row r="45" spans="1:80" ht="15.6">
      <c r="A45" s="8" t="s">
        <v>196</v>
      </c>
      <c r="B45" s="8" t="s">
        <v>184</v>
      </c>
      <c r="C45" t="s">
        <v>219</v>
      </c>
      <c r="D45">
        <v>2</v>
      </c>
      <c r="E45">
        <v>67</v>
      </c>
      <c r="F45" s="4">
        <v>25</v>
      </c>
      <c r="G45">
        <v>132</v>
      </c>
      <c r="H45">
        <v>101</v>
      </c>
      <c r="I45">
        <v>136</v>
      </c>
      <c r="J45">
        <v>107</v>
      </c>
      <c r="K45" s="5">
        <f t="shared" si="16"/>
        <v>134</v>
      </c>
      <c r="L45" s="5">
        <f t="shared" si="17"/>
        <v>104</v>
      </c>
      <c r="M45" s="4">
        <v>179.9</v>
      </c>
      <c r="N45" s="4">
        <v>82</v>
      </c>
      <c r="O45" s="4">
        <v>95.4</v>
      </c>
      <c r="P45" s="4">
        <v>95.7</v>
      </c>
      <c r="Q45" s="4">
        <f t="shared" si="18"/>
        <v>95.550000000000011</v>
      </c>
      <c r="R45">
        <v>36</v>
      </c>
      <c r="S45" s="4">
        <v>5.7</v>
      </c>
      <c r="T45" s="7" t="s">
        <v>181</v>
      </c>
      <c r="U45" s="4">
        <v>-22</v>
      </c>
      <c r="V45" s="4">
        <v>-32.799999999999997</v>
      </c>
      <c r="W45" s="4">
        <v>-19.600000000000001</v>
      </c>
      <c r="X45" s="4">
        <v>-28.6</v>
      </c>
      <c r="Y45">
        <v>12</v>
      </c>
      <c r="Z45" s="4">
        <v>2766.5</v>
      </c>
      <c r="AA45" s="4">
        <v>2742.5</v>
      </c>
      <c r="AB45" s="4">
        <v>2776</v>
      </c>
      <c r="AC45" s="4">
        <f>Z45/N45</f>
        <v>33.737804878048777</v>
      </c>
      <c r="AD45" s="4">
        <f t="shared" si="19"/>
        <v>33.445121951219512</v>
      </c>
      <c r="AE45" s="4">
        <f t="shared" si="8"/>
        <v>33.853658536585364</v>
      </c>
      <c r="AF45" s="4">
        <f t="shared" si="12"/>
        <v>14.610526315789473</v>
      </c>
      <c r="AG45" s="5">
        <f>14.5*60</f>
        <v>870</v>
      </c>
      <c r="AH45">
        <v>5.3</v>
      </c>
      <c r="AI45">
        <v>20</v>
      </c>
      <c r="AJ45">
        <v>19</v>
      </c>
      <c r="AK45">
        <v>190</v>
      </c>
      <c r="AL45" s="5">
        <v>3285</v>
      </c>
      <c r="AM45" s="4">
        <v>121.83333333333333</v>
      </c>
      <c r="AN45" s="1">
        <v>1.2066666666666668</v>
      </c>
      <c r="AO45" s="5">
        <v>52.766666666666673</v>
      </c>
      <c r="AP45" s="1">
        <v>5.51</v>
      </c>
      <c r="AQ45" s="4">
        <v>3</v>
      </c>
      <c r="AR45" s="1">
        <f t="shared" si="13"/>
        <v>14.069756097560976</v>
      </c>
      <c r="AS45" s="1">
        <f t="shared" si="14"/>
        <v>10.552317073170732</v>
      </c>
      <c r="AT45" s="5">
        <f t="shared" si="15"/>
        <v>42.068185961713766</v>
      </c>
      <c r="AU45" s="5">
        <v>1153.72</v>
      </c>
      <c r="AV45" s="4">
        <v>996.68</v>
      </c>
      <c r="AW45" s="4">
        <v>36.28</v>
      </c>
      <c r="AX45" s="1">
        <v>0.86480000000000024</v>
      </c>
      <c r="AY45" s="4">
        <v>25.1</v>
      </c>
      <c r="AZ45" s="4">
        <f t="shared" si="9"/>
        <v>59.473684210526315</v>
      </c>
      <c r="BA45">
        <v>113</v>
      </c>
      <c r="BB45" s="11">
        <v>82760.768450000003</v>
      </c>
      <c r="BC45" s="11">
        <v>55329.99843</v>
      </c>
      <c r="BD45" s="11">
        <v>24256.320070000002</v>
      </c>
      <c r="BE45" s="11">
        <v>14150.58304</v>
      </c>
      <c r="BG45" s="12">
        <v>1450.836153</v>
      </c>
      <c r="BH45" s="12">
        <v>1537.8863220000001</v>
      </c>
      <c r="BI45" s="12">
        <v>1496.7980689999999</v>
      </c>
      <c r="BJ45" s="12">
        <v>1586.605953</v>
      </c>
      <c r="BK45" s="4">
        <f t="shared" si="10"/>
        <v>1473.8171109999998</v>
      </c>
      <c r="BL45" s="10">
        <f t="shared" si="11"/>
        <v>1562.2461375</v>
      </c>
      <c r="BM45" s="15" t="s">
        <v>179</v>
      </c>
      <c r="BN45" s="15" t="s">
        <v>179</v>
      </c>
      <c r="BO45" s="15" t="s">
        <v>179</v>
      </c>
      <c r="BP45" s="15" t="s">
        <v>179</v>
      </c>
      <c r="BQ45">
        <v>128</v>
      </c>
      <c r="BR45">
        <v>34</v>
      </c>
      <c r="BS45">
        <v>13</v>
      </c>
      <c r="BT45">
        <v>38</v>
      </c>
      <c r="BU45">
        <v>39</v>
      </c>
      <c r="BV45">
        <v>8.6999999999999993</v>
      </c>
      <c r="BW45">
        <v>200</v>
      </c>
      <c r="BX45">
        <v>574</v>
      </c>
      <c r="BY45">
        <v>390</v>
      </c>
      <c r="BZ45">
        <v>1179</v>
      </c>
      <c r="CA45">
        <v>407</v>
      </c>
      <c r="CB45">
        <v>1230</v>
      </c>
    </row>
    <row r="46" spans="1:80" ht="15.6">
      <c r="A46" s="8" t="s">
        <v>194</v>
      </c>
      <c r="B46" s="8" t="s">
        <v>184</v>
      </c>
      <c r="C46" t="s">
        <v>219</v>
      </c>
      <c r="D46">
        <v>2</v>
      </c>
      <c r="E46">
        <v>74</v>
      </c>
      <c r="F46" s="4">
        <v>29.3</v>
      </c>
      <c r="G46">
        <v>173</v>
      </c>
      <c r="H46">
        <v>96</v>
      </c>
      <c r="I46">
        <v>171</v>
      </c>
      <c r="J46">
        <v>95</v>
      </c>
      <c r="K46" s="5">
        <f t="shared" si="16"/>
        <v>172</v>
      </c>
      <c r="L46" s="5">
        <f t="shared" si="17"/>
        <v>95.5</v>
      </c>
      <c r="M46" s="4">
        <v>176.5</v>
      </c>
      <c r="N46" s="4">
        <v>92.3</v>
      </c>
      <c r="O46" s="4">
        <v>110</v>
      </c>
      <c r="P46" s="4">
        <v>111</v>
      </c>
      <c r="Q46" s="4">
        <f t="shared" si="18"/>
        <v>110.5</v>
      </c>
      <c r="R46">
        <v>25</v>
      </c>
      <c r="S46" s="4">
        <v>7</v>
      </c>
      <c r="T46" s="7" t="s">
        <v>181</v>
      </c>
      <c r="U46" s="4">
        <v>2</v>
      </c>
      <c r="V46" s="4">
        <v>-2</v>
      </c>
      <c r="W46" s="4">
        <v>-18</v>
      </c>
      <c r="X46" s="4">
        <v>-22</v>
      </c>
      <c r="Y46">
        <v>12</v>
      </c>
      <c r="Z46" s="4">
        <v>2131</v>
      </c>
      <c r="AA46" s="4">
        <v>2123.25</v>
      </c>
      <c r="AB46" s="4">
        <v>2188.1666666666665</v>
      </c>
      <c r="AC46" s="4">
        <f>Z46/N46</f>
        <v>23.087757313109428</v>
      </c>
      <c r="AD46" s="4">
        <f t="shared" si="19"/>
        <v>23.003791982665224</v>
      </c>
      <c r="AE46" s="4">
        <f t="shared" si="8"/>
        <v>23.707114481762368</v>
      </c>
      <c r="AF46" s="4">
        <f t="shared" si="12"/>
        <v>17.646505376344084</v>
      </c>
      <c r="AG46" s="5">
        <f>9.5*60</f>
        <v>570</v>
      </c>
      <c r="AH46">
        <v>3.8</v>
      </c>
      <c r="AI46">
        <v>16</v>
      </c>
      <c r="AJ46">
        <v>17</v>
      </c>
      <c r="AK46">
        <v>124</v>
      </c>
      <c r="AL46" s="5">
        <v>2089.5</v>
      </c>
      <c r="AM46" s="4">
        <v>68.333333333333329</v>
      </c>
      <c r="AN46" s="1">
        <v>0.96333333333333337</v>
      </c>
      <c r="AO46" s="5">
        <v>35.483333333333327</v>
      </c>
      <c r="AP46" s="1">
        <v>4.87</v>
      </c>
      <c r="AQ46" s="4">
        <v>3</v>
      </c>
      <c r="AR46" s="1">
        <f t="shared" si="13"/>
        <v>16.372697724810401</v>
      </c>
      <c r="AS46" s="1">
        <f t="shared" si="14"/>
        <v>12.2795232936078</v>
      </c>
      <c r="AT46" s="5">
        <f t="shared" si="15"/>
        <v>71.173907924172852</v>
      </c>
      <c r="AU46" s="5">
        <v>1511.2</v>
      </c>
      <c r="AV46" s="4">
        <v>1250.96</v>
      </c>
      <c r="AW46" s="4">
        <v>47.88</v>
      </c>
      <c r="AX46" s="1">
        <v>0.82640000000000002</v>
      </c>
      <c r="AY46" s="4">
        <v>24.416000000000004</v>
      </c>
      <c r="AZ46" s="4">
        <f t="shared" si="9"/>
        <v>86.935483870967744</v>
      </c>
      <c r="BA46">
        <v>107.8</v>
      </c>
      <c r="BB46" s="11">
        <v>92005.27</v>
      </c>
      <c r="BC46" s="11">
        <v>57176.843919999999</v>
      </c>
      <c r="BD46" s="11">
        <v>31491.246319999998</v>
      </c>
      <c r="BE46" s="11">
        <v>19526.407620000002</v>
      </c>
      <c r="BG46" s="12">
        <v>2530.5868139999998</v>
      </c>
      <c r="BH46" s="12">
        <v>2682.4220230000001</v>
      </c>
      <c r="BI46" s="12">
        <v>2552.6049280000002</v>
      </c>
      <c r="BJ46" s="12">
        <v>2705.761223</v>
      </c>
      <c r="BK46" s="4">
        <f t="shared" si="10"/>
        <v>2541.595871</v>
      </c>
      <c r="BL46" s="10">
        <f t="shared" si="11"/>
        <v>2694.0916230000003</v>
      </c>
      <c r="BM46" s="4">
        <v>7</v>
      </c>
      <c r="BN46" s="1">
        <v>1.64</v>
      </c>
      <c r="BO46" s="4">
        <v>1.1000000000000001</v>
      </c>
      <c r="BP46" s="4">
        <v>2.6</v>
      </c>
      <c r="BQ46">
        <v>111</v>
      </c>
      <c r="BR46">
        <v>28</v>
      </c>
      <c r="BS46">
        <v>3</v>
      </c>
      <c r="BT46">
        <v>9</v>
      </c>
      <c r="BU46">
        <v>7</v>
      </c>
      <c r="BV46">
        <v>11.4</v>
      </c>
      <c r="BW46">
        <v>240</v>
      </c>
      <c r="BX46">
        <v>364</v>
      </c>
      <c r="BY46">
        <v>295</v>
      </c>
      <c r="BZ46">
        <v>945</v>
      </c>
      <c r="CA46">
        <v>293</v>
      </c>
      <c r="CB46">
        <v>1004</v>
      </c>
    </row>
    <row r="47" spans="1:80" ht="14.45">
      <c r="A47" s="8" t="s">
        <v>218</v>
      </c>
      <c r="B47" s="8" t="s">
        <v>184</v>
      </c>
      <c r="C47" t="s">
        <v>219</v>
      </c>
      <c r="D47">
        <v>2</v>
      </c>
      <c r="E47">
        <v>65</v>
      </c>
      <c r="F47" s="6">
        <v>27.8</v>
      </c>
      <c r="G47">
        <v>144</v>
      </c>
      <c r="H47">
        <v>101</v>
      </c>
      <c r="I47">
        <v>148</v>
      </c>
      <c r="J47">
        <v>101</v>
      </c>
      <c r="K47" s="5">
        <f t="shared" si="16"/>
        <v>146</v>
      </c>
      <c r="L47" s="5">
        <f t="shared" si="17"/>
        <v>101</v>
      </c>
      <c r="M47" s="4">
        <v>169.1</v>
      </c>
      <c r="N47" s="4">
        <v>78.8</v>
      </c>
      <c r="O47" s="4">
        <v>95.7</v>
      </c>
      <c r="P47" s="4">
        <v>96.5</v>
      </c>
      <c r="Q47" s="4">
        <f t="shared" si="18"/>
        <v>96.1</v>
      </c>
      <c r="R47">
        <v>29</v>
      </c>
      <c r="S47" s="4">
        <v>66</v>
      </c>
      <c r="T47" s="7" t="s">
        <v>178</v>
      </c>
      <c r="U47" s="4">
        <v>3.5</v>
      </c>
      <c r="V47" s="4">
        <v>5</v>
      </c>
      <c r="W47" s="4">
        <v>1</v>
      </c>
      <c r="X47" s="4">
        <v>5.5</v>
      </c>
      <c r="Y47">
        <v>18</v>
      </c>
      <c r="Z47" s="4">
        <v>2674.5</v>
      </c>
      <c r="AA47" s="4">
        <v>2665.5</v>
      </c>
      <c r="AB47" s="4">
        <v>2687.8333333333335</v>
      </c>
      <c r="AC47" s="4">
        <f>Z47/N47</f>
        <v>33.940355329949242</v>
      </c>
      <c r="AD47" s="4">
        <f t="shared" si="19"/>
        <v>33.826142131979694</v>
      </c>
      <c r="AE47" s="4">
        <f t="shared" si="8"/>
        <v>34.109560067681898</v>
      </c>
      <c r="AF47" s="4">
        <f t="shared" si="12"/>
        <v>15.447318007662837</v>
      </c>
      <c r="AG47" s="5">
        <f>15*60+35</f>
        <v>935</v>
      </c>
      <c r="AH47">
        <v>5.8</v>
      </c>
      <c r="AI47">
        <v>20</v>
      </c>
      <c r="AJ47">
        <v>19</v>
      </c>
      <c r="AK47">
        <v>174</v>
      </c>
      <c r="AL47" s="5">
        <v>3256.8333333333335</v>
      </c>
      <c r="AM47" s="4">
        <v>112.16666666666667</v>
      </c>
      <c r="AN47" s="1">
        <v>1.2866666666666668</v>
      </c>
      <c r="AO47" s="5">
        <v>50.916666666666664</v>
      </c>
      <c r="AP47" s="1">
        <v>8.33</v>
      </c>
      <c r="AQ47" s="4">
        <v>3</v>
      </c>
      <c r="AR47" s="1">
        <f t="shared" si="13"/>
        <v>14.857868020304569</v>
      </c>
      <c r="AS47" s="1">
        <f t="shared" si="14"/>
        <v>11.143401015228427</v>
      </c>
      <c r="AT47" s="5">
        <f t="shared" si="15"/>
        <v>43.924216844869626</v>
      </c>
      <c r="AU47" s="5">
        <v>1170.8</v>
      </c>
      <c r="AV47" s="4">
        <v>1026.8399999999999</v>
      </c>
      <c r="AW47" s="4">
        <v>39.04</v>
      </c>
      <c r="AX47" s="1">
        <v>0.8792000000000002</v>
      </c>
      <c r="AY47" s="4">
        <v>23.22</v>
      </c>
      <c r="AZ47" s="4">
        <f t="shared" si="9"/>
        <v>60.344827586206897</v>
      </c>
      <c r="BA47">
        <v>105</v>
      </c>
      <c r="BB47" s="6" t="s">
        <v>179</v>
      </c>
      <c r="BC47" s="6" t="s">
        <v>179</v>
      </c>
      <c r="BD47" s="6" t="s">
        <v>179</v>
      </c>
      <c r="BE47" s="6" t="s">
        <v>179</v>
      </c>
      <c r="BF47" s="9" t="s">
        <v>179</v>
      </c>
      <c r="BG47" s="6" t="s">
        <v>179</v>
      </c>
      <c r="BH47" s="6" t="s">
        <v>179</v>
      </c>
      <c r="BI47" s="6" t="s">
        <v>179</v>
      </c>
      <c r="BJ47" s="6" t="s">
        <v>179</v>
      </c>
      <c r="BK47" s="6" t="s">
        <v>179</v>
      </c>
      <c r="BL47" s="13" t="s">
        <v>179</v>
      </c>
      <c r="BM47" s="15" t="s">
        <v>179</v>
      </c>
      <c r="BN47" s="15" t="s">
        <v>179</v>
      </c>
      <c r="BO47" s="15" t="s">
        <v>179</v>
      </c>
      <c r="BP47" s="15" t="s">
        <v>179</v>
      </c>
      <c r="BQ47" s="7" t="s">
        <v>179</v>
      </c>
      <c r="BR47" s="7" t="s">
        <v>179</v>
      </c>
      <c r="BS47" s="7" t="s">
        <v>179</v>
      </c>
      <c r="BT47" s="7" t="s">
        <v>179</v>
      </c>
      <c r="BU47" s="7" t="s">
        <v>179</v>
      </c>
      <c r="BV47" s="7" t="s">
        <v>179</v>
      </c>
      <c r="BW47" s="7" t="s">
        <v>179</v>
      </c>
      <c r="BX47" s="7" t="s">
        <v>179</v>
      </c>
      <c r="BY47" s="7" t="s">
        <v>179</v>
      </c>
      <c r="BZ47" s="7" t="s">
        <v>179</v>
      </c>
      <c r="CA47" s="7" t="s">
        <v>179</v>
      </c>
      <c r="CB47" s="7" t="s">
        <v>179</v>
      </c>
    </row>
    <row r="48" spans="1:80" ht="15.75">
      <c r="A48" s="8" t="s">
        <v>188</v>
      </c>
      <c r="B48" s="8" t="s">
        <v>176</v>
      </c>
      <c r="C48" t="s">
        <v>219</v>
      </c>
      <c r="D48">
        <v>1</v>
      </c>
      <c r="E48">
        <v>54</v>
      </c>
      <c r="F48" s="4">
        <v>25.4</v>
      </c>
      <c r="G48">
        <v>118</v>
      </c>
      <c r="H48">
        <v>76</v>
      </c>
      <c r="I48">
        <v>126</v>
      </c>
      <c r="J48">
        <v>81</v>
      </c>
      <c r="K48" s="5">
        <f t="shared" si="16"/>
        <v>122</v>
      </c>
      <c r="L48" s="5">
        <f t="shared" si="17"/>
        <v>78.5</v>
      </c>
      <c r="M48" s="4">
        <v>164.2</v>
      </c>
      <c r="N48" s="4">
        <v>70.400000000000006</v>
      </c>
      <c r="O48" s="4">
        <v>96.7</v>
      </c>
      <c r="P48" s="4">
        <v>95.5</v>
      </c>
      <c r="Q48" s="4">
        <f t="shared" si="18"/>
        <v>96.1</v>
      </c>
      <c r="R48">
        <v>24</v>
      </c>
      <c r="S48" s="4">
        <v>38.700000000000003</v>
      </c>
      <c r="T48" s="7" t="s">
        <v>181</v>
      </c>
      <c r="U48" s="4">
        <v>16.2</v>
      </c>
      <c r="V48" s="4">
        <v>21.3</v>
      </c>
      <c r="W48" s="4">
        <v>11.4</v>
      </c>
      <c r="X48" s="4">
        <v>9.3000000000000007</v>
      </c>
      <c r="Y48" s="7" t="s">
        <v>179</v>
      </c>
      <c r="Z48" s="4">
        <v>1863</v>
      </c>
      <c r="AA48" s="4">
        <v>1837.8333333333333</v>
      </c>
      <c r="AB48" s="4">
        <v>1861.6666666666667</v>
      </c>
      <c r="AC48" s="4">
        <f>Z48/N48</f>
        <v>26.46306818181818</v>
      </c>
      <c r="AD48" s="4">
        <f t="shared" si="19"/>
        <v>26.105587121212118</v>
      </c>
      <c r="AE48" s="4">
        <f t="shared" si="8"/>
        <v>26.444128787878785</v>
      </c>
      <c r="AF48" s="4">
        <f t="shared" si="12"/>
        <v>12.92824074074074</v>
      </c>
      <c r="AG48" s="5">
        <f>8*60+10</f>
        <v>490</v>
      </c>
      <c r="AH48">
        <v>4.8</v>
      </c>
      <c r="AI48">
        <v>12</v>
      </c>
      <c r="AJ48">
        <v>19</v>
      </c>
      <c r="AK48">
        <v>144</v>
      </c>
      <c r="AL48" s="5">
        <v>2296.3333333333335</v>
      </c>
      <c r="AM48" s="4">
        <v>83</v>
      </c>
      <c r="AN48" s="1">
        <v>1.2549999999999999</v>
      </c>
      <c r="AO48" s="5">
        <v>40.216666666666669</v>
      </c>
      <c r="AP48" s="1">
        <v>8.44</v>
      </c>
      <c r="AQ48" s="4">
        <v>3.5</v>
      </c>
      <c r="AR48" s="1">
        <f t="shared" si="13"/>
        <v>15.872727272727273</v>
      </c>
      <c r="AS48" s="1">
        <f t="shared" si="14"/>
        <v>11.904545454545454</v>
      </c>
      <c r="AT48" s="5">
        <f t="shared" si="15"/>
        <v>60.802031377527889</v>
      </c>
      <c r="AU48" s="5">
        <v>1117.44</v>
      </c>
      <c r="AV48" s="4">
        <v>906.72</v>
      </c>
      <c r="AW48" s="4">
        <v>29.36</v>
      </c>
      <c r="AX48" s="1">
        <v>0.81079999999999985</v>
      </c>
      <c r="AY48" s="4">
        <v>18.939999999999998</v>
      </c>
      <c r="AZ48" s="4">
        <f t="shared" si="9"/>
        <v>72.083333333333329</v>
      </c>
      <c r="BA48" s="4">
        <v>103.8</v>
      </c>
      <c r="BB48" s="11">
        <v>70418.622210000001</v>
      </c>
      <c r="BC48" s="11">
        <v>35483.849820000003</v>
      </c>
      <c r="BD48" s="11">
        <v>33104.650070000003</v>
      </c>
      <c r="BE48" s="11">
        <v>17385.786479999999</v>
      </c>
      <c r="BG48" s="12">
        <v>553.39790779999998</v>
      </c>
      <c r="BH48" s="12">
        <v>586.6017822</v>
      </c>
      <c r="BI48" s="12">
        <v>688.99632120000001</v>
      </c>
      <c r="BJ48" s="12">
        <v>730.33610050000004</v>
      </c>
      <c r="BK48" s="4">
        <f t="shared" si="10"/>
        <v>621.1971145</v>
      </c>
      <c r="BL48" s="10">
        <f t="shared" si="11"/>
        <v>658.46894135000002</v>
      </c>
      <c r="BM48" s="4">
        <v>4.9000000000000004</v>
      </c>
      <c r="BN48" s="1">
        <v>1.61</v>
      </c>
      <c r="BO48" s="4">
        <v>1.4</v>
      </c>
      <c r="BP48" s="4">
        <v>2.6</v>
      </c>
      <c r="BQ48">
        <v>104</v>
      </c>
      <c r="BR48">
        <v>37</v>
      </c>
      <c r="BS48">
        <v>18</v>
      </c>
      <c r="BT48">
        <v>48</v>
      </c>
      <c r="BU48">
        <v>41</v>
      </c>
      <c r="BV48">
        <v>8.1999999999999993</v>
      </c>
      <c r="BW48">
        <v>135</v>
      </c>
      <c r="BX48">
        <v>252</v>
      </c>
      <c r="BY48">
        <v>200</v>
      </c>
      <c r="BZ48">
        <v>565</v>
      </c>
      <c r="CA48">
        <v>207</v>
      </c>
      <c r="CB48">
        <v>604</v>
      </c>
    </row>
    <row r="49" spans="1:180" ht="15.6">
      <c r="A49" s="8" t="s">
        <v>185</v>
      </c>
      <c r="B49" s="8" t="s">
        <v>184</v>
      </c>
      <c r="C49" t="s">
        <v>219</v>
      </c>
      <c r="D49">
        <v>1</v>
      </c>
      <c r="E49">
        <v>40</v>
      </c>
      <c r="F49" s="4">
        <v>28.3</v>
      </c>
      <c r="G49">
        <v>133</v>
      </c>
      <c r="H49">
        <v>84</v>
      </c>
      <c r="I49">
        <v>137</v>
      </c>
      <c r="J49">
        <v>87</v>
      </c>
      <c r="K49" s="5">
        <f t="shared" si="16"/>
        <v>135</v>
      </c>
      <c r="L49" s="5">
        <f t="shared" si="17"/>
        <v>85.5</v>
      </c>
      <c r="M49" s="4">
        <v>173.7</v>
      </c>
      <c r="N49" s="4">
        <v>86.7</v>
      </c>
      <c r="O49" s="4">
        <v>92</v>
      </c>
      <c r="P49" s="4">
        <v>93</v>
      </c>
      <c r="Q49" s="4">
        <f t="shared" si="18"/>
        <v>92.5</v>
      </c>
      <c r="R49">
        <v>28</v>
      </c>
      <c r="S49" s="4">
        <v>66.599999999999994</v>
      </c>
      <c r="T49" s="7" t="s">
        <v>178</v>
      </c>
      <c r="U49" s="4">
        <v>11</v>
      </c>
      <c r="V49" s="4">
        <v>11</v>
      </c>
      <c r="W49" s="4">
        <v>11</v>
      </c>
      <c r="X49" s="4">
        <v>6</v>
      </c>
      <c r="Y49" s="7" t="s">
        <v>179</v>
      </c>
      <c r="Z49" s="4">
        <v>3084.5</v>
      </c>
      <c r="AA49" s="4">
        <v>2877.25</v>
      </c>
      <c r="AB49" s="4">
        <v>2981</v>
      </c>
      <c r="AC49" s="4">
        <f>Z49/N49</f>
        <v>35.576701268742788</v>
      </c>
      <c r="AD49" s="4">
        <f t="shared" si="19"/>
        <v>33.186274509803923</v>
      </c>
      <c r="AE49" s="4">
        <f t="shared" si="8"/>
        <v>34.382929642445212</v>
      </c>
      <c r="AF49" s="4">
        <f t="shared" si="12"/>
        <v>16.56111111111111</v>
      </c>
      <c r="AG49" s="5">
        <f>13*60+5</f>
        <v>785</v>
      </c>
      <c r="AH49">
        <v>4.8</v>
      </c>
      <c r="AI49">
        <v>20</v>
      </c>
      <c r="AJ49">
        <v>17</v>
      </c>
      <c r="AK49">
        <v>180</v>
      </c>
      <c r="AL49" s="5">
        <v>3491.1666666666665</v>
      </c>
      <c r="AM49" s="4">
        <v>97.666666666666671</v>
      </c>
      <c r="AN49" s="1">
        <v>1.175</v>
      </c>
      <c r="AO49" s="5">
        <v>38.216666666666669</v>
      </c>
      <c r="AP49" s="1">
        <v>6.52</v>
      </c>
      <c r="AQ49" s="4">
        <v>3.5</v>
      </c>
      <c r="AR49" s="1">
        <f t="shared" si="13"/>
        <v>15.044694348327566</v>
      </c>
      <c r="AS49" s="1">
        <f t="shared" si="14"/>
        <v>11.283520761245674</v>
      </c>
      <c r="AT49" s="5">
        <f t="shared" si="15"/>
        <v>45.334086367190892</v>
      </c>
      <c r="AU49" s="5">
        <v>1304.375</v>
      </c>
      <c r="AV49" s="4">
        <v>1128.25</v>
      </c>
      <c r="AW49" s="4">
        <v>38.791666666666664</v>
      </c>
      <c r="AX49" s="1">
        <v>0.86624999999999985</v>
      </c>
      <c r="AY49" s="4">
        <v>20.066666666666666</v>
      </c>
      <c r="AZ49" s="4">
        <f t="shared" si="9"/>
        <v>59.555555555555564</v>
      </c>
      <c r="BA49">
        <v>107.2</v>
      </c>
      <c r="BB49" s="4">
        <v>85219.72</v>
      </c>
      <c r="BC49" s="11">
        <v>47425.531589999999</v>
      </c>
      <c r="BD49" s="11">
        <v>34948.426619999998</v>
      </c>
      <c r="BE49" s="11">
        <v>19852.443930000001</v>
      </c>
      <c r="BG49" s="12">
        <v>1122.9391860000001</v>
      </c>
      <c r="BH49" s="12">
        <v>1190.3155369999999</v>
      </c>
      <c r="BI49" s="12">
        <v>1134.29249</v>
      </c>
      <c r="BJ49" s="12">
        <v>1202.3500389999999</v>
      </c>
      <c r="BK49" s="4">
        <f t="shared" si="10"/>
        <v>1128.6158380000002</v>
      </c>
      <c r="BL49" s="10">
        <f t="shared" si="11"/>
        <v>1196.3327879999999</v>
      </c>
      <c r="BM49" s="4">
        <v>4.0999999999999996</v>
      </c>
      <c r="BN49" s="1">
        <v>0.82</v>
      </c>
      <c r="BO49" s="4">
        <v>1.5</v>
      </c>
      <c r="BP49" s="4">
        <v>3.1</v>
      </c>
      <c r="BQ49">
        <v>116</v>
      </c>
      <c r="BR49">
        <v>27</v>
      </c>
      <c r="BS49">
        <v>6</v>
      </c>
      <c r="BT49">
        <v>21</v>
      </c>
      <c r="BU49">
        <v>15</v>
      </c>
      <c r="BV49">
        <v>9.1</v>
      </c>
      <c r="BW49">
        <v>105</v>
      </c>
      <c r="BX49">
        <v>456</v>
      </c>
      <c r="BY49">
        <v>217</v>
      </c>
      <c r="BZ49">
        <v>583</v>
      </c>
      <c r="CA49" s="7" t="s">
        <v>179</v>
      </c>
      <c r="CB49" s="7" t="s">
        <v>179</v>
      </c>
    </row>
    <row r="50" spans="1:180" ht="15.6">
      <c r="A50" s="8" t="s">
        <v>191</v>
      </c>
      <c r="B50" s="8" t="s">
        <v>184</v>
      </c>
      <c r="C50" t="s">
        <v>219</v>
      </c>
      <c r="D50">
        <v>1</v>
      </c>
      <c r="E50">
        <v>67</v>
      </c>
      <c r="F50" s="4">
        <v>27.2</v>
      </c>
      <c r="G50">
        <v>115</v>
      </c>
      <c r="H50">
        <v>89</v>
      </c>
      <c r="I50">
        <v>120</v>
      </c>
      <c r="J50">
        <v>87</v>
      </c>
      <c r="K50" s="5">
        <f t="shared" si="16"/>
        <v>117.5</v>
      </c>
      <c r="L50" s="5">
        <f t="shared" si="17"/>
        <v>88</v>
      </c>
      <c r="M50" s="4">
        <v>174.7</v>
      </c>
      <c r="N50" s="4">
        <v>81.2</v>
      </c>
      <c r="O50" s="4">
        <v>96.5</v>
      </c>
      <c r="P50" s="4">
        <v>98</v>
      </c>
      <c r="Q50" s="4">
        <f t="shared" si="18"/>
        <v>97.25</v>
      </c>
      <c r="R50">
        <v>30</v>
      </c>
      <c r="S50" s="4">
        <v>21.75</v>
      </c>
      <c r="T50" s="7" t="s">
        <v>181</v>
      </c>
      <c r="U50" s="4">
        <v>-0.5</v>
      </c>
      <c r="V50" s="4">
        <v>0</v>
      </c>
      <c r="W50" s="4">
        <v>-12</v>
      </c>
      <c r="X50" s="4">
        <v>-20</v>
      </c>
      <c r="Y50">
        <v>14</v>
      </c>
      <c r="Z50" s="4">
        <v>2560</v>
      </c>
      <c r="AA50" s="4">
        <v>2549.75</v>
      </c>
      <c r="AB50" s="4">
        <v>2622.3333333333335</v>
      </c>
      <c r="AC50" s="4">
        <f>Z50/N50</f>
        <v>31.527093596059114</v>
      </c>
      <c r="AD50" s="4">
        <f t="shared" si="19"/>
        <v>31.400862068965516</v>
      </c>
      <c r="AE50" s="4">
        <f t="shared" si="8"/>
        <v>32.294745484400657</v>
      </c>
      <c r="AF50" s="4">
        <f t="shared" si="12"/>
        <v>14.2518115942029</v>
      </c>
      <c r="AG50" s="5">
        <f>13*60+10</f>
        <v>790</v>
      </c>
      <c r="AH50">
        <v>4.3</v>
      </c>
      <c r="AI50">
        <v>20</v>
      </c>
      <c r="AJ50">
        <v>19</v>
      </c>
      <c r="AK50">
        <v>184</v>
      </c>
      <c r="AL50" s="5">
        <v>3094.6666666666665</v>
      </c>
      <c r="AM50" s="4">
        <v>99</v>
      </c>
      <c r="AN50" s="1">
        <v>1.2016666666666669</v>
      </c>
      <c r="AO50" s="5">
        <v>37.883333333333333</v>
      </c>
      <c r="AP50" s="1">
        <v>6.32</v>
      </c>
      <c r="AQ50" s="4">
        <v>3</v>
      </c>
      <c r="AR50" s="1">
        <f t="shared" si="13"/>
        <v>15.342685799957163</v>
      </c>
      <c r="AS50" s="1">
        <f t="shared" si="14"/>
        <v>11.507014349967871</v>
      </c>
      <c r="AT50" s="5">
        <f t="shared" si="15"/>
        <v>48.860715244887608</v>
      </c>
      <c r="AU50" s="5">
        <v>1245.8260869565217</v>
      </c>
      <c r="AV50" s="4">
        <v>975.26086956521738</v>
      </c>
      <c r="AW50" s="4">
        <v>31.608695652173914</v>
      </c>
      <c r="AX50" s="1">
        <v>0.78304347826086929</v>
      </c>
      <c r="AY50" s="4">
        <v>17.269565217391303</v>
      </c>
      <c r="AZ50" s="4">
        <f t="shared" si="9"/>
        <v>58.586956521739133</v>
      </c>
      <c r="BA50">
        <v>107.8</v>
      </c>
      <c r="BB50" s="11">
        <v>80978.17194</v>
      </c>
      <c r="BC50" s="11">
        <v>48541.825049999999</v>
      </c>
      <c r="BD50" s="11">
        <v>30156.017390000001</v>
      </c>
      <c r="BE50" s="11">
        <v>15704.62132</v>
      </c>
      <c r="BG50" s="12">
        <v>928.01503079999998</v>
      </c>
      <c r="BH50" s="12">
        <v>983.69593269999996</v>
      </c>
      <c r="BI50" s="12">
        <v>918.97363319999999</v>
      </c>
      <c r="BJ50" s="12">
        <v>974.1120512</v>
      </c>
      <c r="BK50" s="4">
        <f t="shared" si="10"/>
        <v>923.49433199999999</v>
      </c>
      <c r="BL50" s="10">
        <f t="shared" si="11"/>
        <v>978.90399194999998</v>
      </c>
      <c r="BM50" s="4">
        <v>4.5999999999999996</v>
      </c>
      <c r="BN50" s="1">
        <v>0.79</v>
      </c>
      <c r="BO50" s="4">
        <v>1.7</v>
      </c>
      <c r="BP50" s="4">
        <v>2</v>
      </c>
      <c r="BQ50">
        <v>118</v>
      </c>
      <c r="BR50">
        <v>28</v>
      </c>
      <c r="BS50">
        <v>5</v>
      </c>
      <c r="BT50">
        <v>17</v>
      </c>
      <c r="BU50">
        <v>15</v>
      </c>
      <c r="BV50">
        <v>9.3000000000000007</v>
      </c>
      <c r="BW50">
        <v>180</v>
      </c>
      <c r="BX50">
        <v>116</v>
      </c>
      <c r="BY50">
        <v>329</v>
      </c>
      <c r="BZ50">
        <v>875</v>
      </c>
      <c r="CA50">
        <v>326</v>
      </c>
      <c r="CB50">
        <v>825</v>
      </c>
    </row>
    <row r="51" spans="1:180" ht="15.6">
      <c r="A51" s="8" t="s">
        <v>192</v>
      </c>
      <c r="B51" s="8" t="s">
        <v>184</v>
      </c>
      <c r="C51" t="s">
        <v>219</v>
      </c>
      <c r="D51">
        <v>2</v>
      </c>
      <c r="E51">
        <v>23</v>
      </c>
      <c r="F51" s="4">
        <v>22.9</v>
      </c>
      <c r="G51">
        <v>124</v>
      </c>
      <c r="H51">
        <v>86</v>
      </c>
      <c r="I51">
        <v>131</v>
      </c>
      <c r="J51">
        <v>91</v>
      </c>
      <c r="K51" s="5">
        <f t="shared" si="16"/>
        <v>127.5</v>
      </c>
      <c r="L51" s="5">
        <f t="shared" si="17"/>
        <v>88.5</v>
      </c>
      <c r="M51" s="4">
        <v>179</v>
      </c>
      <c r="N51" s="4">
        <v>69.7</v>
      </c>
      <c r="O51" s="4">
        <v>82</v>
      </c>
      <c r="P51" s="4">
        <v>81.5</v>
      </c>
      <c r="Q51" s="4">
        <f t="shared" si="18"/>
        <v>81.75</v>
      </c>
      <c r="R51">
        <v>48</v>
      </c>
      <c r="S51" s="4">
        <v>65</v>
      </c>
      <c r="T51" s="7" t="s">
        <v>178</v>
      </c>
      <c r="U51" s="4">
        <v>14</v>
      </c>
      <c r="V51" s="4">
        <v>14</v>
      </c>
      <c r="W51" s="4">
        <v>-26</v>
      </c>
      <c r="X51" s="4">
        <v>1.5</v>
      </c>
      <c r="Y51" s="7" t="s">
        <v>179</v>
      </c>
      <c r="Z51" s="4">
        <v>2692</v>
      </c>
      <c r="AA51" s="4">
        <v>2718.25</v>
      </c>
      <c r="AB51" s="4">
        <v>2770.1666666666665</v>
      </c>
      <c r="AC51" s="4">
        <f>Z51/N51</f>
        <v>38.622668579626968</v>
      </c>
      <c r="AD51" s="4">
        <f t="shared" si="19"/>
        <v>38.999282639885223</v>
      </c>
      <c r="AE51" s="4">
        <f t="shared" si="8"/>
        <v>39.744141559062648</v>
      </c>
      <c r="AF51" s="4">
        <f t="shared" si="12"/>
        <v>16.788888888888888</v>
      </c>
      <c r="AG51" s="5">
        <f>12.5*60</f>
        <v>750</v>
      </c>
      <c r="AH51">
        <v>5.3</v>
      </c>
      <c r="AI51">
        <v>20</v>
      </c>
      <c r="AJ51">
        <v>20</v>
      </c>
      <c r="AK51">
        <v>165</v>
      </c>
      <c r="AL51" s="5">
        <v>3355.6666666666665</v>
      </c>
      <c r="AM51" s="4">
        <v>167.16666666666666</v>
      </c>
      <c r="AN51" s="1">
        <v>1.2300000000000002</v>
      </c>
      <c r="AO51" s="5">
        <v>57.349999999999994</v>
      </c>
      <c r="AP51" s="1">
        <v>9.5</v>
      </c>
      <c r="AQ51" s="4">
        <v>3.5</v>
      </c>
      <c r="AR51" s="1">
        <f t="shared" si="13"/>
        <v>15.696437111429939</v>
      </c>
      <c r="AS51" s="1">
        <f t="shared" si="14"/>
        <v>11.772327833572454</v>
      </c>
      <c r="AT51" s="5">
        <f t="shared" si="15"/>
        <v>40.248014960605779</v>
      </c>
      <c r="AU51" s="5">
        <v>1094.0416666666667</v>
      </c>
      <c r="AV51" s="4">
        <v>834.625</v>
      </c>
      <c r="AW51" s="4">
        <v>29.208333333333332</v>
      </c>
      <c r="AX51" s="1">
        <v>0.76249999999999973</v>
      </c>
      <c r="AY51" s="4">
        <v>18.633333333333336</v>
      </c>
      <c r="AZ51" s="4">
        <f t="shared" si="9"/>
        <v>63.27272727272728</v>
      </c>
      <c r="BA51">
        <v>104.4</v>
      </c>
      <c r="BB51" s="11">
        <v>70165.860320000007</v>
      </c>
      <c r="BC51" s="11">
        <v>52609.250099999997</v>
      </c>
      <c r="BD51" s="11">
        <v>14382.79291</v>
      </c>
      <c r="BE51" s="11">
        <v>6791.8862230000004</v>
      </c>
      <c r="BG51" s="12">
        <v>495.17587689999999</v>
      </c>
      <c r="BH51" s="12">
        <v>524.88642949999996</v>
      </c>
      <c r="BI51" s="12">
        <v>490.7231185</v>
      </c>
      <c r="BJ51" s="12">
        <v>520.16650560000005</v>
      </c>
      <c r="BK51" s="4">
        <f t="shared" si="10"/>
        <v>492.94949769999999</v>
      </c>
      <c r="BL51" s="10">
        <f t="shared" si="11"/>
        <v>522.52646755000001</v>
      </c>
      <c r="BM51" s="4">
        <v>4</v>
      </c>
      <c r="BN51" s="1">
        <v>2.88</v>
      </c>
      <c r="BO51" s="4">
        <v>1</v>
      </c>
      <c r="BP51" s="4">
        <v>2.6</v>
      </c>
      <c r="BQ51">
        <v>117</v>
      </c>
      <c r="BR51">
        <v>31</v>
      </c>
      <c r="BS51">
        <v>5</v>
      </c>
      <c r="BT51">
        <v>15</v>
      </c>
      <c r="BU51">
        <v>20</v>
      </c>
      <c r="BV51">
        <v>6.8</v>
      </c>
      <c r="BW51">
        <v>270</v>
      </c>
      <c r="BX51">
        <v>500</v>
      </c>
      <c r="BY51">
        <v>534</v>
      </c>
      <c r="BZ51">
        <v>1062</v>
      </c>
      <c r="CA51">
        <v>514</v>
      </c>
      <c r="CB51">
        <v>1076</v>
      </c>
    </row>
    <row r="52" spans="1:180" ht="15.6">
      <c r="A52" s="8" t="s">
        <v>193</v>
      </c>
      <c r="B52" s="8" t="s">
        <v>176</v>
      </c>
      <c r="C52" t="s">
        <v>219</v>
      </c>
      <c r="D52">
        <v>2</v>
      </c>
      <c r="E52">
        <v>47</v>
      </c>
      <c r="F52" s="19">
        <v>35.700000000000003</v>
      </c>
      <c r="G52">
        <v>147</v>
      </c>
      <c r="H52">
        <v>97</v>
      </c>
      <c r="I52">
        <v>152</v>
      </c>
      <c r="J52">
        <v>99</v>
      </c>
      <c r="K52" s="5">
        <f t="shared" si="16"/>
        <v>149.5</v>
      </c>
      <c r="L52" s="5">
        <f t="shared" si="17"/>
        <v>98</v>
      </c>
      <c r="M52" s="4">
        <v>172.2</v>
      </c>
      <c r="N52" s="4">
        <v>103.3</v>
      </c>
      <c r="O52" s="4">
        <v>118.4</v>
      </c>
      <c r="P52" s="4">
        <v>119.3</v>
      </c>
      <c r="Q52" s="4">
        <f t="shared" si="18"/>
        <v>118.85</v>
      </c>
      <c r="R52">
        <v>45</v>
      </c>
      <c r="S52" s="4">
        <v>48.4</v>
      </c>
      <c r="T52" s="7" t="s">
        <v>181</v>
      </c>
      <c r="U52" s="4">
        <v>8</v>
      </c>
      <c r="V52" s="4">
        <v>7.6</v>
      </c>
      <c r="W52" s="4">
        <v>-3.4</v>
      </c>
      <c r="X52" s="4">
        <v>-7.6</v>
      </c>
      <c r="Y52" s="7" t="s">
        <v>179</v>
      </c>
      <c r="Z52" s="4">
        <v>2675.5</v>
      </c>
      <c r="AA52" s="4">
        <v>2695.8333333333335</v>
      </c>
      <c r="AB52" s="4">
        <v>2758.8333333333335</v>
      </c>
      <c r="AC52" s="4">
        <f>Z52/N52</f>
        <v>25.90029041626331</v>
      </c>
      <c r="AD52" s="4">
        <f t="shared" si="19"/>
        <v>26.097128105840596</v>
      </c>
      <c r="AE52" s="4">
        <f t="shared" si="8"/>
        <v>26.70700225879316</v>
      </c>
      <c r="AF52" s="4">
        <f t="shared" si="12"/>
        <v>16.51996007984032</v>
      </c>
      <c r="AG52" s="5">
        <v>590</v>
      </c>
      <c r="AH52">
        <v>4.8</v>
      </c>
      <c r="AI52">
        <v>16</v>
      </c>
      <c r="AJ52">
        <v>15</v>
      </c>
      <c r="AK52">
        <v>167</v>
      </c>
      <c r="AL52" s="5">
        <v>3540.5</v>
      </c>
      <c r="AM52" s="4">
        <v>119.33333333333333</v>
      </c>
      <c r="AN52" s="1">
        <v>1.2916666666666667</v>
      </c>
      <c r="AO52" s="5">
        <v>46.666666666666664</v>
      </c>
      <c r="AP52" s="1">
        <v>8.89</v>
      </c>
      <c r="AQ52" s="4">
        <v>3.5</v>
      </c>
      <c r="AR52" s="1">
        <f t="shared" si="13"/>
        <v>14.557212003872218</v>
      </c>
      <c r="AS52" s="1">
        <f t="shared" si="14"/>
        <v>10.917909002904164</v>
      </c>
      <c r="AT52" s="5">
        <f t="shared" si="15"/>
        <v>55.780896445131368</v>
      </c>
      <c r="AU52" s="5">
        <v>1503.76</v>
      </c>
      <c r="AV52" s="4">
        <v>1286.8399999999999</v>
      </c>
      <c r="AW52" s="4">
        <v>39.92</v>
      </c>
      <c r="AX52" s="1">
        <v>0.85479999999999978</v>
      </c>
      <c r="AY52" s="4">
        <v>22.751999999999995</v>
      </c>
      <c r="AZ52" s="4">
        <f t="shared" si="9"/>
        <v>70.658682634730539</v>
      </c>
      <c r="BA52" s="4">
        <v>118</v>
      </c>
      <c r="BB52" s="11">
        <v>102078.28</v>
      </c>
      <c r="BC52" s="11">
        <v>56832.273849999998</v>
      </c>
      <c r="BD52" s="11">
        <v>42378.873330000002</v>
      </c>
      <c r="BE52" s="11">
        <v>26123.501690000001</v>
      </c>
      <c r="BG52" s="12">
        <v>2037.1089870000001</v>
      </c>
      <c r="BH52" s="12">
        <v>2159.3355259999998</v>
      </c>
      <c r="BI52" s="12">
        <v>2067.408136</v>
      </c>
      <c r="BJ52" s="12">
        <v>2191.452624</v>
      </c>
      <c r="BK52" s="4">
        <f t="shared" si="10"/>
        <v>2052.2585614999998</v>
      </c>
      <c r="BL52" s="10">
        <f t="shared" si="11"/>
        <v>2175.3940750000002</v>
      </c>
      <c r="BM52" s="4">
        <v>8.4</v>
      </c>
      <c r="BN52" s="1">
        <v>2.2799999999999998</v>
      </c>
      <c r="BO52" s="4">
        <v>1</v>
      </c>
      <c r="BP52" s="4">
        <v>2.8</v>
      </c>
      <c r="BQ52">
        <v>132</v>
      </c>
      <c r="BR52">
        <v>41</v>
      </c>
      <c r="BS52">
        <v>11</v>
      </c>
      <c r="BT52">
        <v>26</v>
      </c>
      <c r="BU52">
        <v>30</v>
      </c>
      <c r="BV52" s="7" t="s">
        <v>179</v>
      </c>
      <c r="BW52">
        <v>311</v>
      </c>
      <c r="BX52">
        <v>731</v>
      </c>
      <c r="BY52">
        <v>407</v>
      </c>
      <c r="BZ52">
        <v>1823</v>
      </c>
      <c r="CA52">
        <v>401</v>
      </c>
      <c r="CB52">
        <v>1681</v>
      </c>
    </row>
    <row r="53" spans="1:180" ht="15.6">
      <c r="A53" s="8" t="s">
        <v>195</v>
      </c>
      <c r="B53" s="8" t="s">
        <v>184</v>
      </c>
      <c r="C53" t="s">
        <v>219</v>
      </c>
      <c r="D53">
        <v>2</v>
      </c>
      <c r="E53">
        <v>55</v>
      </c>
      <c r="F53" s="4">
        <v>30.9</v>
      </c>
      <c r="G53">
        <v>161</v>
      </c>
      <c r="H53">
        <v>107</v>
      </c>
      <c r="I53">
        <v>163</v>
      </c>
      <c r="J53">
        <v>102</v>
      </c>
      <c r="K53" s="5">
        <f t="shared" si="16"/>
        <v>162</v>
      </c>
      <c r="L53" s="5">
        <f t="shared" si="17"/>
        <v>104.5</v>
      </c>
      <c r="M53" s="4">
        <v>188.5</v>
      </c>
      <c r="N53" s="4">
        <v>107.5</v>
      </c>
      <c r="O53" s="4">
        <v>113.5</v>
      </c>
      <c r="P53" s="4">
        <v>114.5</v>
      </c>
      <c r="Q53" s="4">
        <f t="shared" si="18"/>
        <v>114</v>
      </c>
      <c r="R53">
        <v>49</v>
      </c>
      <c r="S53" s="4">
        <v>15.8</v>
      </c>
      <c r="T53" s="7" t="s">
        <v>181</v>
      </c>
      <c r="U53" s="4">
        <v>-25</v>
      </c>
      <c r="V53" s="4">
        <v>-19</v>
      </c>
      <c r="W53" s="4">
        <v>-9.5</v>
      </c>
      <c r="X53" s="4">
        <v>-5.8</v>
      </c>
      <c r="Y53" s="7" t="s">
        <v>179</v>
      </c>
      <c r="Z53" s="4">
        <v>3199.5</v>
      </c>
      <c r="AA53" s="4">
        <v>3230.1666666666665</v>
      </c>
      <c r="AB53" s="4">
        <v>3290</v>
      </c>
      <c r="AC53" s="4">
        <f>Z53/N53</f>
        <v>29.762790697674419</v>
      </c>
      <c r="AD53" s="4">
        <f t="shared" si="19"/>
        <v>30.048062015503874</v>
      </c>
      <c r="AE53" s="4">
        <f t="shared" si="8"/>
        <v>30.604651162790699</v>
      </c>
      <c r="AF53" s="4">
        <f t="shared" si="12"/>
        <v>18.277777777777779</v>
      </c>
      <c r="AG53" s="5">
        <f>14*60+5</f>
        <v>845</v>
      </c>
      <c r="AH53">
        <v>4.8</v>
      </c>
      <c r="AI53">
        <v>20</v>
      </c>
      <c r="AJ53">
        <v>19</v>
      </c>
      <c r="AK53">
        <v>180</v>
      </c>
      <c r="AL53" s="5">
        <v>4207.166666666667</v>
      </c>
      <c r="AM53" s="4">
        <v>125.5</v>
      </c>
      <c r="AN53" s="1">
        <v>1.3049999999999999</v>
      </c>
      <c r="AO53" s="5">
        <v>40.31666666666667</v>
      </c>
      <c r="AP53" s="1">
        <v>11.84</v>
      </c>
      <c r="AQ53" s="4">
        <v>3</v>
      </c>
      <c r="AR53" s="1">
        <f t="shared" si="13"/>
        <v>14.808186046511629</v>
      </c>
      <c r="AS53" s="1">
        <f t="shared" si="14"/>
        <v>11.106139534883722</v>
      </c>
      <c r="AT53" s="5">
        <f t="shared" si="15"/>
        <v>49.281667612610292</v>
      </c>
      <c r="AU53" s="5">
        <v>1591.88</v>
      </c>
      <c r="AV53" s="4">
        <v>1307.32</v>
      </c>
      <c r="AW53" s="4">
        <v>37.72</v>
      </c>
      <c r="AX53" s="1">
        <v>0.82120000000000015</v>
      </c>
      <c r="AY53" s="4">
        <v>16.035999999999998</v>
      </c>
      <c r="AZ53" s="4">
        <f t="shared" si="9"/>
        <v>57.666666666666664</v>
      </c>
      <c r="BA53">
        <v>103.8</v>
      </c>
      <c r="BB53" s="11">
        <v>107868.85</v>
      </c>
      <c r="BC53" s="11">
        <v>64460.787179999999</v>
      </c>
      <c r="BD53" s="11">
        <v>40273.517160000003</v>
      </c>
      <c r="BE53" s="11">
        <v>26167.593120000001</v>
      </c>
      <c r="BG53" s="12">
        <v>2952.753698</v>
      </c>
      <c r="BH53" s="12">
        <v>3129.9189200000001</v>
      </c>
      <c r="BI53" s="12">
        <v>3084.117076</v>
      </c>
      <c r="BJ53" s="12">
        <v>3269.1641</v>
      </c>
      <c r="BK53" s="4">
        <f t="shared" si="10"/>
        <v>3018.435387</v>
      </c>
      <c r="BL53" s="10">
        <f t="shared" si="11"/>
        <v>3199.54151</v>
      </c>
      <c r="BM53" s="15" t="s">
        <v>179</v>
      </c>
      <c r="BN53" s="15" t="s">
        <v>179</v>
      </c>
      <c r="BO53" s="15" t="s">
        <v>179</v>
      </c>
      <c r="BP53" s="15" t="s">
        <v>179</v>
      </c>
      <c r="BQ53">
        <v>132</v>
      </c>
      <c r="BR53">
        <v>43</v>
      </c>
      <c r="BS53">
        <v>14</v>
      </c>
      <c r="BT53">
        <v>33</v>
      </c>
      <c r="BU53">
        <v>31</v>
      </c>
      <c r="BV53">
        <v>10.9</v>
      </c>
      <c r="BW53">
        <v>300</v>
      </c>
      <c r="BX53" s="7" t="s">
        <v>179</v>
      </c>
      <c r="BY53">
        <v>655</v>
      </c>
      <c r="BZ53">
        <v>1177</v>
      </c>
      <c r="CA53">
        <v>644</v>
      </c>
      <c r="CB53">
        <v>1196</v>
      </c>
    </row>
    <row r="54" spans="1:180" ht="15.6">
      <c r="A54" s="8" t="s">
        <v>189</v>
      </c>
      <c r="B54" s="8" t="s">
        <v>184</v>
      </c>
      <c r="C54" t="s">
        <v>219</v>
      </c>
      <c r="D54">
        <v>1</v>
      </c>
      <c r="E54">
        <v>55</v>
      </c>
      <c r="F54" s="4">
        <v>31</v>
      </c>
      <c r="G54">
        <v>138</v>
      </c>
      <c r="H54">
        <v>85</v>
      </c>
      <c r="I54">
        <v>139</v>
      </c>
      <c r="J54">
        <v>87</v>
      </c>
      <c r="K54" s="5">
        <f t="shared" si="16"/>
        <v>138.5</v>
      </c>
      <c r="L54" s="5">
        <f t="shared" si="17"/>
        <v>86</v>
      </c>
      <c r="M54" s="4">
        <v>167.5</v>
      </c>
      <c r="N54" s="4">
        <v>89.1</v>
      </c>
      <c r="O54" s="4">
        <v>102</v>
      </c>
      <c r="P54" s="4">
        <v>101</v>
      </c>
      <c r="Q54" s="4">
        <f t="shared" si="18"/>
        <v>101.5</v>
      </c>
      <c r="R54">
        <v>29</v>
      </c>
      <c r="S54" s="4">
        <v>63</v>
      </c>
      <c r="T54" s="7" t="s">
        <v>178</v>
      </c>
      <c r="U54" s="4">
        <v>0</v>
      </c>
      <c r="V54" s="4">
        <v>6</v>
      </c>
      <c r="W54" s="4">
        <v>-14</v>
      </c>
      <c r="X54" s="4">
        <v>-18</v>
      </c>
      <c r="Y54" s="7" t="s">
        <v>179</v>
      </c>
      <c r="Z54" s="4">
        <v>2439.5</v>
      </c>
      <c r="AA54" s="4">
        <v>2415.3333333333335</v>
      </c>
      <c r="AB54" s="4">
        <v>2498.5</v>
      </c>
      <c r="AC54" s="4">
        <f>Z54/N54</f>
        <v>27.379349046015715</v>
      </c>
      <c r="AD54" s="4">
        <f t="shared" si="19"/>
        <v>27.108118219229333</v>
      </c>
      <c r="AE54" s="4">
        <f t="shared" si="8"/>
        <v>28.041526374859711</v>
      </c>
      <c r="AF54" s="4">
        <f t="shared" si="12"/>
        <v>13.289893617021276</v>
      </c>
      <c r="AG54" s="5">
        <f>9.5*60</f>
        <v>570</v>
      </c>
      <c r="AH54">
        <v>4.8</v>
      </c>
      <c r="AI54">
        <v>16</v>
      </c>
      <c r="AJ54">
        <v>18</v>
      </c>
      <c r="AK54">
        <v>188</v>
      </c>
      <c r="AL54" s="5">
        <v>2945</v>
      </c>
      <c r="AM54" s="4">
        <v>83.833333333333329</v>
      </c>
      <c r="AN54" s="1">
        <v>1.2316666666666667</v>
      </c>
      <c r="AO54" s="5">
        <v>34.716666666666669</v>
      </c>
      <c r="AP54" s="1">
        <v>10.81</v>
      </c>
      <c r="AQ54" s="4">
        <v>3.5</v>
      </c>
      <c r="AR54" s="1">
        <f t="shared" si="13"/>
        <v>16.41257014590348</v>
      </c>
      <c r="AS54" s="1">
        <f t="shared" si="14"/>
        <v>12.30942760942761</v>
      </c>
      <c r="AT54" s="5">
        <f t="shared" si="15"/>
        <v>60.544852332321277</v>
      </c>
      <c r="AU54" s="5">
        <v>1462.36</v>
      </c>
      <c r="AV54" s="4">
        <v>1176.8399999999999</v>
      </c>
      <c r="AW54" s="4">
        <v>35.6</v>
      </c>
      <c r="AX54" s="1">
        <v>0.80840000000000023</v>
      </c>
      <c r="AY54" s="4">
        <v>19.564000000000004</v>
      </c>
      <c r="AZ54" s="4">
        <f t="shared" si="9"/>
        <v>67.021276595744681</v>
      </c>
      <c r="BA54">
        <v>126</v>
      </c>
      <c r="BB54" s="11">
        <v>90033.35</v>
      </c>
      <c r="BC54" s="11">
        <v>47867.043890000001</v>
      </c>
      <c r="BD54" s="11">
        <v>39812.594250000002</v>
      </c>
      <c r="BE54" s="11">
        <v>21006.462329999998</v>
      </c>
      <c r="BG54" s="12">
        <v>1453.2610110000001</v>
      </c>
      <c r="BH54" s="12">
        <v>1540.456672</v>
      </c>
      <c r="BI54" s="12">
        <v>1411.1855499999999</v>
      </c>
      <c r="BJ54" s="12">
        <v>1495.856683</v>
      </c>
      <c r="BK54" s="4">
        <f t="shared" si="10"/>
        <v>1432.2232804999999</v>
      </c>
      <c r="BL54" s="10">
        <f t="shared" si="11"/>
        <v>1518.1566775000001</v>
      </c>
      <c r="BM54" s="4">
        <v>5.0999999999999996</v>
      </c>
      <c r="BN54" s="1">
        <v>0.81</v>
      </c>
      <c r="BO54" s="4">
        <v>1.4</v>
      </c>
      <c r="BP54" s="4">
        <v>3.8</v>
      </c>
      <c r="BQ54">
        <v>113</v>
      </c>
      <c r="BR54">
        <v>35</v>
      </c>
      <c r="BS54">
        <v>8</v>
      </c>
      <c r="BT54">
        <v>23</v>
      </c>
      <c r="BU54">
        <v>22</v>
      </c>
      <c r="BV54">
        <v>6.4</v>
      </c>
      <c r="BW54">
        <v>250</v>
      </c>
      <c r="BX54">
        <v>551</v>
      </c>
      <c r="BY54">
        <v>410</v>
      </c>
      <c r="BZ54">
        <v>1140</v>
      </c>
      <c r="CA54">
        <v>394</v>
      </c>
      <c r="CB54">
        <v>1103</v>
      </c>
    </row>
    <row r="55" spans="1:180" ht="15.6">
      <c r="A55" s="8" t="s">
        <v>199</v>
      </c>
      <c r="B55" s="8" t="s">
        <v>184</v>
      </c>
      <c r="C55" t="s">
        <v>219</v>
      </c>
      <c r="D55">
        <v>2</v>
      </c>
      <c r="E55">
        <v>65</v>
      </c>
      <c r="F55" s="4">
        <v>30.6</v>
      </c>
      <c r="G55">
        <v>140</v>
      </c>
      <c r="H55">
        <v>84</v>
      </c>
      <c r="I55">
        <v>135</v>
      </c>
      <c r="J55">
        <v>89</v>
      </c>
      <c r="K55" s="5">
        <f t="shared" si="16"/>
        <v>137.5</v>
      </c>
      <c r="L55" s="5">
        <f t="shared" si="17"/>
        <v>86.5</v>
      </c>
      <c r="M55" s="4">
        <v>178</v>
      </c>
      <c r="N55" s="4">
        <v>97.2</v>
      </c>
      <c r="O55" s="4">
        <v>111.8</v>
      </c>
      <c r="P55" s="4">
        <v>112.3</v>
      </c>
      <c r="Q55" s="4">
        <f t="shared" si="18"/>
        <v>112.05</v>
      </c>
      <c r="R55">
        <v>50</v>
      </c>
      <c r="S55" s="4">
        <v>8.1999999999999993</v>
      </c>
      <c r="T55" s="7" t="s">
        <v>181</v>
      </c>
      <c r="U55" s="4">
        <v>7.5</v>
      </c>
      <c r="V55" s="4">
        <v>3.2</v>
      </c>
      <c r="W55" s="4">
        <v>-14.5</v>
      </c>
      <c r="X55" s="4">
        <v>-24.2</v>
      </c>
      <c r="Y55">
        <v>11</v>
      </c>
      <c r="Z55" s="4">
        <v>2626</v>
      </c>
      <c r="AA55" s="4">
        <v>2675.1666666666665</v>
      </c>
      <c r="AB55" s="4">
        <v>2693.3333333333335</v>
      </c>
      <c r="AC55" s="4">
        <f>Z55/N55</f>
        <v>27.016460905349792</v>
      </c>
      <c r="AD55" s="4">
        <f t="shared" si="19"/>
        <v>27.522290809327846</v>
      </c>
      <c r="AE55" s="4">
        <f t="shared" si="8"/>
        <v>27.709190672153635</v>
      </c>
      <c r="AF55" s="4">
        <f t="shared" si="12"/>
        <v>16.52351738241309</v>
      </c>
      <c r="AG55" s="5">
        <f>11*60+20</f>
        <v>680</v>
      </c>
      <c r="AH55">
        <v>3.8</v>
      </c>
      <c r="AI55">
        <v>20</v>
      </c>
      <c r="AJ55">
        <v>20</v>
      </c>
      <c r="AK55">
        <v>163</v>
      </c>
      <c r="AL55" s="5">
        <v>2646.6666666666665</v>
      </c>
      <c r="AM55" s="4">
        <v>93.166666666666671</v>
      </c>
      <c r="AN55" s="1">
        <v>0.98333333333333339</v>
      </c>
      <c r="AO55" s="5">
        <v>35.883333333333333</v>
      </c>
      <c r="AP55" s="1">
        <v>2.58</v>
      </c>
      <c r="AQ55" s="4">
        <v>3</v>
      </c>
      <c r="AR55" s="1">
        <f t="shared" si="13"/>
        <v>13.363786008230452</v>
      </c>
      <c r="AS55" s="1">
        <f t="shared" si="14"/>
        <v>10.02283950617284</v>
      </c>
      <c r="AT55" s="5">
        <f t="shared" si="15"/>
        <v>48.556227026353504</v>
      </c>
      <c r="AU55" s="5">
        <v>1298.96</v>
      </c>
      <c r="AV55" s="4">
        <v>1008.88</v>
      </c>
      <c r="AW55" s="4">
        <v>37.92</v>
      </c>
      <c r="AX55" s="1">
        <v>0.77719999999999989</v>
      </c>
      <c r="AY55" s="4">
        <v>23.816000000000003</v>
      </c>
      <c r="AZ55" s="4">
        <f t="shared" si="9"/>
        <v>72.024539877300626</v>
      </c>
      <c r="BA55">
        <v>117.4</v>
      </c>
      <c r="BB55" s="11">
        <v>98140.58</v>
      </c>
      <c r="BC55" s="11">
        <v>62664.512580000002</v>
      </c>
      <c r="BD55" s="11">
        <v>32630.11663</v>
      </c>
      <c r="BE55" s="11">
        <v>22017.478179999998</v>
      </c>
      <c r="BG55" s="12">
        <v>3258.175639</v>
      </c>
      <c r="BH55" s="12">
        <v>3453.6661770000001</v>
      </c>
      <c r="BI55" s="12">
        <v>3357.7663170000001</v>
      </c>
      <c r="BJ55" s="12">
        <v>3559.2322960000001</v>
      </c>
      <c r="BK55" s="4">
        <f t="shared" si="10"/>
        <v>3307.9709780000003</v>
      </c>
      <c r="BL55" s="10">
        <f t="shared" si="11"/>
        <v>3506.4492365000001</v>
      </c>
      <c r="BM55" s="15" t="s">
        <v>179</v>
      </c>
      <c r="BN55" s="15" t="s">
        <v>179</v>
      </c>
      <c r="BO55" s="15" t="s">
        <v>179</v>
      </c>
      <c r="BP55" s="15" t="s">
        <v>179</v>
      </c>
      <c r="BQ55">
        <v>115</v>
      </c>
      <c r="BR55">
        <v>46</v>
      </c>
      <c r="BS55">
        <v>11</v>
      </c>
      <c r="BT55">
        <v>25</v>
      </c>
      <c r="BU55">
        <v>23</v>
      </c>
      <c r="BV55">
        <v>9.6999999999999993</v>
      </c>
      <c r="BW55">
        <v>260</v>
      </c>
      <c r="BX55">
        <v>687</v>
      </c>
      <c r="BY55">
        <v>299</v>
      </c>
      <c r="BZ55">
        <v>1794</v>
      </c>
      <c r="CA55">
        <v>293</v>
      </c>
      <c r="CB55">
        <v>1828</v>
      </c>
    </row>
    <row r="56" spans="1:180" ht="15.6">
      <c r="A56" s="8" t="s">
        <v>197</v>
      </c>
      <c r="B56" s="8" t="s">
        <v>184</v>
      </c>
      <c r="C56" t="s">
        <v>219</v>
      </c>
      <c r="D56">
        <v>1</v>
      </c>
      <c r="E56">
        <v>51</v>
      </c>
      <c r="F56" s="4">
        <v>19.8</v>
      </c>
      <c r="G56">
        <v>150</v>
      </c>
      <c r="H56">
        <v>98</v>
      </c>
      <c r="I56">
        <v>148</v>
      </c>
      <c r="J56">
        <v>101</v>
      </c>
      <c r="K56" s="5">
        <f t="shared" si="16"/>
        <v>149</v>
      </c>
      <c r="L56" s="5">
        <f t="shared" si="17"/>
        <v>99.5</v>
      </c>
      <c r="M56" s="4">
        <v>172.3</v>
      </c>
      <c r="N56" s="4">
        <v>59.8</v>
      </c>
      <c r="O56" s="4">
        <v>75</v>
      </c>
      <c r="P56" s="4">
        <v>75</v>
      </c>
      <c r="Q56" s="4">
        <f t="shared" si="18"/>
        <v>75</v>
      </c>
      <c r="R56">
        <v>23</v>
      </c>
      <c r="S56" s="4">
        <v>64</v>
      </c>
      <c r="T56" s="7" t="s">
        <v>178</v>
      </c>
      <c r="U56" s="4">
        <v>5</v>
      </c>
      <c r="V56" s="4">
        <v>6</v>
      </c>
      <c r="W56" s="4">
        <v>8</v>
      </c>
      <c r="X56" s="4">
        <v>-3</v>
      </c>
      <c r="Y56" s="7" t="s">
        <v>179</v>
      </c>
      <c r="Z56" s="4">
        <v>2547.5</v>
      </c>
      <c r="AA56" s="4">
        <v>2548.0833333333335</v>
      </c>
      <c r="AB56" s="4">
        <v>2573.1666666666665</v>
      </c>
      <c r="AC56" s="4">
        <f>Z56/N56</f>
        <v>42.600334448160538</v>
      </c>
      <c r="AD56" s="4">
        <f t="shared" si="19"/>
        <v>42.610089186176147</v>
      </c>
      <c r="AE56" s="4">
        <f t="shared" si="8"/>
        <v>43.02954292084727</v>
      </c>
      <c r="AF56" s="4">
        <f t="shared" si="12"/>
        <v>14.78831417624521</v>
      </c>
      <c r="AG56" s="5">
        <f>15*60+5</f>
        <v>905</v>
      </c>
      <c r="AH56">
        <v>6.3</v>
      </c>
      <c r="AI56">
        <v>20</v>
      </c>
      <c r="AJ56">
        <v>19</v>
      </c>
      <c r="AK56">
        <v>174</v>
      </c>
      <c r="AL56" s="5">
        <v>3087.3333333333335</v>
      </c>
      <c r="AM56" s="4">
        <v>91.5</v>
      </c>
      <c r="AN56" s="1">
        <v>1.2116666666666667</v>
      </c>
      <c r="AO56" s="5">
        <v>47.716666666666669</v>
      </c>
      <c r="AP56" s="1">
        <v>6.96</v>
      </c>
      <c r="AQ56" s="4">
        <v>3.5</v>
      </c>
      <c r="AR56" s="1">
        <f t="shared" si="13"/>
        <v>16.062876254180601</v>
      </c>
      <c r="AS56" s="1">
        <f t="shared" si="14"/>
        <v>12.047157190635451</v>
      </c>
      <c r="AT56" s="5">
        <f t="shared" si="15"/>
        <v>37.697354220492521</v>
      </c>
      <c r="AU56" s="5">
        <v>960.56</v>
      </c>
      <c r="AV56" s="4">
        <v>816.88</v>
      </c>
      <c r="AW56" s="4">
        <v>25.16</v>
      </c>
      <c r="AX56" s="1">
        <v>0.85040000000000004</v>
      </c>
      <c r="AY56" s="4">
        <v>19.808000000000003</v>
      </c>
      <c r="AZ56" s="4">
        <f t="shared" si="9"/>
        <v>56.896551724137936</v>
      </c>
      <c r="BA56">
        <v>99</v>
      </c>
      <c r="BB56" s="11">
        <v>58982.758609999997</v>
      </c>
      <c r="BC56" s="11">
        <v>42564.330970000003</v>
      </c>
      <c r="BD56" s="4">
        <v>13962.24811</v>
      </c>
      <c r="BE56" s="11">
        <v>6224.4061860000002</v>
      </c>
      <c r="BG56" s="12">
        <v>104.347584</v>
      </c>
      <c r="BH56" s="12">
        <v>110.6084391</v>
      </c>
      <c r="BI56" s="12">
        <v>103.9907688</v>
      </c>
      <c r="BJ56" s="12">
        <v>110.23021489999999</v>
      </c>
      <c r="BK56" s="4">
        <f t="shared" si="10"/>
        <v>104.1691764</v>
      </c>
      <c r="BL56" s="10">
        <f t="shared" si="11"/>
        <v>110.419327</v>
      </c>
      <c r="BM56" s="4">
        <v>4.7</v>
      </c>
      <c r="BN56" s="1">
        <v>0.71</v>
      </c>
      <c r="BO56" s="4">
        <v>1.4</v>
      </c>
      <c r="BP56" s="4">
        <v>3.3</v>
      </c>
      <c r="BQ56">
        <v>132</v>
      </c>
      <c r="BR56">
        <v>46</v>
      </c>
      <c r="BS56">
        <v>12</v>
      </c>
      <c r="BT56">
        <v>26</v>
      </c>
      <c r="BU56">
        <v>21</v>
      </c>
      <c r="BV56">
        <v>6.8</v>
      </c>
      <c r="BW56">
        <v>150</v>
      </c>
      <c r="BX56">
        <v>489</v>
      </c>
      <c r="BY56">
        <v>268</v>
      </c>
      <c r="BZ56">
        <v>732</v>
      </c>
      <c r="CA56">
        <v>271</v>
      </c>
      <c r="CB56">
        <v>732</v>
      </c>
    </row>
    <row r="57" spans="1:180" ht="15.6">
      <c r="A57" s="8" t="s">
        <v>201</v>
      </c>
      <c r="B57" s="8" t="s">
        <v>176</v>
      </c>
      <c r="C57" t="s">
        <v>219</v>
      </c>
      <c r="D57">
        <v>2</v>
      </c>
      <c r="E57">
        <v>55</v>
      </c>
      <c r="F57" s="4">
        <v>29.3</v>
      </c>
      <c r="G57">
        <v>138</v>
      </c>
      <c r="H57">
        <v>83</v>
      </c>
      <c r="I57">
        <v>140</v>
      </c>
      <c r="J57">
        <v>81</v>
      </c>
      <c r="K57" s="5">
        <f t="shared" si="16"/>
        <v>139</v>
      </c>
      <c r="L57" s="5">
        <f t="shared" si="17"/>
        <v>82</v>
      </c>
      <c r="M57" s="4">
        <v>174.5</v>
      </c>
      <c r="N57" s="4">
        <v>93.5</v>
      </c>
      <c r="O57" s="4">
        <v>109</v>
      </c>
      <c r="P57" s="4">
        <v>109</v>
      </c>
      <c r="Q57" s="4">
        <f t="shared" si="18"/>
        <v>109</v>
      </c>
      <c r="R57">
        <v>37</v>
      </c>
      <c r="S57" s="4">
        <v>64.8</v>
      </c>
      <c r="T57" s="7" t="s">
        <v>178</v>
      </c>
      <c r="U57" s="4">
        <v>15.5</v>
      </c>
      <c r="V57" s="4">
        <v>19</v>
      </c>
      <c r="W57" s="4">
        <v>-30</v>
      </c>
      <c r="X57" s="4">
        <v>-38</v>
      </c>
      <c r="Y57" s="7" t="s">
        <v>179</v>
      </c>
      <c r="Z57" s="4">
        <v>2704.5</v>
      </c>
      <c r="AA57" s="4">
        <v>2685.0833333333335</v>
      </c>
      <c r="AB57" s="4">
        <v>2735.6666666666665</v>
      </c>
      <c r="AC57" s="4">
        <f>Z57/N57</f>
        <v>28.925133689839573</v>
      </c>
      <c r="AD57" s="4">
        <f t="shared" si="19"/>
        <v>28.717468805704101</v>
      </c>
      <c r="AE57" s="4">
        <f t="shared" si="8"/>
        <v>29.258467023172905</v>
      </c>
      <c r="AF57" s="4">
        <f t="shared" si="12"/>
        <v>18.997685185185183</v>
      </c>
      <c r="AG57" s="5">
        <f>12*60</f>
        <v>720</v>
      </c>
      <c r="AH57">
        <v>3.8</v>
      </c>
      <c r="AI57">
        <v>20</v>
      </c>
      <c r="AJ57">
        <v>17</v>
      </c>
      <c r="AK57">
        <v>144</v>
      </c>
      <c r="AL57" s="5">
        <v>2791.3333333333335</v>
      </c>
      <c r="AM57" s="4">
        <v>80</v>
      </c>
      <c r="AN57" s="1">
        <v>1.0316666666666667</v>
      </c>
      <c r="AO57" s="5">
        <v>31.150000000000002</v>
      </c>
      <c r="AP57" s="1">
        <v>3.92</v>
      </c>
      <c r="AQ57" s="4">
        <v>3</v>
      </c>
      <c r="AR57" s="1">
        <f t="shared" si="13"/>
        <v>14.729411764705883</v>
      </c>
      <c r="AS57" s="1">
        <f t="shared" si="14"/>
        <v>11.047058823529412</v>
      </c>
      <c r="AT57" s="5">
        <f t="shared" si="15"/>
        <v>51.290773098289932</v>
      </c>
      <c r="AU57" s="5">
        <v>1377.2</v>
      </c>
      <c r="AV57" s="4">
        <v>1020.64</v>
      </c>
      <c r="AW57" s="4">
        <v>32.200000000000003</v>
      </c>
      <c r="AX57" s="1">
        <v>0.74199999999999999</v>
      </c>
      <c r="AY57" s="4">
        <v>20.095999999999997</v>
      </c>
      <c r="AZ57" s="4">
        <f t="shared" si="9"/>
        <v>65.694444444444443</v>
      </c>
      <c r="BA57" s="4">
        <v>94.6</v>
      </c>
      <c r="BB57" s="11">
        <v>93685.6</v>
      </c>
      <c r="BC57" s="11">
        <v>59467.180690000001</v>
      </c>
      <c r="BD57" s="4">
        <v>31115.492109999999</v>
      </c>
      <c r="BE57" s="11">
        <v>21225.50547</v>
      </c>
      <c r="BG57" s="12">
        <v>2858.7994509999999</v>
      </c>
      <c r="BH57" s="12">
        <v>3030.3274179999999</v>
      </c>
      <c r="BI57" s="12">
        <v>2856.3886750000001</v>
      </c>
      <c r="BJ57" s="12">
        <v>3027.7719950000001</v>
      </c>
      <c r="BK57" s="4">
        <f t="shared" si="10"/>
        <v>2857.594063</v>
      </c>
      <c r="BL57" s="10">
        <f t="shared" si="11"/>
        <v>3029.0497065</v>
      </c>
      <c r="BM57" s="4">
        <v>4.5</v>
      </c>
      <c r="BN57" s="1">
        <v>0.77</v>
      </c>
      <c r="BO57" s="4">
        <v>1.1000000000000001</v>
      </c>
      <c r="BP57" s="4">
        <v>2.2999999999999998</v>
      </c>
      <c r="BQ57">
        <v>115</v>
      </c>
      <c r="BR57">
        <v>35</v>
      </c>
      <c r="BS57">
        <v>7</v>
      </c>
      <c r="BT57">
        <v>19</v>
      </c>
      <c r="BU57">
        <v>14</v>
      </c>
      <c r="BV57" s="4">
        <v>7</v>
      </c>
      <c r="BW57" s="7" t="s">
        <v>179</v>
      </c>
      <c r="BX57" s="7" t="s">
        <v>179</v>
      </c>
      <c r="BY57" s="7" t="s">
        <v>179</v>
      </c>
      <c r="BZ57" s="7" t="s">
        <v>179</v>
      </c>
      <c r="CA57" s="7" t="s">
        <v>179</v>
      </c>
      <c r="CB57" s="7" t="s">
        <v>179</v>
      </c>
    </row>
    <row r="58" spans="1:180" ht="15.6">
      <c r="A58" s="8" t="s">
        <v>204</v>
      </c>
      <c r="B58" s="8" t="s">
        <v>176</v>
      </c>
      <c r="C58" t="s">
        <v>219</v>
      </c>
      <c r="D58">
        <v>1</v>
      </c>
      <c r="E58">
        <v>45</v>
      </c>
      <c r="F58" s="4">
        <v>33.200000000000003</v>
      </c>
      <c r="G58">
        <v>129</v>
      </c>
      <c r="H58">
        <v>105</v>
      </c>
      <c r="I58">
        <v>136</v>
      </c>
      <c r="J58">
        <v>92</v>
      </c>
      <c r="K58" s="5">
        <f t="shared" si="16"/>
        <v>132.5</v>
      </c>
      <c r="L58" s="5">
        <f t="shared" si="17"/>
        <v>98.5</v>
      </c>
      <c r="M58" s="4">
        <v>177.1</v>
      </c>
      <c r="N58" s="4">
        <v>104.6</v>
      </c>
      <c r="O58" s="4">
        <v>107</v>
      </c>
      <c r="P58" s="4">
        <v>106.9</v>
      </c>
      <c r="Q58" s="4">
        <f t="shared" si="18"/>
        <v>106.95</v>
      </c>
      <c r="R58">
        <v>35</v>
      </c>
      <c r="S58" s="4">
        <v>66.3</v>
      </c>
      <c r="T58" s="7" t="s">
        <v>178</v>
      </c>
      <c r="U58" s="4">
        <v>5.6</v>
      </c>
      <c r="V58" s="4">
        <v>3.8</v>
      </c>
      <c r="W58" s="4">
        <v>5.6</v>
      </c>
      <c r="X58" s="4">
        <v>-10.199999999999999</v>
      </c>
      <c r="Y58" s="7" t="s">
        <v>179</v>
      </c>
      <c r="Z58" s="4">
        <v>2922</v>
      </c>
      <c r="AA58" s="4">
        <v>2898.9166666666665</v>
      </c>
      <c r="AB58" s="4">
        <v>2931.3333333333335</v>
      </c>
      <c r="AC58" s="4">
        <f>Z58/N58</f>
        <v>27.934990439770555</v>
      </c>
      <c r="AD58" s="4">
        <f t="shared" si="19"/>
        <v>27.714308476736775</v>
      </c>
      <c r="AE58" s="4">
        <f t="shared" si="8"/>
        <v>28.02421924792862</v>
      </c>
      <c r="AF58" s="4">
        <f t="shared" si="12"/>
        <v>15.267361111111112</v>
      </c>
      <c r="AG58" s="5">
        <f>60*10.5</f>
        <v>630</v>
      </c>
      <c r="AH58">
        <v>4.8</v>
      </c>
      <c r="AI58">
        <v>18</v>
      </c>
      <c r="AJ58">
        <v>19</v>
      </c>
      <c r="AK58">
        <v>192</v>
      </c>
      <c r="AL58" s="5">
        <v>3561.6666666666665</v>
      </c>
      <c r="AM58" s="4">
        <v>117.16666666666667</v>
      </c>
      <c r="AN58" s="1">
        <v>1.2283333333333333</v>
      </c>
      <c r="AO58" s="5">
        <v>46.79999999999999</v>
      </c>
      <c r="AP58" s="1">
        <v>9.51</v>
      </c>
      <c r="AQ58" s="4">
        <v>3.5</v>
      </c>
      <c r="AR58" s="1">
        <f t="shared" si="13"/>
        <v>15.22676864244742</v>
      </c>
      <c r="AS58" s="1">
        <f t="shared" si="14"/>
        <v>11.420076481835565</v>
      </c>
      <c r="AT58" s="5">
        <f t="shared" si="15"/>
        <v>54.941903584672438</v>
      </c>
      <c r="AU58" s="5">
        <v>1592.72</v>
      </c>
      <c r="AV58" s="4">
        <v>1258.04</v>
      </c>
      <c r="AW58" s="4">
        <v>41.8</v>
      </c>
      <c r="AX58" s="1">
        <v>0.79000000000000015</v>
      </c>
      <c r="AY58" s="4">
        <v>23.783999999999995</v>
      </c>
      <c r="AZ58" s="4">
        <f t="shared" si="9"/>
        <v>61.875</v>
      </c>
      <c r="BA58" s="4">
        <v>118.8</v>
      </c>
      <c r="BB58" s="11">
        <v>103652.51</v>
      </c>
      <c r="BC58" s="11">
        <v>55905.234049999999</v>
      </c>
      <c r="BD58" s="11">
        <v>44713.21544</v>
      </c>
      <c r="BE58" s="11">
        <v>26215.105589999999</v>
      </c>
      <c r="BG58" s="12">
        <v>2265.1849149999998</v>
      </c>
      <c r="BH58" s="12">
        <v>2401.0960089999999</v>
      </c>
      <c r="BI58" s="12">
        <v>2264.2489340000002</v>
      </c>
      <c r="BJ58" s="12">
        <v>2400.1038699999999</v>
      </c>
      <c r="BK58" s="4">
        <f t="shared" si="10"/>
        <v>2264.7169245</v>
      </c>
      <c r="BL58" s="10">
        <f t="shared" si="11"/>
        <v>2400.5999394999999</v>
      </c>
      <c r="BM58" s="4">
        <v>5.4</v>
      </c>
      <c r="BN58" s="1">
        <v>0.85</v>
      </c>
      <c r="BO58" s="4">
        <v>1.2</v>
      </c>
      <c r="BP58" s="4">
        <v>3.7</v>
      </c>
      <c r="BQ58">
        <v>123</v>
      </c>
      <c r="BR58">
        <v>27</v>
      </c>
      <c r="BS58">
        <v>9</v>
      </c>
      <c r="BT58">
        <v>32</v>
      </c>
      <c r="BU58">
        <v>30</v>
      </c>
      <c r="BV58">
        <v>6.7</v>
      </c>
      <c r="BW58">
        <v>295</v>
      </c>
      <c r="BX58">
        <v>776</v>
      </c>
      <c r="BY58">
        <v>506</v>
      </c>
      <c r="BZ58">
        <v>1615</v>
      </c>
      <c r="CA58">
        <v>479</v>
      </c>
      <c r="CB58">
        <v>1589</v>
      </c>
    </row>
    <row r="59" spans="1:180" ht="15.6">
      <c r="A59" s="8" t="s">
        <v>202</v>
      </c>
      <c r="B59" s="8" t="s">
        <v>184</v>
      </c>
      <c r="C59" t="s">
        <v>219</v>
      </c>
      <c r="D59">
        <v>2</v>
      </c>
      <c r="E59">
        <v>30</v>
      </c>
      <c r="F59" s="4">
        <v>24.2</v>
      </c>
      <c r="G59">
        <v>155</v>
      </c>
      <c r="H59">
        <v>91</v>
      </c>
      <c r="I59">
        <v>160</v>
      </c>
      <c r="J59">
        <v>93</v>
      </c>
      <c r="K59" s="5">
        <f t="shared" ref="K59:K70" si="20">AVERAGE(G59,I59)</f>
        <v>157.5</v>
      </c>
      <c r="L59" s="5">
        <f t="shared" ref="L59:L70" si="21">AVERAGE(H59,J59)</f>
        <v>92</v>
      </c>
      <c r="M59" s="4">
        <v>195</v>
      </c>
      <c r="N59">
        <v>93.4</v>
      </c>
      <c r="O59">
        <v>86.4</v>
      </c>
      <c r="P59">
        <v>87.4</v>
      </c>
      <c r="Q59" s="4">
        <f t="shared" si="18"/>
        <v>86.9</v>
      </c>
      <c r="R59">
        <v>67</v>
      </c>
      <c r="S59" s="4">
        <v>20</v>
      </c>
      <c r="T59" s="7" t="s">
        <v>181</v>
      </c>
      <c r="U59" s="4">
        <v>28</v>
      </c>
      <c r="V59" s="4">
        <v>28</v>
      </c>
      <c r="W59" s="4">
        <v>18.399999999999999</v>
      </c>
      <c r="X59" s="4">
        <v>13.5</v>
      </c>
      <c r="Y59" s="7" t="s">
        <v>179</v>
      </c>
      <c r="Z59">
        <v>4659.5</v>
      </c>
      <c r="AA59" s="4">
        <v>4663.666666666667</v>
      </c>
      <c r="AB59" s="4">
        <v>4769.666666666667</v>
      </c>
      <c r="AC59" s="4">
        <f>Z59/N59</f>
        <v>49.887580299785867</v>
      </c>
      <c r="AD59" s="4">
        <f t="shared" si="19"/>
        <v>49.93219129193433</v>
      </c>
      <c r="AE59" s="4">
        <f t="shared" si="8"/>
        <v>51.067094932191289</v>
      </c>
      <c r="AF59" s="4">
        <f t="shared" si="12"/>
        <v>24.972076788830716</v>
      </c>
      <c r="AG59" s="5">
        <f>17*60</f>
        <v>1020</v>
      </c>
      <c r="AH59">
        <v>7.3</v>
      </c>
      <c r="AI59">
        <v>20</v>
      </c>
      <c r="AJ59">
        <v>20</v>
      </c>
      <c r="AK59">
        <v>191</v>
      </c>
      <c r="AL59" s="5">
        <v>5997</v>
      </c>
      <c r="AM59" s="4">
        <v>189.33333333333334</v>
      </c>
      <c r="AN59" s="1">
        <v>1.2616666666666665</v>
      </c>
      <c r="AO59" s="5">
        <v>44.75</v>
      </c>
      <c r="AP59">
        <v>11.51</v>
      </c>
      <c r="AQ59" s="4">
        <v>3.5</v>
      </c>
      <c r="AR59" s="1">
        <f t="shared" si="13"/>
        <v>16.710492505353319</v>
      </c>
      <c r="AS59" s="1">
        <f t="shared" si="14"/>
        <v>12.53286937901499</v>
      </c>
      <c r="AT59" s="5">
        <f t="shared" si="15"/>
        <v>33.466371238653423</v>
      </c>
      <c r="AU59" s="5">
        <v>1560.76</v>
      </c>
      <c r="AV59" s="4">
        <v>1359.6</v>
      </c>
      <c r="AW59" s="4">
        <v>45.12</v>
      </c>
      <c r="AX59" s="1">
        <v>0.87359999999999971</v>
      </c>
      <c r="AY59" s="4">
        <v>19.447999999999997</v>
      </c>
      <c r="AZ59" s="4">
        <f t="shared" si="9"/>
        <v>59.371727748691107</v>
      </c>
      <c r="BA59">
        <v>113.4</v>
      </c>
      <c r="BB59" s="11">
        <v>92226.279750000002</v>
      </c>
      <c r="BC59" s="11">
        <v>69914.527539999995</v>
      </c>
      <c r="BD59" s="4">
        <v>18796.119210000001</v>
      </c>
      <c r="BE59" s="11">
        <v>9973.1203590000005</v>
      </c>
      <c r="BG59" s="12">
        <v>613.5052915</v>
      </c>
      <c r="BH59" s="12">
        <v>650.31560899999999</v>
      </c>
      <c r="BI59" s="12">
        <v>614.70995819999996</v>
      </c>
      <c r="BJ59" s="12">
        <v>651.59255570000005</v>
      </c>
      <c r="BK59" s="4">
        <f t="shared" si="10"/>
        <v>614.10762484999998</v>
      </c>
      <c r="BL59" s="10">
        <f t="shared" si="11"/>
        <v>650.95408235000002</v>
      </c>
      <c r="BM59" s="4">
        <v>5.7</v>
      </c>
      <c r="BN59" s="1">
        <v>0.79</v>
      </c>
      <c r="BO59" s="4">
        <v>1</v>
      </c>
      <c r="BP59" s="4">
        <v>2.8</v>
      </c>
      <c r="BQ59">
        <v>122</v>
      </c>
      <c r="BR59">
        <v>40</v>
      </c>
      <c r="BS59">
        <v>9</v>
      </c>
      <c r="BT59">
        <v>22</v>
      </c>
      <c r="BU59">
        <v>18</v>
      </c>
      <c r="BV59">
        <v>7.5</v>
      </c>
      <c r="BW59">
        <v>450</v>
      </c>
      <c r="BX59">
        <v>1649</v>
      </c>
      <c r="BY59">
        <v>776</v>
      </c>
      <c r="BZ59">
        <v>2400</v>
      </c>
      <c r="CA59">
        <v>734</v>
      </c>
      <c r="CB59">
        <v>2215</v>
      </c>
    </row>
    <row r="60" spans="1:180" ht="15.6">
      <c r="A60" s="8" t="s">
        <v>209</v>
      </c>
      <c r="B60" s="8" t="s">
        <v>184</v>
      </c>
      <c r="C60" t="s">
        <v>219</v>
      </c>
      <c r="D60">
        <v>2</v>
      </c>
      <c r="E60">
        <v>32</v>
      </c>
      <c r="F60" s="4">
        <v>29.9</v>
      </c>
      <c r="G60">
        <v>174</v>
      </c>
      <c r="H60">
        <v>98</v>
      </c>
      <c r="I60">
        <v>152</v>
      </c>
      <c r="J60">
        <v>106</v>
      </c>
      <c r="K60" s="5">
        <f t="shared" si="20"/>
        <v>163</v>
      </c>
      <c r="L60" s="5">
        <f t="shared" si="21"/>
        <v>102</v>
      </c>
      <c r="M60" s="4">
        <v>188</v>
      </c>
      <c r="N60" s="4">
        <v>107</v>
      </c>
      <c r="O60">
        <v>98.7</v>
      </c>
      <c r="P60">
        <v>99.2</v>
      </c>
      <c r="Q60" s="4">
        <f t="shared" si="18"/>
        <v>98.95</v>
      </c>
      <c r="R60">
        <v>58</v>
      </c>
      <c r="S60">
        <v>18.2</v>
      </c>
      <c r="T60" s="7" t="s">
        <v>181</v>
      </c>
      <c r="U60" s="4">
        <v>4.8</v>
      </c>
      <c r="V60" s="4">
        <v>5.4</v>
      </c>
      <c r="W60" s="4">
        <v>-15</v>
      </c>
      <c r="X60" s="4">
        <v>-13.4</v>
      </c>
      <c r="Y60" s="7" t="s">
        <v>179</v>
      </c>
      <c r="Z60" s="4">
        <v>3889</v>
      </c>
      <c r="AA60" s="4">
        <v>3887.9166666666665</v>
      </c>
      <c r="AB60" s="4">
        <v>3990.1666666666665</v>
      </c>
      <c r="AC60" s="4">
        <f>Z60/N60</f>
        <v>36.345794392523366</v>
      </c>
      <c r="AD60" s="4">
        <f t="shared" si="19"/>
        <v>36.335669781931465</v>
      </c>
      <c r="AE60" s="4">
        <f t="shared" si="8"/>
        <v>37.291277258566979</v>
      </c>
      <c r="AF60" s="4">
        <f t="shared" si="12"/>
        <v>22.543314500941619</v>
      </c>
      <c r="AG60" s="5">
        <v>755</v>
      </c>
      <c r="AH60">
        <v>4.8</v>
      </c>
      <c r="AI60">
        <v>20</v>
      </c>
      <c r="AJ60">
        <v>19</v>
      </c>
      <c r="AK60">
        <v>177</v>
      </c>
      <c r="AL60" s="5">
        <v>4707.333333333333</v>
      </c>
      <c r="AM60" s="4">
        <v>142.83333333333334</v>
      </c>
      <c r="AN60" s="1">
        <v>1.1916666666666667</v>
      </c>
      <c r="AO60" s="5">
        <v>31.933333333333334</v>
      </c>
      <c r="AP60">
        <v>8.68</v>
      </c>
      <c r="AQ60" s="4">
        <v>3.5</v>
      </c>
      <c r="AR60" s="1">
        <f t="shared" si="13"/>
        <v>15.626947040498441</v>
      </c>
      <c r="AS60" s="1">
        <f t="shared" si="14"/>
        <v>11.720210280373831</v>
      </c>
      <c r="AT60" s="5">
        <f t="shared" si="15"/>
        <v>43.007180366520203</v>
      </c>
      <c r="AU60" s="5">
        <v>1672.0833333333333</v>
      </c>
      <c r="AV60" s="4">
        <v>1396.25</v>
      </c>
      <c r="AW60" s="4">
        <v>39.291666666666664</v>
      </c>
      <c r="AX60" s="1">
        <v>0.83583333333333354</v>
      </c>
      <c r="AY60" s="4">
        <v>13.84583333333333</v>
      </c>
      <c r="AZ60" s="4">
        <f t="shared" si="9"/>
        <v>64.180790960451972</v>
      </c>
      <c r="BA60">
        <v>113.6</v>
      </c>
      <c r="BB60" s="11">
        <v>105886.35400000001</v>
      </c>
      <c r="BC60" s="11">
        <v>72908.072270000004</v>
      </c>
      <c r="BD60" s="11">
        <v>30529.56222</v>
      </c>
      <c r="BE60" s="11">
        <v>18045.90814</v>
      </c>
      <c r="BG60" s="12">
        <v>852.14912709999999</v>
      </c>
      <c r="BH60" s="12">
        <v>903.27807470000005</v>
      </c>
      <c r="BI60" s="12">
        <v>861.90238769999996</v>
      </c>
      <c r="BJ60" s="12">
        <v>913.61653090000004</v>
      </c>
      <c r="BK60" s="4">
        <f t="shared" si="10"/>
        <v>857.02575739999997</v>
      </c>
      <c r="BL60" s="10">
        <f t="shared" si="11"/>
        <v>908.44730279999999</v>
      </c>
      <c r="BM60" s="15" t="s">
        <v>179</v>
      </c>
      <c r="BN60" s="15" t="s">
        <v>179</v>
      </c>
      <c r="BO60" s="15" t="s">
        <v>179</v>
      </c>
      <c r="BP60" s="15" t="s">
        <v>179</v>
      </c>
      <c r="BQ60">
        <v>130</v>
      </c>
      <c r="BR60">
        <v>47</v>
      </c>
      <c r="BS60">
        <v>11</v>
      </c>
      <c r="BT60">
        <v>23</v>
      </c>
      <c r="BU60">
        <v>19</v>
      </c>
      <c r="BV60">
        <v>6.7</v>
      </c>
      <c r="BW60">
        <v>586</v>
      </c>
      <c r="BX60">
        <v>1256</v>
      </c>
      <c r="BY60">
        <v>644</v>
      </c>
      <c r="BZ60">
        <v>2704</v>
      </c>
      <c r="CA60">
        <v>719</v>
      </c>
      <c r="CB60">
        <v>2672</v>
      </c>
      <c r="FT60" t="s">
        <v>179</v>
      </c>
      <c r="FU60" t="s">
        <v>179</v>
      </c>
      <c r="FV60" t="s">
        <v>179</v>
      </c>
      <c r="FW60" t="s">
        <v>179</v>
      </c>
      <c r="FX60" t="s">
        <v>179</v>
      </c>
    </row>
    <row r="61" spans="1:180" ht="15.6">
      <c r="A61" s="8" t="s">
        <v>207</v>
      </c>
      <c r="B61" s="8" t="s">
        <v>176</v>
      </c>
      <c r="C61" t="s">
        <v>219</v>
      </c>
      <c r="D61">
        <v>2</v>
      </c>
      <c r="E61">
        <v>28</v>
      </c>
      <c r="F61" s="4">
        <v>28.4</v>
      </c>
      <c r="G61">
        <v>127</v>
      </c>
      <c r="H61">
        <v>61</v>
      </c>
      <c r="I61">
        <v>119</v>
      </c>
      <c r="J61">
        <v>68</v>
      </c>
      <c r="K61" s="5">
        <f t="shared" si="20"/>
        <v>123</v>
      </c>
      <c r="L61" s="5">
        <f t="shared" si="21"/>
        <v>64.5</v>
      </c>
      <c r="M61" s="4">
        <v>181.8</v>
      </c>
      <c r="N61" s="4">
        <v>85.8</v>
      </c>
      <c r="O61" s="4">
        <v>96</v>
      </c>
      <c r="P61" s="4">
        <v>93</v>
      </c>
      <c r="Q61" s="4">
        <f t="shared" si="18"/>
        <v>94.5</v>
      </c>
      <c r="R61">
        <v>54</v>
      </c>
      <c r="S61" s="4">
        <f>60+15.06</f>
        <v>75.06</v>
      </c>
      <c r="T61" s="7" t="s">
        <v>178</v>
      </c>
      <c r="U61" s="4">
        <v>-1</v>
      </c>
      <c r="V61" s="4">
        <v>-1</v>
      </c>
      <c r="W61" s="4">
        <v>6.5</v>
      </c>
      <c r="X61" s="4">
        <v>4.5</v>
      </c>
      <c r="Y61" s="7" t="s">
        <v>179</v>
      </c>
      <c r="Z61" s="4">
        <v>3573.5</v>
      </c>
      <c r="AA61" s="4">
        <v>3562.3333333333335</v>
      </c>
      <c r="AB61" s="4">
        <v>3608.8333333333335</v>
      </c>
      <c r="AC61" s="4">
        <f>Z61/N61</f>
        <v>41.649184149184151</v>
      </c>
      <c r="AD61" s="4">
        <f t="shared" si="19"/>
        <v>41.519036519036526</v>
      </c>
      <c r="AE61" s="4">
        <f t="shared" si="8"/>
        <v>42.060994560994565</v>
      </c>
      <c r="AF61" s="4">
        <f t="shared" si="12"/>
        <v>20.274344569288392</v>
      </c>
      <c r="AG61" s="5">
        <f>13.5*60</f>
        <v>810</v>
      </c>
      <c r="AH61">
        <v>5.8</v>
      </c>
      <c r="AI61">
        <v>20</v>
      </c>
      <c r="AJ61">
        <v>20</v>
      </c>
      <c r="AK61">
        <v>178</v>
      </c>
      <c r="AL61" s="5">
        <v>4276.5</v>
      </c>
      <c r="AM61" s="4">
        <v>124.66666666666667</v>
      </c>
      <c r="AN61" s="1">
        <v>1.1883333333333335</v>
      </c>
      <c r="AO61" s="5">
        <v>48.466666666666676</v>
      </c>
      <c r="AP61">
        <v>6.48</v>
      </c>
      <c r="AQ61" s="4">
        <v>3.5</v>
      </c>
      <c r="AR61" s="1">
        <f t="shared" si="13"/>
        <v>15.220979020979023</v>
      </c>
      <c r="AS61" s="1">
        <f t="shared" si="14"/>
        <v>11.415734265734267</v>
      </c>
      <c r="AT61" s="5">
        <f t="shared" si="15"/>
        <v>36.660241414803032</v>
      </c>
      <c r="AU61" s="5">
        <v>1305.96</v>
      </c>
      <c r="AV61" s="4">
        <v>1010.76</v>
      </c>
      <c r="AW61" s="4">
        <v>33.76</v>
      </c>
      <c r="AX61" s="1">
        <v>0.77439999999999987</v>
      </c>
      <c r="AY61" s="4">
        <v>25.04</v>
      </c>
      <c r="AZ61" s="4">
        <f t="shared" si="9"/>
        <v>47.977528089887642</v>
      </c>
      <c r="BA61" s="4">
        <v>85.4</v>
      </c>
      <c r="BB61" s="11">
        <v>87206.823199999999</v>
      </c>
      <c r="BC61" s="11">
        <v>66883.704610000001</v>
      </c>
      <c r="BD61" s="11">
        <v>17255.16576</v>
      </c>
      <c r="BE61" s="11">
        <v>9738.9736869999997</v>
      </c>
      <c r="BG61" s="12">
        <v>582.80054719999998</v>
      </c>
      <c r="BH61" s="12">
        <v>617.76858000000004</v>
      </c>
      <c r="BI61" s="12">
        <v>581.08469130000003</v>
      </c>
      <c r="BJ61" s="12">
        <v>615.94977280000001</v>
      </c>
      <c r="BK61" s="4">
        <f t="shared" si="10"/>
        <v>581.94261925000001</v>
      </c>
      <c r="BL61" s="10">
        <f t="shared" si="11"/>
        <v>616.85917640000002</v>
      </c>
      <c r="BM61" s="4">
        <v>6.1</v>
      </c>
      <c r="BN61" s="1">
        <v>1.3</v>
      </c>
      <c r="BO61" s="4">
        <v>0.9</v>
      </c>
      <c r="BP61" s="4">
        <v>2.7</v>
      </c>
      <c r="BQ61">
        <v>102</v>
      </c>
      <c r="BR61">
        <v>39</v>
      </c>
      <c r="BS61">
        <v>6</v>
      </c>
      <c r="BT61">
        <v>16</v>
      </c>
      <c r="BU61">
        <v>4</v>
      </c>
      <c r="BV61">
        <v>6.4</v>
      </c>
      <c r="BW61">
        <v>235</v>
      </c>
      <c r="BX61">
        <v>802</v>
      </c>
      <c r="BY61">
        <v>476</v>
      </c>
      <c r="BZ61">
        <v>1423</v>
      </c>
      <c r="CA61">
        <v>458</v>
      </c>
      <c r="CB61">
        <v>1322</v>
      </c>
    </row>
    <row r="62" spans="1:180" ht="15.6">
      <c r="A62" s="8" t="s">
        <v>205</v>
      </c>
      <c r="B62" s="8" t="s">
        <v>184</v>
      </c>
      <c r="C62" t="s">
        <v>219</v>
      </c>
      <c r="D62">
        <v>2</v>
      </c>
      <c r="E62">
        <v>61</v>
      </c>
      <c r="F62" s="4">
        <v>25</v>
      </c>
      <c r="G62">
        <v>156</v>
      </c>
      <c r="H62">
        <v>88</v>
      </c>
      <c r="I62">
        <v>150</v>
      </c>
      <c r="J62">
        <v>85</v>
      </c>
      <c r="K62" s="5">
        <f t="shared" si="20"/>
        <v>153</v>
      </c>
      <c r="L62" s="5">
        <f t="shared" si="21"/>
        <v>86.5</v>
      </c>
      <c r="M62" s="4">
        <v>176.6</v>
      </c>
      <c r="N62" s="4">
        <v>78.8</v>
      </c>
      <c r="O62" s="4">
        <v>88.7</v>
      </c>
      <c r="P62" s="4">
        <v>89.1</v>
      </c>
      <c r="Q62" s="4">
        <f t="shared" si="18"/>
        <v>88.9</v>
      </c>
      <c r="R62">
        <v>53</v>
      </c>
      <c r="S62" s="4">
        <v>63.1</v>
      </c>
      <c r="T62" s="7" t="s">
        <v>178</v>
      </c>
      <c r="U62" s="4">
        <v>10.5</v>
      </c>
      <c r="V62" s="4">
        <v>10</v>
      </c>
      <c r="W62" s="4">
        <v>7.7</v>
      </c>
      <c r="X62" s="4">
        <v>4</v>
      </c>
      <c r="Y62" s="7" t="s">
        <v>179</v>
      </c>
      <c r="Z62" s="4">
        <v>3232</v>
      </c>
      <c r="AA62" s="4">
        <v>3001.0833333333335</v>
      </c>
      <c r="AB62" s="4">
        <v>3126.5</v>
      </c>
      <c r="AC62" s="4">
        <f>Z62/N62</f>
        <v>41.015228426395943</v>
      </c>
      <c r="AD62" s="4">
        <f t="shared" si="19"/>
        <v>38.084813874788495</v>
      </c>
      <c r="AE62" s="4">
        <f t="shared" si="8"/>
        <v>39.676395939086298</v>
      </c>
      <c r="AF62" s="4">
        <f t="shared" si="12"/>
        <v>17.084699453551913</v>
      </c>
      <c r="AG62" s="5">
        <f>16*60</f>
        <v>960</v>
      </c>
      <c r="AH62">
        <v>5.8</v>
      </c>
      <c r="AI62">
        <v>20</v>
      </c>
      <c r="AJ62">
        <v>20</v>
      </c>
      <c r="AK62">
        <v>183</v>
      </c>
      <c r="AL62" s="5">
        <v>3790.5</v>
      </c>
      <c r="AM62" s="4">
        <v>137.66666666666666</v>
      </c>
      <c r="AN62" s="1">
        <v>1.2116666666666667</v>
      </c>
      <c r="AO62" s="5">
        <v>48.766666666666673</v>
      </c>
      <c r="AP62" s="1">
        <v>9.1999999999999993</v>
      </c>
      <c r="AQ62" s="4">
        <v>3</v>
      </c>
      <c r="AR62" s="1">
        <f t="shared" si="13"/>
        <v>15.556345177664975</v>
      </c>
      <c r="AS62" s="1">
        <f t="shared" si="14"/>
        <v>11.667258883248731</v>
      </c>
      <c r="AT62" s="5">
        <f t="shared" si="15"/>
        <v>40.846583178296719</v>
      </c>
      <c r="AU62" s="5">
        <v>1225.8399999999999</v>
      </c>
      <c r="AV62" s="4">
        <v>1092.2</v>
      </c>
      <c r="AW62" s="4">
        <v>36.24</v>
      </c>
      <c r="AX62" s="1">
        <v>0.89280000000000015</v>
      </c>
      <c r="AY62" s="4">
        <v>21.404</v>
      </c>
      <c r="AZ62" s="4">
        <f t="shared" si="9"/>
        <v>55.956284153005463</v>
      </c>
      <c r="BA62">
        <v>102.4</v>
      </c>
      <c r="BB62" s="11">
        <v>79017.64572</v>
      </c>
      <c r="BC62" s="11">
        <v>55676.283040000002</v>
      </c>
      <c r="BD62" s="11">
        <v>20240.945619999999</v>
      </c>
      <c r="BE62" s="4">
        <v>11370.05528</v>
      </c>
      <c r="BG62" s="12">
        <v>754.37023069999998</v>
      </c>
      <c r="BH62" s="12">
        <v>799.63244450000002</v>
      </c>
      <c r="BI62" s="12">
        <v>763.277243</v>
      </c>
      <c r="BJ62" s="12">
        <v>809.07387759999995</v>
      </c>
      <c r="BK62" s="4">
        <f t="shared" si="10"/>
        <v>758.82373684999993</v>
      </c>
      <c r="BL62" s="10">
        <f t="shared" si="11"/>
        <v>804.35316104999993</v>
      </c>
      <c r="BM62" s="4">
        <v>4.8</v>
      </c>
      <c r="BN62" s="1">
        <v>0.67</v>
      </c>
      <c r="BO62" s="4">
        <v>1.6</v>
      </c>
      <c r="BP62" s="4">
        <v>3.8</v>
      </c>
      <c r="BQ62">
        <v>121</v>
      </c>
      <c r="BR62">
        <v>40</v>
      </c>
      <c r="BS62">
        <v>7</v>
      </c>
      <c r="BT62">
        <v>18</v>
      </c>
      <c r="BU62">
        <v>9</v>
      </c>
      <c r="BV62">
        <v>7.4</v>
      </c>
      <c r="BW62">
        <v>290</v>
      </c>
      <c r="BX62">
        <v>649</v>
      </c>
      <c r="BY62">
        <v>384</v>
      </c>
      <c r="BZ62">
        <v>1376</v>
      </c>
      <c r="CA62">
        <v>370</v>
      </c>
      <c r="CB62">
        <v>1370</v>
      </c>
    </row>
    <row r="63" spans="1:180" ht="15.6">
      <c r="A63" s="8" t="s">
        <v>212</v>
      </c>
      <c r="B63" s="8" t="s">
        <v>184</v>
      </c>
      <c r="C63" t="s">
        <v>219</v>
      </c>
      <c r="D63">
        <v>2</v>
      </c>
      <c r="E63">
        <v>60</v>
      </c>
      <c r="F63" s="4">
        <v>25.6</v>
      </c>
      <c r="G63">
        <v>149</v>
      </c>
      <c r="H63">
        <v>89</v>
      </c>
      <c r="I63">
        <v>140</v>
      </c>
      <c r="J63">
        <v>90</v>
      </c>
      <c r="K63" s="5">
        <f t="shared" si="20"/>
        <v>144.5</v>
      </c>
      <c r="L63" s="5">
        <f t="shared" si="21"/>
        <v>89.5</v>
      </c>
      <c r="M63" s="4">
        <v>162.9</v>
      </c>
      <c r="N63" s="4">
        <v>71.2</v>
      </c>
      <c r="O63" s="4">
        <v>90.6</v>
      </c>
      <c r="P63" s="4">
        <v>89</v>
      </c>
      <c r="Q63" s="4">
        <f t="shared" si="18"/>
        <v>89.8</v>
      </c>
      <c r="R63">
        <v>41</v>
      </c>
      <c r="S63" s="4">
        <v>24.9</v>
      </c>
      <c r="T63" s="7" t="s">
        <v>181</v>
      </c>
      <c r="U63" s="4">
        <v>3.7</v>
      </c>
      <c r="V63" s="4">
        <v>3.4</v>
      </c>
      <c r="W63" s="4">
        <v>-17</v>
      </c>
      <c r="X63" s="4">
        <v>-19</v>
      </c>
      <c r="Y63" s="7" t="s">
        <v>179</v>
      </c>
      <c r="Z63" s="4">
        <v>2382</v>
      </c>
      <c r="AA63" s="4">
        <v>2361.75</v>
      </c>
      <c r="AB63" s="4">
        <v>2406.5</v>
      </c>
      <c r="AC63" s="4">
        <f>Z63/N63</f>
        <v>33.455056179775276</v>
      </c>
      <c r="AD63" s="4">
        <f t="shared" si="19"/>
        <v>33.170646067415731</v>
      </c>
      <c r="AE63" s="4">
        <f t="shared" si="8"/>
        <v>33.799157303370784</v>
      </c>
      <c r="AF63" s="4">
        <f t="shared" si="12"/>
        <v>13.369444444444444</v>
      </c>
      <c r="AG63" s="5">
        <f>14*60</f>
        <v>840</v>
      </c>
      <c r="AH63">
        <v>4.8</v>
      </c>
      <c r="AI63">
        <v>20</v>
      </c>
      <c r="AJ63">
        <v>19</v>
      </c>
      <c r="AK63">
        <v>180</v>
      </c>
      <c r="AL63" s="5">
        <v>2770.6666666666665</v>
      </c>
      <c r="AM63" s="4">
        <v>95.166666666666671</v>
      </c>
      <c r="AN63" s="1">
        <v>1.17</v>
      </c>
      <c r="AO63" s="5">
        <v>51.583333333333336</v>
      </c>
      <c r="AP63">
        <v>8.06</v>
      </c>
      <c r="AQ63" s="4">
        <v>3</v>
      </c>
      <c r="AR63" s="1">
        <f t="shared" si="13"/>
        <v>16.043820224719099</v>
      </c>
      <c r="AS63" s="1">
        <f t="shared" si="14"/>
        <v>12.032865168539324</v>
      </c>
      <c r="AT63" s="5">
        <f t="shared" si="15"/>
        <v>48.367524081719061</v>
      </c>
      <c r="AU63" s="5">
        <v>1142.32</v>
      </c>
      <c r="AV63" s="4">
        <v>920.28</v>
      </c>
      <c r="AW63" s="4">
        <v>30.68</v>
      </c>
      <c r="AX63" s="1">
        <v>0.8056000000000002</v>
      </c>
      <c r="AY63" s="4">
        <v>19.763999999999999</v>
      </c>
      <c r="AZ63" s="4">
        <f t="shared" si="9"/>
        <v>67.444444444444457</v>
      </c>
      <c r="BA63">
        <v>121.4</v>
      </c>
      <c r="BB63" s="11">
        <v>71038.869529999996</v>
      </c>
      <c r="BC63" s="11">
        <v>46749.485439999997</v>
      </c>
      <c r="BD63" s="11">
        <v>21936.591189999999</v>
      </c>
      <c r="BE63" s="11">
        <v>12587.391659999999</v>
      </c>
      <c r="BG63" s="12">
        <v>1439.8064750000001</v>
      </c>
      <c r="BH63" s="12">
        <v>1526.1948629999999</v>
      </c>
      <c r="BI63" s="12">
        <v>1470.3360130000001</v>
      </c>
      <c r="BJ63" s="12">
        <v>1558.5561740000001</v>
      </c>
      <c r="BK63" s="4">
        <f t="shared" si="10"/>
        <v>1455.0712440000002</v>
      </c>
      <c r="BL63" s="10">
        <f t="shared" si="11"/>
        <v>1542.3755185</v>
      </c>
      <c r="BM63" s="4">
        <v>6.6</v>
      </c>
      <c r="BN63" s="1">
        <v>1.56</v>
      </c>
      <c r="BO63" s="4">
        <v>1.2</v>
      </c>
      <c r="BP63" s="4">
        <v>3.3</v>
      </c>
      <c r="BQ63">
        <v>119</v>
      </c>
      <c r="BR63">
        <v>41</v>
      </c>
      <c r="BS63">
        <v>5</v>
      </c>
      <c r="BT63">
        <v>13</v>
      </c>
      <c r="BU63">
        <v>11</v>
      </c>
      <c r="BV63">
        <v>6.8</v>
      </c>
      <c r="BW63">
        <v>275</v>
      </c>
      <c r="BX63">
        <v>405</v>
      </c>
      <c r="BY63">
        <v>359</v>
      </c>
      <c r="BZ63">
        <v>2484</v>
      </c>
      <c r="CA63">
        <v>293</v>
      </c>
      <c r="CB63">
        <v>1766</v>
      </c>
    </row>
    <row r="64" spans="1:180" ht="15.6">
      <c r="A64" s="8" t="s">
        <v>214</v>
      </c>
      <c r="B64" s="8" t="s">
        <v>176</v>
      </c>
      <c r="C64" t="s">
        <v>219</v>
      </c>
      <c r="D64">
        <v>1</v>
      </c>
      <c r="E64">
        <v>55</v>
      </c>
      <c r="F64" s="4">
        <v>40.5</v>
      </c>
      <c r="G64">
        <v>145</v>
      </c>
      <c r="H64">
        <v>95</v>
      </c>
      <c r="I64">
        <v>136</v>
      </c>
      <c r="J64">
        <v>97</v>
      </c>
      <c r="K64" s="5">
        <f t="shared" si="20"/>
        <v>140.5</v>
      </c>
      <c r="L64" s="5">
        <f t="shared" si="21"/>
        <v>96</v>
      </c>
      <c r="M64" s="4">
        <v>160.4</v>
      </c>
      <c r="N64" s="4">
        <v>99.1</v>
      </c>
      <c r="O64" s="4">
        <v>116.4</v>
      </c>
      <c r="P64" s="4">
        <v>116.2</v>
      </c>
      <c r="Q64" s="4">
        <f t="shared" si="18"/>
        <v>116.30000000000001</v>
      </c>
      <c r="R64">
        <v>39</v>
      </c>
      <c r="S64" s="4">
        <v>19.5</v>
      </c>
      <c r="T64" s="7" t="s">
        <v>181</v>
      </c>
      <c r="U64" s="4">
        <v>-3.05</v>
      </c>
      <c r="V64" s="4">
        <v>0</v>
      </c>
      <c r="W64" s="4">
        <v>-9</v>
      </c>
      <c r="X64" s="4">
        <v>-14</v>
      </c>
      <c r="Y64" s="7" t="s">
        <v>179</v>
      </c>
      <c r="Z64" s="6" t="s">
        <v>179</v>
      </c>
      <c r="AA64" s="6" t="s">
        <v>179</v>
      </c>
      <c r="AB64" s="6" t="s">
        <v>179</v>
      </c>
      <c r="AC64" s="6" t="s">
        <v>179</v>
      </c>
      <c r="AD64" s="6" t="s">
        <v>179</v>
      </c>
      <c r="AE64" s="6" t="s">
        <v>179</v>
      </c>
      <c r="AF64" s="6" t="s">
        <v>179</v>
      </c>
      <c r="AG64" s="16" t="s">
        <v>179</v>
      </c>
      <c r="AH64" s="7" t="s">
        <v>179</v>
      </c>
      <c r="AI64" s="7" t="s">
        <v>179</v>
      </c>
      <c r="AJ64" s="7" t="s">
        <v>179</v>
      </c>
      <c r="AK64" s="7" t="s">
        <v>179</v>
      </c>
      <c r="AL64" s="16" t="s">
        <v>179</v>
      </c>
      <c r="AM64" s="6" t="s">
        <v>179</v>
      </c>
      <c r="AN64" s="7" t="s">
        <v>179</v>
      </c>
      <c r="AO64" s="16" t="s">
        <v>179</v>
      </c>
      <c r="AP64" s="7" t="s">
        <v>179</v>
      </c>
      <c r="AQ64" s="7" t="s">
        <v>179</v>
      </c>
      <c r="AR64" s="7" t="s">
        <v>179</v>
      </c>
      <c r="AS64" s="7" t="s">
        <v>179</v>
      </c>
      <c r="AT64" s="16" t="s">
        <v>179</v>
      </c>
      <c r="AU64" s="16" t="s">
        <v>179</v>
      </c>
      <c r="AV64" s="6" t="s">
        <v>179</v>
      </c>
      <c r="AW64" s="6" t="s">
        <v>179</v>
      </c>
      <c r="AX64" s="9" t="s">
        <v>179</v>
      </c>
      <c r="AY64" s="6" t="s">
        <v>179</v>
      </c>
      <c r="AZ64" s="6" t="s">
        <v>179</v>
      </c>
      <c r="BA64" s="7" t="s">
        <v>179</v>
      </c>
      <c r="BB64" s="4">
        <v>97333.78</v>
      </c>
      <c r="BC64" s="4">
        <v>51861.355499999998</v>
      </c>
      <c r="BD64" s="4">
        <v>43203.131020000001</v>
      </c>
      <c r="BE64" s="4">
        <v>24373.773700000002</v>
      </c>
      <c r="BG64" s="12">
        <v>1514.9426000000001</v>
      </c>
      <c r="BH64" s="12">
        <v>1605.839156</v>
      </c>
      <c r="BI64" s="12">
        <v>1468.5272520000001</v>
      </c>
      <c r="BJ64" s="12">
        <v>1556.6388870000001</v>
      </c>
      <c r="BK64" s="4">
        <f t="shared" si="10"/>
        <v>1491.7349260000001</v>
      </c>
      <c r="BL64" s="10">
        <f t="shared" si="11"/>
        <v>1581.2390215</v>
      </c>
      <c r="BM64" s="4">
        <v>5.3</v>
      </c>
      <c r="BN64" s="1">
        <v>1.0900000000000001</v>
      </c>
      <c r="BO64" s="4">
        <v>1.4</v>
      </c>
      <c r="BP64" s="4">
        <v>4.3</v>
      </c>
      <c r="BQ64">
        <v>128</v>
      </c>
      <c r="BR64">
        <v>34</v>
      </c>
      <c r="BS64">
        <v>10</v>
      </c>
      <c r="BT64">
        <v>30</v>
      </c>
      <c r="BU64">
        <v>34</v>
      </c>
      <c r="BV64" s="7" t="s">
        <v>179</v>
      </c>
      <c r="BW64">
        <v>270</v>
      </c>
      <c r="BX64">
        <v>552</v>
      </c>
      <c r="BY64">
        <v>384</v>
      </c>
      <c r="BZ64">
        <v>1328</v>
      </c>
      <c r="CA64">
        <v>391</v>
      </c>
      <c r="CB64">
        <v>1313</v>
      </c>
    </row>
    <row r="65" spans="1:80" ht="15.6">
      <c r="A65" s="8" t="s">
        <v>211</v>
      </c>
      <c r="B65" s="8" t="s">
        <v>176</v>
      </c>
      <c r="C65" t="s">
        <v>219</v>
      </c>
      <c r="D65">
        <v>1</v>
      </c>
      <c r="E65">
        <v>54</v>
      </c>
      <c r="F65" s="4">
        <v>31.5</v>
      </c>
      <c r="G65">
        <v>149</v>
      </c>
      <c r="H65">
        <v>96</v>
      </c>
      <c r="I65">
        <v>149</v>
      </c>
      <c r="J65">
        <v>94</v>
      </c>
      <c r="K65" s="5">
        <f t="shared" si="20"/>
        <v>149</v>
      </c>
      <c r="L65" s="5">
        <f t="shared" si="21"/>
        <v>95</v>
      </c>
      <c r="M65" s="4">
        <v>161</v>
      </c>
      <c r="N65" s="4">
        <v>82.2</v>
      </c>
      <c r="O65" s="4">
        <v>104</v>
      </c>
      <c r="P65" s="4">
        <v>103</v>
      </c>
      <c r="Q65" s="4">
        <f t="shared" si="18"/>
        <v>103.5</v>
      </c>
      <c r="R65">
        <v>12</v>
      </c>
      <c r="S65" s="4">
        <v>66</v>
      </c>
      <c r="T65" s="7" t="s">
        <v>178</v>
      </c>
      <c r="U65" s="4">
        <v>7</v>
      </c>
      <c r="V65" s="4">
        <v>8</v>
      </c>
      <c r="W65" s="4">
        <v>-5</v>
      </c>
      <c r="X65" s="4">
        <v>-9</v>
      </c>
      <c r="Y65" s="7" t="s">
        <v>179</v>
      </c>
      <c r="Z65" s="4">
        <v>1884</v>
      </c>
      <c r="AA65" s="4">
        <v>1863.8333333333333</v>
      </c>
      <c r="AB65" s="4">
        <v>1873.3333333333333</v>
      </c>
      <c r="AC65" s="4">
        <f>Z65/N65</f>
        <v>22.919708029197079</v>
      </c>
      <c r="AD65" s="4">
        <f t="shared" si="19"/>
        <v>22.674371451743713</v>
      </c>
      <c r="AE65" s="4">
        <f t="shared" si="8"/>
        <v>22.789943227899432</v>
      </c>
      <c r="AF65" s="4">
        <f t="shared" ref="AF65:AF70" si="22">AB65/AK65</f>
        <v>10.583804143126176</v>
      </c>
      <c r="AG65" s="5">
        <f>9*60</f>
        <v>540</v>
      </c>
      <c r="AH65">
        <v>3.8</v>
      </c>
      <c r="AI65">
        <v>14</v>
      </c>
      <c r="AJ65">
        <v>20</v>
      </c>
      <c r="AK65">
        <v>177</v>
      </c>
      <c r="AL65" s="5">
        <v>2299.3333333333335</v>
      </c>
      <c r="AM65" s="4">
        <v>72</v>
      </c>
      <c r="AN65" s="1">
        <v>1.2283333333333333</v>
      </c>
      <c r="AO65" s="5">
        <v>45.550000000000004</v>
      </c>
      <c r="AP65">
        <v>7.25</v>
      </c>
      <c r="AQ65" s="4">
        <v>3</v>
      </c>
      <c r="AR65" s="1">
        <f t="shared" ref="AR65:AR70" si="23">AU65/N65*1</f>
        <v>15.995620437956203</v>
      </c>
      <c r="AS65" s="1">
        <f t="shared" ref="AS65:AS70" si="24">AU65/N65*0.75</f>
        <v>11.996715328467152</v>
      </c>
      <c r="AT65" s="5">
        <f t="shared" ref="AT65:AT70" si="25">AU65/AA65*100</f>
        <v>70.5449342752392</v>
      </c>
      <c r="AU65" s="5">
        <v>1314.84</v>
      </c>
      <c r="AV65" s="4">
        <v>1184.72</v>
      </c>
      <c r="AW65" s="4">
        <v>36.840000000000003</v>
      </c>
      <c r="AX65" s="1">
        <v>0.90200000000000036</v>
      </c>
      <c r="AY65" s="4">
        <v>25.503999999999998</v>
      </c>
      <c r="AZ65" s="4">
        <f t="shared" si="9"/>
        <v>71.186440677966104</v>
      </c>
      <c r="BA65" s="4">
        <v>126</v>
      </c>
      <c r="BB65" s="11">
        <v>83141.212960000004</v>
      </c>
      <c r="BC65" s="11">
        <v>42585.950989999998</v>
      </c>
      <c r="BD65" s="11">
        <v>38390.284070000002</v>
      </c>
      <c r="BE65" s="11">
        <v>21435.0556</v>
      </c>
      <c r="BG65" s="12">
        <v>2381.758249</v>
      </c>
      <c r="BH65" s="12">
        <v>2524.663744</v>
      </c>
      <c r="BI65" s="12">
        <v>2428.0554280000001</v>
      </c>
      <c r="BJ65" s="12">
        <v>2573.738754</v>
      </c>
      <c r="BK65" s="4">
        <f t="shared" si="10"/>
        <v>2404.9068385</v>
      </c>
      <c r="BL65" s="10">
        <f t="shared" si="11"/>
        <v>2549.2012489999997</v>
      </c>
      <c r="BM65" s="4">
        <v>6</v>
      </c>
      <c r="BN65" s="1">
        <v>0.9</v>
      </c>
      <c r="BO65" s="4">
        <v>1.7</v>
      </c>
      <c r="BP65" s="4">
        <v>3.6</v>
      </c>
      <c r="BQ65">
        <v>129</v>
      </c>
      <c r="BR65">
        <v>51</v>
      </c>
      <c r="BS65">
        <v>25</v>
      </c>
      <c r="BT65">
        <v>48</v>
      </c>
      <c r="BU65">
        <v>45</v>
      </c>
      <c r="BV65">
        <v>7.8</v>
      </c>
      <c r="BW65">
        <v>180</v>
      </c>
      <c r="BX65">
        <v>703</v>
      </c>
      <c r="BY65">
        <v>315</v>
      </c>
      <c r="BZ65">
        <v>830</v>
      </c>
      <c r="CA65">
        <v>304</v>
      </c>
      <c r="CB65">
        <v>838</v>
      </c>
    </row>
    <row r="66" spans="1:80" ht="15.6">
      <c r="A66" s="8" t="s">
        <v>200</v>
      </c>
      <c r="B66" s="8" t="s">
        <v>184</v>
      </c>
      <c r="C66" t="s">
        <v>219</v>
      </c>
      <c r="D66">
        <v>1</v>
      </c>
      <c r="E66">
        <v>63</v>
      </c>
      <c r="F66" s="4">
        <v>22.2</v>
      </c>
      <c r="G66">
        <v>158</v>
      </c>
      <c r="H66">
        <v>88</v>
      </c>
      <c r="I66">
        <v>156</v>
      </c>
      <c r="J66">
        <v>88</v>
      </c>
      <c r="K66" s="5">
        <f t="shared" si="20"/>
        <v>157</v>
      </c>
      <c r="L66" s="5">
        <f t="shared" si="21"/>
        <v>88</v>
      </c>
      <c r="M66" s="4">
        <v>164.2</v>
      </c>
      <c r="N66" s="4">
        <v>61</v>
      </c>
      <c r="O66" s="4">
        <v>80</v>
      </c>
      <c r="P66" s="4">
        <v>80</v>
      </c>
      <c r="Q66" s="4">
        <f t="shared" si="18"/>
        <v>80</v>
      </c>
      <c r="R66">
        <v>28</v>
      </c>
      <c r="S66" s="4">
        <v>61.6</v>
      </c>
      <c r="T66" s="7" t="s">
        <v>178</v>
      </c>
      <c r="U66" s="4">
        <v>5</v>
      </c>
      <c r="V66" s="4">
        <v>6</v>
      </c>
      <c r="W66" s="4">
        <v>4</v>
      </c>
      <c r="X66" s="4">
        <v>-5.5</v>
      </c>
      <c r="Y66" s="7" t="s">
        <v>179</v>
      </c>
      <c r="Z66" s="4">
        <v>2291</v>
      </c>
      <c r="AA66" s="4">
        <v>2279.3333333333335</v>
      </c>
      <c r="AB66" s="4">
        <v>2344.5</v>
      </c>
      <c r="AC66" s="4">
        <f>Z66/N66</f>
        <v>37.557377049180324</v>
      </c>
      <c r="AD66" s="4">
        <f t="shared" si="19"/>
        <v>37.36612021857924</v>
      </c>
      <c r="AE66" s="4">
        <f t="shared" si="8"/>
        <v>38.434426229508198</v>
      </c>
      <c r="AF66" s="4">
        <f t="shared" si="22"/>
        <v>14.295731707317072</v>
      </c>
      <c r="AG66" s="5">
        <f>14*60+45</f>
        <v>885</v>
      </c>
      <c r="AH66">
        <v>4.8</v>
      </c>
      <c r="AI66">
        <v>20</v>
      </c>
      <c r="AJ66">
        <v>19</v>
      </c>
      <c r="AK66">
        <v>164</v>
      </c>
      <c r="AL66" s="5">
        <v>2789.3333333333335</v>
      </c>
      <c r="AM66" s="4">
        <v>93.666666666666671</v>
      </c>
      <c r="AN66" s="1">
        <v>1.2116666666666667</v>
      </c>
      <c r="AO66" s="5">
        <v>55.54999999999999</v>
      </c>
      <c r="AP66">
        <v>8.73</v>
      </c>
      <c r="AQ66" s="4">
        <v>3</v>
      </c>
      <c r="AR66" s="1">
        <f t="shared" si="23"/>
        <v>18.859016393442623</v>
      </c>
      <c r="AS66" s="1">
        <f t="shared" si="24"/>
        <v>14.144262295081967</v>
      </c>
      <c r="AT66" s="5">
        <f t="shared" si="25"/>
        <v>50.470897923369407</v>
      </c>
      <c r="AU66" s="5">
        <v>1150.4000000000001</v>
      </c>
      <c r="AV66" s="4">
        <v>1043.96</v>
      </c>
      <c r="AW66" s="4">
        <v>34.520000000000003</v>
      </c>
      <c r="AX66" s="1">
        <v>0.90759999999999974</v>
      </c>
      <c r="AY66" s="4">
        <v>28.207999999999998</v>
      </c>
      <c r="AZ66" s="4">
        <f t="shared" si="9"/>
        <v>60.975609756097562</v>
      </c>
      <c r="BA66">
        <v>100</v>
      </c>
      <c r="BB66" s="11">
        <v>80337.204719999994</v>
      </c>
      <c r="BC66" s="11">
        <v>37237.678240000001</v>
      </c>
      <c r="BD66" s="11">
        <v>21381.848590000001</v>
      </c>
      <c r="BE66" s="11">
        <v>10154.989659999999</v>
      </c>
      <c r="BG66" s="12">
        <v>365.33449339999999</v>
      </c>
      <c r="BH66" s="12">
        <v>387.25456300000002</v>
      </c>
      <c r="BI66" s="12">
        <v>361.81212119999998</v>
      </c>
      <c r="BJ66" s="12">
        <v>383.5208485</v>
      </c>
      <c r="BK66" s="4">
        <f t="shared" si="10"/>
        <v>363.57330730000001</v>
      </c>
      <c r="BL66" s="10">
        <f t="shared" si="11"/>
        <v>385.38770575000001</v>
      </c>
      <c r="BM66" s="4">
        <v>5.0999999999999996</v>
      </c>
      <c r="BN66" s="1">
        <v>0.84</v>
      </c>
      <c r="BO66" s="4">
        <v>2</v>
      </c>
      <c r="BP66" s="4">
        <v>3.6</v>
      </c>
      <c r="BQ66">
        <v>137</v>
      </c>
      <c r="BR66">
        <v>58</v>
      </c>
      <c r="BS66">
        <v>18</v>
      </c>
      <c r="BT66">
        <v>31</v>
      </c>
      <c r="BU66">
        <v>19</v>
      </c>
      <c r="BV66">
        <v>7.3</v>
      </c>
      <c r="BW66">
        <v>140</v>
      </c>
      <c r="BX66">
        <v>400</v>
      </c>
      <c r="BY66">
        <v>266</v>
      </c>
      <c r="BZ66">
        <v>688</v>
      </c>
      <c r="CA66">
        <v>266</v>
      </c>
      <c r="CB66">
        <v>693</v>
      </c>
    </row>
    <row r="67" spans="1:80" ht="15.6">
      <c r="A67" s="8" t="s">
        <v>210</v>
      </c>
      <c r="B67" s="8" t="s">
        <v>176</v>
      </c>
      <c r="C67" t="s">
        <v>219</v>
      </c>
      <c r="D67">
        <v>1</v>
      </c>
      <c r="E67">
        <v>42</v>
      </c>
      <c r="F67" s="4">
        <v>31.3</v>
      </c>
      <c r="G67">
        <v>156</v>
      </c>
      <c r="H67">
        <v>89</v>
      </c>
      <c r="I67">
        <v>159</v>
      </c>
      <c r="J67">
        <v>95</v>
      </c>
      <c r="K67" s="5">
        <f t="shared" si="20"/>
        <v>157.5</v>
      </c>
      <c r="L67" s="5">
        <f t="shared" si="21"/>
        <v>92</v>
      </c>
      <c r="M67" s="4">
        <v>158.19999999999999</v>
      </c>
      <c r="N67" s="4">
        <v>82.4</v>
      </c>
      <c r="O67" s="4">
        <v>103</v>
      </c>
      <c r="P67" s="4">
        <v>104</v>
      </c>
      <c r="Q67" s="4">
        <f t="shared" si="18"/>
        <v>103.5</v>
      </c>
      <c r="R67">
        <v>15</v>
      </c>
      <c r="S67" s="4">
        <v>5.34</v>
      </c>
      <c r="T67" s="7" t="s">
        <v>181</v>
      </c>
      <c r="U67" s="4">
        <v>3</v>
      </c>
      <c r="V67" s="4">
        <v>2.5</v>
      </c>
      <c r="W67" s="4">
        <v>-15</v>
      </c>
      <c r="X67" s="4">
        <v>-16.5</v>
      </c>
      <c r="Y67" s="7" t="s">
        <v>179</v>
      </c>
      <c r="Z67" s="4">
        <v>1973</v>
      </c>
      <c r="AA67" s="4">
        <v>2005.1666666666667</v>
      </c>
      <c r="AB67" s="4">
        <v>2017.3333333333333</v>
      </c>
      <c r="AC67" s="4">
        <f>Z67/N67</f>
        <v>23.944174757281552</v>
      </c>
      <c r="AD67" s="4">
        <f t="shared" si="19"/>
        <v>24.334546925566343</v>
      </c>
      <c r="AE67" s="4">
        <f t="shared" ref="AE67:AE70" si="26">AB67/N67</f>
        <v>24.48220064724919</v>
      </c>
      <c r="AF67" s="4">
        <f t="shared" si="22"/>
        <v>12.849256900212314</v>
      </c>
      <c r="AG67" s="5">
        <v>615</v>
      </c>
      <c r="AH67">
        <v>4.8</v>
      </c>
      <c r="AI67">
        <v>16</v>
      </c>
      <c r="AJ67">
        <v>19</v>
      </c>
      <c r="AK67">
        <v>157</v>
      </c>
      <c r="AL67" s="5">
        <v>2291.1666666666665</v>
      </c>
      <c r="AM67" s="4">
        <v>68.333333333333329</v>
      </c>
      <c r="AN67" s="1">
        <v>1.1466666666666665</v>
      </c>
      <c r="AO67" s="5">
        <v>38.983333333333334</v>
      </c>
      <c r="AP67">
        <v>4.1399999999999997</v>
      </c>
      <c r="AQ67" s="4">
        <v>3</v>
      </c>
      <c r="AR67" s="1">
        <f t="shared" si="23"/>
        <v>14.270873786407767</v>
      </c>
      <c r="AS67" s="1">
        <f t="shared" si="24"/>
        <v>10.703155339805825</v>
      </c>
      <c r="AT67" s="5">
        <f t="shared" si="25"/>
        <v>58.644501703931503</v>
      </c>
      <c r="AU67" s="5">
        <v>1175.92</v>
      </c>
      <c r="AV67" s="4">
        <v>1084.2</v>
      </c>
      <c r="AW67" s="4">
        <v>31.4</v>
      </c>
      <c r="AX67" s="1">
        <v>0.92240000000000011</v>
      </c>
      <c r="AY67" s="4">
        <v>18.072000000000003</v>
      </c>
      <c r="AZ67" s="4">
        <f t="shared" ref="AZ67:AZ70" si="27">BA67/AK67*100</f>
        <v>74.522292993630572</v>
      </c>
      <c r="BA67">
        <v>117</v>
      </c>
      <c r="BB67" s="11">
        <v>81604.080700000006</v>
      </c>
      <c r="BC67" s="11">
        <v>44064.820740000003</v>
      </c>
      <c r="BD67" s="11">
        <v>35217.623959999997</v>
      </c>
      <c r="BE67" s="11">
        <v>20337.009999999998</v>
      </c>
      <c r="BG67" s="12">
        <v>650.35647270000004</v>
      </c>
      <c r="BH67" s="12">
        <v>689.37786100000005</v>
      </c>
      <c r="BI67" s="12">
        <v>751.78653689999999</v>
      </c>
      <c r="BJ67" s="12">
        <v>796.89372909999997</v>
      </c>
      <c r="BK67" s="4">
        <f t="shared" ref="BK67:BK70" si="28">AVERAGE(BG67,BI67)</f>
        <v>701.07150479999996</v>
      </c>
      <c r="BL67" s="10">
        <f t="shared" ref="BL67:BL70" si="29">AVERAGE(BH67,BJ67)</f>
        <v>743.13579505000007</v>
      </c>
      <c r="BM67" s="4">
        <v>5.2</v>
      </c>
      <c r="BN67" s="1">
        <v>0.66</v>
      </c>
      <c r="BO67" s="4">
        <v>1.9</v>
      </c>
      <c r="BP67" s="4">
        <v>1.9</v>
      </c>
      <c r="BQ67">
        <v>132</v>
      </c>
      <c r="BR67">
        <v>51</v>
      </c>
      <c r="BS67">
        <v>22</v>
      </c>
      <c r="BT67">
        <v>43</v>
      </c>
      <c r="BU67">
        <v>43</v>
      </c>
      <c r="BV67">
        <v>7.9</v>
      </c>
      <c r="BW67">
        <v>180</v>
      </c>
      <c r="BX67">
        <v>312</v>
      </c>
      <c r="BY67">
        <v>172</v>
      </c>
      <c r="BZ67">
        <v>1643</v>
      </c>
      <c r="CA67">
        <v>223</v>
      </c>
      <c r="CB67">
        <v>1997</v>
      </c>
    </row>
    <row r="68" spans="1:80" ht="15.6">
      <c r="A68" t="s">
        <v>213</v>
      </c>
      <c r="B68" t="s">
        <v>184</v>
      </c>
      <c r="C68" t="s">
        <v>219</v>
      </c>
      <c r="D68">
        <v>2</v>
      </c>
      <c r="E68">
        <v>33</v>
      </c>
      <c r="F68" s="4">
        <v>31.5</v>
      </c>
      <c r="G68">
        <v>132</v>
      </c>
      <c r="H68">
        <v>94</v>
      </c>
      <c r="I68">
        <v>145</v>
      </c>
      <c r="J68">
        <v>99</v>
      </c>
      <c r="K68" s="5">
        <f t="shared" si="20"/>
        <v>138.5</v>
      </c>
      <c r="L68" s="5">
        <f t="shared" si="21"/>
        <v>96.5</v>
      </c>
      <c r="M68" s="4">
        <v>169.2</v>
      </c>
      <c r="N68" s="4">
        <v>93</v>
      </c>
      <c r="O68" s="4">
        <v>104.5</v>
      </c>
      <c r="P68" s="4">
        <v>103.7</v>
      </c>
      <c r="Q68" s="4">
        <f t="shared" si="18"/>
        <v>104.1</v>
      </c>
      <c r="R68">
        <v>53</v>
      </c>
      <c r="S68" s="4">
        <v>64.7</v>
      </c>
      <c r="T68" s="7" t="s">
        <v>178</v>
      </c>
      <c r="U68" s="4">
        <v>-15.5</v>
      </c>
      <c r="V68" s="4">
        <v>-5</v>
      </c>
      <c r="W68" s="4">
        <v>-6</v>
      </c>
      <c r="X68" s="4">
        <v>-19.3</v>
      </c>
      <c r="Y68" s="7" t="s">
        <v>179</v>
      </c>
      <c r="Z68" s="4">
        <v>3058</v>
      </c>
      <c r="AA68" s="4">
        <v>3069.9166666666665</v>
      </c>
      <c r="AB68" s="4">
        <v>3132.1666666666665</v>
      </c>
      <c r="AC68" s="4">
        <f>Z68/N68</f>
        <v>32.881720430107528</v>
      </c>
      <c r="AD68" s="4">
        <f t="shared" si="19"/>
        <v>33.009856630824373</v>
      </c>
      <c r="AE68" s="4">
        <f t="shared" si="26"/>
        <v>33.679211469534046</v>
      </c>
      <c r="AF68" s="4">
        <f t="shared" si="22"/>
        <v>17.898095238095237</v>
      </c>
      <c r="AG68" s="5">
        <f>11.25*60</f>
        <v>675</v>
      </c>
      <c r="AH68">
        <v>4.8</v>
      </c>
      <c r="AI68">
        <v>20</v>
      </c>
      <c r="AJ68">
        <v>20</v>
      </c>
      <c r="AK68">
        <v>175</v>
      </c>
      <c r="AL68" s="5">
        <v>3362.5</v>
      </c>
      <c r="AM68" s="4">
        <v>83</v>
      </c>
      <c r="AN68" s="1">
        <v>1.0783333333333334</v>
      </c>
      <c r="AO68" s="5">
        <v>35.916666666666664</v>
      </c>
      <c r="AP68">
        <v>6.44</v>
      </c>
      <c r="AQ68" s="4">
        <v>3.5</v>
      </c>
      <c r="AR68" s="1">
        <f t="shared" si="23"/>
        <v>14.089892473118278</v>
      </c>
      <c r="AS68" s="1">
        <f t="shared" si="24"/>
        <v>10.567419354838709</v>
      </c>
      <c r="AT68" s="5">
        <f t="shared" si="25"/>
        <v>42.683894785417628</v>
      </c>
      <c r="AU68" s="5">
        <v>1310.3599999999999</v>
      </c>
      <c r="AV68" s="4">
        <v>1110.1199999999999</v>
      </c>
      <c r="AW68" s="4">
        <v>33.08</v>
      </c>
      <c r="AX68" s="1">
        <v>0.8488</v>
      </c>
      <c r="AY68" s="4">
        <v>19.303999999999998</v>
      </c>
      <c r="AZ68" s="4">
        <f t="shared" si="27"/>
        <v>51.31428571428571</v>
      </c>
      <c r="BA68">
        <v>89.8</v>
      </c>
      <c r="BB68" s="11">
        <v>90586.150699999998</v>
      </c>
      <c r="BC68" s="11">
        <v>51184.330809999999</v>
      </c>
      <c r="BD68" s="11">
        <v>36511.763299999999</v>
      </c>
      <c r="BE68" s="11">
        <v>22805.905599999998</v>
      </c>
      <c r="BG68" s="12">
        <v>2467.650956</v>
      </c>
      <c r="BH68" s="12">
        <v>2615.7100129999999</v>
      </c>
      <c r="BI68" s="12">
        <v>2525.7849310000001</v>
      </c>
      <c r="BJ68" s="12">
        <v>2677.332026</v>
      </c>
      <c r="BK68" s="4">
        <f t="shared" si="28"/>
        <v>2496.7179434999998</v>
      </c>
      <c r="BL68" s="10">
        <f t="shared" si="29"/>
        <v>2646.5210195</v>
      </c>
      <c r="BM68" s="4">
        <v>5.7</v>
      </c>
      <c r="BN68" s="1">
        <v>1.27</v>
      </c>
      <c r="BO68" s="4">
        <v>0.9</v>
      </c>
      <c r="BP68" s="4">
        <v>2.8</v>
      </c>
      <c r="BQ68">
        <v>119</v>
      </c>
      <c r="BR68">
        <v>31</v>
      </c>
      <c r="BS68">
        <v>3</v>
      </c>
      <c r="BT68">
        <v>9</v>
      </c>
      <c r="BU68">
        <v>4</v>
      </c>
      <c r="BV68">
        <v>7.7</v>
      </c>
      <c r="BW68">
        <v>380</v>
      </c>
      <c r="BX68">
        <v>748</v>
      </c>
      <c r="BY68">
        <v>527</v>
      </c>
      <c r="BZ68">
        <v>1569</v>
      </c>
      <c r="CA68">
        <v>531</v>
      </c>
      <c r="CB68">
        <v>1501</v>
      </c>
    </row>
    <row r="69" spans="1:80" ht="15.6">
      <c r="A69" s="8" t="s">
        <v>215</v>
      </c>
      <c r="B69" s="8" t="s">
        <v>176</v>
      </c>
      <c r="C69" t="s">
        <v>219</v>
      </c>
      <c r="D69">
        <v>1</v>
      </c>
      <c r="E69">
        <v>57</v>
      </c>
      <c r="F69" s="4">
        <v>28.2</v>
      </c>
      <c r="G69">
        <v>127</v>
      </c>
      <c r="H69">
        <v>86</v>
      </c>
      <c r="I69">
        <v>127</v>
      </c>
      <c r="J69">
        <v>87</v>
      </c>
      <c r="K69" s="5">
        <f t="shared" si="20"/>
        <v>127</v>
      </c>
      <c r="L69" s="5">
        <f t="shared" si="21"/>
        <v>86.5</v>
      </c>
      <c r="M69" s="4">
        <v>165.7</v>
      </c>
      <c r="N69" s="4">
        <v>81.2</v>
      </c>
      <c r="O69" s="4">
        <v>92.2</v>
      </c>
      <c r="P69" s="4">
        <v>93</v>
      </c>
      <c r="Q69" s="4">
        <f t="shared" si="18"/>
        <v>92.6</v>
      </c>
      <c r="R69">
        <v>24</v>
      </c>
      <c r="S69" s="4">
        <v>32</v>
      </c>
      <c r="T69" s="7" t="s">
        <v>181</v>
      </c>
      <c r="U69" s="4">
        <v>6.5</v>
      </c>
      <c r="V69" s="4">
        <v>6.5</v>
      </c>
      <c r="W69" s="4">
        <v>-2.5</v>
      </c>
      <c r="X69" s="4">
        <v>-5</v>
      </c>
      <c r="Y69" s="7" t="s">
        <v>179</v>
      </c>
      <c r="Z69">
        <v>2355.5</v>
      </c>
      <c r="AA69" s="4">
        <v>2399</v>
      </c>
      <c r="AB69" s="4">
        <v>2434.8333333333335</v>
      </c>
      <c r="AC69" s="4">
        <f>Z69/N69</f>
        <v>29.008620689655171</v>
      </c>
      <c r="AD69" s="4">
        <f t="shared" si="19"/>
        <v>29.544334975369456</v>
      </c>
      <c r="AE69" s="4">
        <f t="shared" si="26"/>
        <v>29.985632183908045</v>
      </c>
      <c r="AF69" s="4">
        <f t="shared" si="22"/>
        <v>13.602420856610802</v>
      </c>
      <c r="AG69" s="5">
        <v>765</v>
      </c>
      <c r="AH69">
        <v>4.3</v>
      </c>
      <c r="AI69">
        <v>19</v>
      </c>
      <c r="AJ69">
        <v>20</v>
      </c>
      <c r="AK69">
        <v>179</v>
      </c>
      <c r="AL69" s="5">
        <v>2702.1666666666665</v>
      </c>
      <c r="AM69" s="4">
        <v>77.5</v>
      </c>
      <c r="AN69" s="1">
        <v>1.1100000000000001</v>
      </c>
      <c r="AO69" s="5">
        <v>33.366666666666667</v>
      </c>
      <c r="AP69">
        <v>7.15</v>
      </c>
      <c r="AQ69" s="4">
        <v>3</v>
      </c>
      <c r="AR69" s="1">
        <f t="shared" si="23"/>
        <v>14.107881773399013</v>
      </c>
      <c r="AS69" s="1">
        <f t="shared" si="24"/>
        <v>10.580911330049259</v>
      </c>
      <c r="AT69" s="5">
        <f t="shared" si="25"/>
        <v>47.751563151313043</v>
      </c>
      <c r="AU69" s="5">
        <v>1145.56</v>
      </c>
      <c r="AV69" s="4">
        <v>898.84</v>
      </c>
      <c r="AW69" s="4">
        <v>28.04</v>
      </c>
      <c r="AX69" s="1">
        <v>0.78399999999999992</v>
      </c>
      <c r="AY69" s="4">
        <v>18.351999999999997</v>
      </c>
      <c r="AZ69" s="4">
        <f t="shared" si="27"/>
        <v>72.290502793296099</v>
      </c>
      <c r="BA69" s="4">
        <v>129.4</v>
      </c>
      <c r="BB69" s="11">
        <v>80337.204719999994</v>
      </c>
      <c r="BC69" s="11">
        <v>41275.653200000001</v>
      </c>
      <c r="BD69" s="11">
        <v>37013.724699999999</v>
      </c>
      <c r="BE69" s="4">
        <v>19888.772229999999</v>
      </c>
      <c r="BG69" s="12">
        <v>1461.2090679999999</v>
      </c>
      <c r="BH69" s="12">
        <v>1548.8816119999999</v>
      </c>
      <c r="BI69" s="12">
        <v>1649.0785370000001</v>
      </c>
      <c r="BJ69" s="12">
        <v>1748.02325</v>
      </c>
      <c r="BK69" s="4">
        <f t="shared" si="28"/>
        <v>1555.1438025</v>
      </c>
      <c r="BL69" s="10">
        <f t="shared" si="29"/>
        <v>1648.4524309999999</v>
      </c>
      <c r="BM69" s="4">
        <v>6</v>
      </c>
      <c r="BN69" s="1">
        <v>1.94</v>
      </c>
      <c r="BO69" s="4">
        <v>1</v>
      </c>
      <c r="BP69" s="4">
        <v>5.4</v>
      </c>
      <c r="BQ69">
        <v>108</v>
      </c>
      <c r="BR69">
        <v>36</v>
      </c>
      <c r="BS69">
        <v>19</v>
      </c>
      <c r="BT69">
        <v>51</v>
      </c>
      <c r="BU69">
        <v>47</v>
      </c>
      <c r="BV69">
        <v>7.1</v>
      </c>
      <c r="BW69">
        <v>200</v>
      </c>
      <c r="BX69">
        <v>724</v>
      </c>
      <c r="BY69">
        <v>307</v>
      </c>
      <c r="BZ69">
        <v>997</v>
      </c>
      <c r="CA69">
        <v>291</v>
      </c>
      <c r="CB69">
        <v>969</v>
      </c>
    </row>
    <row r="70" spans="1:80" ht="15.6">
      <c r="A70" s="8" t="s">
        <v>216</v>
      </c>
      <c r="B70" s="8" t="s">
        <v>184</v>
      </c>
      <c r="C70" t="s">
        <v>219</v>
      </c>
      <c r="D70">
        <v>1</v>
      </c>
      <c r="E70">
        <v>58</v>
      </c>
      <c r="F70" s="4">
        <v>23</v>
      </c>
      <c r="G70">
        <v>119</v>
      </c>
      <c r="H70">
        <v>83</v>
      </c>
      <c r="I70">
        <v>115</v>
      </c>
      <c r="J70">
        <v>76</v>
      </c>
      <c r="K70" s="5">
        <f t="shared" si="20"/>
        <v>117</v>
      </c>
      <c r="L70" s="5">
        <f t="shared" si="21"/>
        <v>79.5</v>
      </c>
      <c r="M70" s="4">
        <v>167.2</v>
      </c>
      <c r="N70" s="4">
        <v>66.099999999999994</v>
      </c>
      <c r="O70" s="4">
        <v>78.599999999999994</v>
      </c>
      <c r="P70" s="4">
        <v>78.599999999999994</v>
      </c>
      <c r="Q70" s="4">
        <f t="shared" si="18"/>
        <v>78.599999999999994</v>
      </c>
      <c r="R70">
        <v>34</v>
      </c>
      <c r="S70" s="4">
        <f>60+63.2</f>
        <v>123.2</v>
      </c>
      <c r="T70" s="7" t="s">
        <v>178</v>
      </c>
      <c r="U70" s="4">
        <v>16.399999999999999</v>
      </c>
      <c r="V70" s="4">
        <v>15.1</v>
      </c>
      <c r="W70" s="4">
        <v>-1.8</v>
      </c>
      <c r="X70" s="4">
        <v>-7.1</v>
      </c>
      <c r="Y70" s="7" t="s">
        <v>179</v>
      </c>
      <c r="Z70" s="4">
        <v>2226</v>
      </c>
      <c r="AA70" s="4">
        <v>2269.0833333333335</v>
      </c>
      <c r="AB70" s="4">
        <v>2358</v>
      </c>
      <c r="AC70" s="4">
        <f>Z70/N70</f>
        <v>33.676248108925876</v>
      </c>
      <c r="AD70" s="4">
        <f t="shared" si="19"/>
        <v>34.328038325769043</v>
      </c>
      <c r="AE70" s="4">
        <f t="shared" si="26"/>
        <v>35.673222390317704</v>
      </c>
      <c r="AF70" s="4">
        <f t="shared" si="22"/>
        <v>14.466257668711657</v>
      </c>
      <c r="AG70" s="5">
        <f>14*60</f>
        <v>840</v>
      </c>
      <c r="AH70">
        <v>4.8</v>
      </c>
      <c r="AI70">
        <v>20</v>
      </c>
      <c r="AJ70">
        <v>19</v>
      </c>
      <c r="AK70">
        <v>163</v>
      </c>
      <c r="AL70" s="5">
        <v>2763.5</v>
      </c>
      <c r="AM70" s="4">
        <v>87.166666666666671</v>
      </c>
      <c r="AN70" s="1">
        <v>1.1716666666666666</v>
      </c>
      <c r="AO70" s="5">
        <v>39.366666666666667</v>
      </c>
      <c r="AP70">
        <v>8.0399999999999991</v>
      </c>
      <c r="AQ70" s="4">
        <v>3</v>
      </c>
      <c r="AR70" s="1">
        <f t="shared" si="23"/>
        <v>14.10408472012103</v>
      </c>
      <c r="AS70" s="1">
        <f t="shared" si="24"/>
        <v>10.578063540090772</v>
      </c>
      <c r="AT70" s="5">
        <f t="shared" si="25"/>
        <v>41.086194865768114</v>
      </c>
      <c r="AU70" s="5">
        <v>932.28</v>
      </c>
      <c r="AV70" s="4">
        <v>706.28</v>
      </c>
      <c r="AW70" s="4">
        <v>23.68</v>
      </c>
      <c r="AX70" s="1">
        <v>0.75840000000000007</v>
      </c>
      <c r="AY70" s="4">
        <v>16.872000000000003</v>
      </c>
      <c r="AZ70" s="4">
        <f t="shared" si="27"/>
        <v>53.25153374233129</v>
      </c>
      <c r="BA70">
        <v>86.8</v>
      </c>
      <c r="BB70" s="11">
        <v>65647.100309999994</v>
      </c>
      <c r="BC70" s="11">
        <v>40135.938249999999</v>
      </c>
      <c r="BD70" s="11">
        <v>23228.286680000001</v>
      </c>
      <c r="BE70" s="11">
        <v>12334.75517</v>
      </c>
      <c r="BG70" s="12">
        <v>774.34427919999996</v>
      </c>
      <c r="BH70" s="12">
        <v>820.80493590000003</v>
      </c>
      <c r="BI70" s="12">
        <v>764.88013460000002</v>
      </c>
      <c r="BJ70" s="12">
        <v>810.77294270000004</v>
      </c>
      <c r="BK70" s="4">
        <f t="shared" si="28"/>
        <v>769.61220690000005</v>
      </c>
      <c r="BL70" s="10">
        <f t="shared" si="29"/>
        <v>815.78893930000004</v>
      </c>
      <c r="BM70" s="4">
        <v>4.3</v>
      </c>
      <c r="BN70" s="1">
        <v>0.66</v>
      </c>
      <c r="BO70" s="4">
        <v>1.9</v>
      </c>
      <c r="BP70" s="4">
        <v>2.2000000000000002</v>
      </c>
      <c r="BQ70">
        <v>115</v>
      </c>
      <c r="BR70">
        <v>40</v>
      </c>
      <c r="BS70">
        <v>15</v>
      </c>
      <c r="BT70">
        <v>38</v>
      </c>
      <c r="BU70">
        <v>25</v>
      </c>
      <c r="BV70">
        <v>7.8</v>
      </c>
      <c r="BW70">
        <v>200</v>
      </c>
      <c r="BX70">
        <v>559</v>
      </c>
      <c r="BY70">
        <v>235</v>
      </c>
      <c r="BZ70">
        <v>930</v>
      </c>
      <c r="CA70">
        <v>249</v>
      </c>
      <c r="CB70">
        <v>968</v>
      </c>
    </row>
    <row r="71" spans="1:80" ht="14.45">
      <c r="T71" s="7"/>
    </row>
    <row r="72" spans="1:80" ht="14.45">
      <c r="T72" s="7"/>
    </row>
    <row r="73" spans="1:80" ht="14.45">
      <c r="T73" s="7"/>
    </row>
    <row r="74" spans="1:80" ht="14.45">
      <c r="T74" s="7"/>
    </row>
    <row r="75" spans="1:80" ht="14.45">
      <c r="T75" s="7"/>
    </row>
    <row r="76" spans="1:80" ht="14.45">
      <c r="T76" s="7"/>
    </row>
    <row r="77" spans="1:80" ht="14.45">
      <c r="T77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E523-DBE0-4C7C-9037-4A4F3924D187}">
  <dimension ref="A1:B8"/>
  <sheetViews>
    <sheetView workbookViewId="0">
      <selection activeCell="B6" sqref="B6"/>
    </sheetView>
  </sheetViews>
  <sheetFormatPr defaultColWidth="8.7109375" defaultRowHeight="14.45"/>
  <sheetData>
    <row r="1" spans="1:2">
      <c r="B1" t="s">
        <v>221</v>
      </c>
    </row>
    <row r="2" spans="1:2">
      <c r="A2" t="s">
        <v>222</v>
      </c>
      <c r="B2" t="s">
        <v>223</v>
      </c>
    </row>
    <row r="3" spans="1:2">
      <c r="A3">
        <v>11451</v>
      </c>
      <c r="B3" t="s">
        <v>223</v>
      </c>
    </row>
    <row r="4" spans="1:2">
      <c r="A4">
        <v>15448</v>
      </c>
      <c r="B4" t="s">
        <v>223</v>
      </c>
    </row>
    <row r="5" spans="1:2">
      <c r="A5">
        <v>11442</v>
      </c>
      <c r="B5" t="s">
        <v>223</v>
      </c>
    </row>
    <row r="6" spans="1:2">
      <c r="A6" t="s">
        <v>224</v>
      </c>
      <c r="B6" t="s">
        <v>223</v>
      </c>
    </row>
    <row r="7" spans="1:2">
      <c r="A7">
        <v>11421</v>
      </c>
      <c r="B7" t="s">
        <v>223</v>
      </c>
    </row>
    <row r="8" spans="1:2">
      <c r="A8" t="s">
        <v>225</v>
      </c>
      <c r="B8" t="s">
        <v>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9C04D-E873-4413-9C1A-4ACAF3C372EE}">
  <dimension ref="A1:A9"/>
  <sheetViews>
    <sheetView workbookViewId="0">
      <selection activeCell="K8" sqref="K8"/>
    </sheetView>
  </sheetViews>
  <sheetFormatPr defaultColWidth="8.7109375" defaultRowHeight="14.45"/>
  <sheetData>
    <row r="1" spans="1:1">
      <c r="A1" t="s">
        <v>226</v>
      </c>
    </row>
    <row r="2" spans="1:1">
      <c r="A2" t="s">
        <v>227</v>
      </c>
    </row>
    <row r="3" spans="1:1">
      <c r="A3" t="s">
        <v>228</v>
      </c>
    </row>
    <row r="4" spans="1:1">
      <c r="A4" t="s">
        <v>229</v>
      </c>
    </row>
    <row r="5" spans="1:1">
      <c r="A5" t="s">
        <v>230</v>
      </c>
    </row>
    <row r="6" spans="1:1">
      <c r="A6" t="s">
        <v>231</v>
      </c>
    </row>
    <row r="7" spans="1:1">
      <c r="A7" t="s">
        <v>232</v>
      </c>
    </row>
    <row r="8" spans="1:1">
      <c r="A8" t="s">
        <v>233</v>
      </c>
    </row>
    <row r="9" spans="1:1">
      <c r="A9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Pernille Breili</cp:lastModifiedBy>
  <cp:revision/>
  <dcterms:created xsi:type="dcterms:W3CDTF">2022-10-20T08:23:38Z</dcterms:created>
  <dcterms:modified xsi:type="dcterms:W3CDTF">2023-02-15T13:47:58Z</dcterms:modified>
  <cp:category/>
  <cp:contentStatus/>
</cp:coreProperties>
</file>