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s" sheetId="1" state="visible" r:id="rId3"/>
    <sheet name="Config" sheetId="2" state="visible" r:id="rId4"/>
    <sheet name="Localization" sheetId="3" state="visible" r:id="rId5"/>
    <sheet name="Colors" sheetId="4" state="visible" r:id="rId6"/>
    <sheet name="Effects" sheetId="5" state="visible" r:id="rId7"/>
  </sheets>
  <definedNames>
    <definedName function="false" hidden="false" name="CARD_COLORS" vbProcedure="false">Colors!$A$1:$F$13</definedName>
    <definedName function="false" hidden="false" name="COLOR_EFFECTS" vbProcedure="false">Effects!$A$1:$D$31</definedName>
    <definedName function="false" hidden="false" name="CULTURES" vbProcedure="false">Localization!$B$1:$C$1</definedName>
    <definedName function="false" hidden="false" name="CURRENT_CULTURE" vbProcedure="false">Config!$C$2</definedName>
    <definedName function="false" hidden="false" name="CURRENT_CULTURE_INDEX" vbProcedure="false">Config!$D$2</definedName>
    <definedName function="false" hidden="false" name="RES_ACTION" vbProcedure="false">Localization!$A$25</definedName>
    <definedName function="false" hidden="false" name="RES_BLACK" vbProcedure="false">Localization!$A$37</definedName>
    <definedName function="false" hidden="false" name="RES_BLOCK" vbProcedure="false">Localization!$A$15</definedName>
    <definedName function="false" hidden="false" name="RES_BLUE" vbProcedure="false">Localization!$A$36</definedName>
    <definedName function="false" hidden="false" name="RES_BROWN" vbProcedure="false">Localization!$A$34</definedName>
    <definedName function="false" hidden="false" name="RES_BURN" vbProcedure="false">Localization!$A$17</definedName>
    <definedName function="false" hidden="false" name="RES_CYAN" vbProcedure="false">Localization!$A$35</definedName>
    <definedName function="false" hidden="false" name="RES_EARTH" vbProcedure="false">Localization!$A$5</definedName>
    <definedName function="false" hidden="false" name="RES_EFFECT_BLOCK" vbProcedure="false">Localization!$A$42</definedName>
    <definedName function="false" hidden="false" name="RES_EFFECT_BURN" vbProcedure="false">Localization!$A$45</definedName>
    <definedName function="false" hidden="false" name="RES_EFFECT_FOCUS" vbProcedure="false">Localization!$A$46</definedName>
    <definedName function="false" hidden="false" name="RES_EFFECT_FREEZE" vbProcedure="false">Localization!$A$44</definedName>
    <definedName function="false" hidden="false" name="RES_EFFECT_MINUS_3" vbProcedure="false">Localization!$A$57</definedName>
    <definedName function="false" hidden="false" name="RES_EFFECT_MINUS_4" vbProcedure="false">Localization!$A$58</definedName>
    <definedName function="false" hidden="false" name="RES_EFFECT_MIRROR" vbProcedure="false">Localization!$A$55</definedName>
    <definedName function="false" hidden="false" name="RES_EFFECT_MIRROR_FOCUS" vbProcedure="false">Localization!$A$56</definedName>
    <definedName function="false" hidden="false" name="RES_EFFECT_PLUS_2" vbProcedure="false">Localization!$A$39</definedName>
    <definedName function="false" hidden="false" name="RES_EFFECT_PLUS_3" vbProcedure="false">Localization!$A$40</definedName>
    <definedName function="false" hidden="false" name="RES_EFFECT_RAINBOW" vbProcedure="false">Localization!$A$47</definedName>
    <definedName function="false" hidden="false" name="RES_EFFECT_RAINBOW_BLOCK" vbProcedure="false">Localization!$A$49</definedName>
    <definedName function="false" hidden="false" name="RES_EFFECT_RAINBOW_FOCUS_PLUS_2" vbProcedure="false">Localization!$A$53</definedName>
    <definedName function="false" hidden="false" name="RES_EFFECT_RAINBOW_PLUS_4" vbProcedure="false">Localization!$A$48</definedName>
    <definedName function="false" hidden="false" name="RES_EFFECT_RAINBOW_REVERSAL" vbProcedure="false">Localization!$A$50</definedName>
    <definedName function="false" hidden="false" name="RES_EFFECT_RAINBOW_REVERSAL_BLOCK" vbProcedure="false">Localization!$A$52</definedName>
    <definedName function="false" hidden="false" name="RES_EFFECT_RAINBOW_REVERSAL_PLUS_4" vbProcedure="false">Localization!$A$51</definedName>
    <definedName function="false" hidden="false" name="RES_EFFECT_REPEAT" vbProcedure="false">Localization!$A$43</definedName>
    <definedName function="false" hidden="false" name="RES_EFFECT_REVERSAL" vbProcedure="false">Localization!$A$41</definedName>
    <definedName function="false" hidden="false" name="RES_EFFECT_SHIELD" vbProcedure="false">Localization!$A$54</definedName>
    <definedName function="false" hidden="false" name="RES_FOCUS" vbProcedure="false">Localization!$A$19</definedName>
    <definedName function="false" hidden="false" name="RES_FREEZE" vbProcedure="false">Localization!$A$18</definedName>
    <definedName function="false" hidden="false" name="RES_GRAY" vbProcedure="false">Localization!$A$31</definedName>
    <definedName function="false" hidden="false" name="RES_GREEN" vbProcedure="false">Localization!$A$30</definedName>
    <definedName function="false" hidden="false" name="RES_GUARD" vbProcedure="false">Localization!$A$26</definedName>
    <definedName function="false" hidden="false" name="RES_JUPITER" vbProcedure="false">Localization!$A$8</definedName>
    <definedName function="false" hidden="false" name="RES_MARS" vbProcedure="false">Localization!$A$7</definedName>
    <definedName function="false" hidden="false" name="RES_MERCURY" vbProcedure="false">Localization!$A$3</definedName>
    <definedName function="false" hidden="false" name="RES_MIRROR" vbProcedure="false">Localization!$A$22</definedName>
    <definedName function="false" hidden="false" name="RES_MOON" vbProcedure="false">Localization!$A$6</definedName>
    <definedName function="false" hidden="false" name="RES_NEPTUNE" vbProcedure="false">Localization!$A$11</definedName>
    <definedName function="false" hidden="false" name="RES_NORMAL" vbProcedure="false">Localization!$A$23</definedName>
    <definedName function="false" hidden="false" name="RES_ORANGE" vbProcedure="false">Localization!$A$33</definedName>
    <definedName function="false" hidden="false" name="RES_PINK" vbProcedure="false">Localization!$A$29</definedName>
    <definedName function="false" hidden="false" name="RES_PLUTO" vbProcedure="false">Localization!$A$12</definedName>
    <definedName function="false" hidden="false" name="RES_PURPLE" vbProcedure="false">Localization!$A$28</definedName>
    <definedName function="false" hidden="false" name="RES_RAINBOW" vbProcedure="false">Localization!$A$20</definedName>
    <definedName function="false" hidden="false" name="RES_RED" vbProcedure="false">Localization!$A$32</definedName>
    <definedName function="false" hidden="false" name="RES_REPEAT" vbProcedure="false">Localization!$A$16</definedName>
    <definedName function="false" hidden="false" name="RES_REVERSAL" vbProcedure="false">Localization!$A$14</definedName>
    <definedName function="false" hidden="false" name="RES_SATURN" vbProcedure="false">Localization!$A$9</definedName>
    <definedName function="false" hidden="false" name="RES_SHIELD" vbProcedure="false">Localization!$A$21</definedName>
    <definedName function="false" hidden="false" name="RES_STAR" vbProcedure="false">Localization!$A$13</definedName>
    <definedName function="false" hidden="false" name="RES_SUN" vbProcedure="false">Localization!$A$2</definedName>
    <definedName function="false" hidden="false" name="RES_TRAP" vbProcedure="false">Localization!$A$24</definedName>
    <definedName function="false" hidden="false" name="RES_URANUS" vbProcedure="false">Localization!$A$10</definedName>
    <definedName function="false" hidden="false" name="RES_VENUS" vbProcedure="false">Localization!$A$4</definedName>
    <definedName function="false" hidden="false" name="RES_WHITE" vbProcedure="false">Localization!$A$38</definedName>
    <definedName function="false" hidden="false" name="RES_YELLOW" vbProcedure="false">Localization!$A$27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<sst xmlns="http://schemas.openxmlformats.org/spreadsheetml/2006/main" count="652" uniqueCount="200">
  <si>
    <t xml:space="preserve">Count</t>
  </si>
  <si>
    <t xml:space="preserve">Color</t>
  </si>
  <si>
    <t xml:space="preserve">HtmlColor</t>
  </si>
  <si>
    <t xml:space="preserve">ColorName</t>
  </si>
  <si>
    <t xml:space="preserve">Celestial</t>
  </si>
  <si>
    <t xml:space="preserve">FaceImage</t>
  </si>
  <si>
    <t xml:space="preserve">Symbol</t>
  </si>
  <si>
    <t xml:space="preserve">CardEffects</t>
  </si>
  <si>
    <t xml:space="preserve">CardIconText</t>
  </si>
  <si>
    <t xml:space="preserve">CardIcons</t>
  </si>
  <si>
    <t xml:space="preserve">ShortName</t>
  </si>
  <si>
    <t xml:space="preserve">Type</t>
  </si>
  <si>
    <t xml:space="preserve">Name</t>
  </si>
  <si>
    <t xml:space="preserve">Id</t>
  </si>
  <si>
    <t xml:space="preserve">Effect</t>
  </si>
  <si>
    <t xml:space="preserve">None</t>
  </si>
  <si>
    <t xml:space="preserve">Backface</t>
  </si>
  <si>
    <t xml:space="preserve">Dummy</t>
  </si>
  <si>
    <t xml:space="preserve">Yellow</t>
  </si>
  <si>
    <t xml:space="preserve">Brown</t>
  </si>
  <si>
    <t xml:space="preserve">+2</t>
  </si>
  <si>
    <t xml:space="preserve">Pink</t>
  </si>
  <si>
    <t xml:space="preserve">🔄</t>
  </si>
  <si>
    <t xml:space="preserve">D</t>
  </si>
  <si>
    <t xml:space="preserve">Green</t>
  </si>
  <si>
    <t xml:space="preserve">🚫</t>
  </si>
  <si>
    <t xml:space="preserve">X</t>
  </si>
  <si>
    <t xml:space="preserve">Gray</t>
  </si>
  <si>
    <t xml:space="preserve">🔂</t>
  </si>
  <si>
    <t xml:space="preserve">O</t>
  </si>
  <si>
    <t xml:space="preserve">Red</t>
  </si>
  <si>
    <t xml:space="preserve">❄️</t>
  </si>
  <si>
    <t xml:space="preserve">I</t>
  </si>
  <si>
    <t xml:space="preserve">Orange</t>
  </si>
  <si>
    <t xml:space="preserve">🔥</t>
  </si>
  <si>
    <t xml:space="preserve">F</t>
  </si>
  <si>
    <t xml:space="preserve">Purple</t>
  </si>
  <si>
    <t xml:space="preserve">🎯</t>
  </si>
  <si>
    <t xml:space="preserve">C</t>
  </si>
  <si>
    <t xml:space="preserve">Cyan</t>
  </si>
  <si>
    <t xml:space="preserve">+3</t>
  </si>
  <si>
    <t xml:space="preserve">Blue</t>
  </si>
  <si>
    <t xml:space="preserve">Black</t>
  </si>
  <si>
    <t xml:space="preserve">🌈</t>
  </si>
  <si>
    <t xml:space="preserve">R</t>
  </si>
  <si>
    <t xml:space="preserve">+4🌈</t>
  </si>
  <si>
    <t xml:space="preserve">🚫🌈</t>
  </si>
  <si>
    <t xml:space="preserve">R&lt;X</t>
  </si>
  <si>
    <t xml:space="preserve">🔄🌈</t>
  </si>
  <si>
    <t xml:space="preserve">R&lt;D</t>
  </si>
  <si>
    <t xml:space="preserve">🔄+4🌈</t>
  </si>
  <si>
    <t xml:space="preserve">🔄🚫🌈</t>
  </si>
  <si>
    <t xml:space="preserve">R&lt;X&lt;D</t>
  </si>
  <si>
    <t xml:space="preserve">🎯+2🌈</t>
  </si>
  <si>
    <t xml:space="preserve">R&lt;C</t>
  </si>
  <si>
    <t xml:space="preserve">White</t>
  </si>
  <si>
    <t xml:space="preserve">🛡️</t>
  </si>
  <si>
    <t xml:space="preserve">S</t>
  </si>
  <si>
    <t xml:space="preserve">🛡️🔄</t>
  </si>
  <si>
    <t xml:space="preserve">S&lt;D</t>
  </si>
  <si>
    <t xml:space="preserve">🛡️🎯</t>
  </si>
  <si>
    <t xml:space="preserve">S&lt;C</t>
  </si>
  <si>
    <t xml:space="preserve">-3</t>
  </si>
  <si>
    <t xml:space="preserve">-4</t>
  </si>
  <si>
    <t xml:space="preserve">Sprache</t>
  </si>
  <si>
    <t xml:space="preserve">de-DE</t>
  </si>
  <si>
    <t xml:space="preserve">Current</t>
  </si>
  <si>
    <t xml:space="preserve">en-US</t>
  </si>
  <si>
    <t xml:space="preserve">Sonne</t>
  </si>
  <si>
    <t xml:space="preserve">Sun</t>
  </si>
  <si>
    <t xml:space="preserve">Merkur</t>
  </si>
  <si>
    <t xml:space="preserve">Mercury</t>
  </si>
  <si>
    <t xml:space="preserve">Venus</t>
  </si>
  <si>
    <t xml:space="preserve">Erde</t>
  </si>
  <si>
    <t xml:space="preserve">Earth</t>
  </si>
  <si>
    <t xml:space="preserve">Mond</t>
  </si>
  <si>
    <t xml:space="preserve">Moon</t>
  </si>
  <si>
    <t xml:space="preserve">Mars</t>
  </si>
  <si>
    <t xml:space="preserve">Jupiter</t>
  </si>
  <si>
    <t xml:space="preserve">Saturn</t>
  </si>
  <si>
    <t xml:space="preserve">Uranus</t>
  </si>
  <si>
    <t xml:space="preserve">Neptun</t>
  </si>
  <si>
    <t xml:space="preserve">Neptune</t>
  </si>
  <si>
    <t xml:space="preserve">Pluto</t>
  </si>
  <si>
    <t xml:space="preserve">Stern</t>
  </si>
  <si>
    <t xml:space="preserve">Star</t>
  </si>
  <si>
    <t xml:space="preserve">Umkehrung</t>
  </si>
  <si>
    <t xml:space="preserve">Reversal</t>
  </si>
  <si>
    <t xml:space="preserve">Blockade</t>
  </si>
  <si>
    <t xml:space="preserve">Block</t>
  </si>
  <si>
    <t xml:space="preserve">Wiederholung</t>
  </si>
  <si>
    <t xml:space="preserve">Repeat</t>
  </si>
  <si>
    <t xml:space="preserve">Feuer</t>
  </si>
  <si>
    <t xml:space="preserve">Burn</t>
  </si>
  <si>
    <t xml:space="preserve">Eis</t>
  </si>
  <si>
    <t xml:space="preserve">Freeze</t>
  </si>
  <si>
    <t xml:space="preserve">Fokus</t>
  </si>
  <si>
    <t xml:space="preserve">Focus</t>
  </si>
  <si>
    <t xml:space="preserve">Prisma</t>
  </si>
  <si>
    <t xml:space="preserve">Rainbow</t>
  </si>
  <si>
    <t xml:space="preserve">Schild</t>
  </si>
  <si>
    <t xml:space="preserve">Shield</t>
  </si>
  <si>
    <t xml:space="preserve">Spiegel</t>
  </si>
  <si>
    <t xml:space="preserve">Mirror</t>
  </si>
  <si>
    <t xml:space="preserve">Standard</t>
  </si>
  <si>
    <t xml:space="preserve">Normal</t>
  </si>
  <si>
    <t xml:space="preserve">Falle</t>
  </si>
  <si>
    <t xml:space="preserve">Trap</t>
  </si>
  <si>
    <t xml:space="preserve">Aktion</t>
  </si>
  <si>
    <t xml:space="preserve">Action</t>
  </si>
  <si>
    <t xml:space="preserve">Schutz</t>
  </si>
  <si>
    <t xml:space="preserve">Guard</t>
  </si>
  <si>
    <t xml:space="preserve">Gelb</t>
  </si>
  <si>
    <t xml:space="preserve">Lila</t>
  </si>
  <si>
    <t xml:space="preserve">Grün</t>
  </si>
  <si>
    <t xml:space="preserve">Grau</t>
  </si>
  <si>
    <t xml:space="preserve">Rot</t>
  </si>
  <si>
    <t xml:space="preserve">Braun</t>
  </si>
  <si>
    <t xml:space="preserve">Türkis</t>
  </si>
  <si>
    <t xml:space="preserve">Blau</t>
  </si>
  <si>
    <t xml:space="preserve">Schwarz</t>
  </si>
  <si>
    <t xml:space="preserve">Weiß</t>
  </si>
  <si>
    <t xml:space="preserve">Nächster Spieler muss 2 Karten aufnehmen</t>
  </si>
  <si>
    <t xml:space="preserve">Next player draws 2 cards</t>
  </si>
  <si>
    <t xml:space="preserve">Nächster Spieler muss 3 Karten aufnehmen</t>
  </si>
  <si>
    <t xml:space="preserve">Next player draws 3 cards</t>
  </si>
  <si>
    <t xml:space="preserve">Spielrichtung andersherum</t>
  </si>
  <si>
    <t xml:space="preserve">Reverse turn direction</t>
  </si>
  <si>
    <t xml:space="preserve">Nächster Spieler muss aussetzen</t>
  </si>
  <si>
    <t xml:space="preserve">Next player sits out</t>
  </si>
  <si>
    <t xml:space="preserve">Ein weiterer Zug</t>
  </si>
  <si>
    <t xml:space="preserve">Next turn is same player again</t>
  </si>
  <si>
    <t xml:space="preserve">Farbe muss für eine komplette Runde beibehalten werden</t>
  </si>
  <si>
    <t xml:space="preserve">Keep color for one full iteration</t>
  </si>
  <si>
    <t xml:space="preserve">Farbe darf bis zur nächsten Runde nicht gespielt werden</t>
  </si>
  <si>
    <t xml:space="preserve">Change color for one full iteration</t>
  </si>
  <si>
    <t xml:space="preserve">Wähle den nächsten Spieler</t>
  </si>
  <si>
    <t xml:space="preserve">Freely chose next player</t>
  </si>
  <si>
    <t xml:space="preserve">Wähle eine Farbe</t>
  </si>
  <si>
    <t xml:space="preserve">Current player can change color</t>
  </si>
  <si>
    <t xml:space="preserve">Nächster Spieler muss 4 Karten aufnehmen, Wähle eine Farbe</t>
  </si>
  <si>
    <t xml:space="preserve">Next player draws 4 cards, Current player can change color</t>
  </si>
  <si>
    <t xml:space="preserve">Nächster Spieler muss aussetzen, Wähle eine Farbe</t>
  </si>
  <si>
    <t xml:space="preserve">Next player sits out, Current player can change color</t>
  </si>
  <si>
    <t xml:space="preserve">Spielrichtung andersherum, Wähle eine Farbe</t>
  </si>
  <si>
    <t xml:space="preserve">Reverse turn direction, Current player can change color</t>
  </si>
  <si>
    <t xml:space="preserve">Spielrichtung andersherum, Nächster Spieler muss 4 Karten aufnehmen, Wähle eine Farbe</t>
  </si>
  <si>
    <t xml:space="preserve">Reverse turn direction, Next player draws 4 cards, Current player can change color</t>
  </si>
  <si>
    <t xml:space="preserve">Spielrichtung andersherum, Nächster Spieler muss aussetzen, Wähle eine Farbe</t>
  </si>
  <si>
    <t xml:space="preserve">Reverse turn direction, Next player sits out, Current player can change color</t>
  </si>
  <si>
    <t xml:space="preserve">Ein ausgesuchter Spieler muss 2 Karten ziehen, Wähle eine Farbe</t>
  </si>
  <si>
    <t xml:space="preserve">Freely chosen-player draws 2 cards, Current player can change color</t>
  </si>
  <si>
    <t xml:space="preserve">Alle Effekte werden aufgehoben</t>
  </si>
  <si>
    <t xml:space="preserve">Nullify all effects</t>
  </si>
  <si>
    <t xml:space="preserve">Alle Effekte treffen den vorherigen Spieler</t>
  </si>
  <si>
    <t xml:space="preserve">Mirror all effects back to the last player</t>
  </si>
  <si>
    <t xml:space="preserve">Alle Effekte treffen einen ausgesuchten Spieler</t>
  </si>
  <si>
    <t xml:space="preserve">Mirror all effects to a freely chosen player</t>
  </si>
  <si>
    <t xml:space="preserve">Werfe 3 Karten ab</t>
  </si>
  <si>
    <t xml:space="preserve">Discard 3 cards</t>
  </si>
  <si>
    <t xml:space="preserve">Werfe 4 Karten ab</t>
  </si>
  <si>
    <t xml:space="preserve">Discard 4 cards</t>
  </si>
  <si>
    <t xml:space="preserve">DisplayName</t>
  </si>
  <si>
    <t xml:space="preserve">Face</t>
  </si>
  <si>
    <t xml:space="preserve">ColorCode</t>
  </si>
  <si>
    <t xml:space="preserve">#FFEE00</t>
  </si>
  <si>
    <t xml:space="preserve">☉</t>
  </si>
  <si>
    <t xml:space="preserve">#440088</t>
  </si>
  <si>
    <t xml:space="preserve">☿</t>
  </si>
  <si>
    <t xml:space="preserve">#CC00CC</t>
  </si>
  <si>
    <t xml:space="preserve">♀</t>
  </si>
  <si>
    <t xml:space="preserve">#008800</t>
  </si>
  <si>
    <t xml:space="preserve">⊕</t>
  </si>
  <si>
    <t xml:space="preserve">#888888</t>
  </si>
  <si>
    <t xml:space="preserve">☾</t>
  </si>
  <si>
    <t xml:space="preserve">#CC0000</t>
  </si>
  <si>
    <t xml:space="preserve">♂</t>
  </si>
  <si>
    <t xml:space="preserve">#FF8800</t>
  </si>
  <si>
    <t xml:space="preserve">♃</t>
  </si>
  <si>
    <t xml:space="preserve">#884400</t>
  </si>
  <si>
    <t xml:space="preserve">♄</t>
  </si>
  <si>
    <t xml:space="preserve">#008888</t>
  </si>
  <si>
    <t xml:space="preserve">♅</t>
  </si>
  <si>
    <t xml:space="preserve">#0000CC</t>
  </si>
  <si>
    <t xml:space="preserve">♆</t>
  </si>
  <si>
    <t xml:space="preserve">#000000</t>
  </si>
  <si>
    <t xml:space="preserve">♇</t>
  </si>
  <si>
    <t xml:space="preserve">#FFFFFF</t>
  </si>
  <si>
    <t xml:space="preserve">★</t>
  </si>
  <si>
    <t xml:space="preserve">0</t>
  </si>
  <si>
    <t xml:space="preserve"> 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</si>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</sst>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000000"/>
        <bgColor rgb="FF00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1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F20" activeCellId="0" sqref="F20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false" hidden="false" outlineLevel="0" max="3" min="3" style="3" width="9.14"/>
    <col collapsed="false" customWidth="true" hidden="false" outlineLevel="0" max="4" min="4" style="3" width="10.51"/>
    <col collapsed="false" customWidth="false" hidden="false" outlineLevel="0" max="5" min="5" style="3" width="9.14"/>
    <col collapsed="false" customWidth="true" hidden="false" outlineLevel="0" max="6" min="6" style="4" width="18.37"/>
    <col collapsed="false" customWidth="false" hidden="false" outlineLevel="0" max="7" min="7" style="3" width="9.14"/>
    <col collapsed="false" customWidth="true" hidden="false" outlineLevel="0" max="8" min="8" style="5" width="10.37"/>
    <col collapsed="false" customWidth="true" hidden="false" outlineLevel="0" max="9" min="9" style="2" width="11.84"/>
    <col collapsed="false" customWidth="true" hidden="false" outlineLevel="0" max="10" min="10" style="2" width="19.99"/>
    <col collapsed="false" customWidth="true" hidden="false" outlineLevel="0" max="11" min="11" style="3" width="19.99"/>
    <col collapsed="false" customWidth="false" hidden="false" outlineLevel="0" max="12" min="12" style="3" width="9.14"/>
    <col collapsed="false" customWidth="true" hidden="false" outlineLevel="0" max="13" min="13" style="3" width="27.42"/>
    <col collapsed="false" customWidth="true" hidden="false" outlineLevel="0" max="14" min="14" style="4" width="11.37"/>
    <col collapsed="false" customWidth="true" hidden="false" outlineLevel="0" max="15" min="15" style="6" width="74.57"/>
    <col collapsed="false" customWidth="false" hidden="false" outlineLevel="0" max="16384" min="16" style="7" width="9.14"/>
  </cols>
  <sheetData>
    <row r="1" s="9" customFormat="tru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10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1" t="s">
        <v>14</v>
      </c>
    </row>
    <row r="2" s="16" customFormat="true" ht="13.8" hidden="false" customHeight="false" outlineLevel="0" collapsed="false">
      <c r="A2" s="1" t="n">
        <v>1</v>
      </c>
      <c r="B2" s="5" t="s">
        <v>15</v>
      </c>
      <c r="C2" s="5"/>
      <c r="D2" s="5"/>
      <c r="E2" s="12"/>
      <c r="F2" s="13"/>
      <c r="G2" s="12"/>
      <c r="H2" s="12"/>
      <c r="I2" s="14"/>
      <c r="J2" s="14"/>
      <c r="K2" s="12"/>
      <c r="L2" s="12" t="s">
        <v>16</v>
      </c>
      <c r="M2" s="12" t="s">
        <v>17</v>
      </c>
      <c r="N2" s="12" t="str">
        <f aca="false">G2 &amp; H2</f>
        <v/>
      </c>
      <c r="O2" s="15" t="s">
        <v>15</v>
      </c>
    </row>
    <row r="3" s="16" customFormat="true" ht="13.8" hidden="false" customHeight="false" outlineLevel="0" collapsed="false">
      <c r="A3" s="1"/>
      <c r="B3" s="17"/>
      <c r="C3" s="17"/>
      <c r="D3" s="17"/>
      <c r="E3" s="18"/>
      <c r="F3" s="19"/>
      <c r="G3" s="18"/>
      <c r="H3" s="18"/>
      <c r="I3" s="20"/>
      <c r="J3" s="20"/>
      <c r="K3" s="18"/>
      <c r="L3" s="18"/>
      <c r="M3" s="18"/>
      <c r="N3" s="18"/>
      <c r="O3" s="21"/>
    </row>
    <row r="4" s="25" customFormat="true" ht="13.8" hidden="false" customHeight="false" outlineLevel="0" collapsed="false">
      <c r="A4" s="1" t="n">
        <v>1</v>
      </c>
      <c r="B4" s="2" t="s">
        <v>18</v>
      </c>
      <c r="C4" s="3" t="str">
        <f aca="false">VLOOKUP(B4,CARD_COLORS,5,0)</f>
        <v>#FFEE00</v>
      </c>
      <c r="D4" s="22" t="str">
        <f aca="false">VLOOKUP(B4,CARD_COLORS,2,0)</f>
        <v>Gelb</v>
      </c>
      <c r="E4" s="22" t="str">
        <f aca="false">VLOOKUP(B4,CARD_COLORS,3,0)</f>
        <v>Sonne</v>
      </c>
      <c r="F4" s="23" t="str">
        <f aca="false">"Planets\" &amp; VLOOKUP(B4,CARD_COLORS,4,0) &amp; ".png"</f>
        <v>Planets\Sun.png</v>
      </c>
      <c r="G4" s="22" t="str">
        <f aca="false">VLOOKUP(B4,CARD_COLORS,6,0)</f>
        <v>☉</v>
      </c>
      <c r="H4" s="12" t="n">
        <v>0</v>
      </c>
      <c r="I4" s="22" t="n">
        <f aca="false">IFERROR(MID(H4,SEARCH("+",H4),2),IFERROR(MID(H4,SEARCH("-",H4),2),IF(ISNUMBER(H4),H4,"")))</f>
        <v>0</v>
      </c>
      <c r="J4" s="14"/>
      <c r="K4" s="22" t="str">
        <f aca="false">VLOOKUP(H4,COLOR_EFFECTS,2,0)</f>
        <v>0</v>
      </c>
      <c r="L4" s="22" t="str">
        <f aca="false">VLOOKUP(H4,COLOR_EFFECTS,3,0)</f>
        <v>Standard</v>
      </c>
      <c r="M4" s="3" t="str">
        <f aca="false">E4&amp;" "&amp;K4</f>
        <v>Sonne 0</v>
      </c>
      <c r="N4" s="22" t="str">
        <f aca="false">G4 &amp; H4</f>
        <v>☉0</v>
      </c>
      <c r="O4" s="24" t="str">
        <f aca="false">VLOOKUP(H4,COLOR_EFFECTS,4,0)</f>
        <v> </v>
      </c>
    </row>
    <row r="5" customFormat="false" ht="13.8" hidden="false" customHeight="false" outlineLevel="0" collapsed="false">
      <c r="A5" s="1" t="n">
        <v>1</v>
      </c>
      <c r="B5" s="2" t="s">
        <v>19</v>
      </c>
      <c r="C5" s="3" t="str">
        <f aca="false">VLOOKUP(B5,CARD_COLORS,5,0)</f>
        <v>#884400</v>
      </c>
      <c r="D5" s="22" t="str">
        <f aca="false">VLOOKUP(B5,CARD_COLORS,2,0)</f>
        <v>Braun</v>
      </c>
      <c r="E5" s="22" t="str">
        <f aca="false">VLOOKUP(B5,CARD_COLORS,3,0)</f>
        <v>Saturn</v>
      </c>
      <c r="F5" s="23" t="str">
        <f aca="false">"Planets\" &amp; VLOOKUP(B5,CARD_COLORS,4,0) &amp; ".png"</f>
        <v>Planets\Saturn.png</v>
      </c>
      <c r="G5" s="22" t="str">
        <f aca="false">VLOOKUP(B5,CARD_COLORS,6,0)</f>
        <v>♄</v>
      </c>
      <c r="H5" s="12" t="s">
        <v>20</v>
      </c>
      <c r="I5" s="22" t="str">
        <f aca="false">IFERROR(MID(H5,SEARCH("+",H5),2),IFERROR(MID(H5,SEARCH("-",H5),2),IF(ISNUMBER(H5),H5,"")))</f>
        <v>+2</v>
      </c>
      <c r="J5" s="14"/>
      <c r="K5" s="22" t="str">
        <f aca="false">VLOOKUP(H5,COLOR_EFFECTS,2,0)</f>
        <v>+2</v>
      </c>
      <c r="L5" s="22" t="str">
        <f aca="false">VLOOKUP(H5,COLOR_EFFECTS,3,0)</f>
        <v>Falle</v>
      </c>
      <c r="M5" s="3" t="str">
        <f aca="false">E5&amp;" "&amp;K5</f>
        <v>Saturn +2</v>
      </c>
      <c r="N5" s="22" t="str">
        <f aca="false">G5 &amp; H5</f>
        <v>♄+2</v>
      </c>
      <c r="O5" s="24" t="str">
        <f aca="false">VLOOKUP(H5,COLOR_EFFECTS,4,0)</f>
        <v>Nächster Spieler muss 2 Karten aufnehmen</v>
      </c>
    </row>
    <row r="6" customFormat="false" ht="13.8" hidden="false" customHeight="false" outlineLevel="0" collapsed="false">
      <c r="A6" s="1" t="n">
        <v>1</v>
      </c>
      <c r="B6" s="2" t="s">
        <v>21</v>
      </c>
      <c r="C6" s="3" t="str">
        <f aca="false">VLOOKUP(B6,CARD_COLORS,5,0)</f>
        <v>#CC00CC</v>
      </c>
      <c r="D6" s="22" t="str">
        <f aca="false">VLOOKUP(B6,CARD_COLORS,2,0)</f>
        <v>Pink</v>
      </c>
      <c r="E6" s="22" t="str">
        <f aca="false">VLOOKUP(B6,CARD_COLORS,3,0)</f>
        <v>Venus</v>
      </c>
      <c r="F6" s="23" t="str">
        <f aca="false">"Planets\" &amp; VLOOKUP(B6,CARD_COLORS,4,0) &amp; ".png"</f>
        <v>Planets\Venus.png</v>
      </c>
      <c r="G6" s="22" t="str">
        <f aca="false">VLOOKUP(B6,CARD_COLORS,6,0)</f>
        <v>♀</v>
      </c>
      <c r="H6" s="12" t="s">
        <v>22</v>
      </c>
      <c r="I6" s="22" t="str">
        <f aca="false">IFERROR(MID(H6,SEARCH("+",H6),2),IFERROR(MID(H6,SEARCH("-",H6),2),IF(ISNUMBER(H6),H6,"")))</f>
        <v/>
      </c>
      <c r="J6" s="14" t="s">
        <v>23</v>
      </c>
      <c r="K6" s="22" t="str">
        <f aca="false">VLOOKUP(H6,COLOR_EFFECTS,2,0)</f>
        <v>Umkehrung</v>
      </c>
      <c r="L6" s="22" t="str">
        <f aca="false">VLOOKUP(H6,COLOR_EFFECTS,3,0)</f>
        <v>Aktion</v>
      </c>
      <c r="M6" s="3" t="str">
        <f aca="false">E6&amp;" "&amp;K6</f>
        <v>Venus Umkehrung</v>
      </c>
      <c r="N6" s="22" t="str">
        <f aca="false">G6 &amp; H6</f>
        <v>♀🔄</v>
      </c>
      <c r="O6" s="24" t="str">
        <f aca="false">VLOOKUP(H6,COLOR_EFFECTS,4,0)</f>
        <v>Spielrichtung andersherum</v>
      </c>
    </row>
    <row r="7" customFormat="false" ht="13.8" hidden="false" customHeight="false" outlineLevel="0" collapsed="false">
      <c r="A7" s="1" t="n">
        <v>1</v>
      </c>
      <c r="B7" s="2" t="s">
        <v>24</v>
      </c>
      <c r="C7" s="3" t="str">
        <f aca="false">VLOOKUP(B7,CARD_COLORS,5,0)</f>
        <v>#008800</v>
      </c>
      <c r="D7" s="22" t="str">
        <f aca="false">VLOOKUP(B7,CARD_COLORS,2,0)</f>
        <v>Grün</v>
      </c>
      <c r="E7" s="22" t="str">
        <f aca="false">VLOOKUP(B7,CARD_COLORS,3,0)</f>
        <v>Erde</v>
      </c>
      <c r="F7" s="23" t="str">
        <f aca="false">"Planets\" &amp; VLOOKUP(B7,CARD_COLORS,4,0) &amp; ".png"</f>
        <v>Planets\Earth.png</v>
      </c>
      <c r="G7" s="22" t="str">
        <f aca="false">VLOOKUP(B7,CARD_COLORS,6,0)</f>
        <v>⊕</v>
      </c>
      <c r="H7" s="12" t="s">
        <v>25</v>
      </c>
      <c r="I7" s="22" t="str">
        <f aca="false">IFERROR(MID(H7,SEARCH("+",H7),2),IFERROR(MID(H7,SEARCH("-",H7),2),IF(ISNUMBER(H7),H7,"")))</f>
        <v/>
      </c>
      <c r="J7" s="14" t="s">
        <v>26</v>
      </c>
      <c r="K7" s="22" t="str">
        <f aca="false">VLOOKUP(H7,COLOR_EFFECTS,2,0)</f>
        <v>Blockade</v>
      </c>
      <c r="L7" s="22" t="str">
        <f aca="false">VLOOKUP(H7,COLOR_EFFECTS,3,0)</f>
        <v>Aktion</v>
      </c>
      <c r="M7" s="3" t="str">
        <f aca="false">E7&amp;" "&amp;K7</f>
        <v>Erde Blockade</v>
      </c>
      <c r="N7" s="22" t="str">
        <f aca="false">G7 &amp; H7</f>
        <v>⊕🚫</v>
      </c>
      <c r="O7" s="24" t="str">
        <f aca="false">VLOOKUP(H7,COLOR_EFFECTS,4,0)</f>
        <v>Nächster Spieler muss aussetzen</v>
      </c>
    </row>
    <row r="8" customFormat="false" ht="13.8" hidden="false" customHeight="false" outlineLevel="0" collapsed="false">
      <c r="A8" s="1" t="n">
        <v>1</v>
      </c>
      <c r="B8" s="2" t="s">
        <v>27</v>
      </c>
      <c r="C8" s="3" t="str">
        <f aca="false">VLOOKUP(B8,CARD_COLORS,5,0)</f>
        <v>#888888</v>
      </c>
      <c r="D8" s="22" t="str">
        <f aca="false">VLOOKUP(B8,CARD_COLORS,2,0)</f>
        <v>Grau</v>
      </c>
      <c r="E8" s="22" t="str">
        <f aca="false">VLOOKUP(B8,CARD_COLORS,3,0)</f>
        <v>Mond</v>
      </c>
      <c r="F8" s="23" t="str">
        <f aca="false">"Planets\" &amp; VLOOKUP(B8,CARD_COLORS,4,0) &amp; ".png"</f>
        <v>Planets\Moon.png</v>
      </c>
      <c r="G8" s="22" t="str">
        <f aca="false">VLOOKUP(B8,CARD_COLORS,6,0)</f>
        <v>☾</v>
      </c>
      <c r="H8" s="12" t="s">
        <v>28</v>
      </c>
      <c r="I8" s="22" t="str">
        <f aca="false">IFERROR(MID(H8,SEARCH("+",H8),2),IFERROR(MID(H8,SEARCH("-",H8),2),IF(ISNUMBER(H8),H8,"")))</f>
        <v/>
      </c>
      <c r="J8" s="14" t="s">
        <v>29</v>
      </c>
      <c r="K8" s="22" t="str">
        <f aca="false">VLOOKUP(H8,COLOR_EFFECTS,2,0)</f>
        <v>Wiederholung</v>
      </c>
      <c r="L8" s="22" t="str">
        <f aca="false">VLOOKUP(H8,COLOR_EFFECTS,3,0)</f>
        <v>Aktion</v>
      </c>
      <c r="M8" s="3" t="str">
        <f aca="false">E8&amp;" "&amp;K8</f>
        <v>Mond Wiederholung</v>
      </c>
      <c r="N8" s="22" t="str">
        <f aca="false">G8 &amp; H8</f>
        <v>☾🔂</v>
      </c>
      <c r="O8" s="24" t="str">
        <f aca="false">VLOOKUP(H8,COLOR_EFFECTS,4,0)</f>
        <v>Ein weiterer Zug</v>
      </c>
    </row>
    <row r="9" customFormat="false" ht="13.8" hidden="false" customHeight="false" outlineLevel="0" collapsed="false">
      <c r="A9" s="1" t="n">
        <v>1</v>
      </c>
      <c r="B9" s="2" t="s">
        <v>30</v>
      </c>
      <c r="C9" s="3" t="str">
        <f aca="false">VLOOKUP(B9,CARD_COLORS,5,0)</f>
        <v>#CC0000</v>
      </c>
      <c r="D9" s="22" t="str">
        <f aca="false">VLOOKUP(B9,CARD_COLORS,2,0)</f>
        <v>Rot</v>
      </c>
      <c r="E9" s="22" t="str">
        <f aca="false">VLOOKUP(B9,CARD_COLORS,3,0)</f>
        <v>Mars</v>
      </c>
      <c r="F9" s="23" t="str">
        <f aca="false">"Planets\" &amp; VLOOKUP(B9,CARD_COLORS,4,0) &amp; ".png"</f>
        <v>Planets\Mars.png</v>
      </c>
      <c r="G9" s="22" t="str">
        <f aca="false">VLOOKUP(B9,CARD_COLORS,6,0)</f>
        <v>♂</v>
      </c>
      <c r="H9" s="12" t="s">
        <v>31</v>
      </c>
      <c r="I9" s="22" t="str">
        <f aca="false">IFERROR(MID(H9,SEARCH("+",H9),2),IFERROR(MID(H9,SEARCH("-",H9),2),IF(ISNUMBER(H9),H9,"")))</f>
        <v/>
      </c>
      <c r="J9" s="14" t="s">
        <v>32</v>
      </c>
      <c r="K9" s="22" t="str">
        <f aca="false">VLOOKUP(H9,COLOR_EFFECTS,2,0)</f>
        <v>Eis</v>
      </c>
      <c r="L9" s="22" t="str">
        <f aca="false">VLOOKUP(H9,COLOR_EFFECTS,3,0)</f>
        <v>Aktion</v>
      </c>
      <c r="M9" s="3" t="str">
        <f aca="false">E9&amp;" "&amp;K9</f>
        <v>Mars Eis</v>
      </c>
      <c r="N9" s="22" t="str">
        <f aca="false">G9 &amp; H9</f>
        <v>♂❄️</v>
      </c>
      <c r="O9" s="24" t="str">
        <f aca="false">VLOOKUP(H9,COLOR_EFFECTS,4,0)</f>
        <v>Farbe muss für eine komplette Runde beibehalten werden</v>
      </c>
    </row>
    <row r="10" customFormat="false" ht="13.8" hidden="false" customHeight="false" outlineLevel="0" collapsed="false">
      <c r="A10" s="1" t="n">
        <v>1</v>
      </c>
      <c r="B10" s="2" t="s">
        <v>33</v>
      </c>
      <c r="C10" s="3" t="str">
        <f aca="false">VLOOKUP(B10,CARD_COLORS,5,0)</f>
        <v>#FF8800</v>
      </c>
      <c r="D10" s="22" t="str">
        <f aca="false">VLOOKUP(B10,CARD_COLORS,2,0)</f>
        <v>Orange</v>
      </c>
      <c r="E10" s="22" t="str">
        <f aca="false">VLOOKUP(B10,CARD_COLORS,3,0)</f>
        <v>Jupiter</v>
      </c>
      <c r="F10" s="23" t="str">
        <f aca="false">"Planets\" &amp; VLOOKUP(B10,CARD_COLORS,4,0) &amp; ".png"</f>
        <v>Planets\Jupiter.png</v>
      </c>
      <c r="G10" s="22" t="str">
        <f aca="false">VLOOKUP(B10,CARD_COLORS,6,0)</f>
        <v>♃</v>
      </c>
      <c r="H10" s="12" t="s">
        <v>34</v>
      </c>
      <c r="I10" s="22" t="str">
        <f aca="false">IFERROR(MID(H10,SEARCH("+",H10),2),IFERROR(MID(H10,SEARCH("-",H10),2),IF(ISNUMBER(H10),H10,"")))</f>
        <v/>
      </c>
      <c r="J10" s="14" t="s">
        <v>35</v>
      </c>
      <c r="K10" s="22" t="str">
        <f aca="false">VLOOKUP(H10,COLOR_EFFECTS,2,0)</f>
        <v>Feuer</v>
      </c>
      <c r="L10" s="22" t="str">
        <f aca="false">VLOOKUP(H10,COLOR_EFFECTS,3,0)</f>
        <v>Aktion</v>
      </c>
      <c r="M10" s="3" t="str">
        <f aca="false">E10&amp;" "&amp;K10</f>
        <v>Jupiter Feuer</v>
      </c>
      <c r="N10" s="22" t="str">
        <f aca="false">G10 &amp; H10</f>
        <v>♃🔥</v>
      </c>
      <c r="O10" s="24" t="str">
        <f aca="false">VLOOKUP(H10,COLOR_EFFECTS,4,0)</f>
        <v>Farbe darf bis zur nächsten Runde nicht gespielt werden</v>
      </c>
    </row>
    <row r="11" customFormat="false" ht="13.8" hidden="false" customHeight="false" outlineLevel="0" collapsed="false">
      <c r="A11" s="1" t="n">
        <v>1</v>
      </c>
      <c r="B11" s="2" t="s">
        <v>36</v>
      </c>
      <c r="C11" s="3" t="str">
        <f aca="false">VLOOKUP(B11,CARD_COLORS,5,0)</f>
        <v>#440088</v>
      </c>
      <c r="D11" s="22" t="str">
        <f aca="false">VLOOKUP(B11,CARD_COLORS,2,0)</f>
        <v>Lila</v>
      </c>
      <c r="E11" s="22" t="str">
        <f aca="false">VLOOKUP(B11,CARD_COLORS,3,0)</f>
        <v>Merkur</v>
      </c>
      <c r="F11" s="23" t="str">
        <f aca="false">"Planets\" &amp; VLOOKUP(B11,CARD_COLORS,4,0) &amp; ".png"</f>
        <v>Planets\Mercury.png</v>
      </c>
      <c r="G11" s="22" t="str">
        <f aca="false">VLOOKUP(B11,CARD_COLORS,6,0)</f>
        <v>☿</v>
      </c>
      <c r="H11" s="12" t="s">
        <v>37</v>
      </c>
      <c r="I11" s="22" t="str">
        <f aca="false">IFERROR(MID(H11,SEARCH("+",H11),2),IFERROR(MID(H11,SEARCH("-",H11),2),IF(ISNUMBER(H11),H11,"")))</f>
        <v/>
      </c>
      <c r="J11" s="14" t="s">
        <v>38</v>
      </c>
      <c r="K11" s="22" t="str">
        <f aca="false">VLOOKUP(H11,COLOR_EFFECTS,2,0)</f>
        <v>Fokus</v>
      </c>
      <c r="L11" s="22" t="str">
        <f aca="false">VLOOKUP(H11,COLOR_EFFECTS,3,0)</f>
        <v>Aktion</v>
      </c>
      <c r="M11" s="3" t="str">
        <f aca="false">E11&amp;" "&amp;K11</f>
        <v>Merkur Fokus</v>
      </c>
      <c r="N11" s="22" t="str">
        <f aca="false">G11 &amp; H11</f>
        <v>☿🎯</v>
      </c>
      <c r="O11" s="24" t="str">
        <f aca="false">VLOOKUP(H11,COLOR_EFFECTS,4,0)</f>
        <v>Wähle den nächsten Spieler</v>
      </c>
    </row>
    <row r="12" customFormat="false" ht="13.8" hidden="false" customHeight="false" outlineLevel="0" collapsed="false">
      <c r="A12" s="1" t="n">
        <v>1</v>
      </c>
      <c r="B12" s="2" t="s">
        <v>39</v>
      </c>
      <c r="C12" s="3" t="str">
        <f aca="false">VLOOKUP(B12,CARD_COLORS,5,0)</f>
        <v>#008888</v>
      </c>
      <c r="D12" s="22" t="str">
        <f aca="false">VLOOKUP(B12,CARD_COLORS,2,0)</f>
        <v>Türkis</v>
      </c>
      <c r="E12" s="22" t="str">
        <f aca="false">VLOOKUP(B12,CARD_COLORS,3,0)</f>
        <v>Uranus</v>
      </c>
      <c r="F12" s="23" t="str">
        <f aca="false">"Planets\" &amp; VLOOKUP(B12,CARD_COLORS,4,0) &amp; ".png"</f>
        <v>Planets\Uranus.png</v>
      </c>
      <c r="G12" s="22" t="str">
        <f aca="false">VLOOKUP(B12,CARD_COLORS,6,0)</f>
        <v>♅</v>
      </c>
      <c r="H12" s="12" t="s">
        <v>40</v>
      </c>
      <c r="I12" s="22" t="str">
        <f aca="false">IFERROR(MID(H12,SEARCH("+",H12),2),IFERROR(MID(H12,SEARCH("-",H12),2),IF(ISNUMBER(H12),H12,"")))</f>
        <v>+3</v>
      </c>
      <c r="J12" s="14"/>
      <c r="K12" s="22" t="str">
        <f aca="false">VLOOKUP(H12,COLOR_EFFECTS,2,0)</f>
        <v>+3</v>
      </c>
      <c r="L12" s="22" t="str">
        <f aca="false">VLOOKUP(H12,COLOR_EFFECTS,3,0)</f>
        <v>Falle</v>
      </c>
      <c r="M12" s="3" t="str">
        <f aca="false">E12&amp;" "&amp;K12</f>
        <v>Uranus +3</v>
      </c>
      <c r="N12" s="22" t="str">
        <f aca="false">G12 &amp; H12</f>
        <v>♅+3</v>
      </c>
      <c r="O12" s="24" t="str">
        <f aca="false">VLOOKUP(H12,COLOR_EFFECTS,4,0)</f>
        <v>Nächster Spieler muss 3 Karten aufnehmen</v>
      </c>
    </row>
    <row r="13" customFormat="false" ht="13.8" hidden="false" customHeight="false" outlineLevel="0" collapsed="false">
      <c r="A13" s="1" t="n">
        <v>1</v>
      </c>
      <c r="B13" s="2" t="s">
        <v>41</v>
      </c>
      <c r="C13" s="3" t="str">
        <f aca="false">VLOOKUP(B13,CARD_COLORS,5,0)</f>
        <v>#0000CC</v>
      </c>
      <c r="D13" s="22" t="str">
        <f aca="false">VLOOKUP(B13,CARD_COLORS,2,0)</f>
        <v>Blau</v>
      </c>
      <c r="E13" s="22" t="str">
        <f aca="false">VLOOKUP(B13,CARD_COLORS,3,0)</f>
        <v>Neptun</v>
      </c>
      <c r="F13" s="23" t="str">
        <f aca="false">"Planets\" &amp; VLOOKUP(B13,CARD_COLORS,4,0) &amp; ".png"</f>
        <v>Planets\Neptune.png</v>
      </c>
      <c r="G13" s="22" t="str">
        <f aca="false">VLOOKUP(B13,CARD_COLORS,6,0)</f>
        <v>♆</v>
      </c>
      <c r="H13" s="12" t="n">
        <v>9</v>
      </c>
      <c r="I13" s="22" t="n">
        <f aca="false">IFERROR(MID(H13,SEARCH("+",H13),2),IFERROR(MID(H13,SEARCH("-",H13),2),IF(ISNUMBER(H13),H13,"")))</f>
        <v>9</v>
      </c>
      <c r="J13" s="14"/>
      <c r="K13" s="22" t="str">
        <f aca="false">VLOOKUP(H13,COLOR_EFFECTS,2,0)</f>
        <v>9</v>
      </c>
      <c r="L13" s="22" t="str">
        <f aca="false">VLOOKUP(H13,COLOR_EFFECTS,3,0)</f>
        <v>Standard</v>
      </c>
      <c r="M13" s="3" t="str">
        <f aca="false">E13&amp;" "&amp;K13</f>
        <v>Neptun 9</v>
      </c>
      <c r="N13" s="22" t="str">
        <f aca="false">G13 &amp; H13</f>
        <v>♆9</v>
      </c>
      <c r="O13" s="24" t="str">
        <f aca="false">VLOOKUP(H13,COLOR_EFFECTS,4,0)</f>
        <v> </v>
      </c>
    </row>
    <row r="14" customFormat="false" ht="13.8" hidden="false" customHeight="false" outlineLevel="0" collapsed="false">
      <c r="A14" s="1" t="n">
        <v>1</v>
      </c>
      <c r="B14" s="2" t="s">
        <v>42</v>
      </c>
      <c r="C14" s="3" t="str">
        <f aca="false">VLOOKUP(B14,CARD_COLORS,5,0)</f>
        <v>#000000</v>
      </c>
      <c r="D14" s="22" t="str">
        <f aca="false">VLOOKUP(B14,CARD_COLORS,2,0)</f>
        <v>Schwarz</v>
      </c>
      <c r="E14" s="22" t="str">
        <f aca="false">VLOOKUP(B14,CARD_COLORS,3,0)</f>
        <v>Pluto</v>
      </c>
      <c r="F14" s="23" t="str">
        <f aca="false">"Planets\" &amp; VLOOKUP(B14,CARD_COLORS,4,0) &amp; ".png"</f>
        <v>Planets\Pluto.png</v>
      </c>
      <c r="G14" s="22" t="str">
        <f aca="false">VLOOKUP(B14,CARD_COLORS,6,0)</f>
        <v>♇</v>
      </c>
      <c r="H14" s="12" t="s">
        <v>43</v>
      </c>
      <c r="I14" s="22" t="str">
        <f aca="false">IFERROR(MID(H14,SEARCH("+",H14),2),IFERROR(MID(H14,SEARCH("-",H14),2),IF(ISNUMBER(H14),H14,"")))</f>
        <v/>
      </c>
      <c r="J14" s="14" t="s">
        <v>44</v>
      </c>
      <c r="K14" s="22" t="str">
        <f aca="false">VLOOKUP(H14,COLOR_EFFECTS,2,0)</f>
        <v>Prisma</v>
      </c>
      <c r="L14" s="22" t="str">
        <f aca="false">VLOOKUP(H14,COLOR_EFFECTS,3,0)</f>
        <v>Falle</v>
      </c>
      <c r="M14" s="3" t="str">
        <f aca="false">E14&amp;" "&amp;K14</f>
        <v>Pluto Prisma</v>
      </c>
      <c r="N14" s="22" t="str">
        <f aca="false">G14 &amp; H14</f>
        <v>♇🌈</v>
      </c>
      <c r="O14" s="24" t="str">
        <f aca="false">VLOOKUP(H14,COLOR_EFFECTS,4,0)</f>
        <v>Wähle eine Farbe</v>
      </c>
    </row>
    <row r="15" customFormat="false" ht="13.8" hidden="false" customHeight="false" outlineLevel="0" collapsed="false">
      <c r="A15" s="1" t="n">
        <v>1</v>
      </c>
      <c r="B15" s="2" t="s">
        <v>42</v>
      </c>
      <c r="C15" s="3" t="str">
        <f aca="false">VLOOKUP(B15,CARD_COLORS,5,0)</f>
        <v>#000000</v>
      </c>
      <c r="D15" s="22" t="str">
        <f aca="false">VLOOKUP(B15,CARD_COLORS,2,0)</f>
        <v>Schwarz</v>
      </c>
      <c r="E15" s="22" t="str">
        <f aca="false">VLOOKUP(B15,CARD_COLORS,3,0)</f>
        <v>Pluto</v>
      </c>
      <c r="F15" s="23" t="str">
        <f aca="false">"Planets\" &amp; VLOOKUP(B15,CARD_COLORS,4,0) &amp; ".png"</f>
        <v>Planets\Pluto.png</v>
      </c>
      <c r="G15" s="22" t="str">
        <f aca="false">VLOOKUP(B15,CARD_COLORS,6,0)</f>
        <v>♇</v>
      </c>
      <c r="H15" s="12" t="s">
        <v>45</v>
      </c>
      <c r="I15" s="22" t="str">
        <f aca="false">IFERROR(MID(H15,SEARCH("+",H15),2),IFERROR(MID(H15,SEARCH("-",H15),2),IF(ISNUMBER(H15),H15,"")))</f>
        <v>+4</v>
      </c>
      <c r="J15" s="14" t="s">
        <v>44</v>
      </c>
      <c r="K15" s="22" t="str">
        <f aca="false">VLOOKUP(H15,COLOR_EFFECTS,2,0)</f>
        <v>Prisma +4</v>
      </c>
      <c r="L15" s="22" t="str">
        <f aca="false">VLOOKUP(H15,COLOR_EFFECTS,3,0)</f>
        <v>Falle</v>
      </c>
      <c r="M15" s="3" t="str">
        <f aca="false">E15&amp;" "&amp;K15</f>
        <v>Pluto Prisma +4</v>
      </c>
      <c r="N15" s="22" t="str">
        <f aca="false">G15 &amp; H15</f>
        <v>♇+4🌈</v>
      </c>
      <c r="O15" s="24" t="str">
        <f aca="false">VLOOKUP(H15,COLOR_EFFECTS,4,0)</f>
        <v>Nächster Spieler muss 4 Karten aufnehmen, Wähle eine Farbe</v>
      </c>
    </row>
    <row r="16" customFormat="false" ht="13.8" hidden="false" customHeight="false" outlineLevel="0" collapsed="false">
      <c r="A16" s="1" t="n">
        <v>1</v>
      </c>
      <c r="B16" s="2" t="s">
        <v>42</v>
      </c>
      <c r="C16" s="3" t="str">
        <f aca="false">VLOOKUP(B16,CARD_COLORS,5,0)</f>
        <v>#000000</v>
      </c>
      <c r="D16" s="22" t="str">
        <f aca="false">VLOOKUP(B16,CARD_COLORS,2,0)</f>
        <v>Schwarz</v>
      </c>
      <c r="E16" s="22" t="str">
        <f aca="false">VLOOKUP(B16,CARD_COLORS,3,0)</f>
        <v>Pluto</v>
      </c>
      <c r="F16" s="23" t="str">
        <f aca="false">"Planets\" &amp; VLOOKUP(B16,CARD_COLORS,4,0) &amp; ".png"</f>
        <v>Planets\Pluto.png</v>
      </c>
      <c r="G16" s="22" t="str">
        <f aca="false">VLOOKUP(B16,CARD_COLORS,6,0)</f>
        <v>♇</v>
      </c>
      <c r="H16" s="12" t="s">
        <v>46</v>
      </c>
      <c r="I16" s="22" t="str">
        <f aca="false">IFERROR(MID(H16,SEARCH("+",H16),2),IFERROR(MID(H16,SEARCH("-",H16),2),IF(ISNUMBER(H16),H16,"")))</f>
        <v/>
      </c>
      <c r="J16" s="14" t="s">
        <v>47</v>
      </c>
      <c r="K16" s="22" t="str">
        <f aca="false">VLOOKUP(H16,COLOR_EFFECTS,2,0)</f>
        <v>Prisma Blockade</v>
      </c>
      <c r="L16" s="22" t="str">
        <f aca="false">VLOOKUP(H16,COLOR_EFFECTS,3,0)</f>
        <v>Falle</v>
      </c>
      <c r="M16" s="3" t="str">
        <f aca="false">E16&amp;" "&amp;K16</f>
        <v>Pluto Prisma Blockade</v>
      </c>
      <c r="N16" s="22" t="str">
        <f aca="false">G16 &amp; H16</f>
        <v>♇🚫🌈</v>
      </c>
      <c r="O16" s="24" t="str">
        <f aca="false">VLOOKUP(H16,COLOR_EFFECTS,4,0)</f>
        <v>Nächster Spieler muss aussetzen, Wähle eine Farbe</v>
      </c>
    </row>
    <row r="17" customFormat="false" ht="13.8" hidden="false" customHeight="false" outlineLevel="0" collapsed="false">
      <c r="A17" s="1" t="n">
        <v>1</v>
      </c>
      <c r="B17" s="2" t="s">
        <v>42</v>
      </c>
      <c r="C17" s="3" t="str">
        <f aca="false">VLOOKUP(B17,CARD_COLORS,5,0)</f>
        <v>#000000</v>
      </c>
      <c r="D17" s="22" t="str">
        <f aca="false">VLOOKUP(B17,CARD_COLORS,2,0)</f>
        <v>Schwarz</v>
      </c>
      <c r="E17" s="22" t="str">
        <f aca="false">VLOOKUP(B17,CARD_COLORS,3,0)</f>
        <v>Pluto</v>
      </c>
      <c r="F17" s="23" t="str">
        <f aca="false">"Planets\" &amp; VLOOKUP(B17,CARD_COLORS,4,0) &amp; ".png"</f>
        <v>Planets\Pluto.png</v>
      </c>
      <c r="G17" s="22" t="str">
        <f aca="false">VLOOKUP(B17,CARD_COLORS,6,0)</f>
        <v>♇</v>
      </c>
      <c r="H17" s="12" t="s">
        <v>48</v>
      </c>
      <c r="I17" s="22" t="str">
        <f aca="false">IFERROR(MID(H17,SEARCH("+",H17),2),IFERROR(MID(H17,SEARCH("-",H17),2),IF(ISNUMBER(H17),H17,"")))</f>
        <v/>
      </c>
      <c r="J17" s="14" t="s">
        <v>49</v>
      </c>
      <c r="K17" s="22" t="str">
        <f aca="false">VLOOKUP(H17,COLOR_EFFECTS,2,0)</f>
        <v>Prisma Umkehrung</v>
      </c>
      <c r="L17" s="22" t="str">
        <f aca="false">VLOOKUP(H17,COLOR_EFFECTS,3,0)</f>
        <v>Falle</v>
      </c>
      <c r="M17" s="3" t="str">
        <f aca="false">E17&amp;" "&amp;K17</f>
        <v>Pluto Prisma Umkehrung</v>
      </c>
      <c r="N17" s="22" t="str">
        <f aca="false">G17 &amp; H17</f>
        <v>♇🔄🌈</v>
      </c>
      <c r="O17" s="24" t="str">
        <f aca="false">VLOOKUP(H17,COLOR_EFFECTS,4,0)</f>
        <v>Spielrichtung andersherum, Wähle eine Farbe</v>
      </c>
    </row>
    <row r="18" customFormat="false" ht="13.8" hidden="false" customHeight="false" outlineLevel="0" collapsed="false">
      <c r="A18" s="1" t="n">
        <v>1</v>
      </c>
      <c r="B18" s="2" t="s">
        <v>42</v>
      </c>
      <c r="C18" s="3" t="str">
        <f aca="false">VLOOKUP(B18,CARD_COLORS,5,0)</f>
        <v>#000000</v>
      </c>
      <c r="D18" s="22" t="str">
        <f aca="false">VLOOKUP(B18,CARD_COLORS,2,0)</f>
        <v>Schwarz</v>
      </c>
      <c r="E18" s="22" t="str">
        <f aca="false">VLOOKUP(B18,CARD_COLORS,3,0)</f>
        <v>Pluto</v>
      </c>
      <c r="F18" s="23" t="str">
        <f aca="false">"Planets\" &amp; VLOOKUP(B18,CARD_COLORS,4,0) &amp; ".png"</f>
        <v>Planets\Pluto.png</v>
      </c>
      <c r="G18" s="22" t="str">
        <f aca="false">VLOOKUP(B18,CARD_COLORS,6,0)</f>
        <v>♇</v>
      </c>
      <c r="H18" s="12" t="s">
        <v>50</v>
      </c>
      <c r="I18" s="22" t="str">
        <f aca="false">IFERROR(MID(H18,SEARCH("+",H18),2),IFERROR(MID(H18,SEARCH("-",H18),2),IF(ISNUMBER(H18),H18,"")))</f>
        <v>+4</v>
      </c>
      <c r="J18" s="14" t="s">
        <v>49</v>
      </c>
      <c r="K18" s="22" t="str">
        <f aca="false">VLOOKUP(H18,COLOR_EFFECTS,2,0)</f>
        <v>Prisma Umkehrung +4</v>
      </c>
      <c r="L18" s="22" t="str">
        <f aca="false">VLOOKUP(H18,COLOR_EFFECTS,3,0)</f>
        <v>Falle</v>
      </c>
      <c r="M18" s="3" t="str">
        <f aca="false">E18&amp;" "&amp;K18</f>
        <v>Pluto Prisma Umkehrung +4</v>
      </c>
      <c r="N18" s="22" t="str">
        <f aca="false">G18 &amp; H18</f>
        <v>♇🔄+4🌈</v>
      </c>
      <c r="O18" s="24" t="str">
        <f aca="false">VLOOKUP(H18,COLOR_EFFECTS,4,0)</f>
        <v>Spielrichtung andersherum, Nächster Spieler muss 4 Karten aufnehmen, Wähle eine Farbe</v>
      </c>
    </row>
    <row r="19" customFormat="false" ht="13.8" hidden="false" customHeight="false" outlineLevel="0" collapsed="false">
      <c r="A19" s="1" t="n">
        <v>1</v>
      </c>
      <c r="B19" s="2" t="s">
        <v>42</v>
      </c>
      <c r="C19" s="3" t="str">
        <f aca="false">VLOOKUP(B19,CARD_COLORS,5,0)</f>
        <v>#000000</v>
      </c>
      <c r="D19" s="22" t="str">
        <f aca="false">VLOOKUP(B19,CARD_COLORS,2,0)</f>
        <v>Schwarz</v>
      </c>
      <c r="E19" s="22" t="str">
        <f aca="false">VLOOKUP(B19,CARD_COLORS,3,0)</f>
        <v>Pluto</v>
      </c>
      <c r="F19" s="23" t="str">
        <f aca="false">"Planets\" &amp; VLOOKUP(B19,CARD_COLORS,4,0) &amp; ".png"</f>
        <v>Planets\Pluto.png</v>
      </c>
      <c r="G19" s="22" t="str">
        <f aca="false">VLOOKUP(B19,CARD_COLORS,6,0)</f>
        <v>♇</v>
      </c>
      <c r="H19" s="12" t="s">
        <v>51</v>
      </c>
      <c r="I19" s="22" t="str">
        <f aca="false">IFERROR(MID(H19,SEARCH("+",H19),2),IFERROR(MID(H19,SEARCH("-",H19),2),IF(ISNUMBER(H19),H19,"")))</f>
        <v/>
      </c>
      <c r="J19" s="14" t="s">
        <v>52</v>
      </c>
      <c r="K19" s="22" t="str">
        <f aca="false">VLOOKUP(H19,COLOR_EFFECTS,2,0)</f>
        <v>Prisma Umkehrung Blockade</v>
      </c>
      <c r="L19" s="22" t="str">
        <f aca="false">VLOOKUP(H19,COLOR_EFFECTS,3,0)</f>
        <v>Falle</v>
      </c>
      <c r="M19" s="3" t="str">
        <f aca="false">E19&amp;" "&amp;K19</f>
        <v>Pluto Prisma Umkehrung Blockade</v>
      </c>
      <c r="N19" s="22" t="str">
        <f aca="false">G19 &amp; H19</f>
        <v>♇🔄🚫🌈</v>
      </c>
      <c r="O19" s="24" t="str">
        <f aca="false">VLOOKUP(H19,COLOR_EFFECTS,4,0)</f>
        <v>Spielrichtung andersherum, Nächster Spieler muss aussetzen, Wähle eine Farbe</v>
      </c>
    </row>
    <row r="20" customFormat="false" ht="13.8" hidden="false" customHeight="false" outlineLevel="0" collapsed="false">
      <c r="A20" s="1" t="n">
        <v>1</v>
      </c>
      <c r="B20" s="2" t="s">
        <v>42</v>
      </c>
      <c r="C20" s="3" t="str">
        <f aca="false">VLOOKUP(B20,CARD_COLORS,5,0)</f>
        <v>#000000</v>
      </c>
      <c r="D20" s="22" t="str">
        <f aca="false">VLOOKUP(B20,CARD_COLORS,2,0)</f>
        <v>Schwarz</v>
      </c>
      <c r="E20" s="22" t="str">
        <f aca="false">VLOOKUP(B20,CARD_COLORS,3,0)</f>
        <v>Pluto</v>
      </c>
      <c r="F20" s="23" t="str">
        <f aca="false">"Planets\" &amp; VLOOKUP(B20,CARD_COLORS,4,0) &amp; ".png"</f>
        <v>Planets\Pluto.png</v>
      </c>
      <c r="G20" s="22" t="str">
        <f aca="false">VLOOKUP(B20,CARD_COLORS,6,0)</f>
        <v>♇</v>
      </c>
      <c r="H20" s="12" t="s">
        <v>53</v>
      </c>
      <c r="I20" s="22" t="str">
        <f aca="false">IFERROR(MID(H20,SEARCH("+",H20),2),IFERROR(MID(H20,SEARCH("-",H20),2),IF(ISNUMBER(H20),H20,"")))</f>
        <v>+2</v>
      </c>
      <c r="J20" s="14" t="s">
        <v>54</v>
      </c>
      <c r="K20" s="22" t="str">
        <f aca="false">VLOOKUP(H20,COLOR_EFFECTS,2,0)</f>
        <v>Prisma Fokus +2</v>
      </c>
      <c r="L20" s="22" t="str">
        <f aca="false">VLOOKUP(H20,COLOR_EFFECTS,3,0)</f>
        <v>Falle</v>
      </c>
      <c r="M20" s="3" t="str">
        <f aca="false">E20&amp;" "&amp;K20</f>
        <v>Pluto Prisma Fokus +2</v>
      </c>
      <c r="N20" s="22" t="str">
        <f aca="false">G20 &amp; H20</f>
        <v>♇🎯+2🌈</v>
      </c>
      <c r="O20" s="24" t="str">
        <f aca="false">VLOOKUP(H20,COLOR_EFFECTS,4,0)</f>
        <v>Ein ausgesuchter Spieler muss 2 Karten ziehen, Wähle eine Farbe</v>
      </c>
    </row>
    <row r="21" customFormat="false" ht="13.8" hidden="false" customHeight="false" outlineLevel="0" collapsed="false">
      <c r="A21" s="1" t="n">
        <v>1</v>
      </c>
      <c r="B21" s="2" t="s">
        <v>55</v>
      </c>
      <c r="C21" s="3" t="str">
        <f aca="false">VLOOKUP(B21,CARD_COLORS,5,0)</f>
        <v>#FFFFFF</v>
      </c>
      <c r="D21" s="22" t="str">
        <f aca="false">VLOOKUP(B21,CARD_COLORS,2,0)</f>
        <v>Weiß</v>
      </c>
      <c r="E21" s="22" t="str">
        <f aca="false">VLOOKUP(B21,CARD_COLORS,3,0)</f>
        <v>Stern</v>
      </c>
      <c r="F21" s="23" t="str">
        <f aca="false">"Planets\" &amp; VLOOKUP(B21,CARD_COLORS,4,0) &amp; ".png"</f>
        <v>Planets\Star.png</v>
      </c>
      <c r="G21" s="22" t="str">
        <f aca="false">VLOOKUP(B21,CARD_COLORS,6,0)</f>
        <v>★</v>
      </c>
      <c r="H21" s="12" t="s">
        <v>56</v>
      </c>
      <c r="I21" s="22" t="str">
        <f aca="false">IFERROR(MID(H21,SEARCH("+",H21),2),IFERROR(MID(H21,SEARCH("-",H21),2),IF(ISNUMBER(H21),H21,"")))</f>
        <v/>
      </c>
      <c r="J21" s="14" t="s">
        <v>57</v>
      </c>
      <c r="K21" s="22" t="str">
        <f aca="false">VLOOKUP(H21,COLOR_EFFECTS,2,0)</f>
        <v>Schild</v>
      </c>
      <c r="L21" s="22" t="str">
        <f aca="false">VLOOKUP(H21,COLOR_EFFECTS,3,0)</f>
        <v>Schutz</v>
      </c>
      <c r="M21" s="3" t="str">
        <f aca="false">E21&amp;" "&amp;K21</f>
        <v>Stern Schild</v>
      </c>
      <c r="N21" s="22" t="str">
        <f aca="false">G21 &amp; H21</f>
        <v>★🛡️</v>
      </c>
      <c r="O21" s="24" t="str">
        <f aca="false">VLOOKUP(H21,COLOR_EFFECTS,4,0)</f>
        <v>Alle Effekte werden aufgehoben</v>
      </c>
    </row>
    <row r="22" customFormat="false" ht="13.8" hidden="false" customHeight="false" outlineLevel="0" collapsed="false">
      <c r="A22" s="1" t="n">
        <v>1</v>
      </c>
      <c r="B22" s="2" t="s">
        <v>55</v>
      </c>
      <c r="C22" s="3" t="str">
        <f aca="false">VLOOKUP(B22,CARD_COLORS,5,0)</f>
        <v>#FFFFFF</v>
      </c>
      <c r="D22" s="22" t="str">
        <f aca="false">VLOOKUP(B22,CARD_COLORS,2,0)</f>
        <v>Weiß</v>
      </c>
      <c r="E22" s="22" t="str">
        <f aca="false">VLOOKUP(B22,CARD_COLORS,3,0)</f>
        <v>Stern</v>
      </c>
      <c r="F22" s="23" t="str">
        <f aca="false">"Planets\" &amp; VLOOKUP(B22,CARD_COLORS,4,0) &amp; ".png"</f>
        <v>Planets\Star.png</v>
      </c>
      <c r="G22" s="22" t="str">
        <f aca="false">VLOOKUP(B22,CARD_COLORS,6,0)</f>
        <v>★</v>
      </c>
      <c r="H22" s="12" t="s">
        <v>58</v>
      </c>
      <c r="I22" s="22" t="str">
        <f aca="false">IFERROR(MID(H22,SEARCH("+",H22),2),IFERROR(MID(H22,SEARCH("-",H22),2),IF(ISNUMBER(H22),H22,"")))</f>
        <v/>
      </c>
      <c r="J22" s="14" t="s">
        <v>59</v>
      </c>
      <c r="K22" s="22" t="str">
        <f aca="false">VLOOKUP(H22,COLOR_EFFECTS,2,0)</f>
        <v>Spiegel</v>
      </c>
      <c r="L22" s="22" t="str">
        <f aca="false">VLOOKUP(H22,COLOR_EFFECTS,3,0)</f>
        <v>Schutz</v>
      </c>
      <c r="M22" s="3" t="str">
        <f aca="false">E22&amp;" "&amp;K22</f>
        <v>Stern Spiegel</v>
      </c>
      <c r="N22" s="22" t="str">
        <f aca="false">G22 &amp; H22</f>
        <v>★🛡️🔄</v>
      </c>
      <c r="O22" s="24" t="str">
        <f aca="false">VLOOKUP(H22,COLOR_EFFECTS,4,0)</f>
        <v>Alle Effekte treffen den vorherigen Spieler</v>
      </c>
    </row>
    <row r="23" customFormat="false" ht="13.8" hidden="false" customHeight="false" outlineLevel="0" collapsed="false">
      <c r="A23" s="1" t="n">
        <v>1</v>
      </c>
      <c r="B23" s="2" t="s">
        <v>55</v>
      </c>
      <c r="C23" s="3" t="str">
        <f aca="false">VLOOKUP(B23,CARD_COLORS,5,0)</f>
        <v>#FFFFFF</v>
      </c>
      <c r="D23" s="22" t="str">
        <f aca="false">VLOOKUP(B23,CARD_COLORS,2,0)</f>
        <v>Weiß</v>
      </c>
      <c r="E23" s="22" t="str">
        <f aca="false">VLOOKUP(B23,CARD_COLORS,3,0)</f>
        <v>Stern</v>
      </c>
      <c r="F23" s="23" t="str">
        <f aca="false">"Planets\" &amp; VLOOKUP(B23,CARD_COLORS,4,0) &amp; ".png"</f>
        <v>Planets\Star.png</v>
      </c>
      <c r="G23" s="22" t="str">
        <f aca="false">VLOOKUP(B23,CARD_COLORS,6,0)</f>
        <v>★</v>
      </c>
      <c r="H23" s="12" t="s">
        <v>60</v>
      </c>
      <c r="I23" s="22" t="str">
        <f aca="false">IFERROR(MID(H23,SEARCH("+",H23),2),IFERROR(MID(H23,SEARCH("-",H23),2),IF(ISNUMBER(H23),H23,"")))</f>
        <v/>
      </c>
      <c r="J23" s="14" t="s">
        <v>61</v>
      </c>
      <c r="K23" s="22" t="str">
        <f aca="false">VLOOKUP(H23,COLOR_EFFECTS,2,0)</f>
        <v>Fokus</v>
      </c>
      <c r="L23" s="22" t="str">
        <f aca="false">VLOOKUP(H23,COLOR_EFFECTS,3,0)</f>
        <v>Schutz</v>
      </c>
      <c r="M23" s="3" t="str">
        <f aca="false">E23&amp;" "&amp;K23</f>
        <v>Stern Fokus</v>
      </c>
      <c r="N23" s="22" t="str">
        <f aca="false">G23 &amp; H23</f>
        <v>★🛡️🎯</v>
      </c>
      <c r="O23" s="24" t="str">
        <f aca="false">VLOOKUP(H23,COLOR_EFFECTS,4,0)</f>
        <v>Alle Effekte treffen einen ausgesuchten Spieler</v>
      </c>
    </row>
    <row r="24" customFormat="false" ht="13.8" hidden="false" customHeight="false" outlineLevel="0" collapsed="false">
      <c r="A24" s="1" t="n">
        <v>1</v>
      </c>
      <c r="B24" s="2" t="s">
        <v>55</v>
      </c>
      <c r="C24" s="3" t="str">
        <f aca="false">VLOOKUP(B24,CARD_COLORS,5,0)</f>
        <v>#FFFFFF</v>
      </c>
      <c r="D24" s="22" t="str">
        <f aca="false">VLOOKUP(B24,CARD_COLORS,2,0)</f>
        <v>Weiß</v>
      </c>
      <c r="E24" s="22" t="str">
        <f aca="false">VLOOKUP(B24,CARD_COLORS,3,0)</f>
        <v>Stern</v>
      </c>
      <c r="F24" s="23" t="str">
        <f aca="false">"Planets\" &amp; VLOOKUP(B24,CARD_COLORS,4,0) &amp; ".png"</f>
        <v>Planets\Star.png</v>
      </c>
      <c r="G24" s="22" t="str">
        <f aca="false">VLOOKUP(B24,CARD_COLORS,6,0)</f>
        <v>★</v>
      </c>
      <c r="H24" s="12" t="s">
        <v>62</v>
      </c>
      <c r="I24" s="22" t="str">
        <f aca="false">IFERROR(MID(H24,SEARCH("+",H24),2),IFERROR(MID(H24,SEARCH("-",H24),2),IF(ISNUMBER(H24),H24,"")))</f>
        <v>-3</v>
      </c>
      <c r="J24" s="14"/>
      <c r="K24" s="22" t="str">
        <f aca="false">VLOOKUP(H24,COLOR_EFFECTS,2,0)</f>
        <v>-3</v>
      </c>
      <c r="L24" s="22" t="str">
        <f aca="false">VLOOKUP(H24,COLOR_EFFECTS,3,0)</f>
        <v>Schutz</v>
      </c>
      <c r="M24" s="3" t="str">
        <f aca="false">E24&amp;" "&amp;K24</f>
        <v>Stern -3</v>
      </c>
      <c r="N24" s="22" t="str">
        <f aca="false">G24 &amp; H24</f>
        <v>★-3</v>
      </c>
      <c r="O24" s="24" t="str">
        <f aca="false">VLOOKUP(H24,COLOR_EFFECTS,4,0)</f>
        <v>Werfe 3 Karten ab</v>
      </c>
    </row>
    <row r="25" customFormat="false" ht="13.8" hidden="false" customHeight="false" outlineLevel="0" collapsed="false">
      <c r="A25" s="1" t="n">
        <v>1</v>
      </c>
      <c r="B25" s="2" t="s">
        <v>55</v>
      </c>
      <c r="C25" s="3" t="str">
        <f aca="false">VLOOKUP(B25,CARD_COLORS,5,0)</f>
        <v>#FFFFFF</v>
      </c>
      <c r="D25" s="22" t="str">
        <f aca="false">VLOOKUP(B25,CARD_COLORS,2,0)</f>
        <v>Weiß</v>
      </c>
      <c r="E25" s="22" t="str">
        <f aca="false">VLOOKUP(B25,CARD_COLORS,3,0)</f>
        <v>Stern</v>
      </c>
      <c r="F25" s="23" t="str">
        <f aca="false">"Planets\" &amp; VLOOKUP(B25,CARD_COLORS,4,0) &amp; ".png"</f>
        <v>Planets\Star.png</v>
      </c>
      <c r="G25" s="22" t="str">
        <f aca="false">VLOOKUP(B25,CARD_COLORS,6,0)</f>
        <v>★</v>
      </c>
      <c r="H25" s="12" t="s">
        <v>63</v>
      </c>
      <c r="I25" s="22" t="str">
        <f aca="false">IFERROR(MID(H25,SEARCH("+",H25),2),IFERROR(MID(H25,SEARCH("-",H25),2),IF(ISNUMBER(H25),H25,"")))</f>
        <v>-4</v>
      </c>
      <c r="J25" s="14"/>
      <c r="K25" s="22" t="str">
        <f aca="false">VLOOKUP(H25,COLOR_EFFECTS,2,0)</f>
        <v>-4</v>
      </c>
      <c r="L25" s="22" t="str">
        <f aca="false">VLOOKUP(H25,COLOR_EFFECTS,3,0)</f>
        <v>Schutz</v>
      </c>
      <c r="M25" s="3" t="str">
        <f aca="false">E25&amp;" "&amp;K25</f>
        <v>Stern -4</v>
      </c>
      <c r="N25" s="22" t="str">
        <f aca="false">G25 &amp; H25</f>
        <v>★-4</v>
      </c>
      <c r="O25" s="24" t="str">
        <f aca="false">VLOOKUP(H25,COLOR_EFFECTS,4,0)</f>
        <v>Werfe 4 Karten ab</v>
      </c>
    </row>
    <row r="26" customFormat="false" ht="13.8" hidden="false" customHeight="false" outlineLevel="0" collapsed="false">
      <c r="B26" s="26"/>
      <c r="C26" s="26"/>
      <c r="D26" s="20"/>
      <c r="E26" s="20"/>
      <c r="F26" s="27"/>
      <c r="G26" s="20"/>
      <c r="H26" s="18"/>
      <c r="I26" s="20"/>
      <c r="J26" s="20"/>
      <c r="K26" s="20"/>
      <c r="L26" s="20"/>
      <c r="M26" s="26"/>
      <c r="N26" s="20"/>
      <c r="O26" s="28"/>
    </row>
    <row r="27" customFormat="false" ht="13.8" hidden="false" customHeight="false" outlineLevel="0" collapsed="false">
      <c r="A27" s="1" t="n">
        <v>8</v>
      </c>
      <c r="B27" s="2" t="s">
        <v>42</v>
      </c>
      <c r="C27" s="3" t="str">
        <f aca="false">VLOOKUP(B27,CARD_COLORS,5,0)</f>
        <v>#000000</v>
      </c>
      <c r="D27" s="22" t="str">
        <f aca="false">VLOOKUP(B27,CARD_COLORS,2,0)</f>
        <v>Schwarz</v>
      </c>
      <c r="E27" s="22" t="str">
        <f aca="false">VLOOKUP(B27,CARD_COLORS,3,0)</f>
        <v>Pluto</v>
      </c>
      <c r="F27" s="23" t="str">
        <f aca="false">"Planets\" &amp; VLOOKUP(B27,CARD_COLORS,4,0) &amp; ".png"</f>
        <v>Planets\Pluto.png</v>
      </c>
      <c r="G27" s="22" t="str">
        <f aca="false">VLOOKUP(B27,CARD_COLORS,6,0)</f>
        <v>♇</v>
      </c>
      <c r="H27" s="12" t="s">
        <v>43</v>
      </c>
      <c r="I27" s="22" t="str">
        <f aca="false">IFERROR(MID(H27,SEARCH("+",H27),2),IFERROR(MID(H27,SEARCH("-",H27),2),IF(ISNUMBER(H27),H27,"")))</f>
        <v/>
      </c>
      <c r="J27" s="14" t="s">
        <v>44</v>
      </c>
      <c r="K27" s="22" t="str">
        <f aca="false">VLOOKUP(H27,COLOR_EFFECTS,2,0)</f>
        <v>Prisma</v>
      </c>
      <c r="L27" s="22" t="str">
        <f aca="false">VLOOKUP(H27,COLOR_EFFECTS,3,0)</f>
        <v>Falle</v>
      </c>
      <c r="M27" s="3" t="str">
        <f aca="false">E27&amp;" "&amp;K27</f>
        <v>Pluto Prisma</v>
      </c>
      <c r="N27" s="22" t="str">
        <f aca="false">G27 &amp; H27</f>
        <v>♇🌈</v>
      </c>
      <c r="O27" s="24" t="str">
        <f aca="false">VLOOKUP(H27,COLOR_EFFECTS,4,0)</f>
        <v>Wähle eine Farbe</v>
      </c>
    </row>
    <row r="28" customFormat="false" ht="13.8" hidden="false" customHeight="false" outlineLevel="0" collapsed="false">
      <c r="A28" s="1" t="n">
        <v>4</v>
      </c>
      <c r="B28" s="2" t="s">
        <v>42</v>
      </c>
      <c r="C28" s="3" t="str">
        <f aca="false">VLOOKUP(B28,CARD_COLORS,5,0)</f>
        <v>#000000</v>
      </c>
      <c r="D28" s="22" t="str">
        <f aca="false">VLOOKUP(B28,CARD_COLORS,2,0)</f>
        <v>Schwarz</v>
      </c>
      <c r="E28" s="22" t="str">
        <f aca="false">VLOOKUP(B28,CARD_COLORS,3,0)</f>
        <v>Pluto</v>
      </c>
      <c r="F28" s="23" t="str">
        <f aca="false">"Planets\" &amp; VLOOKUP(B28,CARD_COLORS,4,0) &amp; ".png"</f>
        <v>Planets\Pluto.png</v>
      </c>
      <c r="G28" s="22" t="str">
        <f aca="false">VLOOKUP(B28,CARD_COLORS,6,0)</f>
        <v>♇</v>
      </c>
      <c r="H28" s="12" t="s">
        <v>45</v>
      </c>
      <c r="I28" s="22" t="str">
        <f aca="false">IFERROR(MID(H28,SEARCH("+",H28),2),IFERROR(MID(H28,SEARCH("-",H28),2),IF(ISNUMBER(H28),H28,"")))</f>
        <v>+4</v>
      </c>
      <c r="J28" s="14" t="s">
        <v>44</v>
      </c>
      <c r="K28" s="22" t="str">
        <f aca="false">VLOOKUP(H28,COLOR_EFFECTS,2,0)</f>
        <v>Prisma +4</v>
      </c>
      <c r="L28" s="22" t="str">
        <f aca="false">VLOOKUP(H28,COLOR_EFFECTS,3,0)</f>
        <v>Falle</v>
      </c>
      <c r="M28" s="3" t="str">
        <f aca="false">E28&amp;" "&amp;K28</f>
        <v>Pluto Prisma +4</v>
      </c>
      <c r="N28" s="22" t="str">
        <f aca="false">G28 &amp; H28</f>
        <v>♇+4🌈</v>
      </c>
      <c r="O28" s="24" t="str">
        <f aca="false">VLOOKUP(H28,COLOR_EFFECTS,4,0)</f>
        <v>Nächster Spieler muss 4 Karten aufnehmen, Wähle eine Farbe</v>
      </c>
    </row>
    <row r="29" customFormat="false" ht="13.8" hidden="false" customHeight="false" outlineLevel="0" collapsed="false">
      <c r="A29" s="1" t="n">
        <v>4</v>
      </c>
      <c r="B29" s="2" t="s">
        <v>42</v>
      </c>
      <c r="C29" s="3" t="str">
        <f aca="false">VLOOKUP(B29,CARD_COLORS,5,0)</f>
        <v>#000000</v>
      </c>
      <c r="D29" s="22" t="str">
        <f aca="false">VLOOKUP(B29,CARD_COLORS,2,0)</f>
        <v>Schwarz</v>
      </c>
      <c r="E29" s="22" t="str">
        <f aca="false">VLOOKUP(B29,CARD_COLORS,3,0)</f>
        <v>Pluto</v>
      </c>
      <c r="F29" s="23" t="str">
        <f aca="false">"Planets\" &amp; VLOOKUP(B29,CARD_COLORS,4,0) &amp; ".png"</f>
        <v>Planets\Pluto.png</v>
      </c>
      <c r="G29" s="22" t="str">
        <f aca="false">VLOOKUP(B29,CARD_COLORS,6,0)</f>
        <v>♇</v>
      </c>
      <c r="H29" s="12" t="s">
        <v>46</v>
      </c>
      <c r="I29" s="22" t="str">
        <f aca="false">IFERROR(MID(H29,SEARCH("+",H29),2),IFERROR(MID(H29,SEARCH("-",H29),2),IF(ISNUMBER(H29),H29,"")))</f>
        <v/>
      </c>
      <c r="J29" s="14" t="s">
        <v>47</v>
      </c>
      <c r="K29" s="22" t="str">
        <f aca="false">VLOOKUP(H29,COLOR_EFFECTS,2,0)</f>
        <v>Prisma Blockade</v>
      </c>
      <c r="L29" s="22" t="str">
        <f aca="false">VLOOKUP(H29,COLOR_EFFECTS,3,0)</f>
        <v>Falle</v>
      </c>
      <c r="M29" s="3" t="str">
        <f aca="false">E29&amp;" "&amp;K29</f>
        <v>Pluto Prisma Blockade</v>
      </c>
      <c r="N29" s="22" t="str">
        <f aca="false">G29 &amp; H29</f>
        <v>♇🚫🌈</v>
      </c>
      <c r="O29" s="24" t="str">
        <f aca="false">VLOOKUP(H29,COLOR_EFFECTS,4,0)</f>
        <v>Nächster Spieler muss aussetzen, Wähle eine Farbe</v>
      </c>
    </row>
    <row r="30" customFormat="false" ht="13.8" hidden="false" customHeight="false" outlineLevel="0" collapsed="false">
      <c r="A30" s="1" t="n">
        <v>4</v>
      </c>
      <c r="B30" s="2" t="s">
        <v>42</v>
      </c>
      <c r="C30" s="3" t="str">
        <f aca="false">VLOOKUP(B30,CARD_COLORS,5,0)</f>
        <v>#000000</v>
      </c>
      <c r="D30" s="22" t="str">
        <f aca="false">VLOOKUP(B30,CARD_COLORS,2,0)</f>
        <v>Schwarz</v>
      </c>
      <c r="E30" s="22" t="str">
        <f aca="false">VLOOKUP(B30,CARD_COLORS,3,0)</f>
        <v>Pluto</v>
      </c>
      <c r="F30" s="23" t="str">
        <f aca="false">"Planets\" &amp; VLOOKUP(B30,CARD_COLORS,4,0) &amp; ".png"</f>
        <v>Planets\Pluto.png</v>
      </c>
      <c r="G30" s="22" t="str">
        <f aca="false">VLOOKUP(B30,CARD_COLORS,6,0)</f>
        <v>♇</v>
      </c>
      <c r="H30" s="12" t="s">
        <v>48</v>
      </c>
      <c r="I30" s="22" t="str">
        <f aca="false">IFERROR(MID(H30,SEARCH("+",H30),2),IFERROR(MID(H30,SEARCH("-",H30),2),IF(ISNUMBER(H30),H30,"")))</f>
        <v/>
      </c>
      <c r="J30" s="14" t="s">
        <v>49</v>
      </c>
      <c r="K30" s="22" t="str">
        <f aca="false">VLOOKUP(H30,COLOR_EFFECTS,2,0)</f>
        <v>Prisma Umkehrung</v>
      </c>
      <c r="L30" s="22" t="str">
        <f aca="false">VLOOKUP(H30,COLOR_EFFECTS,3,0)</f>
        <v>Falle</v>
      </c>
      <c r="M30" s="3" t="str">
        <f aca="false">E30&amp;" "&amp;K30</f>
        <v>Pluto Prisma Umkehrung</v>
      </c>
      <c r="N30" s="22" t="str">
        <f aca="false">G30 &amp; H30</f>
        <v>♇🔄🌈</v>
      </c>
      <c r="O30" s="24" t="str">
        <f aca="false">VLOOKUP(H30,COLOR_EFFECTS,4,0)</f>
        <v>Spielrichtung andersherum, Wähle eine Farbe</v>
      </c>
    </row>
    <row r="31" customFormat="false" ht="13.8" hidden="false" customHeight="false" outlineLevel="0" collapsed="false">
      <c r="A31" s="1" t="n">
        <v>4</v>
      </c>
      <c r="B31" s="2" t="s">
        <v>42</v>
      </c>
      <c r="C31" s="3" t="str">
        <f aca="false">VLOOKUP(B31,CARD_COLORS,5,0)</f>
        <v>#000000</v>
      </c>
      <c r="D31" s="22" t="str">
        <f aca="false">VLOOKUP(B31,CARD_COLORS,2,0)</f>
        <v>Schwarz</v>
      </c>
      <c r="E31" s="22" t="str">
        <f aca="false">VLOOKUP(B31,CARD_COLORS,3,0)</f>
        <v>Pluto</v>
      </c>
      <c r="F31" s="23" t="str">
        <f aca="false">"Planets\" &amp; VLOOKUP(B31,CARD_COLORS,4,0) &amp; ".png"</f>
        <v>Planets\Pluto.png</v>
      </c>
      <c r="G31" s="22" t="str">
        <f aca="false">VLOOKUP(B31,CARD_COLORS,6,0)</f>
        <v>♇</v>
      </c>
      <c r="H31" s="12" t="s">
        <v>50</v>
      </c>
      <c r="I31" s="22" t="str">
        <f aca="false">IFERROR(MID(H31,SEARCH("+",H31),2),IFERROR(MID(H31,SEARCH("-",H31),2),IF(ISNUMBER(H31),H31,"")))</f>
        <v>+4</v>
      </c>
      <c r="J31" s="14" t="s">
        <v>49</v>
      </c>
      <c r="K31" s="22" t="str">
        <f aca="false">VLOOKUP(H31,COLOR_EFFECTS,2,0)</f>
        <v>Prisma Umkehrung +4</v>
      </c>
      <c r="L31" s="22" t="str">
        <f aca="false">VLOOKUP(H31,COLOR_EFFECTS,3,0)</f>
        <v>Falle</v>
      </c>
      <c r="M31" s="3" t="str">
        <f aca="false">E31&amp;" "&amp;K31</f>
        <v>Pluto Prisma Umkehrung +4</v>
      </c>
      <c r="N31" s="22" t="str">
        <f aca="false">G31 &amp; H31</f>
        <v>♇🔄+4🌈</v>
      </c>
      <c r="O31" s="24" t="str">
        <f aca="false">VLOOKUP(H31,COLOR_EFFECTS,4,0)</f>
        <v>Spielrichtung andersherum, Nächster Spieler muss 4 Karten aufnehmen, Wähle eine Farbe</v>
      </c>
    </row>
    <row r="32" customFormat="false" ht="13.8" hidden="false" customHeight="false" outlineLevel="0" collapsed="false">
      <c r="A32" s="1" t="n">
        <v>4</v>
      </c>
      <c r="B32" s="2" t="s">
        <v>42</v>
      </c>
      <c r="C32" s="3" t="str">
        <f aca="false">VLOOKUP(B32,CARD_COLORS,5,0)</f>
        <v>#000000</v>
      </c>
      <c r="D32" s="22" t="str">
        <f aca="false">VLOOKUP(B32,CARD_COLORS,2,0)</f>
        <v>Schwarz</v>
      </c>
      <c r="E32" s="22" t="str">
        <f aca="false">VLOOKUP(B32,CARD_COLORS,3,0)</f>
        <v>Pluto</v>
      </c>
      <c r="F32" s="23" t="str">
        <f aca="false">"Planets\" &amp; VLOOKUP(B32,CARD_COLORS,4,0) &amp; ".png"</f>
        <v>Planets\Pluto.png</v>
      </c>
      <c r="G32" s="22" t="str">
        <f aca="false">VLOOKUP(B32,CARD_COLORS,6,0)</f>
        <v>♇</v>
      </c>
      <c r="H32" s="12" t="s">
        <v>51</v>
      </c>
      <c r="I32" s="22" t="str">
        <f aca="false">IFERROR(MID(H32,SEARCH("+",H32),2),IFERROR(MID(H32,SEARCH("-",H32),2),IF(ISNUMBER(H32),H32,"")))</f>
        <v/>
      </c>
      <c r="J32" s="14" t="s">
        <v>52</v>
      </c>
      <c r="K32" s="22" t="str">
        <f aca="false">VLOOKUP(H32,COLOR_EFFECTS,2,0)</f>
        <v>Prisma Umkehrung Blockade</v>
      </c>
      <c r="L32" s="22" t="str">
        <f aca="false">VLOOKUP(H32,COLOR_EFFECTS,3,0)</f>
        <v>Falle</v>
      </c>
      <c r="M32" s="3" t="str">
        <f aca="false">E32&amp;" "&amp;K32</f>
        <v>Pluto Prisma Umkehrung Blockade</v>
      </c>
      <c r="N32" s="22" t="str">
        <f aca="false">G32 &amp; H32</f>
        <v>♇🔄🚫🌈</v>
      </c>
      <c r="O32" s="24" t="str">
        <f aca="false">VLOOKUP(H32,COLOR_EFFECTS,4,0)</f>
        <v>Spielrichtung andersherum, Nächster Spieler muss aussetzen, Wähle eine Farbe</v>
      </c>
    </row>
    <row r="33" customFormat="false" ht="13.8" hidden="false" customHeight="false" outlineLevel="0" collapsed="false">
      <c r="A33" s="1" t="n">
        <v>4</v>
      </c>
      <c r="B33" s="2" t="s">
        <v>42</v>
      </c>
      <c r="C33" s="3" t="str">
        <f aca="false">VLOOKUP(B33,CARD_COLORS,5,0)</f>
        <v>#000000</v>
      </c>
      <c r="D33" s="22" t="str">
        <f aca="false">VLOOKUP(B33,CARD_COLORS,2,0)</f>
        <v>Schwarz</v>
      </c>
      <c r="E33" s="22" t="str">
        <f aca="false">VLOOKUP(B33,CARD_COLORS,3,0)</f>
        <v>Pluto</v>
      </c>
      <c r="F33" s="23" t="str">
        <f aca="false">"Planets\" &amp; VLOOKUP(B33,CARD_COLORS,4,0) &amp; ".png"</f>
        <v>Planets\Pluto.png</v>
      </c>
      <c r="G33" s="22" t="str">
        <f aca="false">VLOOKUP(B33,CARD_COLORS,6,0)</f>
        <v>♇</v>
      </c>
      <c r="H33" s="12" t="s">
        <v>53</v>
      </c>
      <c r="I33" s="22" t="str">
        <f aca="false">IFERROR(MID(H33,SEARCH("+",H33),2),IFERROR(MID(H33,SEARCH("-",H33),2),IF(ISNUMBER(H33),H33,"")))</f>
        <v>+2</v>
      </c>
      <c r="J33" s="14" t="s">
        <v>54</v>
      </c>
      <c r="K33" s="22" t="str">
        <f aca="false">VLOOKUP(H33,COLOR_EFFECTS,2,0)</f>
        <v>Prisma Fokus +2</v>
      </c>
      <c r="L33" s="22" t="str">
        <f aca="false">VLOOKUP(H33,COLOR_EFFECTS,3,0)</f>
        <v>Falle</v>
      </c>
      <c r="M33" s="3" t="str">
        <f aca="false">E33&amp;" "&amp;K33</f>
        <v>Pluto Prisma Fokus +2</v>
      </c>
      <c r="N33" s="22" t="str">
        <f aca="false">G33 &amp; H33</f>
        <v>♇🎯+2🌈</v>
      </c>
      <c r="O33" s="24" t="str">
        <f aca="false">VLOOKUP(H33,COLOR_EFFECTS,4,0)</f>
        <v>Ein ausgesuchter Spieler muss 2 Karten ziehen, Wähle eine Farbe</v>
      </c>
    </row>
    <row r="34" customFormat="false" ht="13.8" hidden="false" customHeight="false" outlineLevel="0" collapsed="false">
      <c r="A34" s="1" t="n">
        <v>5</v>
      </c>
      <c r="B34" s="2" t="s">
        <v>55</v>
      </c>
      <c r="C34" s="3" t="str">
        <f aca="false">VLOOKUP(B34,CARD_COLORS,5,0)</f>
        <v>#FFFFFF</v>
      </c>
      <c r="D34" s="22" t="str">
        <f aca="false">VLOOKUP(B34,CARD_COLORS,2,0)</f>
        <v>Weiß</v>
      </c>
      <c r="E34" s="22" t="str">
        <f aca="false">VLOOKUP(B34,CARD_COLORS,3,0)</f>
        <v>Stern</v>
      </c>
      <c r="F34" s="23" t="str">
        <f aca="false">"Planets\" &amp; VLOOKUP(B34,CARD_COLORS,4,0) &amp; ".png"</f>
        <v>Planets\Star.png</v>
      </c>
      <c r="G34" s="22" t="str">
        <f aca="false">VLOOKUP(B34,CARD_COLORS,6,0)</f>
        <v>★</v>
      </c>
      <c r="H34" s="12" t="s">
        <v>56</v>
      </c>
      <c r="I34" s="22" t="str">
        <f aca="false">IFERROR(MID(H34,SEARCH("+",H34),2),IFERROR(MID(H34,SEARCH("-",H34),2),IF(ISNUMBER(H34),H34,"")))</f>
        <v/>
      </c>
      <c r="J34" s="14" t="s">
        <v>57</v>
      </c>
      <c r="K34" s="22" t="str">
        <f aca="false">VLOOKUP(H34,COLOR_EFFECTS,2,0)</f>
        <v>Schild</v>
      </c>
      <c r="L34" s="22" t="str">
        <f aca="false">VLOOKUP(H34,COLOR_EFFECTS,3,0)</f>
        <v>Schutz</v>
      </c>
      <c r="M34" s="3" t="str">
        <f aca="false">E34&amp;" "&amp;K34</f>
        <v>Stern Schild</v>
      </c>
      <c r="N34" s="22" t="str">
        <f aca="false">G34 &amp; H34</f>
        <v>★🛡️</v>
      </c>
      <c r="O34" s="24" t="str">
        <f aca="false">VLOOKUP(H34,COLOR_EFFECTS,4,0)</f>
        <v>Alle Effekte werden aufgehoben</v>
      </c>
    </row>
    <row r="35" customFormat="false" ht="13.8" hidden="false" customHeight="false" outlineLevel="0" collapsed="false">
      <c r="A35" s="1" t="n">
        <v>8</v>
      </c>
      <c r="B35" s="2" t="s">
        <v>55</v>
      </c>
      <c r="C35" s="3" t="str">
        <f aca="false">VLOOKUP(B35,CARD_COLORS,5,0)</f>
        <v>#FFFFFF</v>
      </c>
      <c r="D35" s="22" t="str">
        <f aca="false">VLOOKUP(B35,CARD_COLORS,2,0)</f>
        <v>Weiß</v>
      </c>
      <c r="E35" s="22" t="str">
        <f aca="false">VLOOKUP(B35,CARD_COLORS,3,0)</f>
        <v>Stern</v>
      </c>
      <c r="F35" s="23" t="str">
        <f aca="false">"Planets\" &amp; VLOOKUP(B35,CARD_COLORS,4,0) &amp; ".png"</f>
        <v>Planets\Star.png</v>
      </c>
      <c r="G35" s="22" t="str">
        <f aca="false">VLOOKUP(B35,CARD_COLORS,6,0)</f>
        <v>★</v>
      </c>
      <c r="H35" s="12" t="s">
        <v>58</v>
      </c>
      <c r="I35" s="22" t="str">
        <f aca="false">IFERROR(MID(H35,SEARCH("+",H35),2),IFERROR(MID(H35,SEARCH("-",H35),2),IF(ISNUMBER(H35),H35,"")))</f>
        <v/>
      </c>
      <c r="J35" s="14" t="s">
        <v>59</v>
      </c>
      <c r="K35" s="22" t="str">
        <f aca="false">VLOOKUP(H35,COLOR_EFFECTS,2,0)</f>
        <v>Spiegel</v>
      </c>
      <c r="L35" s="22" t="str">
        <f aca="false">VLOOKUP(H35,COLOR_EFFECTS,3,0)</f>
        <v>Schutz</v>
      </c>
      <c r="M35" s="3" t="str">
        <f aca="false">E35&amp;" "&amp;K35</f>
        <v>Stern Spiegel</v>
      </c>
      <c r="N35" s="22" t="str">
        <f aca="false">G35 &amp; H35</f>
        <v>★🛡️🔄</v>
      </c>
      <c r="O35" s="24" t="str">
        <f aca="false">VLOOKUP(H35,COLOR_EFFECTS,4,0)</f>
        <v>Alle Effekte treffen den vorherigen Spieler</v>
      </c>
    </row>
    <row r="36" customFormat="false" ht="13.8" hidden="false" customHeight="false" outlineLevel="0" collapsed="false">
      <c r="A36" s="1" t="n">
        <v>8</v>
      </c>
      <c r="B36" s="2" t="s">
        <v>55</v>
      </c>
      <c r="C36" s="3" t="str">
        <f aca="false">VLOOKUP(B36,CARD_COLORS,5,0)</f>
        <v>#FFFFFF</v>
      </c>
      <c r="D36" s="22" t="str">
        <f aca="false">VLOOKUP(B36,CARD_COLORS,2,0)</f>
        <v>Weiß</v>
      </c>
      <c r="E36" s="22" t="str">
        <f aca="false">VLOOKUP(B36,CARD_COLORS,3,0)</f>
        <v>Stern</v>
      </c>
      <c r="F36" s="23" t="str">
        <f aca="false">"Planets\" &amp; VLOOKUP(B36,CARD_COLORS,4,0) &amp; ".png"</f>
        <v>Planets\Star.png</v>
      </c>
      <c r="G36" s="22" t="str">
        <f aca="false">VLOOKUP(B36,CARD_COLORS,6,0)</f>
        <v>★</v>
      </c>
      <c r="H36" s="12" t="s">
        <v>60</v>
      </c>
      <c r="I36" s="22" t="str">
        <f aca="false">IFERROR(MID(H36,SEARCH("+",H36),2),IFERROR(MID(H36,SEARCH("-",H36),2),IF(ISNUMBER(H36),H36,"")))</f>
        <v/>
      </c>
      <c r="J36" s="14" t="s">
        <v>61</v>
      </c>
      <c r="K36" s="22" t="str">
        <f aca="false">VLOOKUP(H36,COLOR_EFFECTS,2,0)</f>
        <v>Fokus</v>
      </c>
      <c r="L36" s="22" t="str">
        <f aca="false">VLOOKUP(H36,COLOR_EFFECTS,3,0)</f>
        <v>Schutz</v>
      </c>
      <c r="M36" s="3" t="str">
        <f aca="false">E36&amp;" "&amp;K36</f>
        <v>Stern Fokus</v>
      </c>
      <c r="N36" s="22" t="str">
        <f aca="false">G36 &amp; H36</f>
        <v>★🛡️🎯</v>
      </c>
      <c r="O36" s="24" t="str">
        <f aca="false">VLOOKUP(H36,COLOR_EFFECTS,4,0)</f>
        <v>Alle Effekte treffen einen ausgesuchten Spieler</v>
      </c>
    </row>
    <row r="37" customFormat="false" ht="13.8" hidden="false" customHeight="false" outlineLevel="0" collapsed="false">
      <c r="A37" s="1" t="n">
        <v>6</v>
      </c>
      <c r="B37" s="2" t="s">
        <v>55</v>
      </c>
      <c r="C37" s="3" t="str">
        <f aca="false">VLOOKUP(B37,CARD_COLORS,5,0)</f>
        <v>#FFFFFF</v>
      </c>
      <c r="D37" s="22" t="str">
        <f aca="false">VLOOKUP(B37,CARD_COLORS,2,0)</f>
        <v>Weiß</v>
      </c>
      <c r="E37" s="22" t="str">
        <f aca="false">VLOOKUP(B37,CARD_COLORS,3,0)</f>
        <v>Stern</v>
      </c>
      <c r="F37" s="23" t="str">
        <f aca="false">"Planets\" &amp; VLOOKUP(B37,CARD_COLORS,4,0) &amp; ".png"</f>
        <v>Planets\Star.png</v>
      </c>
      <c r="G37" s="22" t="str">
        <f aca="false">VLOOKUP(B37,CARD_COLORS,6,0)</f>
        <v>★</v>
      </c>
      <c r="H37" s="12" t="s">
        <v>62</v>
      </c>
      <c r="I37" s="22" t="str">
        <f aca="false">IFERROR(MID(H37,SEARCH("+",H37),2),IFERROR(MID(H37,SEARCH("-",H37),2),IF(ISNUMBER(H37),H37,"")))</f>
        <v>-3</v>
      </c>
      <c r="J37" s="14"/>
      <c r="K37" s="22" t="str">
        <f aca="false">VLOOKUP(H37,COLOR_EFFECTS,2,0)</f>
        <v>-3</v>
      </c>
      <c r="L37" s="22" t="str">
        <f aca="false">VLOOKUP(H37,COLOR_EFFECTS,3,0)</f>
        <v>Schutz</v>
      </c>
      <c r="M37" s="3" t="str">
        <f aca="false">E37&amp;" "&amp;K37</f>
        <v>Stern -3</v>
      </c>
      <c r="N37" s="22" t="str">
        <f aca="false">G37 &amp; H37</f>
        <v>★-3</v>
      </c>
      <c r="O37" s="24" t="str">
        <f aca="false">VLOOKUP(H37,COLOR_EFFECTS,4,0)</f>
        <v>Werfe 3 Karten ab</v>
      </c>
    </row>
    <row r="38" customFormat="false" ht="13.8" hidden="false" customHeight="false" outlineLevel="0" collapsed="false">
      <c r="A38" s="1" t="n">
        <v>4</v>
      </c>
      <c r="B38" s="2" t="s">
        <v>55</v>
      </c>
      <c r="C38" s="3" t="str">
        <f aca="false">VLOOKUP(B38,CARD_COLORS,5,0)</f>
        <v>#FFFFFF</v>
      </c>
      <c r="D38" s="22" t="str">
        <f aca="false">VLOOKUP(B38,CARD_COLORS,2,0)</f>
        <v>Weiß</v>
      </c>
      <c r="E38" s="22" t="str">
        <f aca="false">VLOOKUP(B38,CARD_COLORS,3,0)</f>
        <v>Stern</v>
      </c>
      <c r="F38" s="23" t="str">
        <f aca="false">"Planets\" &amp; VLOOKUP(B38,CARD_COLORS,4,0) &amp; ".png"</f>
        <v>Planets\Star.png</v>
      </c>
      <c r="G38" s="22" t="str">
        <f aca="false">VLOOKUP(B38,CARD_COLORS,6,0)</f>
        <v>★</v>
      </c>
      <c r="H38" s="12" t="s">
        <v>63</v>
      </c>
      <c r="I38" s="22" t="str">
        <f aca="false">IFERROR(MID(H38,SEARCH("+",H38),2),IFERROR(MID(H38,SEARCH("-",H38),2),IF(ISNUMBER(H38),H38,"")))</f>
        <v>-4</v>
      </c>
      <c r="J38" s="14"/>
      <c r="K38" s="22" t="str">
        <f aca="false">VLOOKUP(H38,COLOR_EFFECTS,2,0)</f>
        <v>-4</v>
      </c>
      <c r="L38" s="22" t="str">
        <f aca="false">VLOOKUP(H38,COLOR_EFFECTS,3,0)</f>
        <v>Schutz</v>
      </c>
      <c r="M38" s="3" t="str">
        <f aca="false">E38&amp;" "&amp;K38</f>
        <v>Stern -4</v>
      </c>
      <c r="N38" s="22" t="str">
        <f aca="false">G38 &amp; H38</f>
        <v>★-4</v>
      </c>
      <c r="O38" s="24" t="str">
        <f aca="false">VLOOKUP(H38,COLOR_EFFECTS,4,0)</f>
        <v>Werfe 4 Karten ab</v>
      </c>
    </row>
    <row r="39" customFormat="false" ht="13.8" hidden="false" customHeight="false" outlineLevel="0" collapsed="false">
      <c r="A39" s="1" t="n">
        <v>1</v>
      </c>
      <c r="B39" s="2" t="s">
        <v>18</v>
      </c>
      <c r="C39" s="3" t="str">
        <f aca="false">VLOOKUP(B39,CARD_COLORS,5,0)</f>
        <v>#FFEE00</v>
      </c>
      <c r="D39" s="22" t="str">
        <f aca="false">VLOOKUP(B39,CARD_COLORS,2,0)</f>
        <v>Gelb</v>
      </c>
      <c r="E39" s="22" t="str">
        <f aca="false">VLOOKUP(B39,CARD_COLORS,3,0)</f>
        <v>Sonne</v>
      </c>
      <c r="F39" s="23" t="str">
        <f aca="false">"Planets\" &amp; VLOOKUP(B39,CARD_COLORS,4,0) &amp; ".png"</f>
        <v>Planets\Sun.png</v>
      </c>
      <c r="G39" s="22" t="str">
        <f aca="false">VLOOKUP(B39,CARD_COLORS,6,0)</f>
        <v>☉</v>
      </c>
      <c r="H39" s="12" t="n">
        <v>0</v>
      </c>
      <c r="I39" s="22" t="n">
        <f aca="false">IFERROR(MID(H39,SEARCH("+",H39),2),IFERROR(MID(H39,SEARCH("-",H39),2),IF(ISNUMBER(H39),H39,"")))</f>
        <v>0</v>
      </c>
      <c r="J39" s="14"/>
      <c r="K39" s="22" t="str">
        <f aca="false">VLOOKUP(H39,COLOR_EFFECTS,2,0)</f>
        <v>0</v>
      </c>
      <c r="L39" s="22" t="str">
        <f aca="false">VLOOKUP(H39,COLOR_EFFECTS,3,0)</f>
        <v>Standard</v>
      </c>
      <c r="M39" s="3" t="str">
        <f aca="false">E39&amp;" "&amp;K39</f>
        <v>Sonne 0</v>
      </c>
      <c r="N39" s="22" t="str">
        <f aca="false">G39 &amp; H39</f>
        <v>☉0</v>
      </c>
      <c r="O39" s="24" t="str">
        <f aca="false">VLOOKUP(H39,COLOR_EFFECTS,4,0)</f>
        <v> </v>
      </c>
    </row>
    <row r="40" customFormat="false" ht="13.8" hidden="false" customHeight="false" outlineLevel="0" collapsed="false">
      <c r="A40" s="1" t="n">
        <v>1</v>
      </c>
      <c r="B40" s="2" t="s">
        <v>18</v>
      </c>
      <c r="C40" s="3" t="str">
        <f aca="false">VLOOKUP(B40,CARD_COLORS,5,0)</f>
        <v>#FFEE00</v>
      </c>
      <c r="D40" s="22" t="str">
        <f aca="false">VLOOKUP(B40,CARD_COLORS,2,0)</f>
        <v>Gelb</v>
      </c>
      <c r="E40" s="22" t="str">
        <f aca="false">VLOOKUP(B40,CARD_COLORS,3,0)</f>
        <v>Sonne</v>
      </c>
      <c r="F40" s="23" t="str">
        <f aca="false">"Planets\" &amp; VLOOKUP(B40,CARD_COLORS,4,0) &amp; ".png"</f>
        <v>Planets\Sun.png</v>
      </c>
      <c r="G40" s="22" t="str">
        <f aca="false">VLOOKUP(B40,CARD_COLORS,6,0)</f>
        <v>☉</v>
      </c>
      <c r="H40" s="12" t="n">
        <v>1</v>
      </c>
      <c r="I40" s="22" t="n">
        <f aca="false">IFERROR(MID(H40,SEARCH("+",H40),2),IFERROR(MID(H40,SEARCH("-",H40),2),IF(ISNUMBER(H40),H40,"")))</f>
        <v>1</v>
      </c>
      <c r="J40" s="14"/>
      <c r="K40" s="22" t="str">
        <f aca="false">VLOOKUP(H40,COLOR_EFFECTS,2,0)</f>
        <v>1</v>
      </c>
      <c r="L40" s="22" t="str">
        <f aca="false">VLOOKUP(H40,COLOR_EFFECTS,3,0)</f>
        <v>Standard</v>
      </c>
      <c r="M40" s="3" t="str">
        <f aca="false">E40&amp;" "&amp;K40</f>
        <v>Sonne 1</v>
      </c>
      <c r="N40" s="22" t="str">
        <f aca="false">G40 &amp; H40</f>
        <v>☉1</v>
      </c>
      <c r="O40" s="24" t="str">
        <f aca="false">VLOOKUP(H40,COLOR_EFFECTS,4,0)</f>
        <v> </v>
      </c>
    </row>
    <row r="41" customFormat="false" ht="13.8" hidden="false" customHeight="false" outlineLevel="0" collapsed="false">
      <c r="A41" s="1" t="n">
        <v>1</v>
      </c>
      <c r="B41" s="2" t="s">
        <v>18</v>
      </c>
      <c r="C41" s="3" t="str">
        <f aca="false">VLOOKUP(B41,CARD_COLORS,5,0)</f>
        <v>#FFEE00</v>
      </c>
      <c r="D41" s="22" t="str">
        <f aca="false">VLOOKUP(B41,CARD_COLORS,2,0)</f>
        <v>Gelb</v>
      </c>
      <c r="E41" s="22" t="str">
        <f aca="false">VLOOKUP(B41,CARD_COLORS,3,0)</f>
        <v>Sonne</v>
      </c>
      <c r="F41" s="23" t="str">
        <f aca="false">"Planets\" &amp; VLOOKUP(B41,CARD_COLORS,4,0) &amp; ".png"</f>
        <v>Planets\Sun.png</v>
      </c>
      <c r="G41" s="22" t="str">
        <f aca="false">VLOOKUP(B41,CARD_COLORS,6,0)</f>
        <v>☉</v>
      </c>
      <c r="H41" s="12" t="n">
        <v>2</v>
      </c>
      <c r="I41" s="22" t="n">
        <f aca="false">IFERROR(MID(H41,SEARCH("+",H41),2),IFERROR(MID(H41,SEARCH("-",H41),2),IF(ISNUMBER(H41),H41,"")))</f>
        <v>2</v>
      </c>
      <c r="J41" s="14"/>
      <c r="K41" s="22" t="str">
        <f aca="false">VLOOKUP(H41,COLOR_EFFECTS,2,0)</f>
        <v>2</v>
      </c>
      <c r="L41" s="22" t="str">
        <f aca="false">VLOOKUP(H41,COLOR_EFFECTS,3,0)</f>
        <v>Standard</v>
      </c>
      <c r="M41" s="3" t="str">
        <f aca="false">E41&amp;" "&amp;K41</f>
        <v>Sonne 2</v>
      </c>
      <c r="N41" s="22" t="str">
        <f aca="false">G41 &amp; H41</f>
        <v>☉2</v>
      </c>
      <c r="O41" s="24" t="str">
        <f aca="false">VLOOKUP(H41,COLOR_EFFECTS,4,0)</f>
        <v> </v>
      </c>
    </row>
    <row r="42" customFormat="false" ht="13.8" hidden="false" customHeight="false" outlineLevel="0" collapsed="false">
      <c r="A42" s="1" t="n">
        <v>1</v>
      </c>
      <c r="B42" s="2" t="s">
        <v>18</v>
      </c>
      <c r="C42" s="3" t="str">
        <f aca="false">VLOOKUP(B42,CARD_COLORS,5,0)</f>
        <v>#FFEE00</v>
      </c>
      <c r="D42" s="22" t="str">
        <f aca="false">VLOOKUP(B42,CARD_COLORS,2,0)</f>
        <v>Gelb</v>
      </c>
      <c r="E42" s="22" t="str">
        <f aca="false">VLOOKUP(B42,CARD_COLORS,3,0)</f>
        <v>Sonne</v>
      </c>
      <c r="F42" s="23" t="str">
        <f aca="false">"Planets\" &amp; VLOOKUP(B42,CARD_COLORS,4,0) &amp; ".png"</f>
        <v>Planets\Sun.png</v>
      </c>
      <c r="G42" s="22" t="str">
        <f aca="false">VLOOKUP(B42,CARD_COLORS,6,0)</f>
        <v>☉</v>
      </c>
      <c r="H42" s="12" t="n">
        <v>3</v>
      </c>
      <c r="I42" s="22" t="n">
        <f aca="false">IFERROR(MID(H42,SEARCH("+",H42),2),IFERROR(MID(H42,SEARCH("-",H42),2),IF(ISNUMBER(H42),H42,"")))</f>
        <v>3</v>
      </c>
      <c r="J42" s="14"/>
      <c r="K42" s="22" t="str">
        <f aca="false">VLOOKUP(H42,COLOR_EFFECTS,2,0)</f>
        <v>3</v>
      </c>
      <c r="L42" s="22" t="str">
        <f aca="false">VLOOKUP(H42,COLOR_EFFECTS,3,0)</f>
        <v>Standard</v>
      </c>
      <c r="M42" s="3" t="str">
        <f aca="false">E42&amp;" "&amp;K42</f>
        <v>Sonne 3</v>
      </c>
      <c r="N42" s="22" t="str">
        <f aca="false">G42 &amp; H42</f>
        <v>☉3</v>
      </c>
      <c r="O42" s="24" t="str">
        <f aca="false">VLOOKUP(H42,COLOR_EFFECTS,4,0)</f>
        <v> </v>
      </c>
    </row>
    <row r="43" customFormat="false" ht="13.8" hidden="false" customHeight="false" outlineLevel="0" collapsed="false">
      <c r="A43" s="1" t="n">
        <v>1</v>
      </c>
      <c r="B43" s="2" t="s">
        <v>18</v>
      </c>
      <c r="C43" s="3" t="str">
        <f aca="false">VLOOKUP(B43,CARD_COLORS,5,0)</f>
        <v>#FFEE00</v>
      </c>
      <c r="D43" s="22" t="str">
        <f aca="false">VLOOKUP(B43,CARD_COLORS,2,0)</f>
        <v>Gelb</v>
      </c>
      <c r="E43" s="22" t="str">
        <f aca="false">VLOOKUP(B43,CARD_COLORS,3,0)</f>
        <v>Sonne</v>
      </c>
      <c r="F43" s="23" t="str">
        <f aca="false">"Planets\" &amp; VLOOKUP(B43,CARD_COLORS,4,0) &amp; ".png"</f>
        <v>Planets\Sun.png</v>
      </c>
      <c r="G43" s="22" t="str">
        <f aca="false">VLOOKUP(B43,CARD_COLORS,6,0)</f>
        <v>☉</v>
      </c>
      <c r="H43" s="12" t="n">
        <v>4</v>
      </c>
      <c r="I43" s="22" t="n">
        <f aca="false">IFERROR(MID(H43,SEARCH("+",H43),2),IFERROR(MID(H43,SEARCH("-",H43),2),IF(ISNUMBER(H43),H43,"")))</f>
        <v>4</v>
      </c>
      <c r="J43" s="14"/>
      <c r="K43" s="22" t="str">
        <f aca="false">VLOOKUP(H43,COLOR_EFFECTS,2,0)</f>
        <v>4</v>
      </c>
      <c r="L43" s="22" t="str">
        <f aca="false">VLOOKUP(H43,COLOR_EFFECTS,3,0)</f>
        <v>Standard</v>
      </c>
      <c r="M43" s="3" t="str">
        <f aca="false">E43&amp;" "&amp;K43</f>
        <v>Sonne 4</v>
      </c>
      <c r="N43" s="22" t="str">
        <f aca="false">G43 &amp; H43</f>
        <v>☉4</v>
      </c>
      <c r="O43" s="24" t="str">
        <f aca="false">VLOOKUP(H43,COLOR_EFFECTS,4,0)</f>
        <v> </v>
      </c>
    </row>
    <row r="44" customFormat="false" ht="13.8" hidden="false" customHeight="false" outlineLevel="0" collapsed="false">
      <c r="A44" s="1" t="n">
        <v>1</v>
      </c>
      <c r="B44" s="2" t="s">
        <v>18</v>
      </c>
      <c r="C44" s="3" t="str">
        <f aca="false">VLOOKUP(B44,CARD_COLORS,5,0)</f>
        <v>#FFEE00</v>
      </c>
      <c r="D44" s="22" t="str">
        <f aca="false">VLOOKUP(B44,CARD_COLORS,2,0)</f>
        <v>Gelb</v>
      </c>
      <c r="E44" s="22" t="str">
        <f aca="false">VLOOKUP(B44,CARD_COLORS,3,0)</f>
        <v>Sonne</v>
      </c>
      <c r="F44" s="23" t="str">
        <f aca="false">"Planets\" &amp; VLOOKUP(B44,CARD_COLORS,4,0) &amp; ".png"</f>
        <v>Planets\Sun.png</v>
      </c>
      <c r="G44" s="22" t="str">
        <f aca="false">VLOOKUP(B44,CARD_COLORS,6,0)</f>
        <v>☉</v>
      </c>
      <c r="H44" s="12" t="n">
        <v>5</v>
      </c>
      <c r="I44" s="22" t="n">
        <f aca="false">IFERROR(MID(H44,SEARCH("+",H44),2),IFERROR(MID(H44,SEARCH("-",H44),2),IF(ISNUMBER(H44),H44,"")))</f>
        <v>5</v>
      </c>
      <c r="J44" s="14"/>
      <c r="K44" s="22" t="str">
        <f aca="false">VLOOKUP(H44,COLOR_EFFECTS,2,0)</f>
        <v>5</v>
      </c>
      <c r="L44" s="22" t="str">
        <f aca="false">VLOOKUP(H44,COLOR_EFFECTS,3,0)</f>
        <v>Standard</v>
      </c>
      <c r="M44" s="3" t="str">
        <f aca="false">E44&amp;" "&amp;K44</f>
        <v>Sonne 5</v>
      </c>
      <c r="N44" s="22" t="str">
        <f aca="false">G44 &amp; H44</f>
        <v>☉5</v>
      </c>
      <c r="O44" s="24" t="str">
        <f aca="false">VLOOKUP(H44,COLOR_EFFECTS,4,0)</f>
        <v> </v>
      </c>
    </row>
    <row r="45" customFormat="false" ht="13.8" hidden="false" customHeight="false" outlineLevel="0" collapsed="false">
      <c r="A45" s="1" t="n">
        <v>1</v>
      </c>
      <c r="B45" s="2" t="s">
        <v>18</v>
      </c>
      <c r="C45" s="3" t="str">
        <f aca="false">VLOOKUP(B45,CARD_COLORS,5,0)</f>
        <v>#FFEE00</v>
      </c>
      <c r="D45" s="22" t="str">
        <f aca="false">VLOOKUP(B45,CARD_COLORS,2,0)</f>
        <v>Gelb</v>
      </c>
      <c r="E45" s="22" t="str">
        <f aca="false">VLOOKUP(B45,CARD_COLORS,3,0)</f>
        <v>Sonne</v>
      </c>
      <c r="F45" s="23" t="str">
        <f aca="false">"Planets\" &amp; VLOOKUP(B45,CARD_COLORS,4,0) &amp; ".png"</f>
        <v>Planets\Sun.png</v>
      </c>
      <c r="G45" s="22" t="str">
        <f aca="false">VLOOKUP(B45,CARD_COLORS,6,0)</f>
        <v>☉</v>
      </c>
      <c r="H45" s="12" t="n">
        <v>6</v>
      </c>
      <c r="I45" s="22" t="n">
        <f aca="false">IFERROR(MID(H45,SEARCH("+",H45),2),IFERROR(MID(H45,SEARCH("-",H45),2),IF(ISNUMBER(H45),H45,"")))</f>
        <v>6</v>
      </c>
      <c r="J45" s="14"/>
      <c r="K45" s="22" t="str">
        <f aca="false">VLOOKUP(H45,COLOR_EFFECTS,2,0)</f>
        <v>6</v>
      </c>
      <c r="L45" s="22" t="str">
        <f aca="false">VLOOKUP(H45,COLOR_EFFECTS,3,0)</f>
        <v>Standard</v>
      </c>
      <c r="M45" s="3" t="str">
        <f aca="false">E45&amp;" "&amp;K45</f>
        <v>Sonne 6</v>
      </c>
      <c r="N45" s="22" t="str">
        <f aca="false">G45 &amp; H45</f>
        <v>☉6</v>
      </c>
      <c r="O45" s="24" t="str">
        <f aca="false">VLOOKUP(H45,COLOR_EFFECTS,4,0)</f>
        <v> </v>
      </c>
    </row>
    <row r="46" customFormat="false" ht="13.8" hidden="false" customHeight="false" outlineLevel="0" collapsed="false">
      <c r="A46" s="1" t="n">
        <v>1</v>
      </c>
      <c r="B46" s="2" t="s">
        <v>18</v>
      </c>
      <c r="C46" s="3" t="str">
        <f aca="false">VLOOKUP(B46,CARD_COLORS,5,0)</f>
        <v>#FFEE00</v>
      </c>
      <c r="D46" s="22" t="str">
        <f aca="false">VLOOKUP(B46,CARD_COLORS,2,0)</f>
        <v>Gelb</v>
      </c>
      <c r="E46" s="22" t="str">
        <f aca="false">VLOOKUP(B46,CARD_COLORS,3,0)</f>
        <v>Sonne</v>
      </c>
      <c r="F46" s="23" t="str">
        <f aca="false">"Planets\" &amp; VLOOKUP(B46,CARD_COLORS,4,0) &amp; ".png"</f>
        <v>Planets\Sun.png</v>
      </c>
      <c r="G46" s="22" t="str">
        <f aca="false">VLOOKUP(B46,CARD_COLORS,6,0)</f>
        <v>☉</v>
      </c>
      <c r="H46" s="12" t="n">
        <v>7</v>
      </c>
      <c r="I46" s="22" t="n">
        <f aca="false">IFERROR(MID(H46,SEARCH("+",H46),2),IFERROR(MID(H46,SEARCH("-",H46),2),IF(ISNUMBER(H46),H46,"")))</f>
        <v>7</v>
      </c>
      <c r="J46" s="14"/>
      <c r="K46" s="22" t="str">
        <f aca="false">VLOOKUP(H46,COLOR_EFFECTS,2,0)</f>
        <v>7</v>
      </c>
      <c r="L46" s="22" t="str">
        <f aca="false">VLOOKUP(H46,COLOR_EFFECTS,3,0)</f>
        <v>Standard</v>
      </c>
      <c r="M46" s="3" t="str">
        <f aca="false">E46&amp;" "&amp;K46</f>
        <v>Sonne 7</v>
      </c>
      <c r="N46" s="22" t="str">
        <f aca="false">G46 &amp; H46</f>
        <v>☉7</v>
      </c>
      <c r="O46" s="24" t="str">
        <f aca="false">VLOOKUP(H46,COLOR_EFFECTS,4,0)</f>
        <v> </v>
      </c>
    </row>
    <row r="47" customFormat="false" ht="13.8" hidden="false" customHeight="false" outlineLevel="0" collapsed="false">
      <c r="A47" s="1" t="n">
        <v>1</v>
      </c>
      <c r="B47" s="2" t="s">
        <v>18</v>
      </c>
      <c r="C47" s="3" t="str">
        <f aca="false">VLOOKUP(B47,CARD_COLORS,5,0)</f>
        <v>#FFEE00</v>
      </c>
      <c r="D47" s="22" t="str">
        <f aca="false">VLOOKUP(B47,CARD_COLORS,2,0)</f>
        <v>Gelb</v>
      </c>
      <c r="E47" s="22" t="str">
        <f aca="false">VLOOKUP(B47,CARD_COLORS,3,0)</f>
        <v>Sonne</v>
      </c>
      <c r="F47" s="23" t="str">
        <f aca="false">"Planets\" &amp; VLOOKUP(B47,CARD_COLORS,4,0) &amp; ".png"</f>
        <v>Planets\Sun.png</v>
      </c>
      <c r="G47" s="22" t="str">
        <f aca="false">VLOOKUP(B47,CARD_COLORS,6,0)</f>
        <v>☉</v>
      </c>
      <c r="H47" s="12" t="n">
        <v>8</v>
      </c>
      <c r="I47" s="22" t="n">
        <f aca="false">IFERROR(MID(H47,SEARCH("+",H47),2),IFERROR(MID(H47,SEARCH("-",H47),2),IF(ISNUMBER(H47),H47,"")))</f>
        <v>8</v>
      </c>
      <c r="J47" s="14"/>
      <c r="K47" s="22" t="str">
        <f aca="false">VLOOKUP(H47,COLOR_EFFECTS,2,0)</f>
        <v>8</v>
      </c>
      <c r="L47" s="22" t="str">
        <f aca="false">VLOOKUP(H47,COLOR_EFFECTS,3,0)</f>
        <v>Standard</v>
      </c>
      <c r="M47" s="3" t="str">
        <f aca="false">E47&amp;" "&amp;K47</f>
        <v>Sonne 8</v>
      </c>
      <c r="N47" s="22" t="str">
        <f aca="false">G47 &amp; H47</f>
        <v>☉8</v>
      </c>
      <c r="O47" s="24" t="str">
        <f aca="false">VLOOKUP(H47,COLOR_EFFECTS,4,0)</f>
        <v> </v>
      </c>
    </row>
    <row r="48" customFormat="false" ht="13.8" hidden="false" customHeight="false" outlineLevel="0" collapsed="false">
      <c r="A48" s="1" t="n">
        <v>1</v>
      </c>
      <c r="B48" s="2" t="s">
        <v>18</v>
      </c>
      <c r="C48" s="3" t="str">
        <f aca="false">VLOOKUP(B48,CARD_COLORS,5,0)</f>
        <v>#FFEE00</v>
      </c>
      <c r="D48" s="22" t="str">
        <f aca="false">VLOOKUP(B48,CARD_COLORS,2,0)</f>
        <v>Gelb</v>
      </c>
      <c r="E48" s="22" t="str">
        <f aca="false">VLOOKUP(B48,CARD_COLORS,3,0)</f>
        <v>Sonne</v>
      </c>
      <c r="F48" s="23" t="str">
        <f aca="false">"Planets\" &amp; VLOOKUP(B48,CARD_COLORS,4,0) &amp; ".png"</f>
        <v>Planets\Sun.png</v>
      </c>
      <c r="G48" s="22" t="str">
        <f aca="false">VLOOKUP(B48,CARD_COLORS,6,0)</f>
        <v>☉</v>
      </c>
      <c r="H48" s="12" t="n">
        <v>9</v>
      </c>
      <c r="I48" s="22" t="n">
        <f aca="false">IFERROR(MID(H48,SEARCH("+",H48),2),IFERROR(MID(H48,SEARCH("-",H48),2),IF(ISNUMBER(H48),H48,"")))</f>
        <v>9</v>
      </c>
      <c r="J48" s="14"/>
      <c r="K48" s="22" t="str">
        <f aca="false">VLOOKUP(H48,COLOR_EFFECTS,2,0)</f>
        <v>9</v>
      </c>
      <c r="L48" s="22" t="str">
        <f aca="false">VLOOKUP(H48,COLOR_EFFECTS,3,0)</f>
        <v>Standard</v>
      </c>
      <c r="M48" s="3" t="str">
        <f aca="false">E48&amp;" "&amp;K48</f>
        <v>Sonne 9</v>
      </c>
      <c r="N48" s="22" t="str">
        <f aca="false">G48 &amp; H48</f>
        <v>☉9</v>
      </c>
      <c r="O48" s="24" t="str">
        <f aca="false">VLOOKUP(H48,COLOR_EFFECTS,4,0)</f>
        <v> </v>
      </c>
    </row>
    <row r="49" customFormat="false" ht="13.8" hidden="false" customHeight="false" outlineLevel="0" collapsed="false">
      <c r="A49" s="1" t="n">
        <v>1</v>
      </c>
      <c r="B49" s="2" t="s">
        <v>18</v>
      </c>
      <c r="C49" s="3" t="str">
        <f aca="false">VLOOKUP(B49,CARD_COLORS,5,0)</f>
        <v>#FFEE00</v>
      </c>
      <c r="D49" s="22" t="str">
        <f aca="false">VLOOKUP(B49,CARD_COLORS,2,0)</f>
        <v>Gelb</v>
      </c>
      <c r="E49" s="22" t="str">
        <f aca="false">VLOOKUP(B49,CARD_COLORS,3,0)</f>
        <v>Sonne</v>
      </c>
      <c r="F49" s="23" t="str">
        <f aca="false">"Planets\" &amp; VLOOKUP(B49,CARD_COLORS,4,0) &amp; ".png"</f>
        <v>Planets\Sun.png</v>
      </c>
      <c r="G49" s="22" t="str">
        <f aca="false">VLOOKUP(B49,CARD_COLORS,6,0)</f>
        <v>☉</v>
      </c>
      <c r="H49" s="12" t="s">
        <v>20</v>
      </c>
      <c r="I49" s="22" t="str">
        <f aca="false">IFERROR(MID(H49,SEARCH("+",H49),2),IFERROR(MID(H49,SEARCH("-",H49),2),IF(ISNUMBER(H49),H49,"")))</f>
        <v>+2</v>
      </c>
      <c r="J49" s="14"/>
      <c r="K49" s="22" t="str">
        <f aca="false">VLOOKUP(H49,COLOR_EFFECTS,2,0)</f>
        <v>+2</v>
      </c>
      <c r="L49" s="22" t="str">
        <f aca="false">VLOOKUP(H49,COLOR_EFFECTS,3,0)</f>
        <v>Falle</v>
      </c>
      <c r="M49" s="3" t="str">
        <f aca="false">E49&amp;" "&amp;K49</f>
        <v>Sonne +2</v>
      </c>
      <c r="N49" s="22" t="str">
        <f aca="false">G49 &amp; H49</f>
        <v>☉+2</v>
      </c>
      <c r="O49" s="24" t="str">
        <f aca="false">VLOOKUP(H49,COLOR_EFFECTS,4,0)</f>
        <v>Nächster Spieler muss 2 Karten aufnehmen</v>
      </c>
    </row>
    <row r="50" customFormat="false" ht="13.8" hidden="false" customHeight="false" outlineLevel="0" collapsed="false">
      <c r="A50" s="1" t="n">
        <v>1</v>
      </c>
      <c r="B50" s="2" t="s">
        <v>18</v>
      </c>
      <c r="C50" s="3" t="str">
        <f aca="false">VLOOKUP(B50,CARD_COLORS,5,0)</f>
        <v>#FFEE00</v>
      </c>
      <c r="D50" s="22" t="str">
        <f aca="false">VLOOKUP(B50,CARD_COLORS,2,0)</f>
        <v>Gelb</v>
      </c>
      <c r="E50" s="22" t="str">
        <f aca="false">VLOOKUP(B50,CARD_COLORS,3,0)</f>
        <v>Sonne</v>
      </c>
      <c r="F50" s="23" t="str">
        <f aca="false">"Planets\" &amp; VLOOKUP(B50,CARD_COLORS,4,0) &amp; ".png"</f>
        <v>Planets\Sun.png</v>
      </c>
      <c r="G50" s="22" t="str">
        <f aca="false">VLOOKUP(B50,CARD_COLORS,6,0)</f>
        <v>☉</v>
      </c>
      <c r="H50" s="12" t="s">
        <v>40</v>
      </c>
      <c r="I50" s="22" t="str">
        <f aca="false">IFERROR(MID(H50,SEARCH("+",H50),2),IFERROR(MID(H50,SEARCH("-",H50),2),IF(ISNUMBER(H50),H50,"")))</f>
        <v>+3</v>
      </c>
      <c r="J50" s="14"/>
      <c r="K50" s="22" t="str">
        <f aca="false">VLOOKUP(H50,COLOR_EFFECTS,2,0)</f>
        <v>+3</v>
      </c>
      <c r="L50" s="22" t="str">
        <f aca="false">VLOOKUP(H50,COLOR_EFFECTS,3,0)</f>
        <v>Falle</v>
      </c>
      <c r="M50" s="3" t="str">
        <f aca="false">E50&amp;" "&amp;K50</f>
        <v>Sonne +3</v>
      </c>
      <c r="N50" s="22" t="str">
        <f aca="false">G50 &amp; H50</f>
        <v>☉+3</v>
      </c>
      <c r="O50" s="24" t="str">
        <f aca="false">VLOOKUP(H50,COLOR_EFFECTS,4,0)</f>
        <v>Nächster Spieler muss 3 Karten aufnehmen</v>
      </c>
    </row>
    <row r="51" customFormat="false" ht="13.8" hidden="false" customHeight="false" outlineLevel="0" collapsed="false">
      <c r="A51" s="1" t="n">
        <v>1</v>
      </c>
      <c r="B51" s="2" t="s">
        <v>18</v>
      </c>
      <c r="C51" s="3" t="str">
        <f aca="false">VLOOKUP(B51,CARD_COLORS,5,0)</f>
        <v>#FFEE00</v>
      </c>
      <c r="D51" s="22" t="str">
        <f aca="false">VLOOKUP(B51,CARD_COLORS,2,0)</f>
        <v>Gelb</v>
      </c>
      <c r="E51" s="22" t="str">
        <f aca="false">VLOOKUP(B51,CARD_COLORS,3,0)</f>
        <v>Sonne</v>
      </c>
      <c r="F51" s="23" t="str">
        <f aca="false">"Planets\" &amp; VLOOKUP(B51,CARD_COLORS,4,0) &amp; ".png"</f>
        <v>Planets\Sun.png</v>
      </c>
      <c r="G51" s="22" t="str">
        <f aca="false">VLOOKUP(B51,CARD_COLORS,6,0)</f>
        <v>☉</v>
      </c>
      <c r="H51" s="12" t="s">
        <v>22</v>
      </c>
      <c r="I51" s="22" t="str">
        <f aca="false">IFERROR(MID(H51,SEARCH("+",H51),2),IFERROR(MID(H51,SEARCH("-",H51),2),IF(ISNUMBER(H51),H51,"")))</f>
        <v/>
      </c>
      <c r="J51" s="14" t="s">
        <v>23</v>
      </c>
      <c r="K51" s="22" t="str">
        <f aca="false">VLOOKUP(H51,COLOR_EFFECTS,2,0)</f>
        <v>Umkehrung</v>
      </c>
      <c r="L51" s="22" t="str">
        <f aca="false">VLOOKUP(H51,COLOR_EFFECTS,3,0)</f>
        <v>Aktion</v>
      </c>
      <c r="M51" s="3" t="str">
        <f aca="false">E51&amp;" "&amp;K51</f>
        <v>Sonne Umkehrung</v>
      </c>
      <c r="N51" s="22" t="str">
        <f aca="false">G51 &amp; H51</f>
        <v>☉🔄</v>
      </c>
      <c r="O51" s="24" t="str">
        <f aca="false">VLOOKUP(H51,COLOR_EFFECTS,4,0)</f>
        <v>Spielrichtung andersherum</v>
      </c>
    </row>
    <row r="52" customFormat="false" ht="13.8" hidden="false" customHeight="false" outlineLevel="0" collapsed="false">
      <c r="A52" s="1" t="n">
        <v>1</v>
      </c>
      <c r="B52" s="2" t="s">
        <v>18</v>
      </c>
      <c r="C52" s="3" t="str">
        <f aca="false">VLOOKUP(B52,CARD_COLORS,5,0)</f>
        <v>#FFEE00</v>
      </c>
      <c r="D52" s="22" t="str">
        <f aca="false">VLOOKUP(B52,CARD_COLORS,2,0)</f>
        <v>Gelb</v>
      </c>
      <c r="E52" s="22" t="str">
        <f aca="false">VLOOKUP(B52,CARD_COLORS,3,0)</f>
        <v>Sonne</v>
      </c>
      <c r="F52" s="23" t="str">
        <f aca="false">"Planets\" &amp; VLOOKUP(B52,CARD_COLORS,4,0) &amp; ".png"</f>
        <v>Planets\Sun.png</v>
      </c>
      <c r="G52" s="22" t="str">
        <f aca="false">VLOOKUP(B52,CARD_COLORS,6,0)</f>
        <v>☉</v>
      </c>
      <c r="H52" s="12" t="s">
        <v>25</v>
      </c>
      <c r="I52" s="22" t="str">
        <f aca="false">IFERROR(MID(H52,SEARCH("+",H52),2),IFERROR(MID(H52,SEARCH("-",H52),2),IF(ISNUMBER(H52),H52,"")))</f>
        <v/>
      </c>
      <c r="J52" s="14" t="s">
        <v>26</v>
      </c>
      <c r="K52" s="22" t="str">
        <f aca="false">VLOOKUP(H52,COLOR_EFFECTS,2,0)</f>
        <v>Blockade</v>
      </c>
      <c r="L52" s="22" t="str">
        <f aca="false">VLOOKUP(H52,COLOR_EFFECTS,3,0)</f>
        <v>Aktion</v>
      </c>
      <c r="M52" s="3" t="str">
        <f aca="false">E52&amp;" "&amp;K52</f>
        <v>Sonne Blockade</v>
      </c>
      <c r="N52" s="22" t="str">
        <f aca="false">G52 &amp; H52</f>
        <v>☉🚫</v>
      </c>
      <c r="O52" s="24" t="str">
        <f aca="false">VLOOKUP(H52,COLOR_EFFECTS,4,0)</f>
        <v>Nächster Spieler muss aussetzen</v>
      </c>
    </row>
    <row r="53" customFormat="false" ht="13.8" hidden="false" customHeight="false" outlineLevel="0" collapsed="false">
      <c r="A53" s="1" t="n">
        <v>1</v>
      </c>
      <c r="B53" s="2" t="s">
        <v>18</v>
      </c>
      <c r="C53" s="3" t="str">
        <f aca="false">VLOOKUP(B53,CARD_COLORS,5,0)</f>
        <v>#FFEE00</v>
      </c>
      <c r="D53" s="22" t="str">
        <f aca="false">VLOOKUP(B53,CARD_COLORS,2,0)</f>
        <v>Gelb</v>
      </c>
      <c r="E53" s="22" t="str">
        <f aca="false">VLOOKUP(B53,CARD_COLORS,3,0)</f>
        <v>Sonne</v>
      </c>
      <c r="F53" s="23" t="str">
        <f aca="false">"Planets\" &amp; VLOOKUP(B53,CARD_COLORS,4,0) &amp; ".png"</f>
        <v>Planets\Sun.png</v>
      </c>
      <c r="G53" s="22" t="str">
        <f aca="false">VLOOKUP(B53,CARD_COLORS,6,0)</f>
        <v>☉</v>
      </c>
      <c r="H53" s="12" t="s">
        <v>28</v>
      </c>
      <c r="I53" s="22" t="str">
        <f aca="false">IFERROR(MID(H53,SEARCH("+",H53),2),IFERROR(MID(H53,SEARCH("-",H53),2),IF(ISNUMBER(H53),H53,"")))</f>
        <v/>
      </c>
      <c r="J53" s="14" t="s">
        <v>29</v>
      </c>
      <c r="K53" s="22" t="str">
        <f aca="false">VLOOKUP(H53,COLOR_EFFECTS,2,0)</f>
        <v>Wiederholung</v>
      </c>
      <c r="L53" s="22" t="str">
        <f aca="false">VLOOKUP(H53,COLOR_EFFECTS,3,0)</f>
        <v>Aktion</v>
      </c>
      <c r="M53" s="3" t="str">
        <f aca="false">E53&amp;" "&amp;K53</f>
        <v>Sonne Wiederholung</v>
      </c>
      <c r="N53" s="22" t="str">
        <f aca="false">G53 &amp; H53</f>
        <v>☉🔂</v>
      </c>
      <c r="O53" s="24" t="str">
        <f aca="false">VLOOKUP(H53,COLOR_EFFECTS,4,0)</f>
        <v>Ein weiterer Zug</v>
      </c>
    </row>
    <row r="54" customFormat="false" ht="13.8" hidden="false" customHeight="false" outlineLevel="0" collapsed="false">
      <c r="A54" s="1" t="n">
        <v>1</v>
      </c>
      <c r="B54" s="2" t="s">
        <v>18</v>
      </c>
      <c r="C54" s="3" t="str">
        <f aca="false">VLOOKUP(B54,CARD_COLORS,5,0)</f>
        <v>#FFEE00</v>
      </c>
      <c r="D54" s="22" t="str">
        <f aca="false">VLOOKUP(B54,CARD_COLORS,2,0)</f>
        <v>Gelb</v>
      </c>
      <c r="E54" s="22" t="str">
        <f aca="false">VLOOKUP(B54,CARD_COLORS,3,0)</f>
        <v>Sonne</v>
      </c>
      <c r="F54" s="23" t="str">
        <f aca="false">"Planets\" &amp; VLOOKUP(B54,CARD_COLORS,4,0) &amp; ".png"</f>
        <v>Planets\Sun.png</v>
      </c>
      <c r="G54" s="22" t="str">
        <f aca="false">VLOOKUP(B54,CARD_COLORS,6,0)</f>
        <v>☉</v>
      </c>
      <c r="H54" s="12" t="s">
        <v>31</v>
      </c>
      <c r="I54" s="22" t="str">
        <f aca="false">IFERROR(MID(H54,SEARCH("+",H54),2),IFERROR(MID(H54,SEARCH("-",H54),2),IF(ISNUMBER(H54),H54,"")))</f>
        <v/>
      </c>
      <c r="J54" s="14" t="s">
        <v>32</v>
      </c>
      <c r="K54" s="22" t="str">
        <f aca="false">VLOOKUP(H54,COLOR_EFFECTS,2,0)</f>
        <v>Eis</v>
      </c>
      <c r="L54" s="22" t="str">
        <f aca="false">VLOOKUP(H54,COLOR_EFFECTS,3,0)</f>
        <v>Aktion</v>
      </c>
      <c r="M54" s="3" t="str">
        <f aca="false">E54&amp;" "&amp;K54</f>
        <v>Sonne Eis</v>
      </c>
      <c r="N54" s="22" t="str">
        <f aca="false">G54 &amp; H54</f>
        <v>☉❄️</v>
      </c>
      <c r="O54" s="24" t="str">
        <f aca="false">VLOOKUP(H54,COLOR_EFFECTS,4,0)</f>
        <v>Farbe muss für eine komplette Runde beibehalten werden</v>
      </c>
    </row>
    <row r="55" customFormat="false" ht="13.8" hidden="false" customHeight="false" outlineLevel="0" collapsed="false">
      <c r="A55" s="1" t="n">
        <v>1</v>
      </c>
      <c r="B55" s="2" t="s">
        <v>18</v>
      </c>
      <c r="C55" s="3" t="str">
        <f aca="false">VLOOKUP(B55,CARD_COLORS,5,0)</f>
        <v>#FFEE00</v>
      </c>
      <c r="D55" s="22" t="str">
        <f aca="false">VLOOKUP(B55,CARD_COLORS,2,0)</f>
        <v>Gelb</v>
      </c>
      <c r="E55" s="22" t="str">
        <f aca="false">VLOOKUP(B55,CARD_COLORS,3,0)</f>
        <v>Sonne</v>
      </c>
      <c r="F55" s="23" t="str">
        <f aca="false">"Planets\" &amp; VLOOKUP(B55,CARD_COLORS,4,0) &amp; ".png"</f>
        <v>Planets\Sun.png</v>
      </c>
      <c r="G55" s="22" t="str">
        <f aca="false">VLOOKUP(B55,CARD_COLORS,6,0)</f>
        <v>☉</v>
      </c>
      <c r="H55" s="12" t="s">
        <v>34</v>
      </c>
      <c r="I55" s="22" t="str">
        <f aca="false">IFERROR(MID(H55,SEARCH("+",H55),2),IFERROR(MID(H55,SEARCH("-",H55),2),IF(ISNUMBER(H55),H55,"")))</f>
        <v/>
      </c>
      <c r="J55" s="14" t="s">
        <v>35</v>
      </c>
      <c r="K55" s="22" t="str">
        <f aca="false">VLOOKUP(H55,COLOR_EFFECTS,2,0)</f>
        <v>Feuer</v>
      </c>
      <c r="L55" s="22" t="str">
        <f aca="false">VLOOKUP(H55,COLOR_EFFECTS,3,0)</f>
        <v>Aktion</v>
      </c>
      <c r="M55" s="3" t="str">
        <f aca="false">E55&amp;" "&amp;K55</f>
        <v>Sonne Feuer</v>
      </c>
      <c r="N55" s="22" t="str">
        <f aca="false">G55 &amp; H55</f>
        <v>☉🔥</v>
      </c>
      <c r="O55" s="24" t="str">
        <f aca="false">VLOOKUP(H55,COLOR_EFFECTS,4,0)</f>
        <v>Farbe darf bis zur nächsten Runde nicht gespielt werden</v>
      </c>
    </row>
    <row r="56" customFormat="false" ht="13.8" hidden="false" customHeight="false" outlineLevel="0" collapsed="false">
      <c r="A56" s="1" t="n">
        <v>1</v>
      </c>
      <c r="B56" s="2" t="s">
        <v>18</v>
      </c>
      <c r="C56" s="3" t="str">
        <f aca="false">VLOOKUP(B56,CARD_COLORS,5,0)</f>
        <v>#FFEE00</v>
      </c>
      <c r="D56" s="22" t="str">
        <f aca="false">VLOOKUP(B56,CARD_COLORS,2,0)</f>
        <v>Gelb</v>
      </c>
      <c r="E56" s="22" t="str">
        <f aca="false">VLOOKUP(B56,CARD_COLORS,3,0)</f>
        <v>Sonne</v>
      </c>
      <c r="F56" s="23" t="str">
        <f aca="false">"Planets\" &amp; VLOOKUP(B56,CARD_COLORS,4,0) &amp; ".png"</f>
        <v>Planets\Sun.png</v>
      </c>
      <c r="G56" s="22" t="str">
        <f aca="false">VLOOKUP(B56,CARD_COLORS,6,0)</f>
        <v>☉</v>
      </c>
      <c r="H56" s="12" t="s">
        <v>37</v>
      </c>
      <c r="I56" s="22" t="str">
        <f aca="false">IFERROR(MID(H56,SEARCH("+",H56),2),IFERROR(MID(H56,SEARCH("-",H56),2),IF(ISNUMBER(H56),H56,"")))</f>
        <v/>
      </c>
      <c r="J56" s="14" t="s">
        <v>38</v>
      </c>
      <c r="K56" s="22" t="str">
        <f aca="false">VLOOKUP(H56,COLOR_EFFECTS,2,0)</f>
        <v>Fokus</v>
      </c>
      <c r="L56" s="22" t="str">
        <f aca="false">VLOOKUP(H56,COLOR_EFFECTS,3,0)</f>
        <v>Aktion</v>
      </c>
      <c r="M56" s="3" t="str">
        <f aca="false">E56&amp;" "&amp;K56</f>
        <v>Sonne Fokus</v>
      </c>
      <c r="N56" s="22" t="str">
        <f aca="false">G56 &amp; H56</f>
        <v>☉🎯</v>
      </c>
      <c r="O56" s="24" t="str">
        <f aca="false">VLOOKUP(H56,COLOR_EFFECTS,4,0)</f>
        <v>Wähle den nächsten Spieler</v>
      </c>
    </row>
    <row r="57" customFormat="false" ht="13.8" hidden="false" customHeight="false" outlineLevel="0" collapsed="false">
      <c r="A57" s="1" t="n">
        <v>1</v>
      </c>
      <c r="B57" s="2" t="s">
        <v>19</v>
      </c>
      <c r="C57" s="3" t="str">
        <f aca="false">VLOOKUP(B57,CARD_COLORS,5,0)</f>
        <v>#884400</v>
      </c>
      <c r="D57" s="22" t="str">
        <f aca="false">VLOOKUP(B57,CARD_COLORS,2,0)</f>
        <v>Braun</v>
      </c>
      <c r="E57" s="22" t="str">
        <f aca="false">VLOOKUP(B57,CARD_COLORS,3,0)</f>
        <v>Saturn</v>
      </c>
      <c r="F57" s="23" t="str">
        <f aca="false">"Planets\" &amp; VLOOKUP(B57,CARD_COLORS,4,0) &amp; ".png"</f>
        <v>Planets\Saturn.png</v>
      </c>
      <c r="G57" s="22" t="str">
        <f aca="false">VLOOKUP(B57,CARD_COLORS,6,0)</f>
        <v>♄</v>
      </c>
      <c r="H57" s="12" t="n">
        <v>0</v>
      </c>
      <c r="I57" s="22" t="n">
        <f aca="false">IFERROR(MID(H57,SEARCH("+",H57),2),IFERROR(MID(H57,SEARCH("-",H57),2),IF(ISNUMBER(H57),H57,"")))</f>
        <v>0</v>
      </c>
      <c r="J57" s="14"/>
      <c r="K57" s="22" t="str">
        <f aca="false">VLOOKUP(H57,COLOR_EFFECTS,2,0)</f>
        <v>0</v>
      </c>
      <c r="L57" s="22" t="str">
        <f aca="false">VLOOKUP(H57,COLOR_EFFECTS,3,0)</f>
        <v>Standard</v>
      </c>
      <c r="M57" s="3" t="str">
        <f aca="false">E57&amp;" "&amp;K57</f>
        <v>Saturn 0</v>
      </c>
      <c r="N57" s="22" t="str">
        <f aca="false">G57 &amp; H57</f>
        <v>♄0</v>
      </c>
      <c r="O57" s="24" t="str">
        <f aca="false">VLOOKUP(H57,COLOR_EFFECTS,4,0)</f>
        <v> </v>
      </c>
    </row>
    <row r="58" customFormat="false" ht="13.8" hidden="false" customHeight="false" outlineLevel="0" collapsed="false">
      <c r="A58" s="1" t="n">
        <v>1</v>
      </c>
      <c r="B58" s="2" t="s">
        <v>19</v>
      </c>
      <c r="C58" s="3" t="str">
        <f aca="false">VLOOKUP(B58,CARD_COLORS,5,0)</f>
        <v>#884400</v>
      </c>
      <c r="D58" s="22" t="str">
        <f aca="false">VLOOKUP(B58,CARD_COLORS,2,0)</f>
        <v>Braun</v>
      </c>
      <c r="E58" s="22" t="str">
        <f aca="false">VLOOKUP(B58,CARD_COLORS,3,0)</f>
        <v>Saturn</v>
      </c>
      <c r="F58" s="23" t="str">
        <f aca="false">"Planets\" &amp; VLOOKUP(B58,CARD_COLORS,4,0) &amp; ".png"</f>
        <v>Planets\Saturn.png</v>
      </c>
      <c r="G58" s="22" t="str">
        <f aca="false">VLOOKUP(B58,CARD_COLORS,6,0)</f>
        <v>♄</v>
      </c>
      <c r="H58" s="12" t="n">
        <v>1</v>
      </c>
      <c r="I58" s="22" t="n">
        <f aca="false">IFERROR(MID(H58,SEARCH("+",H58),2),IFERROR(MID(H58,SEARCH("-",H58),2),IF(ISNUMBER(H58),H58,"")))</f>
        <v>1</v>
      </c>
      <c r="J58" s="14"/>
      <c r="K58" s="22" t="str">
        <f aca="false">VLOOKUP(H58,COLOR_EFFECTS,2,0)</f>
        <v>1</v>
      </c>
      <c r="L58" s="22" t="str">
        <f aca="false">VLOOKUP(H58,COLOR_EFFECTS,3,0)</f>
        <v>Standard</v>
      </c>
      <c r="M58" s="3" t="str">
        <f aca="false">E58&amp;" "&amp;K58</f>
        <v>Saturn 1</v>
      </c>
      <c r="N58" s="22" t="str">
        <f aca="false">G58 &amp; H58</f>
        <v>♄1</v>
      </c>
      <c r="O58" s="24" t="str">
        <f aca="false">VLOOKUP(H58,COLOR_EFFECTS,4,0)</f>
        <v> </v>
      </c>
    </row>
    <row r="59" customFormat="false" ht="13.8" hidden="false" customHeight="false" outlineLevel="0" collapsed="false">
      <c r="A59" s="1" t="n">
        <v>1</v>
      </c>
      <c r="B59" s="2" t="s">
        <v>19</v>
      </c>
      <c r="C59" s="3" t="str">
        <f aca="false">VLOOKUP(B59,CARD_COLORS,5,0)</f>
        <v>#884400</v>
      </c>
      <c r="D59" s="22" t="str">
        <f aca="false">VLOOKUP(B59,CARD_COLORS,2,0)</f>
        <v>Braun</v>
      </c>
      <c r="E59" s="22" t="str">
        <f aca="false">VLOOKUP(B59,CARD_COLORS,3,0)</f>
        <v>Saturn</v>
      </c>
      <c r="F59" s="23" t="str">
        <f aca="false">"Planets\" &amp; VLOOKUP(B59,CARD_COLORS,4,0) &amp; ".png"</f>
        <v>Planets\Saturn.png</v>
      </c>
      <c r="G59" s="22" t="str">
        <f aca="false">VLOOKUP(B59,CARD_COLORS,6,0)</f>
        <v>♄</v>
      </c>
      <c r="H59" s="12" t="n">
        <v>2</v>
      </c>
      <c r="I59" s="22" t="n">
        <f aca="false">IFERROR(MID(H59,SEARCH("+",H59),2),IFERROR(MID(H59,SEARCH("-",H59),2),IF(ISNUMBER(H59),H59,"")))</f>
        <v>2</v>
      </c>
      <c r="J59" s="14"/>
      <c r="K59" s="22" t="str">
        <f aca="false">VLOOKUP(H59,COLOR_EFFECTS,2,0)</f>
        <v>2</v>
      </c>
      <c r="L59" s="22" t="str">
        <f aca="false">VLOOKUP(H59,COLOR_EFFECTS,3,0)</f>
        <v>Standard</v>
      </c>
      <c r="M59" s="3" t="str">
        <f aca="false">E59&amp;" "&amp;K59</f>
        <v>Saturn 2</v>
      </c>
      <c r="N59" s="22" t="str">
        <f aca="false">G59 &amp; H59</f>
        <v>♄2</v>
      </c>
      <c r="O59" s="24" t="str">
        <f aca="false">VLOOKUP(H59,COLOR_EFFECTS,4,0)</f>
        <v> </v>
      </c>
    </row>
    <row r="60" customFormat="false" ht="13.8" hidden="false" customHeight="false" outlineLevel="0" collapsed="false">
      <c r="A60" s="1" t="n">
        <v>1</v>
      </c>
      <c r="B60" s="2" t="s">
        <v>19</v>
      </c>
      <c r="C60" s="3" t="str">
        <f aca="false">VLOOKUP(B60,CARD_COLORS,5,0)</f>
        <v>#884400</v>
      </c>
      <c r="D60" s="22" t="str">
        <f aca="false">VLOOKUP(B60,CARD_COLORS,2,0)</f>
        <v>Braun</v>
      </c>
      <c r="E60" s="22" t="str">
        <f aca="false">VLOOKUP(B60,CARD_COLORS,3,0)</f>
        <v>Saturn</v>
      </c>
      <c r="F60" s="23" t="str">
        <f aca="false">"Planets\" &amp; VLOOKUP(B60,CARD_COLORS,4,0) &amp; ".png"</f>
        <v>Planets\Saturn.png</v>
      </c>
      <c r="G60" s="22" t="str">
        <f aca="false">VLOOKUP(B60,CARD_COLORS,6,0)</f>
        <v>♄</v>
      </c>
      <c r="H60" s="12" t="n">
        <v>3</v>
      </c>
      <c r="I60" s="22" t="n">
        <f aca="false">IFERROR(MID(H60,SEARCH("+",H60),2),IFERROR(MID(H60,SEARCH("-",H60),2),IF(ISNUMBER(H60),H60,"")))</f>
        <v>3</v>
      </c>
      <c r="J60" s="14"/>
      <c r="K60" s="22" t="str">
        <f aca="false">VLOOKUP(H60,COLOR_EFFECTS,2,0)</f>
        <v>3</v>
      </c>
      <c r="L60" s="22" t="str">
        <f aca="false">VLOOKUP(H60,COLOR_EFFECTS,3,0)</f>
        <v>Standard</v>
      </c>
      <c r="M60" s="3" t="str">
        <f aca="false">E60&amp;" "&amp;K60</f>
        <v>Saturn 3</v>
      </c>
      <c r="N60" s="22" t="str">
        <f aca="false">G60 &amp; H60</f>
        <v>♄3</v>
      </c>
      <c r="O60" s="24" t="str">
        <f aca="false">VLOOKUP(H60,COLOR_EFFECTS,4,0)</f>
        <v> </v>
      </c>
    </row>
    <row r="61" customFormat="false" ht="13.8" hidden="false" customHeight="false" outlineLevel="0" collapsed="false">
      <c r="A61" s="1" t="n">
        <v>1</v>
      </c>
      <c r="B61" s="2" t="s">
        <v>19</v>
      </c>
      <c r="C61" s="3" t="str">
        <f aca="false">VLOOKUP(B61,CARD_COLORS,5,0)</f>
        <v>#884400</v>
      </c>
      <c r="D61" s="22" t="str">
        <f aca="false">VLOOKUP(B61,CARD_COLORS,2,0)</f>
        <v>Braun</v>
      </c>
      <c r="E61" s="22" t="str">
        <f aca="false">VLOOKUP(B61,CARD_COLORS,3,0)</f>
        <v>Saturn</v>
      </c>
      <c r="F61" s="23" t="str">
        <f aca="false">"Planets\" &amp; VLOOKUP(B61,CARD_COLORS,4,0) &amp; ".png"</f>
        <v>Planets\Saturn.png</v>
      </c>
      <c r="G61" s="22" t="str">
        <f aca="false">VLOOKUP(B61,CARD_COLORS,6,0)</f>
        <v>♄</v>
      </c>
      <c r="H61" s="12" t="n">
        <v>4</v>
      </c>
      <c r="I61" s="22" t="n">
        <f aca="false">IFERROR(MID(H61,SEARCH("+",H61),2),IFERROR(MID(H61,SEARCH("-",H61),2),IF(ISNUMBER(H61),H61,"")))</f>
        <v>4</v>
      </c>
      <c r="J61" s="14"/>
      <c r="K61" s="22" t="str">
        <f aca="false">VLOOKUP(H61,COLOR_EFFECTS,2,0)</f>
        <v>4</v>
      </c>
      <c r="L61" s="22" t="str">
        <f aca="false">VLOOKUP(H61,COLOR_EFFECTS,3,0)</f>
        <v>Standard</v>
      </c>
      <c r="M61" s="3" t="str">
        <f aca="false">E61&amp;" "&amp;K61</f>
        <v>Saturn 4</v>
      </c>
      <c r="N61" s="22" t="str">
        <f aca="false">G61 &amp; H61</f>
        <v>♄4</v>
      </c>
      <c r="O61" s="24" t="str">
        <f aca="false">VLOOKUP(H61,COLOR_EFFECTS,4,0)</f>
        <v> </v>
      </c>
    </row>
    <row r="62" customFormat="false" ht="13.8" hidden="false" customHeight="false" outlineLevel="0" collapsed="false">
      <c r="A62" s="1" t="n">
        <v>1</v>
      </c>
      <c r="B62" s="2" t="s">
        <v>19</v>
      </c>
      <c r="C62" s="3" t="str">
        <f aca="false">VLOOKUP(B62,CARD_COLORS,5,0)</f>
        <v>#884400</v>
      </c>
      <c r="D62" s="22" t="str">
        <f aca="false">VLOOKUP(B62,CARD_COLORS,2,0)</f>
        <v>Braun</v>
      </c>
      <c r="E62" s="22" t="str">
        <f aca="false">VLOOKUP(B62,CARD_COLORS,3,0)</f>
        <v>Saturn</v>
      </c>
      <c r="F62" s="23" t="str">
        <f aca="false">"Planets\" &amp; VLOOKUP(B62,CARD_COLORS,4,0) &amp; ".png"</f>
        <v>Planets\Saturn.png</v>
      </c>
      <c r="G62" s="22" t="str">
        <f aca="false">VLOOKUP(B62,CARD_COLORS,6,0)</f>
        <v>♄</v>
      </c>
      <c r="H62" s="12" t="n">
        <v>5</v>
      </c>
      <c r="I62" s="22" t="n">
        <f aca="false">IFERROR(MID(H62,SEARCH("+",H62),2),IFERROR(MID(H62,SEARCH("-",H62),2),IF(ISNUMBER(H62),H62,"")))</f>
        <v>5</v>
      </c>
      <c r="J62" s="14"/>
      <c r="K62" s="22" t="str">
        <f aca="false">VLOOKUP(H62,COLOR_EFFECTS,2,0)</f>
        <v>5</v>
      </c>
      <c r="L62" s="22" t="str">
        <f aca="false">VLOOKUP(H62,COLOR_EFFECTS,3,0)</f>
        <v>Standard</v>
      </c>
      <c r="M62" s="3" t="str">
        <f aca="false">E62&amp;" "&amp;K62</f>
        <v>Saturn 5</v>
      </c>
      <c r="N62" s="22" t="str">
        <f aca="false">G62 &amp; H62</f>
        <v>♄5</v>
      </c>
      <c r="O62" s="24" t="str">
        <f aca="false">VLOOKUP(H62,COLOR_EFFECTS,4,0)</f>
        <v> </v>
      </c>
    </row>
    <row r="63" customFormat="false" ht="13.8" hidden="false" customHeight="false" outlineLevel="0" collapsed="false">
      <c r="A63" s="1" t="n">
        <v>1</v>
      </c>
      <c r="B63" s="2" t="s">
        <v>19</v>
      </c>
      <c r="C63" s="3" t="str">
        <f aca="false">VLOOKUP(B63,CARD_COLORS,5,0)</f>
        <v>#884400</v>
      </c>
      <c r="D63" s="22" t="str">
        <f aca="false">VLOOKUP(B63,CARD_COLORS,2,0)</f>
        <v>Braun</v>
      </c>
      <c r="E63" s="22" t="str">
        <f aca="false">VLOOKUP(B63,CARD_COLORS,3,0)</f>
        <v>Saturn</v>
      </c>
      <c r="F63" s="23" t="str">
        <f aca="false">"Planets\" &amp; VLOOKUP(B63,CARD_COLORS,4,0) &amp; ".png"</f>
        <v>Planets\Saturn.png</v>
      </c>
      <c r="G63" s="22" t="str">
        <f aca="false">VLOOKUP(B63,CARD_COLORS,6,0)</f>
        <v>♄</v>
      </c>
      <c r="H63" s="12" t="n">
        <v>6</v>
      </c>
      <c r="I63" s="22" t="n">
        <f aca="false">IFERROR(MID(H63,SEARCH("+",H63),2),IFERROR(MID(H63,SEARCH("-",H63),2),IF(ISNUMBER(H63),H63,"")))</f>
        <v>6</v>
      </c>
      <c r="J63" s="14"/>
      <c r="K63" s="22" t="str">
        <f aca="false">VLOOKUP(H63,COLOR_EFFECTS,2,0)</f>
        <v>6</v>
      </c>
      <c r="L63" s="22" t="str">
        <f aca="false">VLOOKUP(H63,COLOR_EFFECTS,3,0)</f>
        <v>Standard</v>
      </c>
      <c r="M63" s="3" t="str">
        <f aca="false">E63&amp;" "&amp;K63</f>
        <v>Saturn 6</v>
      </c>
      <c r="N63" s="22" t="str">
        <f aca="false">G63 &amp; H63</f>
        <v>♄6</v>
      </c>
      <c r="O63" s="24" t="str">
        <f aca="false">VLOOKUP(H63,COLOR_EFFECTS,4,0)</f>
        <v> </v>
      </c>
    </row>
    <row r="64" customFormat="false" ht="13.8" hidden="false" customHeight="false" outlineLevel="0" collapsed="false">
      <c r="A64" s="1" t="n">
        <v>1</v>
      </c>
      <c r="B64" s="2" t="s">
        <v>19</v>
      </c>
      <c r="C64" s="3" t="str">
        <f aca="false">VLOOKUP(B64,CARD_COLORS,5,0)</f>
        <v>#884400</v>
      </c>
      <c r="D64" s="22" t="str">
        <f aca="false">VLOOKUP(B64,CARD_COLORS,2,0)</f>
        <v>Braun</v>
      </c>
      <c r="E64" s="22" t="str">
        <f aca="false">VLOOKUP(B64,CARD_COLORS,3,0)</f>
        <v>Saturn</v>
      </c>
      <c r="F64" s="23" t="str">
        <f aca="false">"Planets\" &amp; VLOOKUP(B64,CARD_COLORS,4,0) &amp; ".png"</f>
        <v>Planets\Saturn.png</v>
      </c>
      <c r="G64" s="22" t="str">
        <f aca="false">VLOOKUP(B64,CARD_COLORS,6,0)</f>
        <v>♄</v>
      </c>
      <c r="H64" s="12" t="n">
        <v>7</v>
      </c>
      <c r="I64" s="22" t="n">
        <f aca="false">IFERROR(MID(H64,SEARCH("+",H64),2),IFERROR(MID(H64,SEARCH("-",H64),2),IF(ISNUMBER(H64),H64,"")))</f>
        <v>7</v>
      </c>
      <c r="J64" s="14"/>
      <c r="K64" s="22" t="str">
        <f aca="false">VLOOKUP(H64,COLOR_EFFECTS,2,0)</f>
        <v>7</v>
      </c>
      <c r="L64" s="22" t="str">
        <f aca="false">VLOOKUP(H64,COLOR_EFFECTS,3,0)</f>
        <v>Standard</v>
      </c>
      <c r="M64" s="3" t="str">
        <f aca="false">E64&amp;" "&amp;K64</f>
        <v>Saturn 7</v>
      </c>
      <c r="N64" s="22" t="str">
        <f aca="false">G64 &amp; H64</f>
        <v>♄7</v>
      </c>
      <c r="O64" s="24" t="str">
        <f aca="false">VLOOKUP(H64,COLOR_EFFECTS,4,0)</f>
        <v> </v>
      </c>
    </row>
    <row r="65" customFormat="false" ht="13.8" hidden="false" customHeight="false" outlineLevel="0" collapsed="false">
      <c r="A65" s="1" t="n">
        <v>1</v>
      </c>
      <c r="B65" s="2" t="s">
        <v>19</v>
      </c>
      <c r="C65" s="3" t="str">
        <f aca="false">VLOOKUP(B65,CARD_COLORS,5,0)</f>
        <v>#884400</v>
      </c>
      <c r="D65" s="22" t="str">
        <f aca="false">VLOOKUP(B65,CARD_COLORS,2,0)</f>
        <v>Braun</v>
      </c>
      <c r="E65" s="22" t="str">
        <f aca="false">VLOOKUP(B65,CARD_COLORS,3,0)</f>
        <v>Saturn</v>
      </c>
      <c r="F65" s="23" t="str">
        <f aca="false">"Planets\" &amp; VLOOKUP(B65,CARD_COLORS,4,0) &amp; ".png"</f>
        <v>Planets\Saturn.png</v>
      </c>
      <c r="G65" s="22" t="str">
        <f aca="false">VLOOKUP(B65,CARD_COLORS,6,0)</f>
        <v>♄</v>
      </c>
      <c r="H65" s="12" t="n">
        <v>8</v>
      </c>
      <c r="I65" s="22" t="n">
        <f aca="false">IFERROR(MID(H65,SEARCH("+",H65),2),IFERROR(MID(H65,SEARCH("-",H65),2),IF(ISNUMBER(H65),H65,"")))</f>
        <v>8</v>
      </c>
      <c r="J65" s="14"/>
      <c r="K65" s="22" t="str">
        <f aca="false">VLOOKUP(H65,COLOR_EFFECTS,2,0)</f>
        <v>8</v>
      </c>
      <c r="L65" s="22" t="str">
        <f aca="false">VLOOKUP(H65,COLOR_EFFECTS,3,0)</f>
        <v>Standard</v>
      </c>
      <c r="M65" s="3" t="str">
        <f aca="false">E65&amp;" "&amp;K65</f>
        <v>Saturn 8</v>
      </c>
      <c r="N65" s="22" t="str">
        <f aca="false">G65 &amp; H65</f>
        <v>♄8</v>
      </c>
      <c r="O65" s="24" t="str">
        <f aca="false">VLOOKUP(H65,COLOR_EFFECTS,4,0)</f>
        <v> </v>
      </c>
    </row>
    <row r="66" customFormat="false" ht="13.8" hidden="false" customHeight="false" outlineLevel="0" collapsed="false">
      <c r="A66" s="1" t="n">
        <v>1</v>
      </c>
      <c r="B66" s="2" t="s">
        <v>19</v>
      </c>
      <c r="C66" s="3" t="str">
        <f aca="false">VLOOKUP(B66,CARD_COLORS,5,0)</f>
        <v>#884400</v>
      </c>
      <c r="D66" s="22" t="str">
        <f aca="false">VLOOKUP(B66,CARD_COLORS,2,0)</f>
        <v>Braun</v>
      </c>
      <c r="E66" s="22" t="str">
        <f aca="false">VLOOKUP(B66,CARD_COLORS,3,0)</f>
        <v>Saturn</v>
      </c>
      <c r="F66" s="23" t="str">
        <f aca="false">"Planets\" &amp; VLOOKUP(B66,CARD_COLORS,4,0) &amp; ".png"</f>
        <v>Planets\Saturn.png</v>
      </c>
      <c r="G66" s="22" t="str">
        <f aca="false">VLOOKUP(B66,CARD_COLORS,6,0)</f>
        <v>♄</v>
      </c>
      <c r="H66" s="12" t="n">
        <v>9</v>
      </c>
      <c r="I66" s="22" t="n">
        <f aca="false">IFERROR(MID(H66,SEARCH("+",H66),2),IFERROR(MID(H66,SEARCH("-",H66),2),IF(ISNUMBER(H66),H66,"")))</f>
        <v>9</v>
      </c>
      <c r="J66" s="14"/>
      <c r="K66" s="22" t="str">
        <f aca="false">VLOOKUP(H66,COLOR_EFFECTS,2,0)</f>
        <v>9</v>
      </c>
      <c r="L66" s="22" t="str">
        <f aca="false">VLOOKUP(H66,COLOR_EFFECTS,3,0)</f>
        <v>Standard</v>
      </c>
      <c r="M66" s="3" t="str">
        <f aca="false">E66&amp;" "&amp;K66</f>
        <v>Saturn 9</v>
      </c>
      <c r="N66" s="22" t="str">
        <f aca="false">G66 &amp; H66</f>
        <v>♄9</v>
      </c>
      <c r="O66" s="24" t="str">
        <f aca="false">VLOOKUP(H66,COLOR_EFFECTS,4,0)</f>
        <v> </v>
      </c>
    </row>
    <row r="67" customFormat="false" ht="13.8" hidden="false" customHeight="false" outlineLevel="0" collapsed="false">
      <c r="A67" s="1" t="n">
        <v>1</v>
      </c>
      <c r="B67" s="2" t="s">
        <v>19</v>
      </c>
      <c r="C67" s="3" t="str">
        <f aca="false">VLOOKUP(B67,CARD_COLORS,5,0)</f>
        <v>#884400</v>
      </c>
      <c r="D67" s="22" t="str">
        <f aca="false">VLOOKUP(B67,CARD_COLORS,2,0)</f>
        <v>Braun</v>
      </c>
      <c r="E67" s="22" t="str">
        <f aca="false">VLOOKUP(B67,CARD_COLORS,3,0)</f>
        <v>Saturn</v>
      </c>
      <c r="F67" s="23" t="str">
        <f aca="false">"Planets\" &amp; VLOOKUP(B67,CARD_COLORS,4,0) &amp; ".png"</f>
        <v>Planets\Saturn.png</v>
      </c>
      <c r="G67" s="22" t="str">
        <f aca="false">VLOOKUP(B67,CARD_COLORS,6,0)</f>
        <v>♄</v>
      </c>
      <c r="H67" s="12" t="s">
        <v>20</v>
      </c>
      <c r="I67" s="22" t="str">
        <f aca="false">IFERROR(MID(H67,SEARCH("+",H67),2),IFERROR(MID(H67,SEARCH("-",H67),2),IF(ISNUMBER(H67),H67,"")))</f>
        <v>+2</v>
      </c>
      <c r="J67" s="14"/>
      <c r="K67" s="22" t="str">
        <f aca="false">VLOOKUP(H67,COLOR_EFFECTS,2,0)</f>
        <v>+2</v>
      </c>
      <c r="L67" s="22" t="str">
        <f aca="false">VLOOKUP(H67,COLOR_EFFECTS,3,0)</f>
        <v>Falle</v>
      </c>
      <c r="M67" s="3" t="str">
        <f aca="false">E67&amp;" "&amp;K67</f>
        <v>Saturn +2</v>
      </c>
      <c r="N67" s="22" t="str">
        <f aca="false">G67 &amp; H67</f>
        <v>♄+2</v>
      </c>
      <c r="O67" s="24" t="str">
        <f aca="false">VLOOKUP(H67,COLOR_EFFECTS,4,0)</f>
        <v>Nächster Spieler muss 2 Karten aufnehmen</v>
      </c>
    </row>
    <row r="68" customFormat="false" ht="13.8" hidden="false" customHeight="false" outlineLevel="0" collapsed="false">
      <c r="A68" s="1" t="n">
        <v>1</v>
      </c>
      <c r="B68" s="2" t="s">
        <v>19</v>
      </c>
      <c r="C68" s="3" t="str">
        <f aca="false">VLOOKUP(B68,CARD_COLORS,5,0)</f>
        <v>#884400</v>
      </c>
      <c r="D68" s="22" t="str">
        <f aca="false">VLOOKUP(B68,CARD_COLORS,2,0)</f>
        <v>Braun</v>
      </c>
      <c r="E68" s="22" t="str">
        <f aca="false">VLOOKUP(B68,CARD_COLORS,3,0)</f>
        <v>Saturn</v>
      </c>
      <c r="F68" s="23" t="str">
        <f aca="false">"Planets\" &amp; VLOOKUP(B68,CARD_COLORS,4,0) &amp; ".png"</f>
        <v>Planets\Saturn.png</v>
      </c>
      <c r="G68" s="22" t="str">
        <f aca="false">VLOOKUP(B68,CARD_COLORS,6,0)</f>
        <v>♄</v>
      </c>
      <c r="H68" s="12" t="s">
        <v>40</v>
      </c>
      <c r="I68" s="22" t="str">
        <f aca="false">IFERROR(MID(H68,SEARCH("+",H68),2),IFERROR(MID(H68,SEARCH("-",H68),2),IF(ISNUMBER(H68),H68,"")))</f>
        <v>+3</v>
      </c>
      <c r="J68" s="14"/>
      <c r="K68" s="22" t="str">
        <f aca="false">VLOOKUP(H68,COLOR_EFFECTS,2,0)</f>
        <v>+3</v>
      </c>
      <c r="L68" s="22" t="str">
        <f aca="false">VLOOKUP(H68,COLOR_EFFECTS,3,0)</f>
        <v>Falle</v>
      </c>
      <c r="M68" s="3" t="str">
        <f aca="false">E68&amp;" "&amp;K68</f>
        <v>Saturn +3</v>
      </c>
      <c r="N68" s="22" t="str">
        <f aca="false">G68 &amp; H68</f>
        <v>♄+3</v>
      </c>
      <c r="O68" s="24" t="str">
        <f aca="false">VLOOKUP(H68,COLOR_EFFECTS,4,0)</f>
        <v>Nächster Spieler muss 3 Karten aufnehmen</v>
      </c>
    </row>
    <row r="69" customFormat="false" ht="13.8" hidden="false" customHeight="false" outlineLevel="0" collapsed="false">
      <c r="A69" s="1" t="n">
        <v>1</v>
      </c>
      <c r="B69" s="2" t="s">
        <v>19</v>
      </c>
      <c r="C69" s="3" t="str">
        <f aca="false">VLOOKUP(B69,CARD_COLORS,5,0)</f>
        <v>#884400</v>
      </c>
      <c r="D69" s="22" t="str">
        <f aca="false">VLOOKUP(B69,CARD_COLORS,2,0)</f>
        <v>Braun</v>
      </c>
      <c r="E69" s="22" t="str">
        <f aca="false">VLOOKUP(B69,CARD_COLORS,3,0)</f>
        <v>Saturn</v>
      </c>
      <c r="F69" s="23" t="str">
        <f aca="false">"Planets\" &amp; VLOOKUP(B69,CARD_COLORS,4,0) &amp; ".png"</f>
        <v>Planets\Saturn.png</v>
      </c>
      <c r="G69" s="22" t="str">
        <f aca="false">VLOOKUP(B69,CARD_COLORS,6,0)</f>
        <v>♄</v>
      </c>
      <c r="H69" s="12" t="s">
        <v>22</v>
      </c>
      <c r="I69" s="22" t="str">
        <f aca="false">IFERROR(MID(H69,SEARCH("+",H69),2),IFERROR(MID(H69,SEARCH("-",H69),2),IF(ISNUMBER(H69),H69,"")))</f>
        <v/>
      </c>
      <c r="J69" s="14" t="s">
        <v>23</v>
      </c>
      <c r="K69" s="22" t="str">
        <f aca="false">VLOOKUP(H69,COLOR_EFFECTS,2,0)</f>
        <v>Umkehrung</v>
      </c>
      <c r="L69" s="22" t="str">
        <f aca="false">VLOOKUP(H69,COLOR_EFFECTS,3,0)</f>
        <v>Aktion</v>
      </c>
      <c r="M69" s="3" t="str">
        <f aca="false">E69&amp;" "&amp;K69</f>
        <v>Saturn Umkehrung</v>
      </c>
      <c r="N69" s="22" t="str">
        <f aca="false">G69 &amp; H69</f>
        <v>♄🔄</v>
      </c>
      <c r="O69" s="24" t="str">
        <f aca="false">VLOOKUP(H69,COLOR_EFFECTS,4,0)</f>
        <v>Spielrichtung andersherum</v>
      </c>
    </row>
    <row r="70" customFormat="false" ht="13.8" hidden="false" customHeight="false" outlineLevel="0" collapsed="false">
      <c r="A70" s="1" t="n">
        <v>1</v>
      </c>
      <c r="B70" s="2" t="s">
        <v>19</v>
      </c>
      <c r="C70" s="3" t="str">
        <f aca="false">VLOOKUP(B70,CARD_COLORS,5,0)</f>
        <v>#884400</v>
      </c>
      <c r="D70" s="22" t="str">
        <f aca="false">VLOOKUP(B70,CARD_COLORS,2,0)</f>
        <v>Braun</v>
      </c>
      <c r="E70" s="22" t="str">
        <f aca="false">VLOOKUP(B70,CARD_COLORS,3,0)</f>
        <v>Saturn</v>
      </c>
      <c r="F70" s="23" t="str">
        <f aca="false">"Planets\" &amp; VLOOKUP(B70,CARD_COLORS,4,0) &amp; ".png"</f>
        <v>Planets\Saturn.png</v>
      </c>
      <c r="G70" s="22" t="str">
        <f aca="false">VLOOKUP(B70,CARD_COLORS,6,0)</f>
        <v>♄</v>
      </c>
      <c r="H70" s="12" t="s">
        <v>25</v>
      </c>
      <c r="I70" s="22" t="str">
        <f aca="false">IFERROR(MID(H70,SEARCH("+",H70),2),IFERROR(MID(H70,SEARCH("-",H70),2),IF(ISNUMBER(H70),H70,"")))</f>
        <v/>
      </c>
      <c r="J70" s="14" t="s">
        <v>26</v>
      </c>
      <c r="K70" s="22" t="str">
        <f aca="false">VLOOKUP(H70,COLOR_EFFECTS,2,0)</f>
        <v>Blockade</v>
      </c>
      <c r="L70" s="22" t="str">
        <f aca="false">VLOOKUP(H70,COLOR_EFFECTS,3,0)</f>
        <v>Aktion</v>
      </c>
      <c r="M70" s="3" t="str">
        <f aca="false">E70&amp;" "&amp;K70</f>
        <v>Saturn Blockade</v>
      </c>
      <c r="N70" s="22" t="str">
        <f aca="false">G70 &amp; H70</f>
        <v>♄🚫</v>
      </c>
      <c r="O70" s="24" t="str">
        <f aca="false">VLOOKUP(H70,COLOR_EFFECTS,4,0)</f>
        <v>Nächster Spieler muss aussetzen</v>
      </c>
    </row>
    <row r="71" customFormat="false" ht="13.8" hidden="false" customHeight="false" outlineLevel="0" collapsed="false">
      <c r="A71" s="1" t="n">
        <v>1</v>
      </c>
      <c r="B71" s="2" t="s">
        <v>19</v>
      </c>
      <c r="C71" s="3" t="str">
        <f aca="false">VLOOKUP(B71,CARD_COLORS,5,0)</f>
        <v>#884400</v>
      </c>
      <c r="D71" s="22" t="str">
        <f aca="false">VLOOKUP(B71,CARD_COLORS,2,0)</f>
        <v>Braun</v>
      </c>
      <c r="E71" s="22" t="str">
        <f aca="false">VLOOKUP(B71,CARD_COLORS,3,0)</f>
        <v>Saturn</v>
      </c>
      <c r="F71" s="23" t="str">
        <f aca="false">"Planets\" &amp; VLOOKUP(B71,CARD_COLORS,4,0) &amp; ".png"</f>
        <v>Planets\Saturn.png</v>
      </c>
      <c r="G71" s="22" t="str">
        <f aca="false">VLOOKUP(B71,CARD_COLORS,6,0)</f>
        <v>♄</v>
      </c>
      <c r="H71" s="12" t="s">
        <v>28</v>
      </c>
      <c r="I71" s="22" t="str">
        <f aca="false">IFERROR(MID(H71,SEARCH("+",H71),2),IFERROR(MID(H71,SEARCH("-",H71),2),IF(ISNUMBER(H71),H71,"")))</f>
        <v/>
      </c>
      <c r="J71" s="14" t="s">
        <v>29</v>
      </c>
      <c r="K71" s="22" t="str">
        <f aca="false">VLOOKUP(H71,COLOR_EFFECTS,2,0)</f>
        <v>Wiederholung</v>
      </c>
      <c r="L71" s="22" t="str">
        <f aca="false">VLOOKUP(H71,COLOR_EFFECTS,3,0)</f>
        <v>Aktion</v>
      </c>
      <c r="M71" s="3" t="str">
        <f aca="false">E71&amp;" "&amp;K71</f>
        <v>Saturn Wiederholung</v>
      </c>
      <c r="N71" s="22" t="str">
        <f aca="false">G71 &amp; H71</f>
        <v>♄🔂</v>
      </c>
      <c r="O71" s="24" t="str">
        <f aca="false">VLOOKUP(H71,COLOR_EFFECTS,4,0)</f>
        <v>Ein weiterer Zug</v>
      </c>
    </row>
    <row r="72" customFormat="false" ht="13.8" hidden="false" customHeight="false" outlineLevel="0" collapsed="false">
      <c r="A72" s="1" t="n">
        <v>1</v>
      </c>
      <c r="B72" s="2" t="s">
        <v>19</v>
      </c>
      <c r="C72" s="3" t="str">
        <f aca="false">VLOOKUP(B72,CARD_COLORS,5,0)</f>
        <v>#884400</v>
      </c>
      <c r="D72" s="22" t="str">
        <f aca="false">VLOOKUP(B72,CARD_COLORS,2,0)</f>
        <v>Braun</v>
      </c>
      <c r="E72" s="22" t="str">
        <f aca="false">VLOOKUP(B72,CARD_COLORS,3,0)</f>
        <v>Saturn</v>
      </c>
      <c r="F72" s="23" t="str">
        <f aca="false">"Planets\" &amp; VLOOKUP(B72,CARD_COLORS,4,0) &amp; ".png"</f>
        <v>Planets\Saturn.png</v>
      </c>
      <c r="G72" s="22" t="str">
        <f aca="false">VLOOKUP(B72,CARD_COLORS,6,0)</f>
        <v>♄</v>
      </c>
      <c r="H72" s="12" t="s">
        <v>31</v>
      </c>
      <c r="I72" s="22" t="str">
        <f aca="false">IFERROR(MID(H72,SEARCH("+",H72),2),IFERROR(MID(H72,SEARCH("-",H72),2),IF(ISNUMBER(H72),H72,"")))</f>
        <v/>
      </c>
      <c r="J72" s="14" t="s">
        <v>32</v>
      </c>
      <c r="K72" s="22" t="str">
        <f aca="false">VLOOKUP(H72,COLOR_EFFECTS,2,0)</f>
        <v>Eis</v>
      </c>
      <c r="L72" s="22" t="str">
        <f aca="false">VLOOKUP(H72,COLOR_EFFECTS,3,0)</f>
        <v>Aktion</v>
      </c>
      <c r="M72" s="3" t="str">
        <f aca="false">E72&amp;" "&amp;K72</f>
        <v>Saturn Eis</v>
      </c>
      <c r="N72" s="22" t="str">
        <f aca="false">G72 &amp; H72</f>
        <v>♄❄️</v>
      </c>
      <c r="O72" s="24" t="str">
        <f aca="false">VLOOKUP(H72,COLOR_EFFECTS,4,0)</f>
        <v>Farbe muss für eine komplette Runde beibehalten werden</v>
      </c>
    </row>
    <row r="73" customFormat="false" ht="13.8" hidden="false" customHeight="false" outlineLevel="0" collapsed="false">
      <c r="A73" s="1" t="n">
        <v>1</v>
      </c>
      <c r="B73" s="2" t="s">
        <v>19</v>
      </c>
      <c r="C73" s="3" t="str">
        <f aca="false">VLOOKUP(B73,CARD_COLORS,5,0)</f>
        <v>#884400</v>
      </c>
      <c r="D73" s="22" t="str">
        <f aca="false">VLOOKUP(B73,CARD_COLORS,2,0)</f>
        <v>Braun</v>
      </c>
      <c r="E73" s="22" t="str">
        <f aca="false">VLOOKUP(B73,CARD_COLORS,3,0)</f>
        <v>Saturn</v>
      </c>
      <c r="F73" s="23" t="str">
        <f aca="false">"Planets\" &amp; VLOOKUP(B73,CARD_COLORS,4,0) &amp; ".png"</f>
        <v>Planets\Saturn.png</v>
      </c>
      <c r="G73" s="22" t="str">
        <f aca="false">VLOOKUP(B73,CARD_COLORS,6,0)</f>
        <v>♄</v>
      </c>
      <c r="H73" s="12" t="s">
        <v>34</v>
      </c>
      <c r="I73" s="22" t="str">
        <f aca="false">IFERROR(MID(H73,SEARCH("+",H73),2),IFERROR(MID(H73,SEARCH("-",H73),2),IF(ISNUMBER(H73),H73,"")))</f>
        <v/>
      </c>
      <c r="J73" s="14" t="s">
        <v>35</v>
      </c>
      <c r="K73" s="22" t="str">
        <f aca="false">VLOOKUP(H73,COLOR_EFFECTS,2,0)</f>
        <v>Feuer</v>
      </c>
      <c r="L73" s="22" t="str">
        <f aca="false">VLOOKUP(H73,COLOR_EFFECTS,3,0)</f>
        <v>Aktion</v>
      </c>
      <c r="M73" s="3" t="str">
        <f aca="false">E73&amp;" "&amp;K73</f>
        <v>Saturn Feuer</v>
      </c>
      <c r="N73" s="22" t="str">
        <f aca="false">G73 &amp; H73</f>
        <v>♄🔥</v>
      </c>
      <c r="O73" s="24" t="str">
        <f aca="false">VLOOKUP(H73,COLOR_EFFECTS,4,0)</f>
        <v>Farbe darf bis zur nächsten Runde nicht gespielt werden</v>
      </c>
    </row>
    <row r="74" customFormat="false" ht="13.8" hidden="false" customHeight="false" outlineLevel="0" collapsed="false">
      <c r="A74" s="1" t="n">
        <v>1</v>
      </c>
      <c r="B74" s="2" t="s">
        <v>19</v>
      </c>
      <c r="C74" s="3" t="str">
        <f aca="false">VLOOKUP(B74,CARD_COLORS,5,0)</f>
        <v>#884400</v>
      </c>
      <c r="D74" s="22" t="str">
        <f aca="false">VLOOKUP(B74,CARD_COLORS,2,0)</f>
        <v>Braun</v>
      </c>
      <c r="E74" s="22" t="str">
        <f aca="false">VLOOKUP(B74,CARD_COLORS,3,0)</f>
        <v>Saturn</v>
      </c>
      <c r="F74" s="23" t="str">
        <f aca="false">"Planets\" &amp; VLOOKUP(B74,CARD_COLORS,4,0) &amp; ".png"</f>
        <v>Planets\Saturn.png</v>
      </c>
      <c r="G74" s="22" t="str">
        <f aca="false">VLOOKUP(B74,CARD_COLORS,6,0)</f>
        <v>♄</v>
      </c>
      <c r="H74" s="12" t="s">
        <v>37</v>
      </c>
      <c r="I74" s="22" t="str">
        <f aca="false">IFERROR(MID(H74,SEARCH("+",H74),2),IFERROR(MID(H74,SEARCH("-",H74),2),IF(ISNUMBER(H74),H74,"")))</f>
        <v/>
      </c>
      <c r="J74" s="14" t="s">
        <v>38</v>
      </c>
      <c r="K74" s="22" t="str">
        <f aca="false">VLOOKUP(H74,COLOR_EFFECTS,2,0)</f>
        <v>Fokus</v>
      </c>
      <c r="L74" s="22" t="str">
        <f aca="false">VLOOKUP(H74,COLOR_EFFECTS,3,0)</f>
        <v>Aktion</v>
      </c>
      <c r="M74" s="3" t="str">
        <f aca="false">E74&amp;" "&amp;K74</f>
        <v>Saturn Fokus</v>
      </c>
      <c r="N74" s="22" t="str">
        <f aca="false">G74 &amp; H74</f>
        <v>♄🎯</v>
      </c>
      <c r="O74" s="24" t="str">
        <f aca="false">VLOOKUP(H74,COLOR_EFFECTS,4,0)</f>
        <v>Wähle den nächsten Spieler</v>
      </c>
    </row>
    <row r="75" customFormat="false" ht="13.8" hidden="false" customHeight="false" outlineLevel="0" collapsed="false">
      <c r="A75" s="1" t="n">
        <v>1</v>
      </c>
      <c r="B75" s="2" t="s">
        <v>21</v>
      </c>
      <c r="C75" s="3" t="str">
        <f aca="false">VLOOKUP(B75,CARD_COLORS,5,0)</f>
        <v>#CC00CC</v>
      </c>
      <c r="D75" s="22" t="str">
        <f aca="false">VLOOKUP(B75,CARD_COLORS,2,0)</f>
        <v>Pink</v>
      </c>
      <c r="E75" s="22" t="str">
        <f aca="false">VLOOKUP(B75,CARD_COLORS,3,0)</f>
        <v>Venus</v>
      </c>
      <c r="F75" s="23" t="str">
        <f aca="false">"Planets\" &amp; VLOOKUP(B75,CARD_COLORS,4,0) &amp; ".png"</f>
        <v>Planets\Venus.png</v>
      </c>
      <c r="G75" s="22" t="str">
        <f aca="false">VLOOKUP(B75,CARD_COLORS,6,0)</f>
        <v>♀</v>
      </c>
      <c r="H75" s="12" t="n">
        <v>0</v>
      </c>
      <c r="I75" s="22" t="n">
        <f aca="false">IFERROR(MID(H75,SEARCH("+",H75),2),IFERROR(MID(H75,SEARCH("-",H75),2),IF(ISNUMBER(H75),H75,"")))</f>
        <v>0</v>
      </c>
      <c r="J75" s="14"/>
      <c r="K75" s="22" t="str">
        <f aca="false">VLOOKUP(H75,COLOR_EFFECTS,2,0)</f>
        <v>0</v>
      </c>
      <c r="L75" s="22" t="str">
        <f aca="false">VLOOKUP(H75,COLOR_EFFECTS,3,0)</f>
        <v>Standard</v>
      </c>
      <c r="M75" s="3" t="str">
        <f aca="false">E75&amp;" "&amp;K75</f>
        <v>Venus 0</v>
      </c>
      <c r="N75" s="22" t="str">
        <f aca="false">G75 &amp; H75</f>
        <v>♀0</v>
      </c>
      <c r="O75" s="24" t="str">
        <f aca="false">VLOOKUP(H75,COLOR_EFFECTS,4,0)</f>
        <v> </v>
      </c>
    </row>
    <row r="76" customFormat="false" ht="13.8" hidden="false" customHeight="false" outlineLevel="0" collapsed="false">
      <c r="A76" s="1" t="n">
        <v>1</v>
      </c>
      <c r="B76" s="2" t="s">
        <v>21</v>
      </c>
      <c r="C76" s="3" t="str">
        <f aca="false">VLOOKUP(B76,CARD_COLORS,5,0)</f>
        <v>#CC00CC</v>
      </c>
      <c r="D76" s="22" t="str">
        <f aca="false">VLOOKUP(B76,CARD_COLORS,2,0)</f>
        <v>Pink</v>
      </c>
      <c r="E76" s="22" t="str">
        <f aca="false">VLOOKUP(B76,CARD_COLORS,3,0)</f>
        <v>Venus</v>
      </c>
      <c r="F76" s="23" t="str">
        <f aca="false">"Planets\" &amp; VLOOKUP(B76,CARD_COLORS,4,0) &amp; ".png"</f>
        <v>Planets\Venus.png</v>
      </c>
      <c r="G76" s="22" t="str">
        <f aca="false">VLOOKUP(B76,CARD_COLORS,6,0)</f>
        <v>♀</v>
      </c>
      <c r="H76" s="12" t="n">
        <v>1</v>
      </c>
      <c r="I76" s="22" t="n">
        <f aca="false">IFERROR(MID(H76,SEARCH("+",H76),2),IFERROR(MID(H76,SEARCH("-",H76),2),IF(ISNUMBER(H76),H76,"")))</f>
        <v>1</v>
      </c>
      <c r="J76" s="14"/>
      <c r="K76" s="22" t="str">
        <f aca="false">VLOOKUP(H76,COLOR_EFFECTS,2,0)</f>
        <v>1</v>
      </c>
      <c r="L76" s="22" t="str">
        <f aca="false">VLOOKUP(H76,COLOR_EFFECTS,3,0)</f>
        <v>Standard</v>
      </c>
      <c r="M76" s="3" t="str">
        <f aca="false">E76&amp;" "&amp;K76</f>
        <v>Venus 1</v>
      </c>
      <c r="N76" s="22" t="str">
        <f aca="false">G76 &amp; H76</f>
        <v>♀1</v>
      </c>
      <c r="O76" s="24" t="str">
        <f aca="false">VLOOKUP(H76,COLOR_EFFECTS,4,0)</f>
        <v> </v>
      </c>
    </row>
    <row r="77" customFormat="false" ht="13.8" hidden="false" customHeight="false" outlineLevel="0" collapsed="false">
      <c r="A77" s="1" t="n">
        <v>1</v>
      </c>
      <c r="B77" s="2" t="s">
        <v>21</v>
      </c>
      <c r="C77" s="3" t="str">
        <f aca="false">VLOOKUP(B77,CARD_COLORS,5,0)</f>
        <v>#CC00CC</v>
      </c>
      <c r="D77" s="22" t="str">
        <f aca="false">VLOOKUP(B77,CARD_COLORS,2,0)</f>
        <v>Pink</v>
      </c>
      <c r="E77" s="22" t="str">
        <f aca="false">VLOOKUP(B77,CARD_COLORS,3,0)</f>
        <v>Venus</v>
      </c>
      <c r="F77" s="23" t="str">
        <f aca="false">"Planets\" &amp; VLOOKUP(B77,CARD_COLORS,4,0) &amp; ".png"</f>
        <v>Planets\Venus.png</v>
      </c>
      <c r="G77" s="22" t="str">
        <f aca="false">VLOOKUP(B77,CARD_COLORS,6,0)</f>
        <v>♀</v>
      </c>
      <c r="H77" s="12" t="n">
        <v>2</v>
      </c>
      <c r="I77" s="22" t="n">
        <f aca="false">IFERROR(MID(H77,SEARCH("+",H77),2),IFERROR(MID(H77,SEARCH("-",H77),2),IF(ISNUMBER(H77),H77,"")))</f>
        <v>2</v>
      </c>
      <c r="J77" s="14"/>
      <c r="K77" s="22" t="str">
        <f aca="false">VLOOKUP(H77,COLOR_EFFECTS,2,0)</f>
        <v>2</v>
      </c>
      <c r="L77" s="22" t="str">
        <f aca="false">VLOOKUP(H77,COLOR_EFFECTS,3,0)</f>
        <v>Standard</v>
      </c>
      <c r="M77" s="3" t="str">
        <f aca="false">E77&amp;" "&amp;K77</f>
        <v>Venus 2</v>
      </c>
      <c r="N77" s="22" t="str">
        <f aca="false">G77 &amp; H77</f>
        <v>♀2</v>
      </c>
      <c r="O77" s="24" t="str">
        <f aca="false">VLOOKUP(H77,COLOR_EFFECTS,4,0)</f>
        <v> </v>
      </c>
    </row>
    <row r="78" customFormat="false" ht="13.8" hidden="false" customHeight="false" outlineLevel="0" collapsed="false">
      <c r="A78" s="1" t="n">
        <v>1</v>
      </c>
      <c r="B78" s="2" t="s">
        <v>21</v>
      </c>
      <c r="C78" s="3" t="str">
        <f aca="false">VLOOKUP(B78,CARD_COLORS,5,0)</f>
        <v>#CC00CC</v>
      </c>
      <c r="D78" s="22" t="str">
        <f aca="false">VLOOKUP(B78,CARD_COLORS,2,0)</f>
        <v>Pink</v>
      </c>
      <c r="E78" s="22" t="str">
        <f aca="false">VLOOKUP(B78,CARD_COLORS,3,0)</f>
        <v>Venus</v>
      </c>
      <c r="F78" s="23" t="str">
        <f aca="false">"Planets\" &amp; VLOOKUP(B78,CARD_COLORS,4,0) &amp; ".png"</f>
        <v>Planets\Venus.png</v>
      </c>
      <c r="G78" s="22" t="str">
        <f aca="false">VLOOKUP(B78,CARD_COLORS,6,0)</f>
        <v>♀</v>
      </c>
      <c r="H78" s="12" t="n">
        <v>3</v>
      </c>
      <c r="I78" s="22" t="n">
        <f aca="false">IFERROR(MID(H78,SEARCH("+",H78),2),IFERROR(MID(H78,SEARCH("-",H78),2),IF(ISNUMBER(H78),H78,"")))</f>
        <v>3</v>
      </c>
      <c r="J78" s="14"/>
      <c r="K78" s="22" t="str">
        <f aca="false">VLOOKUP(H78,COLOR_EFFECTS,2,0)</f>
        <v>3</v>
      </c>
      <c r="L78" s="22" t="str">
        <f aca="false">VLOOKUP(H78,COLOR_EFFECTS,3,0)</f>
        <v>Standard</v>
      </c>
      <c r="M78" s="3" t="str">
        <f aca="false">E78&amp;" "&amp;K78</f>
        <v>Venus 3</v>
      </c>
      <c r="N78" s="22" t="str">
        <f aca="false">G78 &amp; H78</f>
        <v>♀3</v>
      </c>
      <c r="O78" s="24" t="str">
        <f aca="false">VLOOKUP(H78,COLOR_EFFECTS,4,0)</f>
        <v> </v>
      </c>
    </row>
    <row r="79" customFormat="false" ht="13.8" hidden="false" customHeight="false" outlineLevel="0" collapsed="false">
      <c r="A79" s="1" t="n">
        <v>1</v>
      </c>
      <c r="B79" s="2" t="s">
        <v>21</v>
      </c>
      <c r="C79" s="3" t="str">
        <f aca="false">VLOOKUP(B79,CARD_COLORS,5,0)</f>
        <v>#CC00CC</v>
      </c>
      <c r="D79" s="22" t="str">
        <f aca="false">VLOOKUP(B79,CARD_COLORS,2,0)</f>
        <v>Pink</v>
      </c>
      <c r="E79" s="22" t="str">
        <f aca="false">VLOOKUP(B79,CARD_COLORS,3,0)</f>
        <v>Venus</v>
      </c>
      <c r="F79" s="23" t="str">
        <f aca="false">"Planets\" &amp; VLOOKUP(B79,CARD_COLORS,4,0) &amp; ".png"</f>
        <v>Planets\Venus.png</v>
      </c>
      <c r="G79" s="22" t="str">
        <f aca="false">VLOOKUP(B79,CARD_COLORS,6,0)</f>
        <v>♀</v>
      </c>
      <c r="H79" s="12" t="n">
        <v>4</v>
      </c>
      <c r="I79" s="22" t="n">
        <f aca="false">IFERROR(MID(H79,SEARCH("+",H79),2),IFERROR(MID(H79,SEARCH("-",H79),2),IF(ISNUMBER(H79),H79,"")))</f>
        <v>4</v>
      </c>
      <c r="J79" s="14"/>
      <c r="K79" s="22" t="str">
        <f aca="false">VLOOKUP(H79,COLOR_EFFECTS,2,0)</f>
        <v>4</v>
      </c>
      <c r="L79" s="22" t="str">
        <f aca="false">VLOOKUP(H79,COLOR_EFFECTS,3,0)</f>
        <v>Standard</v>
      </c>
      <c r="M79" s="3" t="str">
        <f aca="false">E79&amp;" "&amp;K79</f>
        <v>Venus 4</v>
      </c>
      <c r="N79" s="22" t="str">
        <f aca="false">G79 &amp; H79</f>
        <v>♀4</v>
      </c>
      <c r="O79" s="24" t="str">
        <f aca="false">VLOOKUP(H79,COLOR_EFFECTS,4,0)</f>
        <v> </v>
      </c>
    </row>
    <row r="80" customFormat="false" ht="13.8" hidden="false" customHeight="false" outlineLevel="0" collapsed="false">
      <c r="A80" s="1" t="n">
        <v>1</v>
      </c>
      <c r="B80" s="2" t="s">
        <v>21</v>
      </c>
      <c r="C80" s="3" t="str">
        <f aca="false">VLOOKUP(B80,CARD_COLORS,5,0)</f>
        <v>#CC00CC</v>
      </c>
      <c r="D80" s="22" t="str">
        <f aca="false">VLOOKUP(B80,CARD_COLORS,2,0)</f>
        <v>Pink</v>
      </c>
      <c r="E80" s="22" t="str">
        <f aca="false">VLOOKUP(B80,CARD_COLORS,3,0)</f>
        <v>Venus</v>
      </c>
      <c r="F80" s="23" t="str">
        <f aca="false">"Planets\" &amp; VLOOKUP(B80,CARD_COLORS,4,0) &amp; ".png"</f>
        <v>Planets\Venus.png</v>
      </c>
      <c r="G80" s="22" t="str">
        <f aca="false">VLOOKUP(B80,CARD_COLORS,6,0)</f>
        <v>♀</v>
      </c>
      <c r="H80" s="12" t="n">
        <v>5</v>
      </c>
      <c r="I80" s="22" t="n">
        <f aca="false">IFERROR(MID(H80,SEARCH("+",H80),2),IFERROR(MID(H80,SEARCH("-",H80),2),IF(ISNUMBER(H80),H80,"")))</f>
        <v>5</v>
      </c>
      <c r="J80" s="14"/>
      <c r="K80" s="22" t="str">
        <f aca="false">VLOOKUP(H80,COLOR_EFFECTS,2,0)</f>
        <v>5</v>
      </c>
      <c r="L80" s="22" t="str">
        <f aca="false">VLOOKUP(H80,COLOR_EFFECTS,3,0)</f>
        <v>Standard</v>
      </c>
      <c r="M80" s="3" t="str">
        <f aca="false">E80&amp;" "&amp;K80</f>
        <v>Venus 5</v>
      </c>
      <c r="N80" s="22" t="str">
        <f aca="false">G80 &amp; H80</f>
        <v>♀5</v>
      </c>
      <c r="O80" s="24" t="str">
        <f aca="false">VLOOKUP(H80,COLOR_EFFECTS,4,0)</f>
        <v> </v>
      </c>
    </row>
    <row r="81" customFormat="false" ht="13.8" hidden="false" customHeight="false" outlineLevel="0" collapsed="false">
      <c r="A81" s="1" t="n">
        <v>1</v>
      </c>
      <c r="B81" s="2" t="s">
        <v>21</v>
      </c>
      <c r="C81" s="3" t="str">
        <f aca="false">VLOOKUP(B81,CARD_COLORS,5,0)</f>
        <v>#CC00CC</v>
      </c>
      <c r="D81" s="22" t="str">
        <f aca="false">VLOOKUP(B81,CARD_COLORS,2,0)</f>
        <v>Pink</v>
      </c>
      <c r="E81" s="22" t="str">
        <f aca="false">VLOOKUP(B81,CARD_COLORS,3,0)</f>
        <v>Venus</v>
      </c>
      <c r="F81" s="23" t="str">
        <f aca="false">"Planets\" &amp; VLOOKUP(B81,CARD_COLORS,4,0) &amp; ".png"</f>
        <v>Planets\Venus.png</v>
      </c>
      <c r="G81" s="22" t="str">
        <f aca="false">VLOOKUP(B81,CARD_COLORS,6,0)</f>
        <v>♀</v>
      </c>
      <c r="H81" s="12" t="n">
        <v>6</v>
      </c>
      <c r="I81" s="22" t="n">
        <f aca="false">IFERROR(MID(H81,SEARCH("+",H81),2),IFERROR(MID(H81,SEARCH("-",H81),2),IF(ISNUMBER(H81),H81,"")))</f>
        <v>6</v>
      </c>
      <c r="J81" s="14"/>
      <c r="K81" s="22" t="str">
        <f aca="false">VLOOKUP(H81,COLOR_EFFECTS,2,0)</f>
        <v>6</v>
      </c>
      <c r="L81" s="22" t="str">
        <f aca="false">VLOOKUP(H81,COLOR_EFFECTS,3,0)</f>
        <v>Standard</v>
      </c>
      <c r="M81" s="3" t="str">
        <f aca="false">E81&amp;" "&amp;K81</f>
        <v>Venus 6</v>
      </c>
      <c r="N81" s="22" t="str">
        <f aca="false">G81 &amp; H81</f>
        <v>♀6</v>
      </c>
      <c r="O81" s="24" t="str">
        <f aca="false">VLOOKUP(H81,COLOR_EFFECTS,4,0)</f>
        <v> </v>
      </c>
    </row>
    <row r="82" customFormat="false" ht="13.8" hidden="false" customHeight="false" outlineLevel="0" collapsed="false">
      <c r="A82" s="1" t="n">
        <v>1</v>
      </c>
      <c r="B82" s="2" t="s">
        <v>21</v>
      </c>
      <c r="C82" s="3" t="str">
        <f aca="false">VLOOKUP(B82,CARD_COLORS,5,0)</f>
        <v>#CC00CC</v>
      </c>
      <c r="D82" s="22" t="str">
        <f aca="false">VLOOKUP(B82,CARD_COLORS,2,0)</f>
        <v>Pink</v>
      </c>
      <c r="E82" s="22" t="str">
        <f aca="false">VLOOKUP(B82,CARD_COLORS,3,0)</f>
        <v>Venus</v>
      </c>
      <c r="F82" s="23" t="str">
        <f aca="false">"Planets\" &amp; VLOOKUP(B82,CARD_COLORS,4,0) &amp; ".png"</f>
        <v>Planets\Venus.png</v>
      </c>
      <c r="G82" s="22" t="str">
        <f aca="false">VLOOKUP(B82,CARD_COLORS,6,0)</f>
        <v>♀</v>
      </c>
      <c r="H82" s="12" t="n">
        <v>7</v>
      </c>
      <c r="I82" s="22" t="n">
        <f aca="false">IFERROR(MID(H82,SEARCH("+",H82),2),IFERROR(MID(H82,SEARCH("-",H82),2),IF(ISNUMBER(H82),H82,"")))</f>
        <v>7</v>
      </c>
      <c r="J82" s="14"/>
      <c r="K82" s="22" t="str">
        <f aca="false">VLOOKUP(H82,COLOR_EFFECTS,2,0)</f>
        <v>7</v>
      </c>
      <c r="L82" s="22" t="str">
        <f aca="false">VLOOKUP(H82,COLOR_EFFECTS,3,0)</f>
        <v>Standard</v>
      </c>
      <c r="M82" s="3" t="str">
        <f aca="false">E82&amp;" "&amp;K82</f>
        <v>Venus 7</v>
      </c>
      <c r="N82" s="22" t="str">
        <f aca="false">G82 &amp; H82</f>
        <v>♀7</v>
      </c>
      <c r="O82" s="24" t="str">
        <f aca="false">VLOOKUP(H82,COLOR_EFFECTS,4,0)</f>
        <v> </v>
      </c>
    </row>
    <row r="83" customFormat="false" ht="13.8" hidden="false" customHeight="false" outlineLevel="0" collapsed="false">
      <c r="A83" s="1" t="n">
        <v>1</v>
      </c>
      <c r="B83" s="2" t="s">
        <v>21</v>
      </c>
      <c r="C83" s="3" t="str">
        <f aca="false">VLOOKUP(B83,CARD_COLORS,5,0)</f>
        <v>#CC00CC</v>
      </c>
      <c r="D83" s="22" t="str">
        <f aca="false">VLOOKUP(B83,CARD_COLORS,2,0)</f>
        <v>Pink</v>
      </c>
      <c r="E83" s="22" t="str">
        <f aca="false">VLOOKUP(B83,CARD_COLORS,3,0)</f>
        <v>Venus</v>
      </c>
      <c r="F83" s="23" t="str">
        <f aca="false">"Planets\" &amp; VLOOKUP(B83,CARD_COLORS,4,0) &amp; ".png"</f>
        <v>Planets\Venus.png</v>
      </c>
      <c r="G83" s="22" t="str">
        <f aca="false">VLOOKUP(B83,CARD_COLORS,6,0)</f>
        <v>♀</v>
      </c>
      <c r="H83" s="12" t="n">
        <v>8</v>
      </c>
      <c r="I83" s="22" t="n">
        <f aca="false">IFERROR(MID(H83,SEARCH("+",H83),2),IFERROR(MID(H83,SEARCH("-",H83),2),IF(ISNUMBER(H83),H83,"")))</f>
        <v>8</v>
      </c>
      <c r="J83" s="14"/>
      <c r="K83" s="22" t="str">
        <f aca="false">VLOOKUP(H83,COLOR_EFFECTS,2,0)</f>
        <v>8</v>
      </c>
      <c r="L83" s="22" t="str">
        <f aca="false">VLOOKUP(H83,COLOR_EFFECTS,3,0)</f>
        <v>Standard</v>
      </c>
      <c r="M83" s="3" t="str">
        <f aca="false">E83&amp;" "&amp;K83</f>
        <v>Venus 8</v>
      </c>
      <c r="N83" s="22" t="str">
        <f aca="false">G83 &amp; H83</f>
        <v>♀8</v>
      </c>
      <c r="O83" s="24" t="str">
        <f aca="false">VLOOKUP(H83,COLOR_EFFECTS,4,0)</f>
        <v> </v>
      </c>
    </row>
    <row r="84" customFormat="false" ht="13.8" hidden="false" customHeight="false" outlineLevel="0" collapsed="false">
      <c r="A84" s="1" t="n">
        <v>1</v>
      </c>
      <c r="B84" s="2" t="s">
        <v>21</v>
      </c>
      <c r="C84" s="3" t="str">
        <f aca="false">VLOOKUP(B84,CARD_COLORS,5,0)</f>
        <v>#CC00CC</v>
      </c>
      <c r="D84" s="22" t="str">
        <f aca="false">VLOOKUP(B84,CARD_COLORS,2,0)</f>
        <v>Pink</v>
      </c>
      <c r="E84" s="22" t="str">
        <f aca="false">VLOOKUP(B84,CARD_COLORS,3,0)</f>
        <v>Venus</v>
      </c>
      <c r="F84" s="23" t="str">
        <f aca="false">"Planets\" &amp; VLOOKUP(B84,CARD_COLORS,4,0) &amp; ".png"</f>
        <v>Planets\Venus.png</v>
      </c>
      <c r="G84" s="22" t="str">
        <f aca="false">VLOOKUP(B84,CARD_COLORS,6,0)</f>
        <v>♀</v>
      </c>
      <c r="H84" s="12" t="n">
        <v>9</v>
      </c>
      <c r="I84" s="22" t="n">
        <f aca="false">IFERROR(MID(H84,SEARCH("+",H84),2),IFERROR(MID(H84,SEARCH("-",H84),2),IF(ISNUMBER(H84),H84,"")))</f>
        <v>9</v>
      </c>
      <c r="J84" s="14"/>
      <c r="K84" s="22" t="str">
        <f aca="false">VLOOKUP(H84,COLOR_EFFECTS,2,0)</f>
        <v>9</v>
      </c>
      <c r="L84" s="22" t="str">
        <f aca="false">VLOOKUP(H84,COLOR_EFFECTS,3,0)</f>
        <v>Standard</v>
      </c>
      <c r="M84" s="3" t="str">
        <f aca="false">E84&amp;" "&amp;K84</f>
        <v>Venus 9</v>
      </c>
      <c r="N84" s="22" t="str">
        <f aca="false">G84 &amp; H84</f>
        <v>♀9</v>
      </c>
      <c r="O84" s="24" t="str">
        <f aca="false">VLOOKUP(H84,COLOR_EFFECTS,4,0)</f>
        <v> </v>
      </c>
    </row>
    <row r="85" customFormat="false" ht="13.8" hidden="false" customHeight="false" outlineLevel="0" collapsed="false">
      <c r="A85" s="1" t="n">
        <v>1</v>
      </c>
      <c r="B85" s="2" t="s">
        <v>21</v>
      </c>
      <c r="C85" s="3" t="str">
        <f aca="false">VLOOKUP(B85,CARD_COLORS,5,0)</f>
        <v>#CC00CC</v>
      </c>
      <c r="D85" s="22" t="str">
        <f aca="false">VLOOKUP(B85,CARD_COLORS,2,0)</f>
        <v>Pink</v>
      </c>
      <c r="E85" s="22" t="str">
        <f aca="false">VLOOKUP(B85,CARD_COLORS,3,0)</f>
        <v>Venus</v>
      </c>
      <c r="F85" s="23" t="str">
        <f aca="false">"Planets\" &amp; VLOOKUP(B85,CARD_COLORS,4,0) &amp; ".png"</f>
        <v>Planets\Venus.png</v>
      </c>
      <c r="G85" s="22" t="str">
        <f aca="false">VLOOKUP(B85,CARD_COLORS,6,0)</f>
        <v>♀</v>
      </c>
      <c r="H85" s="12" t="s">
        <v>20</v>
      </c>
      <c r="I85" s="22" t="str">
        <f aca="false">IFERROR(MID(H85,SEARCH("+",H85),2),IFERROR(MID(H85,SEARCH("-",H85),2),IF(ISNUMBER(H85),H85,"")))</f>
        <v>+2</v>
      </c>
      <c r="J85" s="14"/>
      <c r="K85" s="22" t="str">
        <f aca="false">VLOOKUP(H85,COLOR_EFFECTS,2,0)</f>
        <v>+2</v>
      </c>
      <c r="L85" s="22" t="str">
        <f aca="false">VLOOKUP(H85,COLOR_EFFECTS,3,0)</f>
        <v>Falle</v>
      </c>
      <c r="M85" s="3" t="str">
        <f aca="false">E85&amp;" "&amp;K85</f>
        <v>Venus +2</v>
      </c>
      <c r="N85" s="22" t="str">
        <f aca="false">G85 &amp; H85</f>
        <v>♀+2</v>
      </c>
      <c r="O85" s="24" t="str">
        <f aca="false">VLOOKUP(H85,COLOR_EFFECTS,4,0)</f>
        <v>Nächster Spieler muss 2 Karten aufnehmen</v>
      </c>
    </row>
    <row r="86" customFormat="false" ht="13.8" hidden="false" customHeight="false" outlineLevel="0" collapsed="false">
      <c r="A86" s="1" t="n">
        <v>1</v>
      </c>
      <c r="B86" s="2" t="s">
        <v>21</v>
      </c>
      <c r="C86" s="3" t="str">
        <f aca="false">VLOOKUP(B86,CARD_COLORS,5,0)</f>
        <v>#CC00CC</v>
      </c>
      <c r="D86" s="22" t="str">
        <f aca="false">VLOOKUP(B86,CARD_COLORS,2,0)</f>
        <v>Pink</v>
      </c>
      <c r="E86" s="22" t="str">
        <f aca="false">VLOOKUP(B86,CARD_COLORS,3,0)</f>
        <v>Venus</v>
      </c>
      <c r="F86" s="23" t="str">
        <f aca="false">"Planets\" &amp; VLOOKUP(B86,CARD_COLORS,4,0) &amp; ".png"</f>
        <v>Planets\Venus.png</v>
      </c>
      <c r="G86" s="22" t="str">
        <f aca="false">VLOOKUP(B86,CARD_COLORS,6,0)</f>
        <v>♀</v>
      </c>
      <c r="H86" s="12" t="s">
        <v>40</v>
      </c>
      <c r="I86" s="22" t="str">
        <f aca="false">IFERROR(MID(H86,SEARCH("+",H86),2),IFERROR(MID(H86,SEARCH("-",H86),2),IF(ISNUMBER(H86),H86,"")))</f>
        <v>+3</v>
      </c>
      <c r="J86" s="14"/>
      <c r="K86" s="22" t="str">
        <f aca="false">VLOOKUP(H86,COLOR_EFFECTS,2,0)</f>
        <v>+3</v>
      </c>
      <c r="L86" s="22" t="str">
        <f aca="false">VLOOKUP(H86,COLOR_EFFECTS,3,0)</f>
        <v>Falle</v>
      </c>
      <c r="M86" s="3" t="str">
        <f aca="false">E86&amp;" "&amp;K86</f>
        <v>Venus +3</v>
      </c>
      <c r="N86" s="22" t="str">
        <f aca="false">G86 &amp; H86</f>
        <v>♀+3</v>
      </c>
      <c r="O86" s="24" t="str">
        <f aca="false">VLOOKUP(H86,COLOR_EFFECTS,4,0)</f>
        <v>Nächster Spieler muss 3 Karten aufnehmen</v>
      </c>
    </row>
    <row r="87" customFormat="false" ht="13.8" hidden="false" customHeight="false" outlineLevel="0" collapsed="false">
      <c r="A87" s="1" t="n">
        <v>1</v>
      </c>
      <c r="B87" s="2" t="s">
        <v>21</v>
      </c>
      <c r="C87" s="3" t="str">
        <f aca="false">VLOOKUP(B87,CARD_COLORS,5,0)</f>
        <v>#CC00CC</v>
      </c>
      <c r="D87" s="22" t="str">
        <f aca="false">VLOOKUP(B87,CARD_COLORS,2,0)</f>
        <v>Pink</v>
      </c>
      <c r="E87" s="22" t="str">
        <f aca="false">VLOOKUP(B87,CARD_COLORS,3,0)</f>
        <v>Venus</v>
      </c>
      <c r="F87" s="23" t="str">
        <f aca="false">"Planets\" &amp; VLOOKUP(B87,CARD_COLORS,4,0) &amp; ".png"</f>
        <v>Planets\Venus.png</v>
      </c>
      <c r="G87" s="22" t="str">
        <f aca="false">VLOOKUP(B87,CARD_COLORS,6,0)</f>
        <v>♀</v>
      </c>
      <c r="H87" s="12" t="s">
        <v>22</v>
      </c>
      <c r="I87" s="22" t="str">
        <f aca="false">IFERROR(MID(H87,SEARCH("+",H87),2),IFERROR(MID(H87,SEARCH("-",H87),2),IF(ISNUMBER(H87),H87,"")))</f>
        <v/>
      </c>
      <c r="J87" s="14" t="s">
        <v>23</v>
      </c>
      <c r="K87" s="22" t="str">
        <f aca="false">VLOOKUP(H87,COLOR_EFFECTS,2,0)</f>
        <v>Umkehrung</v>
      </c>
      <c r="L87" s="22" t="str">
        <f aca="false">VLOOKUP(H87,COLOR_EFFECTS,3,0)</f>
        <v>Aktion</v>
      </c>
      <c r="M87" s="3" t="str">
        <f aca="false">E87&amp;" "&amp;K87</f>
        <v>Venus Umkehrung</v>
      </c>
      <c r="N87" s="22" t="str">
        <f aca="false">G87 &amp; H87</f>
        <v>♀🔄</v>
      </c>
      <c r="O87" s="24" t="str">
        <f aca="false">VLOOKUP(H87,COLOR_EFFECTS,4,0)</f>
        <v>Spielrichtung andersherum</v>
      </c>
    </row>
    <row r="88" customFormat="false" ht="13.8" hidden="false" customHeight="false" outlineLevel="0" collapsed="false">
      <c r="A88" s="1" t="n">
        <v>1</v>
      </c>
      <c r="B88" s="2" t="s">
        <v>21</v>
      </c>
      <c r="C88" s="3" t="str">
        <f aca="false">VLOOKUP(B88,CARD_COLORS,5,0)</f>
        <v>#CC00CC</v>
      </c>
      <c r="D88" s="22" t="str">
        <f aca="false">VLOOKUP(B88,CARD_COLORS,2,0)</f>
        <v>Pink</v>
      </c>
      <c r="E88" s="22" t="str">
        <f aca="false">VLOOKUP(B88,CARD_COLORS,3,0)</f>
        <v>Venus</v>
      </c>
      <c r="F88" s="23" t="str">
        <f aca="false">"Planets\" &amp; VLOOKUP(B88,CARD_COLORS,4,0) &amp; ".png"</f>
        <v>Planets\Venus.png</v>
      </c>
      <c r="G88" s="22" t="str">
        <f aca="false">VLOOKUP(B88,CARD_COLORS,6,0)</f>
        <v>♀</v>
      </c>
      <c r="H88" s="12" t="s">
        <v>25</v>
      </c>
      <c r="I88" s="22" t="str">
        <f aca="false">IFERROR(MID(H88,SEARCH("+",H88),2),IFERROR(MID(H88,SEARCH("-",H88),2),IF(ISNUMBER(H88),H88,"")))</f>
        <v/>
      </c>
      <c r="J88" s="14" t="s">
        <v>26</v>
      </c>
      <c r="K88" s="22" t="str">
        <f aca="false">VLOOKUP(H88,COLOR_EFFECTS,2,0)</f>
        <v>Blockade</v>
      </c>
      <c r="L88" s="22" t="str">
        <f aca="false">VLOOKUP(H88,COLOR_EFFECTS,3,0)</f>
        <v>Aktion</v>
      </c>
      <c r="M88" s="3" t="str">
        <f aca="false">E88&amp;" "&amp;K88</f>
        <v>Venus Blockade</v>
      </c>
      <c r="N88" s="22" t="str">
        <f aca="false">G88 &amp; H88</f>
        <v>♀🚫</v>
      </c>
      <c r="O88" s="24" t="str">
        <f aca="false">VLOOKUP(H88,COLOR_EFFECTS,4,0)</f>
        <v>Nächster Spieler muss aussetzen</v>
      </c>
    </row>
    <row r="89" customFormat="false" ht="13.8" hidden="false" customHeight="false" outlineLevel="0" collapsed="false">
      <c r="A89" s="1" t="n">
        <v>1</v>
      </c>
      <c r="B89" s="2" t="s">
        <v>21</v>
      </c>
      <c r="C89" s="3" t="str">
        <f aca="false">VLOOKUP(B89,CARD_COLORS,5,0)</f>
        <v>#CC00CC</v>
      </c>
      <c r="D89" s="22" t="str">
        <f aca="false">VLOOKUP(B89,CARD_COLORS,2,0)</f>
        <v>Pink</v>
      </c>
      <c r="E89" s="22" t="str">
        <f aca="false">VLOOKUP(B89,CARD_COLORS,3,0)</f>
        <v>Venus</v>
      </c>
      <c r="F89" s="23" t="str">
        <f aca="false">"Planets\" &amp; VLOOKUP(B89,CARD_COLORS,4,0) &amp; ".png"</f>
        <v>Planets\Venus.png</v>
      </c>
      <c r="G89" s="22" t="str">
        <f aca="false">VLOOKUP(B89,CARD_COLORS,6,0)</f>
        <v>♀</v>
      </c>
      <c r="H89" s="12" t="s">
        <v>28</v>
      </c>
      <c r="I89" s="22" t="str">
        <f aca="false">IFERROR(MID(H89,SEARCH("+",H89),2),IFERROR(MID(H89,SEARCH("-",H89),2),IF(ISNUMBER(H89),H89,"")))</f>
        <v/>
      </c>
      <c r="J89" s="14" t="s">
        <v>29</v>
      </c>
      <c r="K89" s="22" t="str">
        <f aca="false">VLOOKUP(H89,COLOR_EFFECTS,2,0)</f>
        <v>Wiederholung</v>
      </c>
      <c r="L89" s="22" t="str">
        <f aca="false">VLOOKUP(H89,COLOR_EFFECTS,3,0)</f>
        <v>Aktion</v>
      </c>
      <c r="M89" s="3" t="str">
        <f aca="false">E89&amp;" "&amp;K89</f>
        <v>Venus Wiederholung</v>
      </c>
      <c r="N89" s="22" t="str">
        <f aca="false">G89 &amp; H89</f>
        <v>♀🔂</v>
      </c>
      <c r="O89" s="24" t="str">
        <f aca="false">VLOOKUP(H89,COLOR_EFFECTS,4,0)</f>
        <v>Ein weiterer Zug</v>
      </c>
    </row>
    <row r="90" customFormat="false" ht="13.8" hidden="false" customHeight="false" outlineLevel="0" collapsed="false">
      <c r="A90" s="1" t="n">
        <v>1</v>
      </c>
      <c r="B90" s="2" t="s">
        <v>21</v>
      </c>
      <c r="C90" s="3" t="str">
        <f aca="false">VLOOKUP(B90,CARD_COLORS,5,0)</f>
        <v>#CC00CC</v>
      </c>
      <c r="D90" s="22" t="str">
        <f aca="false">VLOOKUP(B90,CARD_COLORS,2,0)</f>
        <v>Pink</v>
      </c>
      <c r="E90" s="22" t="str">
        <f aca="false">VLOOKUP(B90,CARD_COLORS,3,0)</f>
        <v>Venus</v>
      </c>
      <c r="F90" s="23" t="str">
        <f aca="false">"Planets\" &amp; VLOOKUP(B90,CARD_COLORS,4,0) &amp; ".png"</f>
        <v>Planets\Venus.png</v>
      </c>
      <c r="G90" s="22" t="str">
        <f aca="false">VLOOKUP(B90,CARD_COLORS,6,0)</f>
        <v>♀</v>
      </c>
      <c r="H90" s="12" t="s">
        <v>31</v>
      </c>
      <c r="I90" s="22" t="str">
        <f aca="false">IFERROR(MID(H90,SEARCH("+",H90),2),IFERROR(MID(H90,SEARCH("-",H90),2),IF(ISNUMBER(H90),H90,"")))</f>
        <v/>
      </c>
      <c r="J90" s="14" t="s">
        <v>32</v>
      </c>
      <c r="K90" s="22" t="str">
        <f aca="false">VLOOKUP(H90,COLOR_EFFECTS,2,0)</f>
        <v>Eis</v>
      </c>
      <c r="L90" s="22" t="str">
        <f aca="false">VLOOKUP(H90,COLOR_EFFECTS,3,0)</f>
        <v>Aktion</v>
      </c>
      <c r="M90" s="3" t="str">
        <f aca="false">E90&amp;" "&amp;K90</f>
        <v>Venus Eis</v>
      </c>
      <c r="N90" s="22" t="str">
        <f aca="false">G90 &amp; H90</f>
        <v>♀❄️</v>
      </c>
      <c r="O90" s="24" t="str">
        <f aca="false">VLOOKUP(H90,COLOR_EFFECTS,4,0)</f>
        <v>Farbe muss für eine komplette Runde beibehalten werden</v>
      </c>
    </row>
    <row r="91" customFormat="false" ht="13.8" hidden="false" customHeight="false" outlineLevel="0" collapsed="false">
      <c r="A91" s="1" t="n">
        <v>1</v>
      </c>
      <c r="B91" s="2" t="s">
        <v>21</v>
      </c>
      <c r="C91" s="3" t="str">
        <f aca="false">VLOOKUP(B91,CARD_COLORS,5,0)</f>
        <v>#CC00CC</v>
      </c>
      <c r="D91" s="22" t="str">
        <f aca="false">VLOOKUP(B91,CARD_COLORS,2,0)</f>
        <v>Pink</v>
      </c>
      <c r="E91" s="22" t="str">
        <f aca="false">VLOOKUP(B91,CARD_COLORS,3,0)</f>
        <v>Venus</v>
      </c>
      <c r="F91" s="23" t="str">
        <f aca="false">"Planets\" &amp; VLOOKUP(B91,CARD_COLORS,4,0) &amp; ".png"</f>
        <v>Planets\Venus.png</v>
      </c>
      <c r="G91" s="22" t="str">
        <f aca="false">VLOOKUP(B91,CARD_COLORS,6,0)</f>
        <v>♀</v>
      </c>
      <c r="H91" s="12" t="s">
        <v>34</v>
      </c>
      <c r="I91" s="22" t="str">
        <f aca="false">IFERROR(MID(H91,SEARCH("+",H91),2),IFERROR(MID(H91,SEARCH("-",H91),2),IF(ISNUMBER(H91),H91,"")))</f>
        <v/>
      </c>
      <c r="J91" s="14" t="s">
        <v>35</v>
      </c>
      <c r="K91" s="22" t="str">
        <f aca="false">VLOOKUP(H91,COLOR_EFFECTS,2,0)</f>
        <v>Feuer</v>
      </c>
      <c r="L91" s="22" t="str">
        <f aca="false">VLOOKUP(H91,COLOR_EFFECTS,3,0)</f>
        <v>Aktion</v>
      </c>
      <c r="M91" s="3" t="str">
        <f aca="false">E91&amp;" "&amp;K91</f>
        <v>Venus Feuer</v>
      </c>
      <c r="N91" s="22" t="str">
        <f aca="false">G91 &amp; H91</f>
        <v>♀🔥</v>
      </c>
      <c r="O91" s="24" t="str">
        <f aca="false">VLOOKUP(H91,COLOR_EFFECTS,4,0)</f>
        <v>Farbe darf bis zur nächsten Runde nicht gespielt werden</v>
      </c>
    </row>
    <row r="92" customFormat="false" ht="13.8" hidden="false" customHeight="false" outlineLevel="0" collapsed="false">
      <c r="A92" s="1" t="n">
        <v>1</v>
      </c>
      <c r="B92" s="2" t="s">
        <v>21</v>
      </c>
      <c r="C92" s="3" t="str">
        <f aca="false">VLOOKUP(B92,CARD_COLORS,5,0)</f>
        <v>#CC00CC</v>
      </c>
      <c r="D92" s="22" t="str">
        <f aca="false">VLOOKUP(B92,CARD_COLORS,2,0)</f>
        <v>Pink</v>
      </c>
      <c r="E92" s="22" t="str">
        <f aca="false">VLOOKUP(B92,CARD_COLORS,3,0)</f>
        <v>Venus</v>
      </c>
      <c r="F92" s="23" t="str">
        <f aca="false">"Planets\" &amp; VLOOKUP(B92,CARD_COLORS,4,0) &amp; ".png"</f>
        <v>Planets\Venus.png</v>
      </c>
      <c r="G92" s="22" t="str">
        <f aca="false">VLOOKUP(B92,CARD_COLORS,6,0)</f>
        <v>♀</v>
      </c>
      <c r="H92" s="12" t="s">
        <v>37</v>
      </c>
      <c r="I92" s="22" t="str">
        <f aca="false">IFERROR(MID(H92,SEARCH("+",H92),2),IFERROR(MID(H92,SEARCH("-",H92),2),IF(ISNUMBER(H92),H92,"")))</f>
        <v/>
      </c>
      <c r="J92" s="14" t="s">
        <v>38</v>
      </c>
      <c r="K92" s="22" t="str">
        <f aca="false">VLOOKUP(H92,COLOR_EFFECTS,2,0)</f>
        <v>Fokus</v>
      </c>
      <c r="L92" s="22" t="str">
        <f aca="false">VLOOKUP(H92,COLOR_EFFECTS,3,0)</f>
        <v>Aktion</v>
      </c>
      <c r="M92" s="3" t="str">
        <f aca="false">E92&amp;" "&amp;K92</f>
        <v>Venus Fokus</v>
      </c>
      <c r="N92" s="22" t="str">
        <f aca="false">G92 &amp; H92</f>
        <v>♀🎯</v>
      </c>
      <c r="O92" s="24" t="str">
        <f aca="false">VLOOKUP(H92,COLOR_EFFECTS,4,0)</f>
        <v>Wähle den nächsten Spieler</v>
      </c>
    </row>
    <row r="93" customFormat="false" ht="13.8" hidden="false" customHeight="false" outlineLevel="0" collapsed="false">
      <c r="A93" s="1" t="n">
        <v>1</v>
      </c>
      <c r="B93" s="2" t="s">
        <v>24</v>
      </c>
      <c r="C93" s="3" t="str">
        <f aca="false">VLOOKUP(B93,CARD_COLORS,5,0)</f>
        <v>#008800</v>
      </c>
      <c r="D93" s="22" t="str">
        <f aca="false">VLOOKUP(B93,CARD_COLORS,2,0)</f>
        <v>Grün</v>
      </c>
      <c r="E93" s="22" t="str">
        <f aca="false">VLOOKUP(B93,CARD_COLORS,3,0)</f>
        <v>Erde</v>
      </c>
      <c r="F93" s="23" t="str">
        <f aca="false">"Planets\" &amp; VLOOKUP(B93,CARD_COLORS,4,0) &amp; ".png"</f>
        <v>Planets\Earth.png</v>
      </c>
      <c r="G93" s="22" t="str">
        <f aca="false">VLOOKUP(B93,CARD_COLORS,6,0)</f>
        <v>⊕</v>
      </c>
      <c r="H93" s="12" t="n">
        <v>0</v>
      </c>
      <c r="I93" s="22" t="n">
        <f aca="false">IFERROR(MID(H93,SEARCH("+",H93),2),IFERROR(MID(H93,SEARCH("-",H93),2),IF(ISNUMBER(H93),H93,"")))</f>
        <v>0</v>
      </c>
      <c r="J93" s="14"/>
      <c r="K93" s="22" t="str">
        <f aca="false">VLOOKUP(H93,COLOR_EFFECTS,2,0)</f>
        <v>0</v>
      </c>
      <c r="L93" s="22" t="str">
        <f aca="false">VLOOKUP(H93,COLOR_EFFECTS,3,0)</f>
        <v>Standard</v>
      </c>
      <c r="M93" s="3" t="str">
        <f aca="false">E93&amp;" "&amp;K93</f>
        <v>Erde 0</v>
      </c>
      <c r="N93" s="22" t="str">
        <f aca="false">G93 &amp; H93</f>
        <v>⊕0</v>
      </c>
      <c r="O93" s="24" t="str">
        <f aca="false">VLOOKUP(H93,COLOR_EFFECTS,4,0)</f>
        <v> </v>
      </c>
    </row>
    <row r="94" customFormat="false" ht="13.8" hidden="false" customHeight="false" outlineLevel="0" collapsed="false">
      <c r="A94" s="1" t="n">
        <v>1</v>
      </c>
      <c r="B94" s="2" t="s">
        <v>24</v>
      </c>
      <c r="C94" s="3" t="str">
        <f aca="false">VLOOKUP(B94,CARD_COLORS,5,0)</f>
        <v>#008800</v>
      </c>
      <c r="D94" s="22" t="str">
        <f aca="false">VLOOKUP(B94,CARD_COLORS,2,0)</f>
        <v>Grün</v>
      </c>
      <c r="E94" s="22" t="str">
        <f aca="false">VLOOKUP(B94,CARD_COLORS,3,0)</f>
        <v>Erde</v>
      </c>
      <c r="F94" s="23" t="str">
        <f aca="false">"Planets\" &amp; VLOOKUP(B94,CARD_COLORS,4,0) &amp; ".png"</f>
        <v>Planets\Earth.png</v>
      </c>
      <c r="G94" s="22" t="str">
        <f aca="false">VLOOKUP(B94,CARD_COLORS,6,0)</f>
        <v>⊕</v>
      </c>
      <c r="H94" s="12" t="n">
        <v>1</v>
      </c>
      <c r="I94" s="22" t="n">
        <f aca="false">IFERROR(MID(H94,SEARCH("+",H94),2),IFERROR(MID(H94,SEARCH("-",H94),2),IF(ISNUMBER(H94),H94,"")))</f>
        <v>1</v>
      </c>
      <c r="J94" s="14"/>
      <c r="K94" s="22" t="str">
        <f aca="false">VLOOKUP(H94,COLOR_EFFECTS,2,0)</f>
        <v>1</v>
      </c>
      <c r="L94" s="22" t="str">
        <f aca="false">VLOOKUP(H94,COLOR_EFFECTS,3,0)</f>
        <v>Standard</v>
      </c>
      <c r="M94" s="3" t="str">
        <f aca="false">E94&amp;" "&amp;K94</f>
        <v>Erde 1</v>
      </c>
      <c r="N94" s="22" t="str">
        <f aca="false">G94 &amp; H94</f>
        <v>⊕1</v>
      </c>
      <c r="O94" s="24" t="str">
        <f aca="false">VLOOKUP(H94,COLOR_EFFECTS,4,0)</f>
        <v> </v>
      </c>
    </row>
    <row r="95" customFormat="false" ht="13.8" hidden="false" customHeight="false" outlineLevel="0" collapsed="false">
      <c r="A95" s="1" t="n">
        <v>1</v>
      </c>
      <c r="B95" s="2" t="s">
        <v>24</v>
      </c>
      <c r="C95" s="3" t="str">
        <f aca="false">VLOOKUP(B95,CARD_COLORS,5,0)</f>
        <v>#008800</v>
      </c>
      <c r="D95" s="22" t="str">
        <f aca="false">VLOOKUP(B95,CARD_COLORS,2,0)</f>
        <v>Grün</v>
      </c>
      <c r="E95" s="22" t="str">
        <f aca="false">VLOOKUP(B95,CARD_COLORS,3,0)</f>
        <v>Erde</v>
      </c>
      <c r="F95" s="23" t="str">
        <f aca="false">"Planets\" &amp; VLOOKUP(B95,CARD_COLORS,4,0) &amp; ".png"</f>
        <v>Planets\Earth.png</v>
      </c>
      <c r="G95" s="22" t="str">
        <f aca="false">VLOOKUP(B95,CARD_COLORS,6,0)</f>
        <v>⊕</v>
      </c>
      <c r="H95" s="12" t="n">
        <v>2</v>
      </c>
      <c r="I95" s="22" t="n">
        <f aca="false">IFERROR(MID(H95,SEARCH("+",H95),2),IFERROR(MID(H95,SEARCH("-",H95),2),IF(ISNUMBER(H95),H95,"")))</f>
        <v>2</v>
      </c>
      <c r="J95" s="14"/>
      <c r="K95" s="22" t="str">
        <f aca="false">VLOOKUP(H95,COLOR_EFFECTS,2,0)</f>
        <v>2</v>
      </c>
      <c r="L95" s="22" t="str">
        <f aca="false">VLOOKUP(H95,COLOR_EFFECTS,3,0)</f>
        <v>Standard</v>
      </c>
      <c r="M95" s="3" t="str">
        <f aca="false">E95&amp;" "&amp;K95</f>
        <v>Erde 2</v>
      </c>
      <c r="N95" s="22" t="str">
        <f aca="false">G95 &amp; H95</f>
        <v>⊕2</v>
      </c>
      <c r="O95" s="24" t="str">
        <f aca="false">VLOOKUP(H95,COLOR_EFFECTS,4,0)</f>
        <v> </v>
      </c>
    </row>
    <row r="96" customFormat="false" ht="13.8" hidden="false" customHeight="false" outlineLevel="0" collapsed="false">
      <c r="A96" s="1" t="n">
        <v>1</v>
      </c>
      <c r="B96" s="2" t="s">
        <v>24</v>
      </c>
      <c r="C96" s="3" t="str">
        <f aca="false">VLOOKUP(B96,CARD_COLORS,5,0)</f>
        <v>#008800</v>
      </c>
      <c r="D96" s="22" t="str">
        <f aca="false">VLOOKUP(B96,CARD_COLORS,2,0)</f>
        <v>Grün</v>
      </c>
      <c r="E96" s="22" t="str">
        <f aca="false">VLOOKUP(B96,CARD_COLORS,3,0)</f>
        <v>Erde</v>
      </c>
      <c r="F96" s="23" t="str">
        <f aca="false">"Planets\" &amp; VLOOKUP(B96,CARD_COLORS,4,0) &amp; ".png"</f>
        <v>Planets\Earth.png</v>
      </c>
      <c r="G96" s="22" t="str">
        <f aca="false">VLOOKUP(B96,CARD_COLORS,6,0)</f>
        <v>⊕</v>
      </c>
      <c r="H96" s="12" t="n">
        <v>3</v>
      </c>
      <c r="I96" s="22" t="n">
        <f aca="false">IFERROR(MID(H96,SEARCH("+",H96),2),IFERROR(MID(H96,SEARCH("-",H96),2),IF(ISNUMBER(H96),H96,"")))</f>
        <v>3</v>
      </c>
      <c r="J96" s="14"/>
      <c r="K96" s="22" t="str">
        <f aca="false">VLOOKUP(H96,COLOR_EFFECTS,2,0)</f>
        <v>3</v>
      </c>
      <c r="L96" s="22" t="str">
        <f aca="false">VLOOKUP(H96,COLOR_EFFECTS,3,0)</f>
        <v>Standard</v>
      </c>
      <c r="M96" s="3" t="str">
        <f aca="false">E96&amp;" "&amp;K96</f>
        <v>Erde 3</v>
      </c>
      <c r="N96" s="22" t="str">
        <f aca="false">G96 &amp; H96</f>
        <v>⊕3</v>
      </c>
      <c r="O96" s="24" t="str">
        <f aca="false">VLOOKUP(H96,COLOR_EFFECTS,4,0)</f>
        <v> </v>
      </c>
    </row>
    <row r="97" customFormat="false" ht="13.8" hidden="false" customHeight="false" outlineLevel="0" collapsed="false">
      <c r="A97" s="1" t="n">
        <v>1</v>
      </c>
      <c r="B97" s="2" t="s">
        <v>24</v>
      </c>
      <c r="C97" s="3" t="str">
        <f aca="false">VLOOKUP(B97,CARD_COLORS,5,0)</f>
        <v>#008800</v>
      </c>
      <c r="D97" s="22" t="str">
        <f aca="false">VLOOKUP(B97,CARD_COLORS,2,0)</f>
        <v>Grün</v>
      </c>
      <c r="E97" s="22" t="str">
        <f aca="false">VLOOKUP(B97,CARD_COLORS,3,0)</f>
        <v>Erde</v>
      </c>
      <c r="F97" s="23" t="str">
        <f aca="false">"Planets\" &amp; VLOOKUP(B97,CARD_COLORS,4,0) &amp; ".png"</f>
        <v>Planets\Earth.png</v>
      </c>
      <c r="G97" s="22" t="str">
        <f aca="false">VLOOKUP(B97,CARD_COLORS,6,0)</f>
        <v>⊕</v>
      </c>
      <c r="H97" s="12" t="n">
        <v>4</v>
      </c>
      <c r="I97" s="22" t="n">
        <f aca="false">IFERROR(MID(H97,SEARCH("+",H97),2),IFERROR(MID(H97,SEARCH("-",H97),2),IF(ISNUMBER(H97),H97,"")))</f>
        <v>4</v>
      </c>
      <c r="J97" s="14"/>
      <c r="K97" s="22" t="str">
        <f aca="false">VLOOKUP(H97,COLOR_EFFECTS,2,0)</f>
        <v>4</v>
      </c>
      <c r="L97" s="22" t="str">
        <f aca="false">VLOOKUP(H97,COLOR_EFFECTS,3,0)</f>
        <v>Standard</v>
      </c>
      <c r="M97" s="3" t="str">
        <f aca="false">E97&amp;" "&amp;K97</f>
        <v>Erde 4</v>
      </c>
      <c r="N97" s="22" t="str">
        <f aca="false">G97 &amp; H97</f>
        <v>⊕4</v>
      </c>
      <c r="O97" s="24" t="str">
        <f aca="false">VLOOKUP(H97,COLOR_EFFECTS,4,0)</f>
        <v> </v>
      </c>
    </row>
    <row r="98" customFormat="false" ht="13.8" hidden="false" customHeight="false" outlineLevel="0" collapsed="false">
      <c r="A98" s="1" t="n">
        <v>1</v>
      </c>
      <c r="B98" s="2" t="s">
        <v>24</v>
      </c>
      <c r="C98" s="3" t="str">
        <f aca="false">VLOOKUP(B98,CARD_COLORS,5,0)</f>
        <v>#008800</v>
      </c>
      <c r="D98" s="22" t="str">
        <f aca="false">VLOOKUP(B98,CARD_COLORS,2,0)</f>
        <v>Grün</v>
      </c>
      <c r="E98" s="22" t="str">
        <f aca="false">VLOOKUP(B98,CARD_COLORS,3,0)</f>
        <v>Erde</v>
      </c>
      <c r="F98" s="23" t="str">
        <f aca="false">"Planets\" &amp; VLOOKUP(B98,CARD_COLORS,4,0) &amp; ".png"</f>
        <v>Planets\Earth.png</v>
      </c>
      <c r="G98" s="22" t="str">
        <f aca="false">VLOOKUP(B98,CARD_COLORS,6,0)</f>
        <v>⊕</v>
      </c>
      <c r="H98" s="12" t="n">
        <v>5</v>
      </c>
      <c r="I98" s="22" t="n">
        <f aca="false">IFERROR(MID(H98,SEARCH("+",H98),2),IFERROR(MID(H98,SEARCH("-",H98),2),IF(ISNUMBER(H98),H98,"")))</f>
        <v>5</v>
      </c>
      <c r="J98" s="14"/>
      <c r="K98" s="22" t="str">
        <f aca="false">VLOOKUP(H98,COLOR_EFFECTS,2,0)</f>
        <v>5</v>
      </c>
      <c r="L98" s="22" t="str">
        <f aca="false">VLOOKUP(H98,COLOR_EFFECTS,3,0)</f>
        <v>Standard</v>
      </c>
      <c r="M98" s="3" t="str">
        <f aca="false">E98&amp;" "&amp;K98</f>
        <v>Erde 5</v>
      </c>
      <c r="N98" s="22" t="str">
        <f aca="false">G98 &amp; H98</f>
        <v>⊕5</v>
      </c>
      <c r="O98" s="24" t="str">
        <f aca="false">VLOOKUP(H98,COLOR_EFFECTS,4,0)</f>
        <v> </v>
      </c>
    </row>
    <row r="99" customFormat="false" ht="13.8" hidden="false" customHeight="false" outlineLevel="0" collapsed="false">
      <c r="A99" s="1" t="n">
        <v>1</v>
      </c>
      <c r="B99" s="2" t="s">
        <v>24</v>
      </c>
      <c r="C99" s="3" t="str">
        <f aca="false">VLOOKUP(B99,CARD_COLORS,5,0)</f>
        <v>#008800</v>
      </c>
      <c r="D99" s="22" t="str">
        <f aca="false">VLOOKUP(B99,CARD_COLORS,2,0)</f>
        <v>Grün</v>
      </c>
      <c r="E99" s="22" t="str">
        <f aca="false">VLOOKUP(B99,CARD_COLORS,3,0)</f>
        <v>Erde</v>
      </c>
      <c r="F99" s="23" t="str">
        <f aca="false">"Planets\" &amp; VLOOKUP(B99,CARD_COLORS,4,0) &amp; ".png"</f>
        <v>Planets\Earth.png</v>
      </c>
      <c r="G99" s="22" t="str">
        <f aca="false">VLOOKUP(B99,CARD_COLORS,6,0)</f>
        <v>⊕</v>
      </c>
      <c r="H99" s="12" t="n">
        <v>6</v>
      </c>
      <c r="I99" s="22" t="n">
        <f aca="false">IFERROR(MID(H99,SEARCH("+",H99),2),IFERROR(MID(H99,SEARCH("-",H99),2),IF(ISNUMBER(H99),H99,"")))</f>
        <v>6</v>
      </c>
      <c r="J99" s="14"/>
      <c r="K99" s="22" t="str">
        <f aca="false">VLOOKUP(H99,COLOR_EFFECTS,2,0)</f>
        <v>6</v>
      </c>
      <c r="L99" s="22" t="str">
        <f aca="false">VLOOKUP(H99,COLOR_EFFECTS,3,0)</f>
        <v>Standard</v>
      </c>
      <c r="M99" s="3" t="str">
        <f aca="false">E99&amp;" "&amp;K99</f>
        <v>Erde 6</v>
      </c>
      <c r="N99" s="22" t="str">
        <f aca="false">G99 &amp; H99</f>
        <v>⊕6</v>
      </c>
      <c r="O99" s="24" t="str">
        <f aca="false">VLOOKUP(H99,COLOR_EFFECTS,4,0)</f>
        <v> </v>
      </c>
    </row>
    <row r="100" customFormat="false" ht="13.8" hidden="false" customHeight="false" outlineLevel="0" collapsed="false">
      <c r="A100" s="1" t="n">
        <v>1</v>
      </c>
      <c r="B100" s="2" t="s">
        <v>24</v>
      </c>
      <c r="C100" s="3" t="str">
        <f aca="false">VLOOKUP(B100,CARD_COLORS,5,0)</f>
        <v>#008800</v>
      </c>
      <c r="D100" s="22" t="str">
        <f aca="false">VLOOKUP(B100,CARD_COLORS,2,0)</f>
        <v>Grün</v>
      </c>
      <c r="E100" s="22" t="str">
        <f aca="false">VLOOKUP(B100,CARD_COLORS,3,0)</f>
        <v>Erde</v>
      </c>
      <c r="F100" s="23" t="str">
        <f aca="false">"Planets\" &amp; VLOOKUP(B100,CARD_COLORS,4,0) &amp; ".png"</f>
        <v>Planets\Earth.png</v>
      </c>
      <c r="G100" s="22" t="str">
        <f aca="false">VLOOKUP(B100,CARD_COLORS,6,0)</f>
        <v>⊕</v>
      </c>
      <c r="H100" s="12" t="n">
        <v>7</v>
      </c>
      <c r="I100" s="22" t="n">
        <f aca="false">IFERROR(MID(H100,SEARCH("+",H100),2),IFERROR(MID(H100,SEARCH("-",H100),2),IF(ISNUMBER(H100),H100,"")))</f>
        <v>7</v>
      </c>
      <c r="J100" s="14"/>
      <c r="K100" s="22" t="str">
        <f aca="false">VLOOKUP(H100,COLOR_EFFECTS,2,0)</f>
        <v>7</v>
      </c>
      <c r="L100" s="22" t="str">
        <f aca="false">VLOOKUP(H100,COLOR_EFFECTS,3,0)</f>
        <v>Standard</v>
      </c>
      <c r="M100" s="3" t="str">
        <f aca="false">E100&amp;" "&amp;K100</f>
        <v>Erde 7</v>
      </c>
      <c r="N100" s="22" t="str">
        <f aca="false">G100 &amp; H100</f>
        <v>⊕7</v>
      </c>
      <c r="O100" s="24" t="str">
        <f aca="false">VLOOKUP(H100,COLOR_EFFECTS,4,0)</f>
        <v> </v>
      </c>
    </row>
    <row r="101" customFormat="false" ht="13.8" hidden="false" customHeight="false" outlineLevel="0" collapsed="false">
      <c r="A101" s="1" t="n">
        <v>1</v>
      </c>
      <c r="B101" s="2" t="s">
        <v>24</v>
      </c>
      <c r="C101" s="3" t="str">
        <f aca="false">VLOOKUP(B101,CARD_COLORS,5,0)</f>
        <v>#008800</v>
      </c>
      <c r="D101" s="22" t="str">
        <f aca="false">VLOOKUP(B101,CARD_COLORS,2,0)</f>
        <v>Grün</v>
      </c>
      <c r="E101" s="22" t="str">
        <f aca="false">VLOOKUP(B101,CARD_COLORS,3,0)</f>
        <v>Erde</v>
      </c>
      <c r="F101" s="23" t="str">
        <f aca="false">"Planets\" &amp; VLOOKUP(B101,CARD_COLORS,4,0) &amp; ".png"</f>
        <v>Planets\Earth.png</v>
      </c>
      <c r="G101" s="22" t="str">
        <f aca="false">VLOOKUP(B101,CARD_COLORS,6,0)</f>
        <v>⊕</v>
      </c>
      <c r="H101" s="12" t="n">
        <v>8</v>
      </c>
      <c r="I101" s="22" t="n">
        <f aca="false">IFERROR(MID(H101,SEARCH("+",H101),2),IFERROR(MID(H101,SEARCH("-",H101),2),IF(ISNUMBER(H101),H101,"")))</f>
        <v>8</v>
      </c>
      <c r="J101" s="14"/>
      <c r="K101" s="22" t="str">
        <f aca="false">VLOOKUP(H101,COLOR_EFFECTS,2,0)</f>
        <v>8</v>
      </c>
      <c r="L101" s="22" t="str">
        <f aca="false">VLOOKUP(H101,COLOR_EFFECTS,3,0)</f>
        <v>Standard</v>
      </c>
      <c r="M101" s="3" t="str">
        <f aca="false">E101&amp;" "&amp;K101</f>
        <v>Erde 8</v>
      </c>
      <c r="N101" s="22" t="str">
        <f aca="false">G101 &amp; H101</f>
        <v>⊕8</v>
      </c>
      <c r="O101" s="24" t="str">
        <f aca="false">VLOOKUP(H101,COLOR_EFFECTS,4,0)</f>
        <v> </v>
      </c>
    </row>
    <row r="102" customFormat="false" ht="13.8" hidden="false" customHeight="false" outlineLevel="0" collapsed="false">
      <c r="A102" s="1" t="n">
        <v>1</v>
      </c>
      <c r="B102" s="2" t="s">
        <v>24</v>
      </c>
      <c r="C102" s="3" t="str">
        <f aca="false">VLOOKUP(B102,CARD_COLORS,5,0)</f>
        <v>#008800</v>
      </c>
      <c r="D102" s="22" t="str">
        <f aca="false">VLOOKUP(B102,CARD_COLORS,2,0)</f>
        <v>Grün</v>
      </c>
      <c r="E102" s="22" t="str">
        <f aca="false">VLOOKUP(B102,CARD_COLORS,3,0)</f>
        <v>Erde</v>
      </c>
      <c r="F102" s="23" t="str">
        <f aca="false">"Planets\" &amp; VLOOKUP(B102,CARD_COLORS,4,0) &amp; ".png"</f>
        <v>Planets\Earth.png</v>
      </c>
      <c r="G102" s="22" t="str">
        <f aca="false">VLOOKUP(B102,CARD_COLORS,6,0)</f>
        <v>⊕</v>
      </c>
      <c r="H102" s="12" t="n">
        <v>9</v>
      </c>
      <c r="I102" s="22" t="n">
        <f aca="false">IFERROR(MID(H102,SEARCH("+",H102),2),IFERROR(MID(H102,SEARCH("-",H102),2),IF(ISNUMBER(H102),H102,"")))</f>
        <v>9</v>
      </c>
      <c r="J102" s="14"/>
      <c r="K102" s="22" t="str">
        <f aca="false">VLOOKUP(H102,COLOR_EFFECTS,2,0)</f>
        <v>9</v>
      </c>
      <c r="L102" s="22" t="str">
        <f aca="false">VLOOKUP(H102,COLOR_EFFECTS,3,0)</f>
        <v>Standard</v>
      </c>
      <c r="M102" s="3" t="str">
        <f aca="false">E102&amp;" "&amp;K102</f>
        <v>Erde 9</v>
      </c>
      <c r="N102" s="22" t="str">
        <f aca="false">G102 &amp; H102</f>
        <v>⊕9</v>
      </c>
      <c r="O102" s="24" t="str">
        <f aca="false">VLOOKUP(H102,COLOR_EFFECTS,4,0)</f>
        <v> </v>
      </c>
    </row>
    <row r="103" customFormat="false" ht="13.8" hidden="false" customHeight="false" outlineLevel="0" collapsed="false">
      <c r="A103" s="1" t="n">
        <v>1</v>
      </c>
      <c r="B103" s="2" t="s">
        <v>24</v>
      </c>
      <c r="C103" s="3" t="str">
        <f aca="false">VLOOKUP(B103,CARD_COLORS,5,0)</f>
        <v>#008800</v>
      </c>
      <c r="D103" s="22" t="str">
        <f aca="false">VLOOKUP(B103,CARD_COLORS,2,0)</f>
        <v>Grün</v>
      </c>
      <c r="E103" s="22" t="str">
        <f aca="false">VLOOKUP(B103,CARD_COLORS,3,0)</f>
        <v>Erde</v>
      </c>
      <c r="F103" s="23" t="str">
        <f aca="false">"Planets\" &amp; VLOOKUP(B103,CARD_COLORS,4,0) &amp; ".png"</f>
        <v>Planets\Earth.png</v>
      </c>
      <c r="G103" s="22" t="str">
        <f aca="false">VLOOKUP(B103,CARD_COLORS,6,0)</f>
        <v>⊕</v>
      </c>
      <c r="H103" s="12" t="s">
        <v>20</v>
      </c>
      <c r="I103" s="22" t="str">
        <f aca="false">IFERROR(MID(H103,SEARCH("+",H103),2),IFERROR(MID(H103,SEARCH("-",H103),2),IF(ISNUMBER(H103),H103,"")))</f>
        <v>+2</v>
      </c>
      <c r="J103" s="14"/>
      <c r="K103" s="22" t="str">
        <f aca="false">VLOOKUP(H103,COLOR_EFFECTS,2,0)</f>
        <v>+2</v>
      </c>
      <c r="L103" s="22" t="str">
        <f aca="false">VLOOKUP(H103,COLOR_EFFECTS,3,0)</f>
        <v>Falle</v>
      </c>
      <c r="M103" s="3" t="str">
        <f aca="false">E103&amp;" "&amp;K103</f>
        <v>Erde +2</v>
      </c>
      <c r="N103" s="22" t="str">
        <f aca="false">G103 &amp; H103</f>
        <v>⊕+2</v>
      </c>
      <c r="O103" s="24" t="str">
        <f aca="false">VLOOKUP(H103,COLOR_EFFECTS,4,0)</f>
        <v>Nächster Spieler muss 2 Karten aufnehmen</v>
      </c>
    </row>
    <row r="104" customFormat="false" ht="13.8" hidden="false" customHeight="false" outlineLevel="0" collapsed="false">
      <c r="A104" s="1" t="n">
        <v>1</v>
      </c>
      <c r="B104" s="2" t="s">
        <v>24</v>
      </c>
      <c r="C104" s="3" t="str">
        <f aca="false">VLOOKUP(B104,CARD_COLORS,5,0)</f>
        <v>#008800</v>
      </c>
      <c r="D104" s="22" t="str">
        <f aca="false">VLOOKUP(B104,CARD_COLORS,2,0)</f>
        <v>Grün</v>
      </c>
      <c r="E104" s="22" t="str">
        <f aca="false">VLOOKUP(B104,CARD_COLORS,3,0)</f>
        <v>Erde</v>
      </c>
      <c r="F104" s="23" t="str">
        <f aca="false">"Planets\" &amp; VLOOKUP(B104,CARD_COLORS,4,0) &amp; ".png"</f>
        <v>Planets\Earth.png</v>
      </c>
      <c r="G104" s="22" t="str">
        <f aca="false">VLOOKUP(B104,CARD_COLORS,6,0)</f>
        <v>⊕</v>
      </c>
      <c r="H104" s="12" t="s">
        <v>40</v>
      </c>
      <c r="I104" s="22" t="str">
        <f aca="false">IFERROR(MID(H104,SEARCH("+",H104),2),IFERROR(MID(H104,SEARCH("-",H104),2),IF(ISNUMBER(H104),H104,"")))</f>
        <v>+3</v>
      </c>
      <c r="J104" s="14"/>
      <c r="K104" s="22" t="str">
        <f aca="false">VLOOKUP(H104,COLOR_EFFECTS,2,0)</f>
        <v>+3</v>
      </c>
      <c r="L104" s="22" t="str">
        <f aca="false">VLOOKUP(H104,COLOR_EFFECTS,3,0)</f>
        <v>Falle</v>
      </c>
      <c r="M104" s="3" t="str">
        <f aca="false">E104&amp;" "&amp;K104</f>
        <v>Erde +3</v>
      </c>
      <c r="N104" s="22" t="str">
        <f aca="false">G104 &amp; H104</f>
        <v>⊕+3</v>
      </c>
      <c r="O104" s="24" t="str">
        <f aca="false">VLOOKUP(H104,COLOR_EFFECTS,4,0)</f>
        <v>Nächster Spieler muss 3 Karten aufnehmen</v>
      </c>
    </row>
    <row r="105" customFormat="false" ht="13.8" hidden="false" customHeight="false" outlineLevel="0" collapsed="false">
      <c r="A105" s="1" t="n">
        <v>1</v>
      </c>
      <c r="B105" s="2" t="s">
        <v>24</v>
      </c>
      <c r="C105" s="3" t="str">
        <f aca="false">VLOOKUP(B105,CARD_COLORS,5,0)</f>
        <v>#008800</v>
      </c>
      <c r="D105" s="22" t="str">
        <f aca="false">VLOOKUP(B105,CARD_COLORS,2,0)</f>
        <v>Grün</v>
      </c>
      <c r="E105" s="22" t="str">
        <f aca="false">VLOOKUP(B105,CARD_COLORS,3,0)</f>
        <v>Erde</v>
      </c>
      <c r="F105" s="23" t="str">
        <f aca="false">"Planets\" &amp; VLOOKUP(B105,CARD_COLORS,4,0) &amp; ".png"</f>
        <v>Planets\Earth.png</v>
      </c>
      <c r="G105" s="22" t="str">
        <f aca="false">VLOOKUP(B105,CARD_COLORS,6,0)</f>
        <v>⊕</v>
      </c>
      <c r="H105" s="12" t="s">
        <v>22</v>
      </c>
      <c r="I105" s="22" t="str">
        <f aca="false">IFERROR(MID(H105,SEARCH("+",H105),2),IFERROR(MID(H105,SEARCH("-",H105),2),IF(ISNUMBER(H105),H105,"")))</f>
        <v/>
      </c>
      <c r="J105" s="14" t="s">
        <v>23</v>
      </c>
      <c r="K105" s="22" t="str">
        <f aca="false">VLOOKUP(H105,COLOR_EFFECTS,2,0)</f>
        <v>Umkehrung</v>
      </c>
      <c r="L105" s="22" t="str">
        <f aca="false">VLOOKUP(H105,COLOR_EFFECTS,3,0)</f>
        <v>Aktion</v>
      </c>
      <c r="M105" s="3" t="str">
        <f aca="false">E105&amp;" "&amp;K105</f>
        <v>Erde Umkehrung</v>
      </c>
      <c r="N105" s="22" t="str">
        <f aca="false">G105 &amp; H105</f>
        <v>⊕🔄</v>
      </c>
      <c r="O105" s="24" t="str">
        <f aca="false">VLOOKUP(H105,COLOR_EFFECTS,4,0)</f>
        <v>Spielrichtung andersherum</v>
      </c>
    </row>
    <row r="106" customFormat="false" ht="13.8" hidden="false" customHeight="false" outlineLevel="0" collapsed="false">
      <c r="A106" s="1" t="n">
        <v>1</v>
      </c>
      <c r="B106" s="2" t="s">
        <v>24</v>
      </c>
      <c r="C106" s="3" t="str">
        <f aca="false">VLOOKUP(B106,CARD_COLORS,5,0)</f>
        <v>#008800</v>
      </c>
      <c r="D106" s="22" t="str">
        <f aca="false">VLOOKUP(B106,CARD_COLORS,2,0)</f>
        <v>Grün</v>
      </c>
      <c r="E106" s="22" t="str">
        <f aca="false">VLOOKUP(B106,CARD_COLORS,3,0)</f>
        <v>Erde</v>
      </c>
      <c r="F106" s="23" t="str">
        <f aca="false">"Planets\" &amp; VLOOKUP(B106,CARD_COLORS,4,0) &amp; ".png"</f>
        <v>Planets\Earth.png</v>
      </c>
      <c r="G106" s="22" t="str">
        <f aca="false">VLOOKUP(B106,CARD_COLORS,6,0)</f>
        <v>⊕</v>
      </c>
      <c r="H106" s="12" t="s">
        <v>25</v>
      </c>
      <c r="I106" s="22" t="str">
        <f aca="false">IFERROR(MID(H106,SEARCH("+",H106),2),IFERROR(MID(H106,SEARCH("-",H106),2),IF(ISNUMBER(H106),H106,"")))</f>
        <v/>
      </c>
      <c r="J106" s="14" t="s">
        <v>26</v>
      </c>
      <c r="K106" s="22" t="str">
        <f aca="false">VLOOKUP(H106,COLOR_EFFECTS,2,0)</f>
        <v>Blockade</v>
      </c>
      <c r="L106" s="22" t="str">
        <f aca="false">VLOOKUP(H106,COLOR_EFFECTS,3,0)</f>
        <v>Aktion</v>
      </c>
      <c r="M106" s="3" t="str">
        <f aca="false">E106&amp;" "&amp;K106</f>
        <v>Erde Blockade</v>
      </c>
      <c r="N106" s="22" t="str">
        <f aca="false">G106 &amp; H106</f>
        <v>⊕🚫</v>
      </c>
      <c r="O106" s="24" t="str">
        <f aca="false">VLOOKUP(H106,COLOR_EFFECTS,4,0)</f>
        <v>Nächster Spieler muss aussetzen</v>
      </c>
    </row>
    <row r="107" customFormat="false" ht="13.8" hidden="false" customHeight="false" outlineLevel="0" collapsed="false">
      <c r="A107" s="1" t="n">
        <v>1</v>
      </c>
      <c r="B107" s="2" t="s">
        <v>24</v>
      </c>
      <c r="C107" s="3" t="str">
        <f aca="false">VLOOKUP(B107,CARD_COLORS,5,0)</f>
        <v>#008800</v>
      </c>
      <c r="D107" s="22" t="str">
        <f aca="false">VLOOKUP(B107,CARD_COLORS,2,0)</f>
        <v>Grün</v>
      </c>
      <c r="E107" s="22" t="str">
        <f aca="false">VLOOKUP(B107,CARD_COLORS,3,0)</f>
        <v>Erde</v>
      </c>
      <c r="F107" s="23" t="str">
        <f aca="false">"Planets\" &amp; VLOOKUP(B107,CARD_COLORS,4,0) &amp; ".png"</f>
        <v>Planets\Earth.png</v>
      </c>
      <c r="G107" s="22" t="str">
        <f aca="false">VLOOKUP(B107,CARD_COLORS,6,0)</f>
        <v>⊕</v>
      </c>
      <c r="H107" s="12" t="s">
        <v>28</v>
      </c>
      <c r="I107" s="22" t="str">
        <f aca="false">IFERROR(MID(H107,SEARCH("+",H107),2),IFERROR(MID(H107,SEARCH("-",H107),2),IF(ISNUMBER(H107),H107,"")))</f>
        <v/>
      </c>
      <c r="J107" s="14" t="s">
        <v>29</v>
      </c>
      <c r="K107" s="22" t="str">
        <f aca="false">VLOOKUP(H107,COLOR_EFFECTS,2,0)</f>
        <v>Wiederholung</v>
      </c>
      <c r="L107" s="22" t="str">
        <f aca="false">VLOOKUP(H107,COLOR_EFFECTS,3,0)</f>
        <v>Aktion</v>
      </c>
      <c r="M107" s="3" t="str">
        <f aca="false">E107&amp;" "&amp;K107</f>
        <v>Erde Wiederholung</v>
      </c>
      <c r="N107" s="22" t="str">
        <f aca="false">G107 &amp; H107</f>
        <v>⊕🔂</v>
      </c>
      <c r="O107" s="24" t="str">
        <f aca="false">VLOOKUP(H107,COLOR_EFFECTS,4,0)</f>
        <v>Ein weiterer Zug</v>
      </c>
    </row>
    <row r="108" customFormat="false" ht="13.8" hidden="false" customHeight="false" outlineLevel="0" collapsed="false">
      <c r="A108" s="1" t="n">
        <v>1</v>
      </c>
      <c r="B108" s="2" t="s">
        <v>24</v>
      </c>
      <c r="C108" s="3" t="str">
        <f aca="false">VLOOKUP(B108,CARD_COLORS,5,0)</f>
        <v>#008800</v>
      </c>
      <c r="D108" s="22" t="str">
        <f aca="false">VLOOKUP(B108,CARD_COLORS,2,0)</f>
        <v>Grün</v>
      </c>
      <c r="E108" s="22" t="str">
        <f aca="false">VLOOKUP(B108,CARD_COLORS,3,0)</f>
        <v>Erde</v>
      </c>
      <c r="F108" s="23" t="str">
        <f aca="false">"Planets\" &amp; VLOOKUP(B108,CARD_COLORS,4,0) &amp; ".png"</f>
        <v>Planets\Earth.png</v>
      </c>
      <c r="G108" s="22" t="str">
        <f aca="false">VLOOKUP(B108,CARD_COLORS,6,0)</f>
        <v>⊕</v>
      </c>
      <c r="H108" s="12" t="s">
        <v>31</v>
      </c>
      <c r="I108" s="22" t="str">
        <f aca="false">IFERROR(MID(H108,SEARCH("+",H108),2),IFERROR(MID(H108,SEARCH("-",H108),2),IF(ISNUMBER(H108),H108,"")))</f>
        <v/>
      </c>
      <c r="J108" s="14" t="s">
        <v>32</v>
      </c>
      <c r="K108" s="22" t="str">
        <f aca="false">VLOOKUP(H108,COLOR_EFFECTS,2,0)</f>
        <v>Eis</v>
      </c>
      <c r="L108" s="22" t="str">
        <f aca="false">VLOOKUP(H108,COLOR_EFFECTS,3,0)</f>
        <v>Aktion</v>
      </c>
      <c r="M108" s="3" t="str">
        <f aca="false">E108&amp;" "&amp;K108</f>
        <v>Erde Eis</v>
      </c>
      <c r="N108" s="22" t="str">
        <f aca="false">G108 &amp; H108</f>
        <v>⊕❄️</v>
      </c>
      <c r="O108" s="24" t="str">
        <f aca="false">VLOOKUP(H108,COLOR_EFFECTS,4,0)</f>
        <v>Farbe muss für eine komplette Runde beibehalten werden</v>
      </c>
    </row>
    <row r="109" customFormat="false" ht="13.8" hidden="false" customHeight="false" outlineLevel="0" collapsed="false">
      <c r="A109" s="1" t="n">
        <v>1</v>
      </c>
      <c r="B109" s="2" t="s">
        <v>24</v>
      </c>
      <c r="C109" s="3" t="str">
        <f aca="false">VLOOKUP(B109,CARD_COLORS,5,0)</f>
        <v>#008800</v>
      </c>
      <c r="D109" s="22" t="str">
        <f aca="false">VLOOKUP(B109,CARD_COLORS,2,0)</f>
        <v>Grün</v>
      </c>
      <c r="E109" s="22" t="str">
        <f aca="false">VLOOKUP(B109,CARD_COLORS,3,0)</f>
        <v>Erde</v>
      </c>
      <c r="F109" s="23" t="str">
        <f aca="false">"Planets\" &amp; VLOOKUP(B109,CARD_COLORS,4,0) &amp; ".png"</f>
        <v>Planets\Earth.png</v>
      </c>
      <c r="G109" s="22" t="str">
        <f aca="false">VLOOKUP(B109,CARD_COLORS,6,0)</f>
        <v>⊕</v>
      </c>
      <c r="H109" s="12" t="s">
        <v>34</v>
      </c>
      <c r="I109" s="22" t="str">
        <f aca="false">IFERROR(MID(H109,SEARCH("+",H109),2),IFERROR(MID(H109,SEARCH("-",H109),2),IF(ISNUMBER(H109),H109,"")))</f>
        <v/>
      </c>
      <c r="J109" s="14" t="s">
        <v>35</v>
      </c>
      <c r="K109" s="22" t="str">
        <f aca="false">VLOOKUP(H109,COLOR_EFFECTS,2,0)</f>
        <v>Feuer</v>
      </c>
      <c r="L109" s="22" t="str">
        <f aca="false">VLOOKUP(H109,COLOR_EFFECTS,3,0)</f>
        <v>Aktion</v>
      </c>
      <c r="M109" s="3" t="str">
        <f aca="false">E109&amp;" "&amp;K109</f>
        <v>Erde Feuer</v>
      </c>
      <c r="N109" s="22" t="str">
        <f aca="false">G109 &amp; H109</f>
        <v>⊕🔥</v>
      </c>
      <c r="O109" s="24" t="str">
        <f aca="false">VLOOKUP(H109,COLOR_EFFECTS,4,0)</f>
        <v>Farbe darf bis zur nächsten Runde nicht gespielt werden</v>
      </c>
    </row>
    <row r="110" customFormat="false" ht="13.8" hidden="false" customHeight="false" outlineLevel="0" collapsed="false">
      <c r="A110" s="1" t="n">
        <v>1</v>
      </c>
      <c r="B110" s="2" t="s">
        <v>24</v>
      </c>
      <c r="C110" s="3" t="str">
        <f aca="false">VLOOKUP(B110,CARD_COLORS,5,0)</f>
        <v>#008800</v>
      </c>
      <c r="D110" s="22" t="str">
        <f aca="false">VLOOKUP(B110,CARD_COLORS,2,0)</f>
        <v>Grün</v>
      </c>
      <c r="E110" s="22" t="str">
        <f aca="false">VLOOKUP(B110,CARD_COLORS,3,0)</f>
        <v>Erde</v>
      </c>
      <c r="F110" s="23" t="str">
        <f aca="false">"Planets\" &amp; VLOOKUP(B110,CARD_COLORS,4,0) &amp; ".png"</f>
        <v>Planets\Earth.png</v>
      </c>
      <c r="G110" s="22" t="str">
        <f aca="false">VLOOKUP(B110,CARD_COLORS,6,0)</f>
        <v>⊕</v>
      </c>
      <c r="H110" s="12" t="s">
        <v>37</v>
      </c>
      <c r="I110" s="22" t="str">
        <f aca="false">IFERROR(MID(H110,SEARCH("+",H110),2),IFERROR(MID(H110,SEARCH("-",H110),2),IF(ISNUMBER(H110),H110,"")))</f>
        <v/>
      </c>
      <c r="J110" s="14" t="s">
        <v>38</v>
      </c>
      <c r="K110" s="22" t="str">
        <f aca="false">VLOOKUP(H110,COLOR_EFFECTS,2,0)</f>
        <v>Fokus</v>
      </c>
      <c r="L110" s="22" t="str">
        <f aca="false">VLOOKUP(H110,COLOR_EFFECTS,3,0)</f>
        <v>Aktion</v>
      </c>
      <c r="M110" s="3" t="str">
        <f aca="false">E110&amp;" "&amp;K110</f>
        <v>Erde Fokus</v>
      </c>
      <c r="N110" s="22" t="str">
        <f aca="false">G110 &amp; H110</f>
        <v>⊕🎯</v>
      </c>
      <c r="O110" s="24" t="str">
        <f aca="false">VLOOKUP(H110,COLOR_EFFECTS,4,0)</f>
        <v>Wähle den nächsten Spieler</v>
      </c>
    </row>
    <row r="111" customFormat="false" ht="13.8" hidden="false" customHeight="false" outlineLevel="0" collapsed="false">
      <c r="A111" s="1" t="n">
        <v>1</v>
      </c>
      <c r="B111" s="2" t="s">
        <v>27</v>
      </c>
      <c r="C111" s="3" t="str">
        <f aca="false">VLOOKUP(B111,CARD_COLORS,5,0)</f>
        <v>#888888</v>
      </c>
      <c r="D111" s="22" t="str">
        <f aca="false">VLOOKUP(B111,CARD_COLORS,2,0)</f>
        <v>Grau</v>
      </c>
      <c r="E111" s="22" t="str">
        <f aca="false">VLOOKUP(B111,CARD_COLORS,3,0)</f>
        <v>Mond</v>
      </c>
      <c r="F111" s="23" t="str">
        <f aca="false">"Planets\" &amp; VLOOKUP(B111,CARD_COLORS,4,0) &amp; ".png"</f>
        <v>Planets\Moon.png</v>
      </c>
      <c r="G111" s="22" t="str">
        <f aca="false">VLOOKUP(B111,CARD_COLORS,6,0)</f>
        <v>☾</v>
      </c>
      <c r="H111" s="12" t="n">
        <v>0</v>
      </c>
      <c r="I111" s="22" t="n">
        <f aca="false">IFERROR(MID(H111,SEARCH("+",H111),2),IFERROR(MID(H111,SEARCH("-",H111),2),IF(ISNUMBER(H111),H111,"")))</f>
        <v>0</v>
      </c>
      <c r="J111" s="14"/>
      <c r="K111" s="22" t="str">
        <f aca="false">VLOOKUP(H111,COLOR_EFFECTS,2,0)</f>
        <v>0</v>
      </c>
      <c r="L111" s="22" t="str">
        <f aca="false">VLOOKUP(H111,COLOR_EFFECTS,3,0)</f>
        <v>Standard</v>
      </c>
      <c r="M111" s="3" t="str">
        <f aca="false">E111&amp;" "&amp;K111</f>
        <v>Mond 0</v>
      </c>
      <c r="N111" s="22" t="str">
        <f aca="false">G111 &amp; H111</f>
        <v>☾0</v>
      </c>
      <c r="O111" s="24" t="str">
        <f aca="false">VLOOKUP(H111,COLOR_EFFECTS,4,0)</f>
        <v> </v>
      </c>
    </row>
    <row r="112" customFormat="false" ht="13.8" hidden="false" customHeight="false" outlineLevel="0" collapsed="false">
      <c r="A112" s="1" t="n">
        <v>1</v>
      </c>
      <c r="B112" s="2" t="s">
        <v>27</v>
      </c>
      <c r="C112" s="3" t="str">
        <f aca="false">VLOOKUP(B112,CARD_COLORS,5,0)</f>
        <v>#888888</v>
      </c>
      <c r="D112" s="22" t="str">
        <f aca="false">VLOOKUP(B112,CARD_COLORS,2,0)</f>
        <v>Grau</v>
      </c>
      <c r="E112" s="22" t="str">
        <f aca="false">VLOOKUP(B112,CARD_COLORS,3,0)</f>
        <v>Mond</v>
      </c>
      <c r="F112" s="23" t="str">
        <f aca="false">"Planets\" &amp; VLOOKUP(B112,CARD_COLORS,4,0) &amp; ".png"</f>
        <v>Planets\Moon.png</v>
      </c>
      <c r="G112" s="22" t="str">
        <f aca="false">VLOOKUP(B112,CARD_COLORS,6,0)</f>
        <v>☾</v>
      </c>
      <c r="H112" s="12" t="n">
        <v>1</v>
      </c>
      <c r="I112" s="22" t="n">
        <f aca="false">IFERROR(MID(H112,SEARCH("+",H112),2),IFERROR(MID(H112,SEARCH("-",H112),2),IF(ISNUMBER(H112),H112,"")))</f>
        <v>1</v>
      </c>
      <c r="J112" s="14"/>
      <c r="K112" s="22" t="str">
        <f aca="false">VLOOKUP(H112,COLOR_EFFECTS,2,0)</f>
        <v>1</v>
      </c>
      <c r="L112" s="22" t="str">
        <f aca="false">VLOOKUP(H112,COLOR_EFFECTS,3,0)</f>
        <v>Standard</v>
      </c>
      <c r="M112" s="3" t="str">
        <f aca="false">E112&amp;" "&amp;K112</f>
        <v>Mond 1</v>
      </c>
      <c r="N112" s="22" t="str">
        <f aca="false">G112 &amp; H112</f>
        <v>☾1</v>
      </c>
      <c r="O112" s="24" t="str">
        <f aca="false">VLOOKUP(H112,COLOR_EFFECTS,4,0)</f>
        <v> </v>
      </c>
    </row>
    <row r="113" customFormat="false" ht="13.8" hidden="false" customHeight="false" outlineLevel="0" collapsed="false">
      <c r="A113" s="1" t="n">
        <v>1</v>
      </c>
      <c r="B113" s="2" t="s">
        <v>27</v>
      </c>
      <c r="C113" s="3" t="str">
        <f aca="false">VLOOKUP(B113,CARD_COLORS,5,0)</f>
        <v>#888888</v>
      </c>
      <c r="D113" s="22" t="str">
        <f aca="false">VLOOKUP(B113,CARD_COLORS,2,0)</f>
        <v>Grau</v>
      </c>
      <c r="E113" s="22" t="str">
        <f aca="false">VLOOKUP(B113,CARD_COLORS,3,0)</f>
        <v>Mond</v>
      </c>
      <c r="F113" s="23" t="str">
        <f aca="false">"Planets\" &amp; VLOOKUP(B113,CARD_COLORS,4,0) &amp; ".png"</f>
        <v>Planets\Moon.png</v>
      </c>
      <c r="G113" s="22" t="str">
        <f aca="false">VLOOKUP(B113,CARD_COLORS,6,0)</f>
        <v>☾</v>
      </c>
      <c r="H113" s="12" t="n">
        <v>2</v>
      </c>
      <c r="I113" s="22" t="n">
        <f aca="false">IFERROR(MID(H113,SEARCH("+",H113),2),IFERROR(MID(H113,SEARCH("-",H113),2),IF(ISNUMBER(H113),H113,"")))</f>
        <v>2</v>
      </c>
      <c r="J113" s="14"/>
      <c r="K113" s="22" t="str">
        <f aca="false">VLOOKUP(H113,COLOR_EFFECTS,2,0)</f>
        <v>2</v>
      </c>
      <c r="L113" s="22" t="str">
        <f aca="false">VLOOKUP(H113,COLOR_EFFECTS,3,0)</f>
        <v>Standard</v>
      </c>
      <c r="M113" s="3" t="str">
        <f aca="false">E113&amp;" "&amp;K113</f>
        <v>Mond 2</v>
      </c>
      <c r="N113" s="22" t="str">
        <f aca="false">G113 &amp; H113</f>
        <v>☾2</v>
      </c>
      <c r="O113" s="24" t="str">
        <f aca="false">VLOOKUP(H113,COLOR_EFFECTS,4,0)</f>
        <v> </v>
      </c>
    </row>
    <row r="114" customFormat="false" ht="13.8" hidden="false" customHeight="false" outlineLevel="0" collapsed="false">
      <c r="A114" s="1" t="n">
        <v>1</v>
      </c>
      <c r="B114" s="2" t="s">
        <v>27</v>
      </c>
      <c r="C114" s="3" t="str">
        <f aca="false">VLOOKUP(B114,CARD_COLORS,5,0)</f>
        <v>#888888</v>
      </c>
      <c r="D114" s="22" t="str">
        <f aca="false">VLOOKUP(B114,CARD_COLORS,2,0)</f>
        <v>Grau</v>
      </c>
      <c r="E114" s="22" t="str">
        <f aca="false">VLOOKUP(B114,CARD_COLORS,3,0)</f>
        <v>Mond</v>
      </c>
      <c r="F114" s="23" t="str">
        <f aca="false">"Planets\" &amp; VLOOKUP(B114,CARD_COLORS,4,0) &amp; ".png"</f>
        <v>Planets\Moon.png</v>
      </c>
      <c r="G114" s="22" t="str">
        <f aca="false">VLOOKUP(B114,CARD_COLORS,6,0)</f>
        <v>☾</v>
      </c>
      <c r="H114" s="12" t="n">
        <v>3</v>
      </c>
      <c r="I114" s="22" t="n">
        <f aca="false">IFERROR(MID(H114,SEARCH("+",H114),2),IFERROR(MID(H114,SEARCH("-",H114),2),IF(ISNUMBER(H114),H114,"")))</f>
        <v>3</v>
      </c>
      <c r="J114" s="14"/>
      <c r="K114" s="22" t="str">
        <f aca="false">VLOOKUP(H114,COLOR_EFFECTS,2,0)</f>
        <v>3</v>
      </c>
      <c r="L114" s="22" t="str">
        <f aca="false">VLOOKUP(H114,COLOR_EFFECTS,3,0)</f>
        <v>Standard</v>
      </c>
      <c r="M114" s="3" t="str">
        <f aca="false">E114&amp;" "&amp;K114</f>
        <v>Mond 3</v>
      </c>
      <c r="N114" s="22" t="str">
        <f aca="false">G114 &amp; H114</f>
        <v>☾3</v>
      </c>
      <c r="O114" s="24" t="str">
        <f aca="false">VLOOKUP(H114,COLOR_EFFECTS,4,0)</f>
        <v> </v>
      </c>
    </row>
    <row r="115" customFormat="false" ht="13.8" hidden="false" customHeight="false" outlineLevel="0" collapsed="false">
      <c r="A115" s="1" t="n">
        <v>1</v>
      </c>
      <c r="B115" s="2" t="s">
        <v>27</v>
      </c>
      <c r="C115" s="3" t="str">
        <f aca="false">VLOOKUP(B115,CARD_COLORS,5,0)</f>
        <v>#888888</v>
      </c>
      <c r="D115" s="22" t="str">
        <f aca="false">VLOOKUP(B115,CARD_COLORS,2,0)</f>
        <v>Grau</v>
      </c>
      <c r="E115" s="22" t="str">
        <f aca="false">VLOOKUP(B115,CARD_COLORS,3,0)</f>
        <v>Mond</v>
      </c>
      <c r="F115" s="23" t="str">
        <f aca="false">"Planets\" &amp; VLOOKUP(B115,CARD_COLORS,4,0) &amp; ".png"</f>
        <v>Planets\Moon.png</v>
      </c>
      <c r="G115" s="22" t="str">
        <f aca="false">VLOOKUP(B115,CARD_COLORS,6,0)</f>
        <v>☾</v>
      </c>
      <c r="H115" s="12" t="n">
        <v>4</v>
      </c>
      <c r="I115" s="22" t="n">
        <f aca="false">IFERROR(MID(H115,SEARCH("+",H115),2),IFERROR(MID(H115,SEARCH("-",H115),2),IF(ISNUMBER(H115),H115,"")))</f>
        <v>4</v>
      </c>
      <c r="J115" s="14"/>
      <c r="K115" s="22" t="str">
        <f aca="false">VLOOKUP(H115,COLOR_EFFECTS,2,0)</f>
        <v>4</v>
      </c>
      <c r="L115" s="22" t="str">
        <f aca="false">VLOOKUP(H115,COLOR_EFFECTS,3,0)</f>
        <v>Standard</v>
      </c>
      <c r="M115" s="3" t="str">
        <f aca="false">E115&amp;" "&amp;K115</f>
        <v>Mond 4</v>
      </c>
      <c r="N115" s="22" t="str">
        <f aca="false">G115 &amp; H115</f>
        <v>☾4</v>
      </c>
      <c r="O115" s="24" t="str">
        <f aca="false">VLOOKUP(H115,COLOR_EFFECTS,4,0)</f>
        <v> </v>
      </c>
    </row>
    <row r="116" customFormat="false" ht="13.8" hidden="false" customHeight="false" outlineLevel="0" collapsed="false">
      <c r="A116" s="1" t="n">
        <v>1</v>
      </c>
      <c r="B116" s="2" t="s">
        <v>27</v>
      </c>
      <c r="C116" s="3" t="str">
        <f aca="false">VLOOKUP(B116,CARD_COLORS,5,0)</f>
        <v>#888888</v>
      </c>
      <c r="D116" s="22" t="str">
        <f aca="false">VLOOKUP(B116,CARD_COLORS,2,0)</f>
        <v>Grau</v>
      </c>
      <c r="E116" s="22" t="str">
        <f aca="false">VLOOKUP(B116,CARD_COLORS,3,0)</f>
        <v>Mond</v>
      </c>
      <c r="F116" s="23" t="str">
        <f aca="false">"Planets\" &amp; VLOOKUP(B116,CARD_COLORS,4,0) &amp; ".png"</f>
        <v>Planets\Moon.png</v>
      </c>
      <c r="G116" s="22" t="str">
        <f aca="false">VLOOKUP(B116,CARD_COLORS,6,0)</f>
        <v>☾</v>
      </c>
      <c r="H116" s="12" t="n">
        <v>5</v>
      </c>
      <c r="I116" s="22" t="n">
        <f aca="false">IFERROR(MID(H116,SEARCH("+",H116),2),IFERROR(MID(H116,SEARCH("-",H116),2),IF(ISNUMBER(H116),H116,"")))</f>
        <v>5</v>
      </c>
      <c r="J116" s="14"/>
      <c r="K116" s="22" t="str">
        <f aca="false">VLOOKUP(H116,COLOR_EFFECTS,2,0)</f>
        <v>5</v>
      </c>
      <c r="L116" s="22" t="str">
        <f aca="false">VLOOKUP(H116,COLOR_EFFECTS,3,0)</f>
        <v>Standard</v>
      </c>
      <c r="M116" s="3" t="str">
        <f aca="false">E116&amp;" "&amp;K116</f>
        <v>Mond 5</v>
      </c>
      <c r="N116" s="22" t="str">
        <f aca="false">G116 &amp; H116</f>
        <v>☾5</v>
      </c>
      <c r="O116" s="24" t="str">
        <f aca="false">VLOOKUP(H116,COLOR_EFFECTS,4,0)</f>
        <v> </v>
      </c>
    </row>
    <row r="117" customFormat="false" ht="13.8" hidden="false" customHeight="false" outlineLevel="0" collapsed="false">
      <c r="A117" s="1" t="n">
        <v>1</v>
      </c>
      <c r="B117" s="2" t="s">
        <v>27</v>
      </c>
      <c r="C117" s="3" t="str">
        <f aca="false">VLOOKUP(B117,CARD_COLORS,5,0)</f>
        <v>#888888</v>
      </c>
      <c r="D117" s="22" t="str">
        <f aca="false">VLOOKUP(B117,CARD_COLORS,2,0)</f>
        <v>Grau</v>
      </c>
      <c r="E117" s="22" t="str">
        <f aca="false">VLOOKUP(B117,CARD_COLORS,3,0)</f>
        <v>Mond</v>
      </c>
      <c r="F117" s="23" t="str">
        <f aca="false">"Planets\" &amp; VLOOKUP(B117,CARD_COLORS,4,0) &amp; ".png"</f>
        <v>Planets\Moon.png</v>
      </c>
      <c r="G117" s="22" t="str">
        <f aca="false">VLOOKUP(B117,CARD_COLORS,6,0)</f>
        <v>☾</v>
      </c>
      <c r="H117" s="12" t="n">
        <v>6</v>
      </c>
      <c r="I117" s="22" t="n">
        <f aca="false">IFERROR(MID(H117,SEARCH("+",H117),2),IFERROR(MID(H117,SEARCH("-",H117),2),IF(ISNUMBER(H117),H117,"")))</f>
        <v>6</v>
      </c>
      <c r="J117" s="14"/>
      <c r="K117" s="22" t="str">
        <f aca="false">VLOOKUP(H117,COLOR_EFFECTS,2,0)</f>
        <v>6</v>
      </c>
      <c r="L117" s="22" t="str">
        <f aca="false">VLOOKUP(H117,COLOR_EFFECTS,3,0)</f>
        <v>Standard</v>
      </c>
      <c r="M117" s="3" t="str">
        <f aca="false">E117&amp;" "&amp;K117</f>
        <v>Mond 6</v>
      </c>
      <c r="N117" s="22" t="str">
        <f aca="false">G117 &amp; H117</f>
        <v>☾6</v>
      </c>
      <c r="O117" s="24" t="str">
        <f aca="false">VLOOKUP(H117,COLOR_EFFECTS,4,0)</f>
        <v> </v>
      </c>
    </row>
    <row r="118" customFormat="false" ht="13.8" hidden="false" customHeight="false" outlineLevel="0" collapsed="false">
      <c r="A118" s="1" t="n">
        <v>1</v>
      </c>
      <c r="B118" s="2" t="s">
        <v>27</v>
      </c>
      <c r="C118" s="3" t="str">
        <f aca="false">VLOOKUP(B118,CARD_COLORS,5,0)</f>
        <v>#888888</v>
      </c>
      <c r="D118" s="22" t="str">
        <f aca="false">VLOOKUP(B118,CARD_COLORS,2,0)</f>
        <v>Grau</v>
      </c>
      <c r="E118" s="22" t="str">
        <f aca="false">VLOOKUP(B118,CARD_COLORS,3,0)</f>
        <v>Mond</v>
      </c>
      <c r="F118" s="23" t="str">
        <f aca="false">"Planets\" &amp; VLOOKUP(B118,CARD_COLORS,4,0) &amp; ".png"</f>
        <v>Planets\Moon.png</v>
      </c>
      <c r="G118" s="22" t="str">
        <f aca="false">VLOOKUP(B118,CARD_COLORS,6,0)</f>
        <v>☾</v>
      </c>
      <c r="H118" s="12" t="n">
        <v>7</v>
      </c>
      <c r="I118" s="22" t="n">
        <f aca="false">IFERROR(MID(H118,SEARCH("+",H118),2),IFERROR(MID(H118,SEARCH("-",H118),2),IF(ISNUMBER(H118),H118,"")))</f>
        <v>7</v>
      </c>
      <c r="J118" s="14"/>
      <c r="K118" s="22" t="str">
        <f aca="false">VLOOKUP(H118,COLOR_EFFECTS,2,0)</f>
        <v>7</v>
      </c>
      <c r="L118" s="22" t="str">
        <f aca="false">VLOOKUP(H118,COLOR_EFFECTS,3,0)</f>
        <v>Standard</v>
      </c>
      <c r="M118" s="3" t="str">
        <f aca="false">E118&amp;" "&amp;K118</f>
        <v>Mond 7</v>
      </c>
      <c r="N118" s="22" t="str">
        <f aca="false">G118 &amp; H118</f>
        <v>☾7</v>
      </c>
      <c r="O118" s="24" t="str">
        <f aca="false">VLOOKUP(H118,COLOR_EFFECTS,4,0)</f>
        <v> </v>
      </c>
    </row>
    <row r="119" customFormat="false" ht="13.8" hidden="false" customHeight="false" outlineLevel="0" collapsed="false">
      <c r="A119" s="1" t="n">
        <v>1</v>
      </c>
      <c r="B119" s="2" t="s">
        <v>27</v>
      </c>
      <c r="C119" s="3" t="str">
        <f aca="false">VLOOKUP(B119,CARD_COLORS,5,0)</f>
        <v>#888888</v>
      </c>
      <c r="D119" s="22" t="str">
        <f aca="false">VLOOKUP(B119,CARD_COLORS,2,0)</f>
        <v>Grau</v>
      </c>
      <c r="E119" s="22" t="str">
        <f aca="false">VLOOKUP(B119,CARD_COLORS,3,0)</f>
        <v>Mond</v>
      </c>
      <c r="F119" s="23" t="str">
        <f aca="false">"Planets\" &amp; VLOOKUP(B119,CARD_COLORS,4,0) &amp; ".png"</f>
        <v>Planets\Moon.png</v>
      </c>
      <c r="G119" s="22" t="str">
        <f aca="false">VLOOKUP(B119,CARD_COLORS,6,0)</f>
        <v>☾</v>
      </c>
      <c r="H119" s="12" t="n">
        <v>8</v>
      </c>
      <c r="I119" s="22" t="n">
        <f aca="false">IFERROR(MID(H119,SEARCH("+",H119),2),IFERROR(MID(H119,SEARCH("-",H119),2),IF(ISNUMBER(H119),H119,"")))</f>
        <v>8</v>
      </c>
      <c r="J119" s="14"/>
      <c r="K119" s="22" t="str">
        <f aca="false">VLOOKUP(H119,COLOR_EFFECTS,2,0)</f>
        <v>8</v>
      </c>
      <c r="L119" s="22" t="str">
        <f aca="false">VLOOKUP(H119,COLOR_EFFECTS,3,0)</f>
        <v>Standard</v>
      </c>
      <c r="M119" s="3" t="str">
        <f aca="false">E119&amp;" "&amp;K119</f>
        <v>Mond 8</v>
      </c>
      <c r="N119" s="22" t="str">
        <f aca="false">G119 &amp; H119</f>
        <v>☾8</v>
      </c>
      <c r="O119" s="24" t="str">
        <f aca="false">VLOOKUP(H119,COLOR_EFFECTS,4,0)</f>
        <v> </v>
      </c>
    </row>
    <row r="120" customFormat="false" ht="13.8" hidden="false" customHeight="false" outlineLevel="0" collapsed="false">
      <c r="A120" s="1" t="n">
        <v>1</v>
      </c>
      <c r="B120" s="2" t="s">
        <v>27</v>
      </c>
      <c r="C120" s="3" t="str">
        <f aca="false">VLOOKUP(B120,CARD_COLORS,5,0)</f>
        <v>#888888</v>
      </c>
      <c r="D120" s="22" t="str">
        <f aca="false">VLOOKUP(B120,CARD_COLORS,2,0)</f>
        <v>Grau</v>
      </c>
      <c r="E120" s="22" t="str">
        <f aca="false">VLOOKUP(B120,CARD_COLORS,3,0)</f>
        <v>Mond</v>
      </c>
      <c r="F120" s="23" t="str">
        <f aca="false">"Planets\" &amp; VLOOKUP(B120,CARD_COLORS,4,0) &amp; ".png"</f>
        <v>Planets\Moon.png</v>
      </c>
      <c r="G120" s="22" t="str">
        <f aca="false">VLOOKUP(B120,CARD_COLORS,6,0)</f>
        <v>☾</v>
      </c>
      <c r="H120" s="12" t="n">
        <v>9</v>
      </c>
      <c r="I120" s="22" t="n">
        <f aca="false">IFERROR(MID(H120,SEARCH("+",H120),2),IFERROR(MID(H120,SEARCH("-",H120),2),IF(ISNUMBER(H120),H120,"")))</f>
        <v>9</v>
      </c>
      <c r="J120" s="14"/>
      <c r="K120" s="22" t="str">
        <f aca="false">VLOOKUP(H120,COLOR_EFFECTS,2,0)</f>
        <v>9</v>
      </c>
      <c r="L120" s="22" t="str">
        <f aca="false">VLOOKUP(H120,COLOR_EFFECTS,3,0)</f>
        <v>Standard</v>
      </c>
      <c r="M120" s="3" t="str">
        <f aca="false">E120&amp;" "&amp;K120</f>
        <v>Mond 9</v>
      </c>
      <c r="N120" s="22" t="str">
        <f aca="false">G120 &amp; H120</f>
        <v>☾9</v>
      </c>
      <c r="O120" s="24" t="str">
        <f aca="false">VLOOKUP(H120,COLOR_EFFECTS,4,0)</f>
        <v> </v>
      </c>
    </row>
    <row r="121" customFormat="false" ht="13.8" hidden="false" customHeight="false" outlineLevel="0" collapsed="false">
      <c r="A121" s="1" t="n">
        <v>1</v>
      </c>
      <c r="B121" s="2" t="s">
        <v>27</v>
      </c>
      <c r="C121" s="3" t="str">
        <f aca="false">VLOOKUP(B121,CARD_COLORS,5,0)</f>
        <v>#888888</v>
      </c>
      <c r="D121" s="22" t="str">
        <f aca="false">VLOOKUP(B121,CARD_COLORS,2,0)</f>
        <v>Grau</v>
      </c>
      <c r="E121" s="22" t="str">
        <f aca="false">VLOOKUP(B121,CARD_COLORS,3,0)</f>
        <v>Mond</v>
      </c>
      <c r="F121" s="23" t="str">
        <f aca="false">"Planets\" &amp; VLOOKUP(B121,CARD_COLORS,4,0) &amp; ".png"</f>
        <v>Planets\Moon.png</v>
      </c>
      <c r="G121" s="22" t="str">
        <f aca="false">VLOOKUP(B121,CARD_COLORS,6,0)</f>
        <v>☾</v>
      </c>
      <c r="H121" s="12" t="s">
        <v>20</v>
      </c>
      <c r="I121" s="22" t="str">
        <f aca="false">IFERROR(MID(H121,SEARCH("+",H121),2),IFERROR(MID(H121,SEARCH("-",H121),2),IF(ISNUMBER(H121),H121,"")))</f>
        <v>+2</v>
      </c>
      <c r="J121" s="14"/>
      <c r="K121" s="22" t="str">
        <f aca="false">VLOOKUP(H121,COLOR_EFFECTS,2,0)</f>
        <v>+2</v>
      </c>
      <c r="L121" s="22" t="str">
        <f aca="false">VLOOKUP(H121,COLOR_EFFECTS,3,0)</f>
        <v>Falle</v>
      </c>
      <c r="M121" s="3" t="str">
        <f aca="false">E121&amp;" "&amp;K121</f>
        <v>Mond +2</v>
      </c>
      <c r="N121" s="22" t="str">
        <f aca="false">G121 &amp; H121</f>
        <v>☾+2</v>
      </c>
      <c r="O121" s="24" t="str">
        <f aca="false">VLOOKUP(H121,COLOR_EFFECTS,4,0)</f>
        <v>Nächster Spieler muss 2 Karten aufnehmen</v>
      </c>
    </row>
    <row r="122" customFormat="false" ht="13.8" hidden="false" customHeight="false" outlineLevel="0" collapsed="false">
      <c r="A122" s="1" t="n">
        <v>1</v>
      </c>
      <c r="B122" s="2" t="s">
        <v>27</v>
      </c>
      <c r="C122" s="3" t="str">
        <f aca="false">VLOOKUP(B122,CARD_COLORS,5,0)</f>
        <v>#888888</v>
      </c>
      <c r="D122" s="22" t="str">
        <f aca="false">VLOOKUP(B122,CARD_COLORS,2,0)</f>
        <v>Grau</v>
      </c>
      <c r="E122" s="22" t="str">
        <f aca="false">VLOOKUP(B122,CARD_COLORS,3,0)</f>
        <v>Mond</v>
      </c>
      <c r="F122" s="23" t="str">
        <f aca="false">"Planets\" &amp; VLOOKUP(B122,CARD_COLORS,4,0) &amp; ".png"</f>
        <v>Planets\Moon.png</v>
      </c>
      <c r="G122" s="22" t="str">
        <f aca="false">VLOOKUP(B122,CARD_COLORS,6,0)</f>
        <v>☾</v>
      </c>
      <c r="H122" s="12" t="s">
        <v>40</v>
      </c>
      <c r="I122" s="22" t="str">
        <f aca="false">IFERROR(MID(H122,SEARCH("+",H122),2),IFERROR(MID(H122,SEARCH("-",H122),2),IF(ISNUMBER(H122),H122,"")))</f>
        <v>+3</v>
      </c>
      <c r="J122" s="14"/>
      <c r="K122" s="22" t="str">
        <f aca="false">VLOOKUP(H122,COLOR_EFFECTS,2,0)</f>
        <v>+3</v>
      </c>
      <c r="L122" s="22" t="str">
        <f aca="false">VLOOKUP(H122,COLOR_EFFECTS,3,0)</f>
        <v>Falle</v>
      </c>
      <c r="M122" s="3" t="str">
        <f aca="false">E122&amp;" "&amp;K122</f>
        <v>Mond +3</v>
      </c>
      <c r="N122" s="22" t="str">
        <f aca="false">G122 &amp; H122</f>
        <v>☾+3</v>
      </c>
      <c r="O122" s="24" t="str">
        <f aca="false">VLOOKUP(H122,COLOR_EFFECTS,4,0)</f>
        <v>Nächster Spieler muss 3 Karten aufnehmen</v>
      </c>
    </row>
    <row r="123" customFormat="false" ht="13.8" hidden="false" customHeight="false" outlineLevel="0" collapsed="false">
      <c r="A123" s="1" t="n">
        <v>1</v>
      </c>
      <c r="B123" s="2" t="s">
        <v>27</v>
      </c>
      <c r="C123" s="3" t="str">
        <f aca="false">VLOOKUP(B123,CARD_COLORS,5,0)</f>
        <v>#888888</v>
      </c>
      <c r="D123" s="22" t="str">
        <f aca="false">VLOOKUP(B123,CARD_COLORS,2,0)</f>
        <v>Grau</v>
      </c>
      <c r="E123" s="22" t="str">
        <f aca="false">VLOOKUP(B123,CARD_COLORS,3,0)</f>
        <v>Mond</v>
      </c>
      <c r="F123" s="23" t="str">
        <f aca="false">"Planets\" &amp; VLOOKUP(B123,CARD_COLORS,4,0) &amp; ".png"</f>
        <v>Planets\Moon.png</v>
      </c>
      <c r="G123" s="22" t="str">
        <f aca="false">VLOOKUP(B123,CARD_COLORS,6,0)</f>
        <v>☾</v>
      </c>
      <c r="H123" s="12" t="s">
        <v>22</v>
      </c>
      <c r="I123" s="22" t="str">
        <f aca="false">IFERROR(MID(H123,SEARCH("+",H123),2),IFERROR(MID(H123,SEARCH("-",H123),2),IF(ISNUMBER(H123),H123,"")))</f>
        <v/>
      </c>
      <c r="J123" s="14" t="s">
        <v>23</v>
      </c>
      <c r="K123" s="22" t="str">
        <f aca="false">VLOOKUP(H123,COLOR_EFFECTS,2,0)</f>
        <v>Umkehrung</v>
      </c>
      <c r="L123" s="22" t="str">
        <f aca="false">VLOOKUP(H123,COLOR_EFFECTS,3,0)</f>
        <v>Aktion</v>
      </c>
      <c r="M123" s="3" t="str">
        <f aca="false">E123&amp;" "&amp;K123</f>
        <v>Mond Umkehrung</v>
      </c>
      <c r="N123" s="22" t="str">
        <f aca="false">G123 &amp; H123</f>
        <v>☾🔄</v>
      </c>
      <c r="O123" s="24" t="str">
        <f aca="false">VLOOKUP(H123,COLOR_EFFECTS,4,0)</f>
        <v>Spielrichtung andersherum</v>
      </c>
    </row>
    <row r="124" customFormat="false" ht="13.8" hidden="false" customHeight="false" outlineLevel="0" collapsed="false">
      <c r="A124" s="1" t="n">
        <v>1</v>
      </c>
      <c r="B124" s="2" t="s">
        <v>27</v>
      </c>
      <c r="C124" s="3" t="str">
        <f aca="false">VLOOKUP(B124,CARD_COLORS,5,0)</f>
        <v>#888888</v>
      </c>
      <c r="D124" s="22" t="str">
        <f aca="false">VLOOKUP(B124,CARD_COLORS,2,0)</f>
        <v>Grau</v>
      </c>
      <c r="E124" s="22" t="str">
        <f aca="false">VLOOKUP(B124,CARD_COLORS,3,0)</f>
        <v>Mond</v>
      </c>
      <c r="F124" s="23" t="str">
        <f aca="false">"Planets\" &amp; VLOOKUP(B124,CARD_COLORS,4,0) &amp; ".png"</f>
        <v>Planets\Moon.png</v>
      </c>
      <c r="G124" s="22" t="str">
        <f aca="false">VLOOKUP(B124,CARD_COLORS,6,0)</f>
        <v>☾</v>
      </c>
      <c r="H124" s="12" t="s">
        <v>25</v>
      </c>
      <c r="I124" s="22" t="str">
        <f aca="false">IFERROR(MID(H124,SEARCH("+",H124),2),IFERROR(MID(H124,SEARCH("-",H124),2),IF(ISNUMBER(H124),H124,"")))</f>
        <v/>
      </c>
      <c r="J124" s="14" t="s">
        <v>26</v>
      </c>
      <c r="K124" s="22" t="str">
        <f aca="false">VLOOKUP(H124,COLOR_EFFECTS,2,0)</f>
        <v>Blockade</v>
      </c>
      <c r="L124" s="22" t="str">
        <f aca="false">VLOOKUP(H124,COLOR_EFFECTS,3,0)</f>
        <v>Aktion</v>
      </c>
      <c r="M124" s="3" t="str">
        <f aca="false">E124&amp;" "&amp;K124</f>
        <v>Mond Blockade</v>
      </c>
      <c r="N124" s="22" t="str">
        <f aca="false">G124 &amp; H124</f>
        <v>☾🚫</v>
      </c>
      <c r="O124" s="24" t="str">
        <f aca="false">VLOOKUP(H124,COLOR_EFFECTS,4,0)</f>
        <v>Nächster Spieler muss aussetzen</v>
      </c>
    </row>
    <row r="125" customFormat="false" ht="13.8" hidden="false" customHeight="false" outlineLevel="0" collapsed="false">
      <c r="A125" s="1" t="n">
        <v>1</v>
      </c>
      <c r="B125" s="2" t="s">
        <v>27</v>
      </c>
      <c r="C125" s="3" t="str">
        <f aca="false">VLOOKUP(B125,CARD_COLORS,5,0)</f>
        <v>#888888</v>
      </c>
      <c r="D125" s="22" t="str">
        <f aca="false">VLOOKUP(B125,CARD_COLORS,2,0)</f>
        <v>Grau</v>
      </c>
      <c r="E125" s="22" t="str">
        <f aca="false">VLOOKUP(B125,CARD_COLORS,3,0)</f>
        <v>Mond</v>
      </c>
      <c r="F125" s="23" t="str">
        <f aca="false">"Planets\" &amp; VLOOKUP(B125,CARD_COLORS,4,0) &amp; ".png"</f>
        <v>Planets\Moon.png</v>
      </c>
      <c r="G125" s="22" t="str">
        <f aca="false">VLOOKUP(B125,CARD_COLORS,6,0)</f>
        <v>☾</v>
      </c>
      <c r="H125" s="12" t="s">
        <v>28</v>
      </c>
      <c r="I125" s="22" t="str">
        <f aca="false">IFERROR(MID(H125,SEARCH("+",H125),2),IFERROR(MID(H125,SEARCH("-",H125),2),IF(ISNUMBER(H125),H125,"")))</f>
        <v/>
      </c>
      <c r="J125" s="14" t="s">
        <v>29</v>
      </c>
      <c r="K125" s="22" t="str">
        <f aca="false">VLOOKUP(H125,COLOR_EFFECTS,2,0)</f>
        <v>Wiederholung</v>
      </c>
      <c r="L125" s="22" t="str">
        <f aca="false">VLOOKUP(H125,COLOR_EFFECTS,3,0)</f>
        <v>Aktion</v>
      </c>
      <c r="M125" s="3" t="str">
        <f aca="false">E125&amp;" "&amp;K125</f>
        <v>Mond Wiederholung</v>
      </c>
      <c r="N125" s="22" t="str">
        <f aca="false">G125 &amp; H125</f>
        <v>☾🔂</v>
      </c>
      <c r="O125" s="24" t="str">
        <f aca="false">VLOOKUP(H125,COLOR_EFFECTS,4,0)</f>
        <v>Ein weiterer Zug</v>
      </c>
    </row>
    <row r="126" customFormat="false" ht="13.8" hidden="false" customHeight="false" outlineLevel="0" collapsed="false">
      <c r="A126" s="1" t="n">
        <v>1</v>
      </c>
      <c r="B126" s="2" t="s">
        <v>27</v>
      </c>
      <c r="C126" s="3" t="str">
        <f aca="false">VLOOKUP(B126,CARD_COLORS,5,0)</f>
        <v>#888888</v>
      </c>
      <c r="D126" s="22" t="str">
        <f aca="false">VLOOKUP(B126,CARD_COLORS,2,0)</f>
        <v>Grau</v>
      </c>
      <c r="E126" s="22" t="str">
        <f aca="false">VLOOKUP(B126,CARD_COLORS,3,0)</f>
        <v>Mond</v>
      </c>
      <c r="F126" s="23" t="str">
        <f aca="false">"Planets\" &amp; VLOOKUP(B126,CARD_COLORS,4,0) &amp; ".png"</f>
        <v>Planets\Moon.png</v>
      </c>
      <c r="G126" s="22" t="str">
        <f aca="false">VLOOKUP(B126,CARD_COLORS,6,0)</f>
        <v>☾</v>
      </c>
      <c r="H126" s="12" t="s">
        <v>31</v>
      </c>
      <c r="I126" s="22" t="str">
        <f aca="false">IFERROR(MID(H126,SEARCH("+",H126),2),IFERROR(MID(H126,SEARCH("-",H126),2),IF(ISNUMBER(H126),H126,"")))</f>
        <v/>
      </c>
      <c r="J126" s="14" t="s">
        <v>32</v>
      </c>
      <c r="K126" s="22" t="str">
        <f aca="false">VLOOKUP(H126,COLOR_EFFECTS,2,0)</f>
        <v>Eis</v>
      </c>
      <c r="L126" s="22" t="str">
        <f aca="false">VLOOKUP(H126,COLOR_EFFECTS,3,0)</f>
        <v>Aktion</v>
      </c>
      <c r="M126" s="3" t="str">
        <f aca="false">E126&amp;" "&amp;K126</f>
        <v>Mond Eis</v>
      </c>
      <c r="N126" s="22" t="str">
        <f aca="false">G126 &amp; H126</f>
        <v>☾❄️</v>
      </c>
      <c r="O126" s="24" t="str">
        <f aca="false">VLOOKUP(H126,COLOR_EFFECTS,4,0)</f>
        <v>Farbe muss für eine komplette Runde beibehalten werden</v>
      </c>
    </row>
    <row r="127" customFormat="false" ht="13.8" hidden="false" customHeight="false" outlineLevel="0" collapsed="false">
      <c r="A127" s="1" t="n">
        <v>1</v>
      </c>
      <c r="B127" s="2" t="s">
        <v>27</v>
      </c>
      <c r="C127" s="3" t="str">
        <f aca="false">VLOOKUP(B127,CARD_COLORS,5,0)</f>
        <v>#888888</v>
      </c>
      <c r="D127" s="22" t="str">
        <f aca="false">VLOOKUP(B127,CARD_COLORS,2,0)</f>
        <v>Grau</v>
      </c>
      <c r="E127" s="22" t="str">
        <f aca="false">VLOOKUP(B127,CARD_COLORS,3,0)</f>
        <v>Mond</v>
      </c>
      <c r="F127" s="23" t="str">
        <f aca="false">"Planets\" &amp; VLOOKUP(B127,CARD_COLORS,4,0) &amp; ".png"</f>
        <v>Planets\Moon.png</v>
      </c>
      <c r="G127" s="22" t="str">
        <f aca="false">VLOOKUP(B127,CARD_COLORS,6,0)</f>
        <v>☾</v>
      </c>
      <c r="H127" s="12" t="s">
        <v>34</v>
      </c>
      <c r="I127" s="22" t="str">
        <f aca="false">IFERROR(MID(H127,SEARCH("+",H127),2),IFERROR(MID(H127,SEARCH("-",H127),2),IF(ISNUMBER(H127),H127,"")))</f>
        <v/>
      </c>
      <c r="J127" s="14" t="s">
        <v>35</v>
      </c>
      <c r="K127" s="22" t="str">
        <f aca="false">VLOOKUP(H127,COLOR_EFFECTS,2,0)</f>
        <v>Feuer</v>
      </c>
      <c r="L127" s="22" t="str">
        <f aca="false">VLOOKUP(H127,COLOR_EFFECTS,3,0)</f>
        <v>Aktion</v>
      </c>
      <c r="M127" s="3" t="str">
        <f aca="false">E127&amp;" "&amp;K127</f>
        <v>Mond Feuer</v>
      </c>
      <c r="N127" s="22" t="str">
        <f aca="false">G127 &amp; H127</f>
        <v>☾🔥</v>
      </c>
      <c r="O127" s="24" t="str">
        <f aca="false">VLOOKUP(H127,COLOR_EFFECTS,4,0)</f>
        <v>Farbe darf bis zur nächsten Runde nicht gespielt werden</v>
      </c>
    </row>
    <row r="128" customFormat="false" ht="13.8" hidden="false" customHeight="false" outlineLevel="0" collapsed="false">
      <c r="A128" s="1" t="n">
        <v>1</v>
      </c>
      <c r="B128" s="2" t="s">
        <v>27</v>
      </c>
      <c r="C128" s="3" t="str">
        <f aca="false">VLOOKUP(B128,CARD_COLORS,5,0)</f>
        <v>#888888</v>
      </c>
      <c r="D128" s="22" t="str">
        <f aca="false">VLOOKUP(B128,CARD_COLORS,2,0)</f>
        <v>Grau</v>
      </c>
      <c r="E128" s="22" t="str">
        <f aca="false">VLOOKUP(B128,CARD_COLORS,3,0)</f>
        <v>Mond</v>
      </c>
      <c r="F128" s="23" t="str">
        <f aca="false">"Planets\" &amp; VLOOKUP(B128,CARD_COLORS,4,0) &amp; ".png"</f>
        <v>Planets\Moon.png</v>
      </c>
      <c r="G128" s="22" t="str">
        <f aca="false">VLOOKUP(B128,CARD_COLORS,6,0)</f>
        <v>☾</v>
      </c>
      <c r="H128" s="12" t="s">
        <v>37</v>
      </c>
      <c r="I128" s="22" t="str">
        <f aca="false">IFERROR(MID(H128,SEARCH("+",H128),2),IFERROR(MID(H128,SEARCH("-",H128),2),IF(ISNUMBER(H128),H128,"")))</f>
        <v/>
      </c>
      <c r="J128" s="14" t="s">
        <v>38</v>
      </c>
      <c r="K128" s="22" t="str">
        <f aca="false">VLOOKUP(H128,COLOR_EFFECTS,2,0)</f>
        <v>Fokus</v>
      </c>
      <c r="L128" s="22" t="str">
        <f aca="false">VLOOKUP(H128,COLOR_EFFECTS,3,0)</f>
        <v>Aktion</v>
      </c>
      <c r="M128" s="3" t="str">
        <f aca="false">E128&amp;" "&amp;K128</f>
        <v>Mond Fokus</v>
      </c>
      <c r="N128" s="22" t="str">
        <f aca="false">G128 &amp; H128</f>
        <v>☾🎯</v>
      </c>
      <c r="O128" s="24" t="str">
        <f aca="false">VLOOKUP(H128,COLOR_EFFECTS,4,0)</f>
        <v>Wähle den nächsten Spieler</v>
      </c>
    </row>
    <row r="129" customFormat="false" ht="13.8" hidden="false" customHeight="false" outlineLevel="0" collapsed="false">
      <c r="A129" s="1" t="n">
        <v>1</v>
      </c>
      <c r="B129" s="2" t="s">
        <v>30</v>
      </c>
      <c r="C129" s="3" t="str">
        <f aca="false">VLOOKUP(B129,CARD_COLORS,5,0)</f>
        <v>#CC0000</v>
      </c>
      <c r="D129" s="22" t="str">
        <f aca="false">VLOOKUP(B129,CARD_COLORS,2,0)</f>
        <v>Rot</v>
      </c>
      <c r="E129" s="22" t="str">
        <f aca="false">VLOOKUP(B129,CARD_COLORS,3,0)</f>
        <v>Mars</v>
      </c>
      <c r="F129" s="23" t="str">
        <f aca="false">"Planets\" &amp; VLOOKUP(B129,CARD_COLORS,4,0) &amp; ".png"</f>
        <v>Planets\Mars.png</v>
      </c>
      <c r="G129" s="22" t="str">
        <f aca="false">VLOOKUP(B129,CARD_COLORS,6,0)</f>
        <v>♂</v>
      </c>
      <c r="H129" s="12" t="n">
        <v>0</v>
      </c>
      <c r="I129" s="22" t="n">
        <f aca="false">IFERROR(MID(H129,SEARCH("+",H129),2),IFERROR(MID(H129,SEARCH("-",H129),2),IF(ISNUMBER(H129),H129,"")))</f>
        <v>0</v>
      </c>
      <c r="J129" s="14"/>
      <c r="K129" s="22" t="str">
        <f aca="false">VLOOKUP(H129,COLOR_EFFECTS,2,0)</f>
        <v>0</v>
      </c>
      <c r="L129" s="22" t="str">
        <f aca="false">VLOOKUP(H129,COLOR_EFFECTS,3,0)</f>
        <v>Standard</v>
      </c>
      <c r="M129" s="3" t="str">
        <f aca="false">E129&amp;" "&amp;K129</f>
        <v>Mars 0</v>
      </c>
      <c r="N129" s="22" t="str">
        <f aca="false">G129 &amp; H129</f>
        <v>♂0</v>
      </c>
      <c r="O129" s="24" t="str">
        <f aca="false">VLOOKUP(H129,COLOR_EFFECTS,4,0)</f>
        <v> </v>
      </c>
    </row>
    <row r="130" customFormat="false" ht="13.8" hidden="false" customHeight="false" outlineLevel="0" collapsed="false">
      <c r="A130" s="1" t="n">
        <v>1</v>
      </c>
      <c r="B130" s="2" t="s">
        <v>30</v>
      </c>
      <c r="C130" s="3" t="str">
        <f aca="false">VLOOKUP(B130,CARD_COLORS,5,0)</f>
        <v>#CC0000</v>
      </c>
      <c r="D130" s="22" t="str">
        <f aca="false">VLOOKUP(B130,CARD_COLORS,2,0)</f>
        <v>Rot</v>
      </c>
      <c r="E130" s="22" t="str">
        <f aca="false">VLOOKUP(B130,CARD_COLORS,3,0)</f>
        <v>Mars</v>
      </c>
      <c r="F130" s="23" t="str">
        <f aca="false">"Planets\" &amp; VLOOKUP(B130,CARD_COLORS,4,0) &amp; ".png"</f>
        <v>Planets\Mars.png</v>
      </c>
      <c r="G130" s="22" t="str">
        <f aca="false">VLOOKUP(B130,CARD_COLORS,6,0)</f>
        <v>♂</v>
      </c>
      <c r="H130" s="12" t="n">
        <v>1</v>
      </c>
      <c r="I130" s="22" t="n">
        <f aca="false">IFERROR(MID(H130,SEARCH("+",H130),2),IFERROR(MID(H130,SEARCH("-",H130),2),IF(ISNUMBER(H130),H130,"")))</f>
        <v>1</v>
      </c>
      <c r="J130" s="14"/>
      <c r="K130" s="22" t="str">
        <f aca="false">VLOOKUP(H130,COLOR_EFFECTS,2,0)</f>
        <v>1</v>
      </c>
      <c r="L130" s="22" t="str">
        <f aca="false">VLOOKUP(H130,COLOR_EFFECTS,3,0)</f>
        <v>Standard</v>
      </c>
      <c r="M130" s="3" t="str">
        <f aca="false">E130&amp;" "&amp;K130</f>
        <v>Mars 1</v>
      </c>
      <c r="N130" s="22" t="str">
        <f aca="false">G130 &amp; H130</f>
        <v>♂1</v>
      </c>
      <c r="O130" s="24" t="str">
        <f aca="false">VLOOKUP(H130,COLOR_EFFECTS,4,0)</f>
        <v> </v>
      </c>
    </row>
    <row r="131" customFormat="false" ht="13.8" hidden="false" customHeight="false" outlineLevel="0" collapsed="false">
      <c r="A131" s="1" t="n">
        <v>1</v>
      </c>
      <c r="B131" s="2" t="s">
        <v>30</v>
      </c>
      <c r="C131" s="3" t="str">
        <f aca="false">VLOOKUP(B131,CARD_COLORS,5,0)</f>
        <v>#CC0000</v>
      </c>
      <c r="D131" s="22" t="str">
        <f aca="false">VLOOKUP(B131,CARD_COLORS,2,0)</f>
        <v>Rot</v>
      </c>
      <c r="E131" s="22" t="str">
        <f aca="false">VLOOKUP(B131,CARD_COLORS,3,0)</f>
        <v>Mars</v>
      </c>
      <c r="F131" s="23" t="str">
        <f aca="false">"Planets\" &amp; VLOOKUP(B131,CARD_COLORS,4,0) &amp; ".png"</f>
        <v>Planets\Mars.png</v>
      </c>
      <c r="G131" s="22" t="str">
        <f aca="false">VLOOKUP(B131,CARD_COLORS,6,0)</f>
        <v>♂</v>
      </c>
      <c r="H131" s="12" t="n">
        <v>2</v>
      </c>
      <c r="I131" s="22" t="n">
        <f aca="false">IFERROR(MID(H131,SEARCH("+",H131),2),IFERROR(MID(H131,SEARCH("-",H131),2),IF(ISNUMBER(H131),H131,"")))</f>
        <v>2</v>
      </c>
      <c r="J131" s="14"/>
      <c r="K131" s="22" t="str">
        <f aca="false">VLOOKUP(H131,COLOR_EFFECTS,2,0)</f>
        <v>2</v>
      </c>
      <c r="L131" s="22" t="str">
        <f aca="false">VLOOKUP(H131,COLOR_EFFECTS,3,0)</f>
        <v>Standard</v>
      </c>
      <c r="M131" s="3" t="str">
        <f aca="false">E131&amp;" "&amp;K131</f>
        <v>Mars 2</v>
      </c>
      <c r="N131" s="22" t="str">
        <f aca="false">G131 &amp; H131</f>
        <v>♂2</v>
      </c>
      <c r="O131" s="24" t="str">
        <f aca="false">VLOOKUP(H131,COLOR_EFFECTS,4,0)</f>
        <v> </v>
      </c>
    </row>
    <row r="132" customFormat="false" ht="13.8" hidden="false" customHeight="false" outlineLevel="0" collapsed="false">
      <c r="A132" s="1" t="n">
        <v>1</v>
      </c>
      <c r="B132" s="2" t="s">
        <v>30</v>
      </c>
      <c r="C132" s="3" t="str">
        <f aca="false">VLOOKUP(B132,CARD_COLORS,5,0)</f>
        <v>#CC0000</v>
      </c>
      <c r="D132" s="22" t="str">
        <f aca="false">VLOOKUP(B132,CARD_COLORS,2,0)</f>
        <v>Rot</v>
      </c>
      <c r="E132" s="22" t="str">
        <f aca="false">VLOOKUP(B132,CARD_COLORS,3,0)</f>
        <v>Mars</v>
      </c>
      <c r="F132" s="23" t="str">
        <f aca="false">"Planets\" &amp; VLOOKUP(B132,CARD_COLORS,4,0) &amp; ".png"</f>
        <v>Planets\Mars.png</v>
      </c>
      <c r="G132" s="22" t="str">
        <f aca="false">VLOOKUP(B132,CARD_COLORS,6,0)</f>
        <v>♂</v>
      </c>
      <c r="H132" s="12" t="n">
        <v>3</v>
      </c>
      <c r="I132" s="22" t="n">
        <f aca="false">IFERROR(MID(H132,SEARCH("+",H132),2),IFERROR(MID(H132,SEARCH("-",H132),2),IF(ISNUMBER(H132),H132,"")))</f>
        <v>3</v>
      </c>
      <c r="J132" s="14"/>
      <c r="K132" s="22" t="str">
        <f aca="false">VLOOKUP(H132,COLOR_EFFECTS,2,0)</f>
        <v>3</v>
      </c>
      <c r="L132" s="22" t="str">
        <f aca="false">VLOOKUP(H132,COLOR_EFFECTS,3,0)</f>
        <v>Standard</v>
      </c>
      <c r="M132" s="3" t="str">
        <f aca="false">E132&amp;" "&amp;K132</f>
        <v>Mars 3</v>
      </c>
      <c r="N132" s="22" t="str">
        <f aca="false">G132 &amp; H132</f>
        <v>♂3</v>
      </c>
      <c r="O132" s="24" t="str">
        <f aca="false">VLOOKUP(H132,COLOR_EFFECTS,4,0)</f>
        <v> </v>
      </c>
    </row>
    <row r="133" customFormat="false" ht="13.8" hidden="false" customHeight="false" outlineLevel="0" collapsed="false">
      <c r="A133" s="1" t="n">
        <v>1</v>
      </c>
      <c r="B133" s="2" t="s">
        <v>30</v>
      </c>
      <c r="C133" s="3" t="str">
        <f aca="false">VLOOKUP(B133,CARD_COLORS,5,0)</f>
        <v>#CC0000</v>
      </c>
      <c r="D133" s="22" t="str">
        <f aca="false">VLOOKUP(B133,CARD_COLORS,2,0)</f>
        <v>Rot</v>
      </c>
      <c r="E133" s="22" t="str">
        <f aca="false">VLOOKUP(B133,CARD_COLORS,3,0)</f>
        <v>Mars</v>
      </c>
      <c r="F133" s="23" t="str">
        <f aca="false">"Planets\" &amp; VLOOKUP(B133,CARD_COLORS,4,0) &amp; ".png"</f>
        <v>Planets\Mars.png</v>
      </c>
      <c r="G133" s="22" t="str">
        <f aca="false">VLOOKUP(B133,CARD_COLORS,6,0)</f>
        <v>♂</v>
      </c>
      <c r="H133" s="12" t="n">
        <v>4</v>
      </c>
      <c r="I133" s="22" t="n">
        <f aca="false">IFERROR(MID(H133,SEARCH("+",H133),2),IFERROR(MID(H133,SEARCH("-",H133),2),IF(ISNUMBER(H133),H133,"")))</f>
        <v>4</v>
      </c>
      <c r="J133" s="14"/>
      <c r="K133" s="22" t="str">
        <f aca="false">VLOOKUP(H133,COLOR_EFFECTS,2,0)</f>
        <v>4</v>
      </c>
      <c r="L133" s="22" t="str">
        <f aca="false">VLOOKUP(H133,COLOR_EFFECTS,3,0)</f>
        <v>Standard</v>
      </c>
      <c r="M133" s="3" t="str">
        <f aca="false">E133&amp;" "&amp;K133</f>
        <v>Mars 4</v>
      </c>
      <c r="N133" s="22" t="str">
        <f aca="false">G133 &amp; H133</f>
        <v>♂4</v>
      </c>
      <c r="O133" s="24" t="str">
        <f aca="false">VLOOKUP(H133,COLOR_EFFECTS,4,0)</f>
        <v> </v>
      </c>
    </row>
    <row r="134" customFormat="false" ht="13.8" hidden="false" customHeight="false" outlineLevel="0" collapsed="false">
      <c r="A134" s="1" t="n">
        <v>1</v>
      </c>
      <c r="B134" s="2" t="s">
        <v>30</v>
      </c>
      <c r="C134" s="3" t="str">
        <f aca="false">VLOOKUP(B134,CARD_COLORS,5,0)</f>
        <v>#CC0000</v>
      </c>
      <c r="D134" s="22" t="str">
        <f aca="false">VLOOKUP(B134,CARD_COLORS,2,0)</f>
        <v>Rot</v>
      </c>
      <c r="E134" s="22" t="str">
        <f aca="false">VLOOKUP(B134,CARD_COLORS,3,0)</f>
        <v>Mars</v>
      </c>
      <c r="F134" s="23" t="str">
        <f aca="false">"Planets\" &amp; VLOOKUP(B134,CARD_COLORS,4,0) &amp; ".png"</f>
        <v>Planets\Mars.png</v>
      </c>
      <c r="G134" s="22" t="str">
        <f aca="false">VLOOKUP(B134,CARD_COLORS,6,0)</f>
        <v>♂</v>
      </c>
      <c r="H134" s="12" t="n">
        <v>5</v>
      </c>
      <c r="I134" s="22" t="n">
        <f aca="false">IFERROR(MID(H134,SEARCH("+",H134),2),IFERROR(MID(H134,SEARCH("-",H134),2),IF(ISNUMBER(H134),H134,"")))</f>
        <v>5</v>
      </c>
      <c r="J134" s="14"/>
      <c r="K134" s="22" t="str">
        <f aca="false">VLOOKUP(H134,COLOR_EFFECTS,2,0)</f>
        <v>5</v>
      </c>
      <c r="L134" s="22" t="str">
        <f aca="false">VLOOKUP(H134,COLOR_EFFECTS,3,0)</f>
        <v>Standard</v>
      </c>
      <c r="M134" s="3" t="str">
        <f aca="false">E134&amp;" "&amp;K134</f>
        <v>Mars 5</v>
      </c>
      <c r="N134" s="22" t="str">
        <f aca="false">G134 &amp; H134</f>
        <v>♂5</v>
      </c>
      <c r="O134" s="24" t="str">
        <f aca="false">VLOOKUP(H134,COLOR_EFFECTS,4,0)</f>
        <v> </v>
      </c>
    </row>
    <row r="135" customFormat="false" ht="13.8" hidden="false" customHeight="false" outlineLevel="0" collapsed="false">
      <c r="A135" s="1" t="n">
        <v>1</v>
      </c>
      <c r="B135" s="2" t="s">
        <v>30</v>
      </c>
      <c r="C135" s="3" t="str">
        <f aca="false">VLOOKUP(B135,CARD_COLORS,5,0)</f>
        <v>#CC0000</v>
      </c>
      <c r="D135" s="22" t="str">
        <f aca="false">VLOOKUP(B135,CARD_COLORS,2,0)</f>
        <v>Rot</v>
      </c>
      <c r="E135" s="22" t="str">
        <f aca="false">VLOOKUP(B135,CARD_COLORS,3,0)</f>
        <v>Mars</v>
      </c>
      <c r="F135" s="23" t="str">
        <f aca="false">"Planets\" &amp; VLOOKUP(B135,CARD_COLORS,4,0) &amp; ".png"</f>
        <v>Planets\Mars.png</v>
      </c>
      <c r="G135" s="22" t="str">
        <f aca="false">VLOOKUP(B135,CARD_COLORS,6,0)</f>
        <v>♂</v>
      </c>
      <c r="H135" s="12" t="n">
        <v>6</v>
      </c>
      <c r="I135" s="22" t="n">
        <f aca="false">IFERROR(MID(H135,SEARCH("+",H135),2),IFERROR(MID(H135,SEARCH("-",H135),2),IF(ISNUMBER(H135),H135,"")))</f>
        <v>6</v>
      </c>
      <c r="J135" s="14"/>
      <c r="K135" s="22" t="str">
        <f aca="false">VLOOKUP(H135,COLOR_EFFECTS,2,0)</f>
        <v>6</v>
      </c>
      <c r="L135" s="22" t="str">
        <f aca="false">VLOOKUP(H135,COLOR_EFFECTS,3,0)</f>
        <v>Standard</v>
      </c>
      <c r="M135" s="3" t="str">
        <f aca="false">E135&amp;" "&amp;K135</f>
        <v>Mars 6</v>
      </c>
      <c r="N135" s="22" t="str">
        <f aca="false">G135 &amp; H135</f>
        <v>♂6</v>
      </c>
      <c r="O135" s="24" t="str">
        <f aca="false">VLOOKUP(H135,COLOR_EFFECTS,4,0)</f>
        <v> </v>
      </c>
    </row>
    <row r="136" customFormat="false" ht="13.8" hidden="false" customHeight="false" outlineLevel="0" collapsed="false">
      <c r="A136" s="1" t="n">
        <v>1</v>
      </c>
      <c r="B136" s="2" t="s">
        <v>30</v>
      </c>
      <c r="C136" s="3" t="str">
        <f aca="false">VLOOKUP(B136,CARD_COLORS,5,0)</f>
        <v>#CC0000</v>
      </c>
      <c r="D136" s="22" t="str">
        <f aca="false">VLOOKUP(B136,CARD_COLORS,2,0)</f>
        <v>Rot</v>
      </c>
      <c r="E136" s="22" t="str">
        <f aca="false">VLOOKUP(B136,CARD_COLORS,3,0)</f>
        <v>Mars</v>
      </c>
      <c r="F136" s="23" t="str">
        <f aca="false">"Planets\" &amp; VLOOKUP(B136,CARD_COLORS,4,0) &amp; ".png"</f>
        <v>Planets\Mars.png</v>
      </c>
      <c r="G136" s="22" t="str">
        <f aca="false">VLOOKUP(B136,CARD_COLORS,6,0)</f>
        <v>♂</v>
      </c>
      <c r="H136" s="12" t="n">
        <v>7</v>
      </c>
      <c r="I136" s="22" t="n">
        <f aca="false">IFERROR(MID(H136,SEARCH("+",H136),2),IFERROR(MID(H136,SEARCH("-",H136),2),IF(ISNUMBER(H136),H136,"")))</f>
        <v>7</v>
      </c>
      <c r="J136" s="14"/>
      <c r="K136" s="22" t="str">
        <f aca="false">VLOOKUP(H136,COLOR_EFFECTS,2,0)</f>
        <v>7</v>
      </c>
      <c r="L136" s="22" t="str">
        <f aca="false">VLOOKUP(H136,COLOR_EFFECTS,3,0)</f>
        <v>Standard</v>
      </c>
      <c r="M136" s="3" t="str">
        <f aca="false">E136&amp;" "&amp;K136</f>
        <v>Mars 7</v>
      </c>
      <c r="N136" s="22" t="str">
        <f aca="false">G136 &amp; H136</f>
        <v>♂7</v>
      </c>
      <c r="O136" s="24" t="str">
        <f aca="false">VLOOKUP(H136,COLOR_EFFECTS,4,0)</f>
        <v> </v>
      </c>
    </row>
    <row r="137" customFormat="false" ht="13.8" hidden="false" customHeight="false" outlineLevel="0" collapsed="false">
      <c r="A137" s="1" t="n">
        <v>1</v>
      </c>
      <c r="B137" s="2" t="s">
        <v>30</v>
      </c>
      <c r="C137" s="3" t="str">
        <f aca="false">VLOOKUP(B137,CARD_COLORS,5,0)</f>
        <v>#CC0000</v>
      </c>
      <c r="D137" s="22" t="str">
        <f aca="false">VLOOKUP(B137,CARD_COLORS,2,0)</f>
        <v>Rot</v>
      </c>
      <c r="E137" s="22" t="str">
        <f aca="false">VLOOKUP(B137,CARD_COLORS,3,0)</f>
        <v>Mars</v>
      </c>
      <c r="F137" s="23" t="str">
        <f aca="false">"Planets\" &amp; VLOOKUP(B137,CARD_COLORS,4,0) &amp; ".png"</f>
        <v>Planets\Mars.png</v>
      </c>
      <c r="G137" s="22" t="str">
        <f aca="false">VLOOKUP(B137,CARD_COLORS,6,0)</f>
        <v>♂</v>
      </c>
      <c r="H137" s="12" t="n">
        <v>8</v>
      </c>
      <c r="I137" s="22" t="n">
        <f aca="false">IFERROR(MID(H137,SEARCH("+",H137),2),IFERROR(MID(H137,SEARCH("-",H137),2),IF(ISNUMBER(H137),H137,"")))</f>
        <v>8</v>
      </c>
      <c r="J137" s="14"/>
      <c r="K137" s="22" t="str">
        <f aca="false">VLOOKUP(H137,COLOR_EFFECTS,2,0)</f>
        <v>8</v>
      </c>
      <c r="L137" s="22" t="str">
        <f aca="false">VLOOKUP(H137,COLOR_EFFECTS,3,0)</f>
        <v>Standard</v>
      </c>
      <c r="M137" s="3" t="str">
        <f aca="false">E137&amp;" "&amp;K137</f>
        <v>Mars 8</v>
      </c>
      <c r="N137" s="22" t="str">
        <f aca="false">G137 &amp; H137</f>
        <v>♂8</v>
      </c>
      <c r="O137" s="24" t="str">
        <f aca="false">VLOOKUP(H137,COLOR_EFFECTS,4,0)</f>
        <v> </v>
      </c>
    </row>
    <row r="138" customFormat="false" ht="13.8" hidden="false" customHeight="false" outlineLevel="0" collapsed="false">
      <c r="A138" s="1" t="n">
        <v>1</v>
      </c>
      <c r="B138" s="2" t="s">
        <v>30</v>
      </c>
      <c r="C138" s="3" t="str">
        <f aca="false">VLOOKUP(B138,CARD_COLORS,5,0)</f>
        <v>#CC0000</v>
      </c>
      <c r="D138" s="22" t="str">
        <f aca="false">VLOOKUP(B138,CARD_COLORS,2,0)</f>
        <v>Rot</v>
      </c>
      <c r="E138" s="22" t="str">
        <f aca="false">VLOOKUP(B138,CARD_COLORS,3,0)</f>
        <v>Mars</v>
      </c>
      <c r="F138" s="23" t="str">
        <f aca="false">"Planets\" &amp; VLOOKUP(B138,CARD_COLORS,4,0) &amp; ".png"</f>
        <v>Planets\Mars.png</v>
      </c>
      <c r="G138" s="22" t="str">
        <f aca="false">VLOOKUP(B138,CARD_COLORS,6,0)</f>
        <v>♂</v>
      </c>
      <c r="H138" s="12" t="n">
        <v>9</v>
      </c>
      <c r="I138" s="22" t="n">
        <f aca="false">IFERROR(MID(H138,SEARCH("+",H138),2),IFERROR(MID(H138,SEARCH("-",H138),2),IF(ISNUMBER(H138),H138,"")))</f>
        <v>9</v>
      </c>
      <c r="J138" s="14"/>
      <c r="K138" s="22" t="str">
        <f aca="false">VLOOKUP(H138,COLOR_EFFECTS,2,0)</f>
        <v>9</v>
      </c>
      <c r="L138" s="22" t="str">
        <f aca="false">VLOOKUP(H138,COLOR_EFFECTS,3,0)</f>
        <v>Standard</v>
      </c>
      <c r="M138" s="3" t="str">
        <f aca="false">E138&amp;" "&amp;K138</f>
        <v>Mars 9</v>
      </c>
      <c r="N138" s="22" t="str">
        <f aca="false">G138 &amp; H138</f>
        <v>♂9</v>
      </c>
      <c r="O138" s="24" t="str">
        <f aca="false">VLOOKUP(H138,COLOR_EFFECTS,4,0)</f>
        <v> </v>
      </c>
    </row>
    <row r="139" customFormat="false" ht="13.8" hidden="false" customHeight="false" outlineLevel="0" collapsed="false">
      <c r="A139" s="1" t="n">
        <v>1</v>
      </c>
      <c r="B139" s="2" t="s">
        <v>30</v>
      </c>
      <c r="C139" s="3" t="str">
        <f aca="false">VLOOKUP(B139,CARD_COLORS,5,0)</f>
        <v>#CC0000</v>
      </c>
      <c r="D139" s="22" t="str">
        <f aca="false">VLOOKUP(B139,CARD_COLORS,2,0)</f>
        <v>Rot</v>
      </c>
      <c r="E139" s="22" t="str">
        <f aca="false">VLOOKUP(B139,CARD_COLORS,3,0)</f>
        <v>Mars</v>
      </c>
      <c r="F139" s="23" t="str">
        <f aca="false">"Planets\" &amp; VLOOKUP(B139,CARD_COLORS,4,0) &amp; ".png"</f>
        <v>Planets\Mars.png</v>
      </c>
      <c r="G139" s="22" t="str">
        <f aca="false">VLOOKUP(B139,CARD_COLORS,6,0)</f>
        <v>♂</v>
      </c>
      <c r="H139" s="12" t="s">
        <v>20</v>
      </c>
      <c r="I139" s="22" t="str">
        <f aca="false">IFERROR(MID(H139,SEARCH("+",H139),2),IFERROR(MID(H139,SEARCH("-",H139),2),IF(ISNUMBER(H139),H139,"")))</f>
        <v>+2</v>
      </c>
      <c r="J139" s="14"/>
      <c r="K139" s="22" t="str">
        <f aca="false">VLOOKUP(H139,COLOR_EFFECTS,2,0)</f>
        <v>+2</v>
      </c>
      <c r="L139" s="22" t="str">
        <f aca="false">VLOOKUP(H139,COLOR_EFFECTS,3,0)</f>
        <v>Falle</v>
      </c>
      <c r="M139" s="3" t="str">
        <f aca="false">E139&amp;" "&amp;K139</f>
        <v>Mars +2</v>
      </c>
      <c r="N139" s="22" t="str">
        <f aca="false">G139 &amp; H139</f>
        <v>♂+2</v>
      </c>
      <c r="O139" s="24" t="str">
        <f aca="false">VLOOKUP(H139,COLOR_EFFECTS,4,0)</f>
        <v>Nächster Spieler muss 2 Karten aufnehmen</v>
      </c>
    </row>
    <row r="140" customFormat="false" ht="13.8" hidden="false" customHeight="false" outlineLevel="0" collapsed="false">
      <c r="A140" s="1" t="n">
        <v>1</v>
      </c>
      <c r="B140" s="2" t="s">
        <v>30</v>
      </c>
      <c r="C140" s="3" t="str">
        <f aca="false">VLOOKUP(B140,CARD_COLORS,5,0)</f>
        <v>#CC0000</v>
      </c>
      <c r="D140" s="22" t="str">
        <f aca="false">VLOOKUP(B140,CARD_COLORS,2,0)</f>
        <v>Rot</v>
      </c>
      <c r="E140" s="22" t="str">
        <f aca="false">VLOOKUP(B140,CARD_COLORS,3,0)</f>
        <v>Mars</v>
      </c>
      <c r="F140" s="23" t="str">
        <f aca="false">"Planets\" &amp; VLOOKUP(B140,CARD_COLORS,4,0) &amp; ".png"</f>
        <v>Planets\Mars.png</v>
      </c>
      <c r="G140" s="22" t="str">
        <f aca="false">VLOOKUP(B140,CARD_COLORS,6,0)</f>
        <v>♂</v>
      </c>
      <c r="H140" s="12" t="s">
        <v>40</v>
      </c>
      <c r="I140" s="22" t="str">
        <f aca="false">IFERROR(MID(H140,SEARCH("+",H140),2),IFERROR(MID(H140,SEARCH("-",H140),2),IF(ISNUMBER(H140),H140,"")))</f>
        <v>+3</v>
      </c>
      <c r="J140" s="14"/>
      <c r="K140" s="22" t="str">
        <f aca="false">VLOOKUP(H140,COLOR_EFFECTS,2,0)</f>
        <v>+3</v>
      </c>
      <c r="L140" s="22" t="str">
        <f aca="false">VLOOKUP(H140,COLOR_EFFECTS,3,0)</f>
        <v>Falle</v>
      </c>
      <c r="M140" s="3" t="str">
        <f aca="false">E140&amp;" "&amp;K140</f>
        <v>Mars +3</v>
      </c>
      <c r="N140" s="22" t="str">
        <f aca="false">G140 &amp; H140</f>
        <v>♂+3</v>
      </c>
      <c r="O140" s="24" t="str">
        <f aca="false">VLOOKUP(H140,COLOR_EFFECTS,4,0)</f>
        <v>Nächster Spieler muss 3 Karten aufnehmen</v>
      </c>
    </row>
    <row r="141" customFormat="false" ht="13.8" hidden="false" customHeight="false" outlineLevel="0" collapsed="false">
      <c r="A141" s="1" t="n">
        <v>1</v>
      </c>
      <c r="B141" s="2" t="s">
        <v>30</v>
      </c>
      <c r="C141" s="3" t="str">
        <f aca="false">VLOOKUP(B141,CARD_COLORS,5,0)</f>
        <v>#CC0000</v>
      </c>
      <c r="D141" s="22" t="str">
        <f aca="false">VLOOKUP(B141,CARD_COLORS,2,0)</f>
        <v>Rot</v>
      </c>
      <c r="E141" s="22" t="str">
        <f aca="false">VLOOKUP(B141,CARD_COLORS,3,0)</f>
        <v>Mars</v>
      </c>
      <c r="F141" s="23" t="str">
        <f aca="false">"Planets\" &amp; VLOOKUP(B141,CARD_COLORS,4,0) &amp; ".png"</f>
        <v>Planets\Mars.png</v>
      </c>
      <c r="G141" s="22" t="str">
        <f aca="false">VLOOKUP(B141,CARD_COLORS,6,0)</f>
        <v>♂</v>
      </c>
      <c r="H141" s="12" t="s">
        <v>22</v>
      </c>
      <c r="I141" s="22" t="str">
        <f aca="false">IFERROR(MID(H141,SEARCH("+",H141),2),IFERROR(MID(H141,SEARCH("-",H141),2),IF(ISNUMBER(H141),H141,"")))</f>
        <v/>
      </c>
      <c r="J141" s="14" t="s">
        <v>23</v>
      </c>
      <c r="K141" s="22" t="str">
        <f aca="false">VLOOKUP(H141,COLOR_EFFECTS,2,0)</f>
        <v>Umkehrung</v>
      </c>
      <c r="L141" s="22" t="str">
        <f aca="false">VLOOKUP(H141,COLOR_EFFECTS,3,0)</f>
        <v>Aktion</v>
      </c>
      <c r="M141" s="3" t="str">
        <f aca="false">E141&amp;" "&amp;K141</f>
        <v>Mars Umkehrung</v>
      </c>
      <c r="N141" s="22" t="str">
        <f aca="false">G141 &amp; H141</f>
        <v>♂🔄</v>
      </c>
      <c r="O141" s="24" t="str">
        <f aca="false">VLOOKUP(H141,COLOR_EFFECTS,4,0)</f>
        <v>Spielrichtung andersherum</v>
      </c>
    </row>
    <row r="142" customFormat="false" ht="13.8" hidden="false" customHeight="false" outlineLevel="0" collapsed="false">
      <c r="A142" s="1" t="n">
        <v>1</v>
      </c>
      <c r="B142" s="2" t="s">
        <v>30</v>
      </c>
      <c r="C142" s="3" t="str">
        <f aca="false">VLOOKUP(B142,CARD_COLORS,5,0)</f>
        <v>#CC0000</v>
      </c>
      <c r="D142" s="22" t="str">
        <f aca="false">VLOOKUP(B142,CARD_COLORS,2,0)</f>
        <v>Rot</v>
      </c>
      <c r="E142" s="22" t="str">
        <f aca="false">VLOOKUP(B142,CARD_COLORS,3,0)</f>
        <v>Mars</v>
      </c>
      <c r="F142" s="23" t="str">
        <f aca="false">"Planets\" &amp; VLOOKUP(B142,CARD_COLORS,4,0) &amp; ".png"</f>
        <v>Planets\Mars.png</v>
      </c>
      <c r="G142" s="22" t="str">
        <f aca="false">VLOOKUP(B142,CARD_COLORS,6,0)</f>
        <v>♂</v>
      </c>
      <c r="H142" s="12" t="s">
        <v>25</v>
      </c>
      <c r="I142" s="22" t="str">
        <f aca="false">IFERROR(MID(H142,SEARCH("+",H142),2),IFERROR(MID(H142,SEARCH("-",H142),2),IF(ISNUMBER(H142),H142,"")))</f>
        <v/>
      </c>
      <c r="J142" s="14" t="s">
        <v>26</v>
      </c>
      <c r="K142" s="22" t="str">
        <f aca="false">VLOOKUP(H142,COLOR_EFFECTS,2,0)</f>
        <v>Blockade</v>
      </c>
      <c r="L142" s="22" t="str">
        <f aca="false">VLOOKUP(H142,COLOR_EFFECTS,3,0)</f>
        <v>Aktion</v>
      </c>
      <c r="M142" s="3" t="str">
        <f aca="false">E142&amp;" "&amp;K142</f>
        <v>Mars Blockade</v>
      </c>
      <c r="N142" s="22" t="str">
        <f aca="false">G142 &amp; H142</f>
        <v>♂🚫</v>
      </c>
      <c r="O142" s="24" t="str">
        <f aca="false">VLOOKUP(H142,COLOR_EFFECTS,4,0)</f>
        <v>Nächster Spieler muss aussetzen</v>
      </c>
    </row>
    <row r="143" customFormat="false" ht="13.8" hidden="false" customHeight="false" outlineLevel="0" collapsed="false">
      <c r="A143" s="1" t="n">
        <v>1</v>
      </c>
      <c r="B143" s="2" t="s">
        <v>30</v>
      </c>
      <c r="C143" s="3" t="str">
        <f aca="false">VLOOKUP(B143,CARD_COLORS,5,0)</f>
        <v>#CC0000</v>
      </c>
      <c r="D143" s="22" t="str">
        <f aca="false">VLOOKUP(B143,CARD_COLORS,2,0)</f>
        <v>Rot</v>
      </c>
      <c r="E143" s="22" t="str">
        <f aca="false">VLOOKUP(B143,CARD_COLORS,3,0)</f>
        <v>Mars</v>
      </c>
      <c r="F143" s="23" t="str">
        <f aca="false">"Planets\" &amp; VLOOKUP(B143,CARD_COLORS,4,0) &amp; ".png"</f>
        <v>Planets\Mars.png</v>
      </c>
      <c r="G143" s="22" t="str">
        <f aca="false">VLOOKUP(B143,CARD_COLORS,6,0)</f>
        <v>♂</v>
      </c>
      <c r="H143" s="12" t="s">
        <v>28</v>
      </c>
      <c r="I143" s="22" t="str">
        <f aca="false">IFERROR(MID(H143,SEARCH("+",H143),2),IFERROR(MID(H143,SEARCH("-",H143),2),IF(ISNUMBER(H143),H143,"")))</f>
        <v/>
      </c>
      <c r="J143" s="14" t="s">
        <v>29</v>
      </c>
      <c r="K143" s="22" t="str">
        <f aca="false">VLOOKUP(H143,COLOR_EFFECTS,2,0)</f>
        <v>Wiederholung</v>
      </c>
      <c r="L143" s="22" t="str">
        <f aca="false">VLOOKUP(H143,COLOR_EFFECTS,3,0)</f>
        <v>Aktion</v>
      </c>
      <c r="M143" s="3" t="str">
        <f aca="false">E143&amp;" "&amp;K143</f>
        <v>Mars Wiederholung</v>
      </c>
      <c r="N143" s="22" t="str">
        <f aca="false">G143 &amp; H143</f>
        <v>♂🔂</v>
      </c>
      <c r="O143" s="24" t="str">
        <f aca="false">VLOOKUP(H143,COLOR_EFFECTS,4,0)</f>
        <v>Ein weiterer Zug</v>
      </c>
    </row>
    <row r="144" customFormat="false" ht="13.8" hidden="false" customHeight="false" outlineLevel="0" collapsed="false">
      <c r="A144" s="1" t="n">
        <v>1</v>
      </c>
      <c r="B144" s="2" t="s">
        <v>30</v>
      </c>
      <c r="C144" s="3" t="str">
        <f aca="false">VLOOKUP(B144,CARD_COLORS,5,0)</f>
        <v>#CC0000</v>
      </c>
      <c r="D144" s="22" t="str">
        <f aca="false">VLOOKUP(B144,CARD_COLORS,2,0)</f>
        <v>Rot</v>
      </c>
      <c r="E144" s="22" t="str">
        <f aca="false">VLOOKUP(B144,CARD_COLORS,3,0)</f>
        <v>Mars</v>
      </c>
      <c r="F144" s="23" t="str">
        <f aca="false">"Planets\" &amp; VLOOKUP(B144,CARD_COLORS,4,0) &amp; ".png"</f>
        <v>Planets\Mars.png</v>
      </c>
      <c r="G144" s="22" t="str">
        <f aca="false">VLOOKUP(B144,CARD_COLORS,6,0)</f>
        <v>♂</v>
      </c>
      <c r="H144" s="12" t="s">
        <v>31</v>
      </c>
      <c r="I144" s="22" t="str">
        <f aca="false">IFERROR(MID(H144,SEARCH("+",H144),2),IFERROR(MID(H144,SEARCH("-",H144),2),IF(ISNUMBER(H144),H144,"")))</f>
        <v/>
      </c>
      <c r="J144" s="14" t="s">
        <v>32</v>
      </c>
      <c r="K144" s="22" t="str">
        <f aca="false">VLOOKUP(H144,COLOR_EFFECTS,2,0)</f>
        <v>Eis</v>
      </c>
      <c r="L144" s="22" t="str">
        <f aca="false">VLOOKUP(H144,COLOR_EFFECTS,3,0)</f>
        <v>Aktion</v>
      </c>
      <c r="M144" s="3" t="str">
        <f aca="false">E144&amp;" "&amp;K144</f>
        <v>Mars Eis</v>
      </c>
      <c r="N144" s="22" t="str">
        <f aca="false">G144 &amp; H144</f>
        <v>♂❄️</v>
      </c>
      <c r="O144" s="24" t="str">
        <f aca="false">VLOOKUP(H144,COLOR_EFFECTS,4,0)</f>
        <v>Farbe muss für eine komplette Runde beibehalten werden</v>
      </c>
    </row>
    <row r="145" customFormat="false" ht="13.8" hidden="false" customHeight="false" outlineLevel="0" collapsed="false">
      <c r="A145" s="1" t="n">
        <v>1</v>
      </c>
      <c r="B145" s="2" t="s">
        <v>30</v>
      </c>
      <c r="C145" s="3" t="str">
        <f aca="false">VLOOKUP(B145,CARD_COLORS,5,0)</f>
        <v>#CC0000</v>
      </c>
      <c r="D145" s="22" t="str">
        <f aca="false">VLOOKUP(B145,CARD_COLORS,2,0)</f>
        <v>Rot</v>
      </c>
      <c r="E145" s="22" t="str">
        <f aca="false">VLOOKUP(B145,CARD_COLORS,3,0)</f>
        <v>Mars</v>
      </c>
      <c r="F145" s="23" t="str">
        <f aca="false">"Planets\" &amp; VLOOKUP(B145,CARD_COLORS,4,0) &amp; ".png"</f>
        <v>Planets\Mars.png</v>
      </c>
      <c r="G145" s="22" t="str">
        <f aca="false">VLOOKUP(B145,CARD_COLORS,6,0)</f>
        <v>♂</v>
      </c>
      <c r="H145" s="12" t="s">
        <v>34</v>
      </c>
      <c r="I145" s="22" t="str">
        <f aca="false">IFERROR(MID(H145,SEARCH("+",H145),2),IFERROR(MID(H145,SEARCH("-",H145),2),IF(ISNUMBER(H145),H145,"")))</f>
        <v/>
      </c>
      <c r="J145" s="14" t="s">
        <v>35</v>
      </c>
      <c r="K145" s="22" t="str">
        <f aca="false">VLOOKUP(H145,COLOR_EFFECTS,2,0)</f>
        <v>Feuer</v>
      </c>
      <c r="L145" s="22" t="str">
        <f aca="false">VLOOKUP(H145,COLOR_EFFECTS,3,0)</f>
        <v>Aktion</v>
      </c>
      <c r="M145" s="3" t="str">
        <f aca="false">E145&amp;" "&amp;K145</f>
        <v>Mars Feuer</v>
      </c>
      <c r="N145" s="22" t="str">
        <f aca="false">G145 &amp; H145</f>
        <v>♂🔥</v>
      </c>
      <c r="O145" s="24" t="str">
        <f aca="false">VLOOKUP(H145,COLOR_EFFECTS,4,0)</f>
        <v>Farbe darf bis zur nächsten Runde nicht gespielt werden</v>
      </c>
    </row>
    <row r="146" customFormat="false" ht="13.8" hidden="false" customHeight="false" outlineLevel="0" collapsed="false">
      <c r="A146" s="1" t="n">
        <v>1</v>
      </c>
      <c r="B146" s="2" t="s">
        <v>30</v>
      </c>
      <c r="C146" s="3" t="str">
        <f aca="false">VLOOKUP(B146,CARD_COLORS,5,0)</f>
        <v>#CC0000</v>
      </c>
      <c r="D146" s="22" t="str">
        <f aca="false">VLOOKUP(B146,CARD_COLORS,2,0)</f>
        <v>Rot</v>
      </c>
      <c r="E146" s="22" t="str">
        <f aca="false">VLOOKUP(B146,CARD_COLORS,3,0)</f>
        <v>Mars</v>
      </c>
      <c r="F146" s="23" t="str">
        <f aca="false">"Planets\" &amp; VLOOKUP(B146,CARD_COLORS,4,0) &amp; ".png"</f>
        <v>Planets\Mars.png</v>
      </c>
      <c r="G146" s="22" t="str">
        <f aca="false">VLOOKUP(B146,CARD_COLORS,6,0)</f>
        <v>♂</v>
      </c>
      <c r="H146" s="12" t="s">
        <v>37</v>
      </c>
      <c r="I146" s="22" t="str">
        <f aca="false">IFERROR(MID(H146,SEARCH("+",H146),2),IFERROR(MID(H146,SEARCH("-",H146),2),IF(ISNUMBER(H146),H146,"")))</f>
        <v/>
      </c>
      <c r="J146" s="14" t="s">
        <v>38</v>
      </c>
      <c r="K146" s="22" t="str">
        <f aca="false">VLOOKUP(H146,COLOR_EFFECTS,2,0)</f>
        <v>Fokus</v>
      </c>
      <c r="L146" s="22" t="str">
        <f aca="false">VLOOKUP(H146,COLOR_EFFECTS,3,0)</f>
        <v>Aktion</v>
      </c>
      <c r="M146" s="3" t="str">
        <f aca="false">E146&amp;" "&amp;K146</f>
        <v>Mars Fokus</v>
      </c>
      <c r="N146" s="22" t="str">
        <f aca="false">G146 &amp; H146</f>
        <v>♂🎯</v>
      </c>
      <c r="O146" s="24" t="str">
        <f aca="false">VLOOKUP(H146,COLOR_EFFECTS,4,0)</f>
        <v>Wähle den nächsten Spieler</v>
      </c>
    </row>
    <row r="147" customFormat="false" ht="13.8" hidden="false" customHeight="false" outlineLevel="0" collapsed="false">
      <c r="A147" s="1" t="n">
        <v>1</v>
      </c>
      <c r="B147" s="2" t="s">
        <v>33</v>
      </c>
      <c r="C147" s="3" t="str">
        <f aca="false">VLOOKUP(B147,CARD_COLORS,5,0)</f>
        <v>#FF8800</v>
      </c>
      <c r="D147" s="22" t="str">
        <f aca="false">VLOOKUP(B147,CARD_COLORS,2,0)</f>
        <v>Orange</v>
      </c>
      <c r="E147" s="22" t="str">
        <f aca="false">VLOOKUP(B147,CARD_COLORS,3,0)</f>
        <v>Jupiter</v>
      </c>
      <c r="F147" s="23" t="str">
        <f aca="false">"Planets\" &amp; VLOOKUP(B147,CARD_COLORS,4,0) &amp; ".png"</f>
        <v>Planets\Jupiter.png</v>
      </c>
      <c r="G147" s="22" t="str">
        <f aca="false">VLOOKUP(B147,CARD_COLORS,6,0)</f>
        <v>♃</v>
      </c>
      <c r="H147" s="12" t="n">
        <v>0</v>
      </c>
      <c r="I147" s="22" t="n">
        <f aca="false">IFERROR(MID(H147,SEARCH("+",H147),2),IFERROR(MID(H147,SEARCH("-",H147),2),IF(ISNUMBER(H147),H147,"")))</f>
        <v>0</v>
      </c>
      <c r="J147" s="14"/>
      <c r="K147" s="22" t="str">
        <f aca="false">VLOOKUP(H147,COLOR_EFFECTS,2,0)</f>
        <v>0</v>
      </c>
      <c r="L147" s="22" t="str">
        <f aca="false">VLOOKUP(H147,COLOR_EFFECTS,3,0)</f>
        <v>Standard</v>
      </c>
      <c r="M147" s="3" t="str">
        <f aca="false">E147&amp;" "&amp;K147</f>
        <v>Jupiter 0</v>
      </c>
      <c r="N147" s="22" t="str">
        <f aca="false">G147 &amp; H147</f>
        <v>♃0</v>
      </c>
      <c r="O147" s="24" t="str">
        <f aca="false">VLOOKUP(H147,COLOR_EFFECTS,4,0)</f>
        <v> </v>
      </c>
    </row>
    <row r="148" customFormat="false" ht="13.8" hidden="false" customHeight="false" outlineLevel="0" collapsed="false">
      <c r="A148" s="1" t="n">
        <v>1</v>
      </c>
      <c r="B148" s="2" t="s">
        <v>33</v>
      </c>
      <c r="C148" s="3" t="str">
        <f aca="false">VLOOKUP(B148,CARD_COLORS,5,0)</f>
        <v>#FF8800</v>
      </c>
      <c r="D148" s="22" t="str">
        <f aca="false">VLOOKUP(B148,CARD_COLORS,2,0)</f>
        <v>Orange</v>
      </c>
      <c r="E148" s="22" t="str">
        <f aca="false">VLOOKUP(B148,CARD_COLORS,3,0)</f>
        <v>Jupiter</v>
      </c>
      <c r="F148" s="23" t="str">
        <f aca="false">"Planets\" &amp; VLOOKUP(B148,CARD_COLORS,4,0) &amp; ".png"</f>
        <v>Planets\Jupiter.png</v>
      </c>
      <c r="G148" s="22" t="str">
        <f aca="false">VLOOKUP(B148,CARD_COLORS,6,0)</f>
        <v>♃</v>
      </c>
      <c r="H148" s="12" t="n">
        <v>1</v>
      </c>
      <c r="I148" s="22" t="n">
        <f aca="false">IFERROR(MID(H148,SEARCH("+",H148),2),IFERROR(MID(H148,SEARCH("-",H148),2),IF(ISNUMBER(H148),H148,"")))</f>
        <v>1</v>
      </c>
      <c r="J148" s="14"/>
      <c r="K148" s="22" t="str">
        <f aca="false">VLOOKUP(H148,COLOR_EFFECTS,2,0)</f>
        <v>1</v>
      </c>
      <c r="L148" s="22" t="str">
        <f aca="false">VLOOKUP(H148,COLOR_EFFECTS,3,0)</f>
        <v>Standard</v>
      </c>
      <c r="M148" s="3" t="str">
        <f aca="false">E148&amp;" "&amp;K148</f>
        <v>Jupiter 1</v>
      </c>
      <c r="N148" s="22" t="str">
        <f aca="false">G148 &amp; H148</f>
        <v>♃1</v>
      </c>
      <c r="O148" s="24" t="str">
        <f aca="false">VLOOKUP(H148,COLOR_EFFECTS,4,0)</f>
        <v> </v>
      </c>
    </row>
    <row r="149" customFormat="false" ht="13.8" hidden="false" customHeight="false" outlineLevel="0" collapsed="false">
      <c r="A149" s="1" t="n">
        <v>1</v>
      </c>
      <c r="B149" s="2" t="s">
        <v>33</v>
      </c>
      <c r="C149" s="3" t="str">
        <f aca="false">VLOOKUP(B149,CARD_COLORS,5,0)</f>
        <v>#FF8800</v>
      </c>
      <c r="D149" s="22" t="str">
        <f aca="false">VLOOKUP(B149,CARD_COLORS,2,0)</f>
        <v>Orange</v>
      </c>
      <c r="E149" s="22" t="str">
        <f aca="false">VLOOKUP(B149,CARD_COLORS,3,0)</f>
        <v>Jupiter</v>
      </c>
      <c r="F149" s="23" t="str">
        <f aca="false">"Planets\" &amp; VLOOKUP(B149,CARD_COLORS,4,0) &amp; ".png"</f>
        <v>Planets\Jupiter.png</v>
      </c>
      <c r="G149" s="22" t="str">
        <f aca="false">VLOOKUP(B149,CARD_COLORS,6,0)</f>
        <v>♃</v>
      </c>
      <c r="H149" s="12" t="n">
        <v>2</v>
      </c>
      <c r="I149" s="22" t="n">
        <f aca="false">IFERROR(MID(H149,SEARCH("+",H149),2),IFERROR(MID(H149,SEARCH("-",H149),2),IF(ISNUMBER(H149),H149,"")))</f>
        <v>2</v>
      </c>
      <c r="J149" s="14"/>
      <c r="K149" s="22" t="str">
        <f aca="false">VLOOKUP(H149,COLOR_EFFECTS,2,0)</f>
        <v>2</v>
      </c>
      <c r="L149" s="22" t="str">
        <f aca="false">VLOOKUP(H149,COLOR_EFFECTS,3,0)</f>
        <v>Standard</v>
      </c>
      <c r="M149" s="3" t="str">
        <f aca="false">E149&amp;" "&amp;K149</f>
        <v>Jupiter 2</v>
      </c>
      <c r="N149" s="22" t="str">
        <f aca="false">G149 &amp; H149</f>
        <v>♃2</v>
      </c>
      <c r="O149" s="24" t="str">
        <f aca="false">VLOOKUP(H149,COLOR_EFFECTS,4,0)</f>
        <v> </v>
      </c>
    </row>
    <row r="150" customFormat="false" ht="13.8" hidden="false" customHeight="false" outlineLevel="0" collapsed="false">
      <c r="A150" s="1" t="n">
        <v>1</v>
      </c>
      <c r="B150" s="2" t="s">
        <v>33</v>
      </c>
      <c r="C150" s="3" t="str">
        <f aca="false">VLOOKUP(B150,CARD_COLORS,5,0)</f>
        <v>#FF8800</v>
      </c>
      <c r="D150" s="22" t="str">
        <f aca="false">VLOOKUP(B150,CARD_COLORS,2,0)</f>
        <v>Orange</v>
      </c>
      <c r="E150" s="22" t="str">
        <f aca="false">VLOOKUP(B150,CARD_COLORS,3,0)</f>
        <v>Jupiter</v>
      </c>
      <c r="F150" s="23" t="str">
        <f aca="false">"Planets\" &amp; VLOOKUP(B150,CARD_COLORS,4,0) &amp; ".png"</f>
        <v>Planets\Jupiter.png</v>
      </c>
      <c r="G150" s="22" t="str">
        <f aca="false">VLOOKUP(B150,CARD_COLORS,6,0)</f>
        <v>♃</v>
      </c>
      <c r="H150" s="12" t="n">
        <v>3</v>
      </c>
      <c r="I150" s="22" t="n">
        <f aca="false">IFERROR(MID(H150,SEARCH("+",H150),2),IFERROR(MID(H150,SEARCH("-",H150),2),IF(ISNUMBER(H150),H150,"")))</f>
        <v>3</v>
      </c>
      <c r="J150" s="14"/>
      <c r="K150" s="22" t="str">
        <f aca="false">VLOOKUP(H150,COLOR_EFFECTS,2,0)</f>
        <v>3</v>
      </c>
      <c r="L150" s="22" t="str">
        <f aca="false">VLOOKUP(H150,COLOR_EFFECTS,3,0)</f>
        <v>Standard</v>
      </c>
      <c r="M150" s="3" t="str">
        <f aca="false">E150&amp;" "&amp;K150</f>
        <v>Jupiter 3</v>
      </c>
      <c r="N150" s="22" t="str">
        <f aca="false">G150 &amp; H150</f>
        <v>♃3</v>
      </c>
      <c r="O150" s="24" t="str">
        <f aca="false">VLOOKUP(H150,COLOR_EFFECTS,4,0)</f>
        <v> </v>
      </c>
    </row>
    <row r="151" customFormat="false" ht="13.8" hidden="false" customHeight="false" outlineLevel="0" collapsed="false">
      <c r="A151" s="1" t="n">
        <v>1</v>
      </c>
      <c r="B151" s="2" t="s">
        <v>33</v>
      </c>
      <c r="C151" s="3" t="str">
        <f aca="false">VLOOKUP(B151,CARD_COLORS,5,0)</f>
        <v>#FF8800</v>
      </c>
      <c r="D151" s="22" t="str">
        <f aca="false">VLOOKUP(B151,CARD_COLORS,2,0)</f>
        <v>Orange</v>
      </c>
      <c r="E151" s="22" t="str">
        <f aca="false">VLOOKUP(B151,CARD_COLORS,3,0)</f>
        <v>Jupiter</v>
      </c>
      <c r="F151" s="23" t="str">
        <f aca="false">"Planets\" &amp; VLOOKUP(B151,CARD_COLORS,4,0) &amp; ".png"</f>
        <v>Planets\Jupiter.png</v>
      </c>
      <c r="G151" s="22" t="str">
        <f aca="false">VLOOKUP(B151,CARD_COLORS,6,0)</f>
        <v>♃</v>
      </c>
      <c r="H151" s="12" t="n">
        <v>4</v>
      </c>
      <c r="I151" s="22" t="n">
        <f aca="false">IFERROR(MID(H151,SEARCH("+",H151),2),IFERROR(MID(H151,SEARCH("-",H151),2),IF(ISNUMBER(H151),H151,"")))</f>
        <v>4</v>
      </c>
      <c r="J151" s="14"/>
      <c r="K151" s="22" t="str">
        <f aca="false">VLOOKUP(H151,COLOR_EFFECTS,2,0)</f>
        <v>4</v>
      </c>
      <c r="L151" s="22" t="str">
        <f aca="false">VLOOKUP(H151,COLOR_EFFECTS,3,0)</f>
        <v>Standard</v>
      </c>
      <c r="M151" s="3" t="str">
        <f aca="false">E151&amp;" "&amp;K151</f>
        <v>Jupiter 4</v>
      </c>
      <c r="N151" s="22" t="str">
        <f aca="false">G151 &amp; H151</f>
        <v>♃4</v>
      </c>
      <c r="O151" s="24" t="str">
        <f aca="false">VLOOKUP(H151,COLOR_EFFECTS,4,0)</f>
        <v> </v>
      </c>
    </row>
    <row r="152" customFormat="false" ht="13.8" hidden="false" customHeight="false" outlineLevel="0" collapsed="false">
      <c r="A152" s="1" t="n">
        <v>1</v>
      </c>
      <c r="B152" s="2" t="s">
        <v>33</v>
      </c>
      <c r="C152" s="3" t="str">
        <f aca="false">VLOOKUP(B152,CARD_COLORS,5,0)</f>
        <v>#FF8800</v>
      </c>
      <c r="D152" s="22" t="str">
        <f aca="false">VLOOKUP(B152,CARD_COLORS,2,0)</f>
        <v>Orange</v>
      </c>
      <c r="E152" s="22" t="str">
        <f aca="false">VLOOKUP(B152,CARD_COLORS,3,0)</f>
        <v>Jupiter</v>
      </c>
      <c r="F152" s="23" t="str">
        <f aca="false">"Planets\" &amp; VLOOKUP(B152,CARD_COLORS,4,0) &amp; ".png"</f>
        <v>Planets\Jupiter.png</v>
      </c>
      <c r="G152" s="22" t="str">
        <f aca="false">VLOOKUP(B152,CARD_COLORS,6,0)</f>
        <v>♃</v>
      </c>
      <c r="H152" s="12" t="n">
        <v>5</v>
      </c>
      <c r="I152" s="22" t="n">
        <f aca="false">IFERROR(MID(H152,SEARCH("+",H152),2),IFERROR(MID(H152,SEARCH("-",H152),2),IF(ISNUMBER(H152),H152,"")))</f>
        <v>5</v>
      </c>
      <c r="J152" s="14"/>
      <c r="K152" s="22" t="str">
        <f aca="false">VLOOKUP(H152,COLOR_EFFECTS,2,0)</f>
        <v>5</v>
      </c>
      <c r="L152" s="22" t="str">
        <f aca="false">VLOOKUP(H152,COLOR_EFFECTS,3,0)</f>
        <v>Standard</v>
      </c>
      <c r="M152" s="3" t="str">
        <f aca="false">E152&amp;" "&amp;K152</f>
        <v>Jupiter 5</v>
      </c>
      <c r="N152" s="22" t="str">
        <f aca="false">G152 &amp; H152</f>
        <v>♃5</v>
      </c>
      <c r="O152" s="24" t="str">
        <f aca="false">VLOOKUP(H152,COLOR_EFFECTS,4,0)</f>
        <v> </v>
      </c>
    </row>
    <row r="153" customFormat="false" ht="13.8" hidden="false" customHeight="false" outlineLevel="0" collapsed="false">
      <c r="A153" s="1" t="n">
        <v>1</v>
      </c>
      <c r="B153" s="2" t="s">
        <v>33</v>
      </c>
      <c r="C153" s="3" t="str">
        <f aca="false">VLOOKUP(B153,CARD_COLORS,5,0)</f>
        <v>#FF8800</v>
      </c>
      <c r="D153" s="22" t="str">
        <f aca="false">VLOOKUP(B153,CARD_COLORS,2,0)</f>
        <v>Orange</v>
      </c>
      <c r="E153" s="22" t="str">
        <f aca="false">VLOOKUP(B153,CARD_COLORS,3,0)</f>
        <v>Jupiter</v>
      </c>
      <c r="F153" s="23" t="str">
        <f aca="false">"Planets\" &amp; VLOOKUP(B153,CARD_COLORS,4,0) &amp; ".png"</f>
        <v>Planets\Jupiter.png</v>
      </c>
      <c r="G153" s="22" t="str">
        <f aca="false">VLOOKUP(B153,CARD_COLORS,6,0)</f>
        <v>♃</v>
      </c>
      <c r="H153" s="12" t="n">
        <v>6</v>
      </c>
      <c r="I153" s="22" t="n">
        <f aca="false">IFERROR(MID(H153,SEARCH("+",H153),2),IFERROR(MID(H153,SEARCH("-",H153),2),IF(ISNUMBER(H153),H153,"")))</f>
        <v>6</v>
      </c>
      <c r="J153" s="14"/>
      <c r="K153" s="22" t="str">
        <f aca="false">VLOOKUP(H153,COLOR_EFFECTS,2,0)</f>
        <v>6</v>
      </c>
      <c r="L153" s="22" t="str">
        <f aca="false">VLOOKUP(H153,COLOR_EFFECTS,3,0)</f>
        <v>Standard</v>
      </c>
      <c r="M153" s="3" t="str">
        <f aca="false">E153&amp;" "&amp;K153</f>
        <v>Jupiter 6</v>
      </c>
      <c r="N153" s="22" t="str">
        <f aca="false">G153 &amp; H153</f>
        <v>♃6</v>
      </c>
      <c r="O153" s="24" t="str">
        <f aca="false">VLOOKUP(H153,COLOR_EFFECTS,4,0)</f>
        <v> </v>
      </c>
    </row>
    <row r="154" customFormat="false" ht="13.8" hidden="false" customHeight="false" outlineLevel="0" collapsed="false">
      <c r="A154" s="1" t="n">
        <v>1</v>
      </c>
      <c r="B154" s="2" t="s">
        <v>33</v>
      </c>
      <c r="C154" s="3" t="str">
        <f aca="false">VLOOKUP(B154,CARD_COLORS,5,0)</f>
        <v>#FF8800</v>
      </c>
      <c r="D154" s="22" t="str">
        <f aca="false">VLOOKUP(B154,CARD_COLORS,2,0)</f>
        <v>Orange</v>
      </c>
      <c r="E154" s="22" t="str">
        <f aca="false">VLOOKUP(B154,CARD_COLORS,3,0)</f>
        <v>Jupiter</v>
      </c>
      <c r="F154" s="23" t="str">
        <f aca="false">"Planets\" &amp; VLOOKUP(B154,CARD_COLORS,4,0) &amp; ".png"</f>
        <v>Planets\Jupiter.png</v>
      </c>
      <c r="G154" s="22" t="str">
        <f aca="false">VLOOKUP(B154,CARD_COLORS,6,0)</f>
        <v>♃</v>
      </c>
      <c r="H154" s="12" t="n">
        <v>7</v>
      </c>
      <c r="I154" s="22" t="n">
        <f aca="false">IFERROR(MID(H154,SEARCH("+",H154),2),IFERROR(MID(H154,SEARCH("-",H154),2),IF(ISNUMBER(H154),H154,"")))</f>
        <v>7</v>
      </c>
      <c r="J154" s="14"/>
      <c r="K154" s="22" t="str">
        <f aca="false">VLOOKUP(H154,COLOR_EFFECTS,2,0)</f>
        <v>7</v>
      </c>
      <c r="L154" s="22" t="str">
        <f aca="false">VLOOKUP(H154,COLOR_EFFECTS,3,0)</f>
        <v>Standard</v>
      </c>
      <c r="M154" s="3" t="str">
        <f aca="false">E154&amp;" "&amp;K154</f>
        <v>Jupiter 7</v>
      </c>
      <c r="N154" s="22" t="str">
        <f aca="false">G154 &amp; H154</f>
        <v>♃7</v>
      </c>
      <c r="O154" s="24" t="str">
        <f aca="false">VLOOKUP(H154,COLOR_EFFECTS,4,0)</f>
        <v> </v>
      </c>
    </row>
    <row r="155" customFormat="false" ht="13.8" hidden="false" customHeight="false" outlineLevel="0" collapsed="false">
      <c r="A155" s="1" t="n">
        <v>1</v>
      </c>
      <c r="B155" s="2" t="s">
        <v>33</v>
      </c>
      <c r="C155" s="3" t="str">
        <f aca="false">VLOOKUP(B155,CARD_COLORS,5,0)</f>
        <v>#FF8800</v>
      </c>
      <c r="D155" s="22" t="str">
        <f aca="false">VLOOKUP(B155,CARD_COLORS,2,0)</f>
        <v>Orange</v>
      </c>
      <c r="E155" s="22" t="str">
        <f aca="false">VLOOKUP(B155,CARD_COLORS,3,0)</f>
        <v>Jupiter</v>
      </c>
      <c r="F155" s="23" t="str">
        <f aca="false">"Planets\" &amp; VLOOKUP(B155,CARD_COLORS,4,0) &amp; ".png"</f>
        <v>Planets\Jupiter.png</v>
      </c>
      <c r="G155" s="22" t="str">
        <f aca="false">VLOOKUP(B155,CARD_COLORS,6,0)</f>
        <v>♃</v>
      </c>
      <c r="H155" s="12" t="n">
        <v>8</v>
      </c>
      <c r="I155" s="22" t="n">
        <f aca="false">IFERROR(MID(H155,SEARCH("+",H155),2),IFERROR(MID(H155,SEARCH("-",H155),2),IF(ISNUMBER(H155),H155,"")))</f>
        <v>8</v>
      </c>
      <c r="J155" s="14"/>
      <c r="K155" s="22" t="str">
        <f aca="false">VLOOKUP(H155,COLOR_EFFECTS,2,0)</f>
        <v>8</v>
      </c>
      <c r="L155" s="22" t="str">
        <f aca="false">VLOOKUP(H155,COLOR_EFFECTS,3,0)</f>
        <v>Standard</v>
      </c>
      <c r="M155" s="3" t="str">
        <f aca="false">E155&amp;" "&amp;K155</f>
        <v>Jupiter 8</v>
      </c>
      <c r="N155" s="22" t="str">
        <f aca="false">G155 &amp; H155</f>
        <v>♃8</v>
      </c>
      <c r="O155" s="24" t="str">
        <f aca="false">VLOOKUP(H155,COLOR_EFFECTS,4,0)</f>
        <v> </v>
      </c>
    </row>
    <row r="156" customFormat="false" ht="13.8" hidden="false" customHeight="false" outlineLevel="0" collapsed="false">
      <c r="A156" s="1" t="n">
        <v>1</v>
      </c>
      <c r="B156" s="2" t="s">
        <v>33</v>
      </c>
      <c r="C156" s="3" t="str">
        <f aca="false">VLOOKUP(B156,CARD_COLORS,5,0)</f>
        <v>#FF8800</v>
      </c>
      <c r="D156" s="22" t="str">
        <f aca="false">VLOOKUP(B156,CARD_COLORS,2,0)</f>
        <v>Orange</v>
      </c>
      <c r="E156" s="22" t="str">
        <f aca="false">VLOOKUP(B156,CARD_COLORS,3,0)</f>
        <v>Jupiter</v>
      </c>
      <c r="F156" s="23" t="str">
        <f aca="false">"Planets\" &amp; VLOOKUP(B156,CARD_COLORS,4,0) &amp; ".png"</f>
        <v>Planets\Jupiter.png</v>
      </c>
      <c r="G156" s="22" t="str">
        <f aca="false">VLOOKUP(B156,CARD_COLORS,6,0)</f>
        <v>♃</v>
      </c>
      <c r="H156" s="12" t="n">
        <v>9</v>
      </c>
      <c r="I156" s="22" t="n">
        <f aca="false">IFERROR(MID(H156,SEARCH("+",H156),2),IFERROR(MID(H156,SEARCH("-",H156),2),IF(ISNUMBER(H156),H156,"")))</f>
        <v>9</v>
      </c>
      <c r="J156" s="14"/>
      <c r="K156" s="22" t="str">
        <f aca="false">VLOOKUP(H156,COLOR_EFFECTS,2,0)</f>
        <v>9</v>
      </c>
      <c r="L156" s="22" t="str">
        <f aca="false">VLOOKUP(H156,COLOR_EFFECTS,3,0)</f>
        <v>Standard</v>
      </c>
      <c r="M156" s="3" t="str">
        <f aca="false">E156&amp;" "&amp;K156</f>
        <v>Jupiter 9</v>
      </c>
      <c r="N156" s="22" t="str">
        <f aca="false">G156 &amp; H156</f>
        <v>♃9</v>
      </c>
      <c r="O156" s="24" t="str">
        <f aca="false">VLOOKUP(H156,COLOR_EFFECTS,4,0)</f>
        <v> </v>
      </c>
    </row>
    <row r="157" customFormat="false" ht="13.8" hidden="false" customHeight="false" outlineLevel="0" collapsed="false">
      <c r="A157" s="1" t="n">
        <v>1</v>
      </c>
      <c r="B157" s="2" t="s">
        <v>33</v>
      </c>
      <c r="C157" s="3" t="str">
        <f aca="false">VLOOKUP(B157,CARD_COLORS,5,0)</f>
        <v>#FF8800</v>
      </c>
      <c r="D157" s="22" t="str">
        <f aca="false">VLOOKUP(B157,CARD_COLORS,2,0)</f>
        <v>Orange</v>
      </c>
      <c r="E157" s="22" t="str">
        <f aca="false">VLOOKUP(B157,CARD_COLORS,3,0)</f>
        <v>Jupiter</v>
      </c>
      <c r="F157" s="23" t="str">
        <f aca="false">"Planets\" &amp; VLOOKUP(B157,CARD_COLORS,4,0) &amp; ".png"</f>
        <v>Planets\Jupiter.png</v>
      </c>
      <c r="G157" s="22" t="str">
        <f aca="false">VLOOKUP(B157,CARD_COLORS,6,0)</f>
        <v>♃</v>
      </c>
      <c r="H157" s="12" t="s">
        <v>20</v>
      </c>
      <c r="I157" s="22" t="str">
        <f aca="false">IFERROR(MID(H157,SEARCH("+",H157),2),IFERROR(MID(H157,SEARCH("-",H157),2),IF(ISNUMBER(H157),H157,"")))</f>
        <v>+2</v>
      </c>
      <c r="J157" s="14"/>
      <c r="K157" s="22" t="str">
        <f aca="false">VLOOKUP(H157,COLOR_EFFECTS,2,0)</f>
        <v>+2</v>
      </c>
      <c r="L157" s="22" t="str">
        <f aca="false">VLOOKUP(H157,COLOR_EFFECTS,3,0)</f>
        <v>Falle</v>
      </c>
      <c r="M157" s="3" t="str">
        <f aca="false">E157&amp;" "&amp;K157</f>
        <v>Jupiter +2</v>
      </c>
      <c r="N157" s="22" t="str">
        <f aca="false">G157 &amp; H157</f>
        <v>♃+2</v>
      </c>
      <c r="O157" s="24" t="str">
        <f aca="false">VLOOKUP(H157,COLOR_EFFECTS,4,0)</f>
        <v>Nächster Spieler muss 2 Karten aufnehmen</v>
      </c>
    </row>
    <row r="158" customFormat="false" ht="13.8" hidden="false" customHeight="false" outlineLevel="0" collapsed="false">
      <c r="A158" s="1" t="n">
        <v>1</v>
      </c>
      <c r="B158" s="2" t="s">
        <v>33</v>
      </c>
      <c r="C158" s="3" t="str">
        <f aca="false">VLOOKUP(B158,CARD_COLORS,5,0)</f>
        <v>#FF8800</v>
      </c>
      <c r="D158" s="22" t="str">
        <f aca="false">VLOOKUP(B158,CARD_COLORS,2,0)</f>
        <v>Orange</v>
      </c>
      <c r="E158" s="22" t="str">
        <f aca="false">VLOOKUP(B158,CARD_COLORS,3,0)</f>
        <v>Jupiter</v>
      </c>
      <c r="F158" s="23" t="str">
        <f aca="false">"Planets\" &amp; VLOOKUP(B158,CARD_COLORS,4,0) &amp; ".png"</f>
        <v>Planets\Jupiter.png</v>
      </c>
      <c r="G158" s="22" t="str">
        <f aca="false">VLOOKUP(B158,CARD_COLORS,6,0)</f>
        <v>♃</v>
      </c>
      <c r="H158" s="12" t="s">
        <v>40</v>
      </c>
      <c r="I158" s="22" t="str">
        <f aca="false">IFERROR(MID(H158,SEARCH("+",H158),2),IFERROR(MID(H158,SEARCH("-",H158),2),IF(ISNUMBER(H158),H158,"")))</f>
        <v>+3</v>
      </c>
      <c r="J158" s="14"/>
      <c r="K158" s="22" t="str">
        <f aca="false">VLOOKUP(H158,COLOR_EFFECTS,2,0)</f>
        <v>+3</v>
      </c>
      <c r="L158" s="22" t="str">
        <f aca="false">VLOOKUP(H158,COLOR_EFFECTS,3,0)</f>
        <v>Falle</v>
      </c>
      <c r="M158" s="3" t="str">
        <f aca="false">E158&amp;" "&amp;K158</f>
        <v>Jupiter +3</v>
      </c>
      <c r="N158" s="22" t="str">
        <f aca="false">G158 &amp; H158</f>
        <v>♃+3</v>
      </c>
      <c r="O158" s="24" t="str">
        <f aca="false">VLOOKUP(H158,COLOR_EFFECTS,4,0)</f>
        <v>Nächster Spieler muss 3 Karten aufnehmen</v>
      </c>
    </row>
    <row r="159" customFormat="false" ht="13.8" hidden="false" customHeight="false" outlineLevel="0" collapsed="false">
      <c r="A159" s="1" t="n">
        <v>1</v>
      </c>
      <c r="B159" s="2" t="s">
        <v>33</v>
      </c>
      <c r="C159" s="3" t="str">
        <f aca="false">VLOOKUP(B159,CARD_COLORS,5,0)</f>
        <v>#FF8800</v>
      </c>
      <c r="D159" s="22" t="str">
        <f aca="false">VLOOKUP(B159,CARD_COLORS,2,0)</f>
        <v>Orange</v>
      </c>
      <c r="E159" s="22" t="str">
        <f aca="false">VLOOKUP(B159,CARD_COLORS,3,0)</f>
        <v>Jupiter</v>
      </c>
      <c r="F159" s="23" t="str">
        <f aca="false">"Planets\" &amp; VLOOKUP(B159,CARD_COLORS,4,0) &amp; ".png"</f>
        <v>Planets\Jupiter.png</v>
      </c>
      <c r="G159" s="22" t="str">
        <f aca="false">VLOOKUP(B159,CARD_COLORS,6,0)</f>
        <v>♃</v>
      </c>
      <c r="H159" s="12" t="s">
        <v>22</v>
      </c>
      <c r="I159" s="22" t="str">
        <f aca="false">IFERROR(MID(H159,SEARCH("+",H159),2),IFERROR(MID(H159,SEARCH("-",H159),2),IF(ISNUMBER(H159),H159,"")))</f>
        <v/>
      </c>
      <c r="J159" s="14" t="s">
        <v>23</v>
      </c>
      <c r="K159" s="22" t="str">
        <f aca="false">VLOOKUP(H159,COLOR_EFFECTS,2,0)</f>
        <v>Umkehrung</v>
      </c>
      <c r="L159" s="22" t="str">
        <f aca="false">VLOOKUP(H159,COLOR_EFFECTS,3,0)</f>
        <v>Aktion</v>
      </c>
      <c r="M159" s="3" t="str">
        <f aca="false">E159&amp;" "&amp;K159</f>
        <v>Jupiter Umkehrung</v>
      </c>
      <c r="N159" s="22" t="str">
        <f aca="false">G159 &amp; H159</f>
        <v>♃🔄</v>
      </c>
      <c r="O159" s="24" t="str">
        <f aca="false">VLOOKUP(H159,COLOR_EFFECTS,4,0)</f>
        <v>Spielrichtung andersherum</v>
      </c>
    </row>
    <row r="160" customFormat="false" ht="13.8" hidden="false" customHeight="false" outlineLevel="0" collapsed="false">
      <c r="A160" s="1" t="n">
        <v>1</v>
      </c>
      <c r="B160" s="2" t="s">
        <v>33</v>
      </c>
      <c r="C160" s="3" t="str">
        <f aca="false">VLOOKUP(B160,CARD_COLORS,5,0)</f>
        <v>#FF8800</v>
      </c>
      <c r="D160" s="22" t="str">
        <f aca="false">VLOOKUP(B160,CARD_COLORS,2,0)</f>
        <v>Orange</v>
      </c>
      <c r="E160" s="22" t="str">
        <f aca="false">VLOOKUP(B160,CARD_COLORS,3,0)</f>
        <v>Jupiter</v>
      </c>
      <c r="F160" s="23" t="str">
        <f aca="false">"Planets\" &amp; VLOOKUP(B160,CARD_COLORS,4,0) &amp; ".png"</f>
        <v>Planets\Jupiter.png</v>
      </c>
      <c r="G160" s="22" t="str">
        <f aca="false">VLOOKUP(B160,CARD_COLORS,6,0)</f>
        <v>♃</v>
      </c>
      <c r="H160" s="12" t="s">
        <v>25</v>
      </c>
      <c r="I160" s="22" t="str">
        <f aca="false">IFERROR(MID(H160,SEARCH("+",H160),2),IFERROR(MID(H160,SEARCH("-",H160),2),IF(ISNUMBER(H160),H160,"")))</f>
        <v/>
      </c>
      <c r="J160" s="14" t="s">
        <v>26</v>
      </c>
      <c r="K160" s="22" t="str">
        <f aca="false">VLOOKUP(H160,COLOR_EFFECTS,2,0)</f>
        <v>Blockade</v>
      </c>
      <c r="L160" s="22" t="str">
        <f aca="false">VLOOKUP(H160,COLOR_EFFECTS,3,0)</f>
        <v>Aktion</v>
      </c>
      <c r="M160" s="3" t="str">
        <f aca="false">E160&amp;" "&amp;K160</f>
        <v>Jupiter Blockade</v>
      </c>
      <c r="N160" s="22" t="str">
        <f aca="false">G160 &amp; H160</f>
        <v>♃🚫</v>
      </c>
      <c r="O160" s="24" t="str">
        <f aca="false">VLOOKUP(H160,COLOR_EFFECTS,4,0)</f>
        <v>Nächster Spieler muss aussetzen</v>
      </c>
    </row>
    <row r="161" customFormat="false" ht="13.8" hidden="false" customHeight="false" outlineLevel="0" collapsed="false">
      <c r="A161" s="1" t="n">
        <v>1</v>
      </c>
      <c r="B161" s="2" t="s">
        <v>33</v>
      </c>
      <c r="C161" s="3" t="str">
        <f aca="false">VLOOKUP(B161,CARD_COLORS,5,0)</f>
        <v>#FF8800</v>
      </c>
      <c r="D161" s="22" t="str">
        <f aca="false">VLOOKUP(B161,CARD_COLORS,2,0)</f>
        <v>Orange</v>
      </c>
      <c r="E161" s="22" t="str">
        <f aca="false">VLOOKUP(B161,CARD_COLORS,3,0)</f>
        <v>Jupiter</v>
      </c>
      <c r="F161" s="23" t="str">
        <f aca="false">"Planets\" &amp; VLOOKUP(B161,CARD_COLORS,4,0) &amp; ".png"</f>
        <v>Planets\Jupiter.png</v>
      </c>
      <c r="G161" s="22" t="str">
        <f aca="false">VLOOKUP(B161,CARD_COLORS,6,0)</f>
        <v>♃</v>
      </c>
      <c r="H161" s="12" t="s">
        <v>28</v>
      </c>
      <c r="I161" s="22" t="str">
        <f aca="false">IFERROR(MID(H161,SEARCH("+",H161),2),IFERROR(MID(H161,SEARCH("-",H161),2),IF(ISNUMBER(H161),H161,"")))</f>
        <v/>
      </c>
      <c r="J161" s="14" t="s">
        <v>29</v>
      </c>
      <c r="K161" s="22" t="str">
        <f aca="false">VLOOKUP(H161,COLOR_EFFECTS,2,0)</f>
        <v>Wiederholung</v>
      </c>
      <c r="L161" s="22" t="str">
        <f aca="false">VLOOKUP(H161,COLOR_EFFECTS,3,0)</f>
        <v>Aktion</v>
      </c>
      <c r="M161" s="3" t="str">
        <f aca="false">E161&amp;" "&amp;K161</f>
        <v>Jupiter Wiederholung</v>
      </c>
      <c r="N161" s="22" t="str">
        <f aca="false">G161 &amp; H161</f>
        <v>♃🔂</v>
      </c>
      <c r="O161" s="24" t="str">
        <f aca="false">VLOOKUP(H161,COLOR_EFFECTS,4,0)</f>
        <v>Ein weiterer Zug</v>
      </c>
    </row>
    <row r="162" customFormat="false" ht="13.8" hidden="false" customHeight="false" outlineLevel="0" collapsed="false">
      <c r="A162" s="1" t="n">
        <v>1</v>
      </c>
      <c r="B162" s="2" t="s">
        <v>33</v>
      </c>
      <c r="C162" s="3" t="str">
        <f aca="false">VLOOKUP(B162,CARD_COLORS,5,0)</f>
        <v>#FF8800</v>
      </c>
      <c r="D162" s="22" t="str">
        <f aca="false">VLOOKUP(B162,CARD_COLORS,2,0)</f>
        <v>Orange</v>
      </c>
      <c r="E162" s="22" t="str">
        <f aca="false">VLOOKUP(B162,CARD_COLORS,3,0)</f>
        <v>Jupiter</v>
      </c>
      <c r="F162" s="23" t="str">
        <f aca="false">"Planets\" &amp; VLOOKUP(B162,CARD_COLORS,4,0) &amp; ".png"</f>
        <v>Planets\Jupiter.png</v>
      </c>
      <c r="G162" s="22" t="str">
        <f aca="false">VLOOKUP(B162,CARD_COLORS,6,0)</f>
        <v>♃</v>
      </c>
      <c r="H162" s="12" t="s">
        <v>31</v>
      </c>
      <c r="I162" s="22" t="str">
        <f aca="false">IFERROR(MID(H162,SEARCH("+",H162),2),IFERROR(MID(H162,SEARCH("-",H162),2),IF(ISNUMBER(H162),H162,"")))</f>
        <v/>
      </c>
      <c r="J162" s="14" t="s">
        <v>32</v>
      </c>
      <c r="K162" s="22" t="str">
        <f aca="false">VLOOKUP(H162,COLOR_EFFECTS,2,0)</f>
        <v>Eis</v>
      </c>
      <c r="L162" s="22" t="str">
        <f aca="false">VLOOKUP(H162,COLOR_EFFECTS,3,0)</f>
        <v>Aktion</v>
      </c>
      <c r="M162" s="3" t="str">
        <f aca="false">E162&amp;" "&amp;K162</f>
        <v>Jupiter Eis</v>
      </c>
      <c r="N162" s="22" t="str">
        <f aca="false">G162 &amp; H162</f>
        <v>♃❄️</v>
      </c>
      <c r="O162" s="24" t="str">
        <f aca="false">VLOOKUP(H162,COLOR_EFFECTS,4,0)</f>
        <v>Farbe muss für eine komplette Runde beibehalten werden</v>
      </c>
    </row>
    <row r="163" customFormat="false" ht="13.8" hidden="false" customHeight="false" outlineLevel="0" collapsed="false">
      <c r="A163" s="1" t="n">
        <v>1</v>
      </c>
      <c r="B163" s="2" t="s">
        <v>33</v>
      </c>
      <c r="C163" s="3" t="str">
        <f aca="false">VLOOKUP(B163,CARD_COLORS,5,0)</f>
        <v>#FF8800</v>
      </c>
      <c r="D163" s="22" t="str">
        <f aca="false">VLOOKUP(B163,CARD_COLORS,2,0)</f>
        <v>Orange</v>
      </c>
      <c r="E163" s="22" t="str">
        <f aca="false">VLOOKUP(B163,CARD_COLORS,3,0)</f>
        <v>Jupiter</v>
      </c>
      <c r="F163" s="23" t="str">
        <f aca="false">"Planets\" &amp; VLOOKUP(B163,CARD_COLORS,4,0) &amp; ".png"</f>
        <v>Planets\Jupiter.png</v>
      </c>
      <c r="G163" s="22" t="str">
        <f aca="false">VLOOKUP(B163,CARD_COLORS,6,0)</f>
        <v>♃</v>
      </c>
      <c r="H163" s="12" t="s">
        <v>34</v>
      </c>
      <c r="I163" s="22" t="str">
        <f aca="false">IFERROR(MID(H163,SEARCH("+",H163),2),IFERROR(MID(H163,SEARCH("-",H163),2),IF(ISNUMBER(H163),H163,"")))</f>
        <v/>
      </c>
      <c r="J163" s="14" t="s">
        <v>35</v>
      </c>
      <c r="K163" s="22" t="str">
        <f aca="false">VLOOKUP(H163,COLOR_EFFECTS,2,0)</f>
        <v>Feuer</v>
      </c>
      <c r="L163" s="22" t="str">
        <f aca="false">VLOOKUP(H163,COLOR_EFFECTS,3,0)</f>
        <v>Aktion</v>
      </c>
      <c r="M163" s="3" t="str">
        <f aca="false">E163&amp;" "&amp;K163</f>
        <v>Jupiter Feuer</v>
      </c>
      <c r="N163" s="22" t="str">
        <f aca="false">G163 &amp; H163</f>
        <v>♃🔥</v>
      </c>
      <c r="O163" s="24" t="str">
        <f aca="false">VLOOKUP(H163,COLOR_EFFECTS,4,0)</f>
        <v>Farbe darf bis zur nächsten Runde nicht gespielt werden</v>
      </c>
    </row>
    <row r="164" customFormat="false" ht="13.8" hidden="false" customHeight="false" outlineLevel="0" collapsed="false">
      <c r="A164" s="1" t="n">
        <v>1</v>
      </c>
      <c r="B164" s="2" t="s">
        <v>33</v>
      </c>
      <c r="C164" s="3" t="str">
        <f aca="false">VLOOKUP(B164,CARD_COLORS,5,0)</f>
        <v>#FF8800</v>
      </c>
      <c r="D164" s="22" t="str">
        <f aca="false">VLOOKUP(B164,CARD_COLORS,2,0)</f>
        <v>Orange</v>
      </c>
      <c r="E164" s="22" t="str">
        <f aca="false">VLOOKUP(B164,CARD_COLORS,3,0)</f>
        <v>Jupiter</v>
      </c>
      <c r="F164" s="23" t="str">
        <f aca="false">"Planets\" &amp; VLOOKUP(B164,CARD_COLORS,4,0) &amp; ".png"</f>
        <v>Planets\Jupiter.png</v>
      </c>
      <c r="G164" s="22" t="str">
        <f aca="false">VLOOKUP(B164,CARD_COLORS,6,0)</f>
        <v>♃</v>
      </c>
      <c r="H164" s="12" t="s">
        <v>37</v>
      </c>
      <c r="I164" s="22" t="str">
        <f aca="false">IFERROR(MID(H164,SEARCH("+",H164),2),IFERROR(MID(H164,SEARCH("-",H164),2),IF(ISNUMBER(H164),H164,"")))</f>
        <v/>
      </c>
      <c r="J164" s="14" t="s">
        <v>38</v>
      </c>
      <c r="K164" s="22" t="str">
        <f aca="false">VLOOKUP(H164,COLOR_EFFECTS,2,0)</f>
        <v>Fokus</v>
      </c>
      <c r="L164" s="22" t="str">
        <f aca="false">VLOOKUP(H164,COLOR_EFFECTS,3,0)</f>
        <v>Aktion</v>
      </c>
      <c r="M164" s="3" t="str">
        <f aca="false">E164&amp;" "&amp;K164</f>
        <v>Jupiter Fokus</v>
      </c>
      <c r="N164" s="22" t="str">
        <f aca="false">G164 &amp; H164</f>
        <v>♃🎯</v>
      </c>
      <c r="O164" s="24" t="str">
        <f aca="false">VLOOKUP(H164,COLOR_EFFECTS,4,0)</f>
        <v>Wähle den nächsten Spieler</v>
      </c>
    </row>
    <row r="165" customFormat="false" ht="13.8" hidden="false" customHeight="false" outlineLevel="0" collapsed="false">
      <c r="A165" s="1" t="n">
        <v>1</v>
      </c>
      <c r="B165" s="2" t="s">
        <v>36</v>
      </c>
      <c r="C165" s="3" t="str">
        <f aca="false">VLOOKUP(B165,CARD_COLORS,5,0)</f>
        <v>#440088</v>
      </c>
      <c r="D165" s="22" t="str">
        <f aca="false">VLOOKUP(B165,CARD_COLORS,2,0)</f>
        <v>Lila</v>
      </c>
      <c r="E165" s="22" t="str">
        <f aca="false">VLOOKUP(B165,CARD_COLORS,3,0)</f>
        <v>Merkur</v>
      </c>
      <c r="F165" s="23" t="str">
        <f aca="false">"Planets\" &amp; VLOOKUP(B165,CARD_COLORS,4,0) &amp; ".png"</f>
        <v>Planets\Mercury.png</v>
      </c>
      <c r="G165" s="22" t="str">
        <f aca="false">VLOOKUP(B165,CARD_COLORS,6,0)</f>
        <v>☿</v>
      </c>
      <c r="H165" s="12" t="n">
        <v>0</v>
      </c>
      <c r="I165" s="22" t="n">
        <f aca="false">IFERROR(MID(H165,SEARCH("+",H165),2),IFERROR(MID(H165,SEARCH("-",H165),2),IF(ISNUMBER(H165),H165,"")))</f>
        <v>0</v>
      </c>
      <c r="J165" s="14"/>
      <c r="K165" s="22" t="str">
        <f aca="false">VLOOKUP(H165,COLOR_EFFECTS,2,0)</f>
        <v>0</v>
      </c>
      <c r="L165" s="22" t="str">
        <f aca="false">VLOOKUP(H165,COLOR_EFFECTS,3,0)</f>
        <v>Standard</v>
      </c>
      <c r="M165" s="3" t="str">
        <f aca="false">E165&amp;" "&amp;K165</f>
        <v>Merkur 0</v>
      </c>
      <c r="N165" s="22" t="str">
        <f aca="false">G165 &amp; H165</f>
        <v>☿0</v>
      </c>
      <c r="O165" s="24" t="str">
        <f aca="false">VLOOKUP(H165,COLOR_EFFECTS,4,0)</f>
        <v> </v>
      </c>
    </row>
    <row r="166" customFormat="false" ht="13.8" hidden="false" customHeight="false" outlineLevel="0" collapsed="false">
      <c r="A166" s="1" t="n">
        <v>1</v>
      </c>
      <c r="B166" s="2" t="s">
        <v>36</v>
      </c>
      <c r="C166" s="3" t="str">
        <f aca="false">VLOOKUP(B166,CARD_COLORS,5,0)</f>
        <v>#440088</v>
      </c>
      <c r="D166" s="22" t="str">
        <f aca="false">VLOOKUP(B166,CARD_COLORS,2,0)</f>
        <v>Lila</v>
      </c>
      <c r="E166" s="22" t="str">
        <f aca="false">VLOOKUP(B166,CARD_COLORS,3,0)</f>
        <v>Merkur</v>
      </c>
      <c r="F166" s="23" t="str">
        <f aca="false">"Planets\" &amp; VLOOKUP(B166,CARD_COLORS,4,0) &amp; ".png"</f>
        <v>Planets\Mercury.png</v>
      </c>
      <c r="G166" s="22" t="str">
        <f aca="false">VLOOKUP(B166,CARD_COLORS,6,0)</f>
        <v>☿</v>
      </c>
      <c r="H166" s="12" t="n">
        <v>1</v>
      </c>
      <c r="I166" s="22" t="n">
        <f aca="false">IFERROR(MID(H166,SEARCH("+",H166),2),IFERROR(MID(H166,SEARCH("-",H166),2),IF(ISNUMBER(H166),H166,"")))</f>
        <v>1</v>
      </c>
      <c r="J166" s="14"/>
      <c r="K166" s="22" t="str">
        <f aca="false">VLOOKUP(H166,COLOR_EFFECTS,2,0)</f>
        <v>1</v>
      </c>
      <c r="L166" s="22" t="str">
        <f aca="false">VLOOKUP(H166,COLOR_EFFECTS,3,0)</f>
        <v>Standard</v>
      </c>
      <c r="M166" s="3" t="str">
        <f aca="false">E166&amp;" "&amp;K166</f>
        <v>Merkur 1</v>
      </c>
      <c r="N166" s="22" t="str">
        <f aca="false">G166 &amp; H166</f>
        <v>☿1</v>
      </c>
      <c r="O166" s="24" t="str">
        <f aca="false">VLOOKUP(H166,COLOR_EFFECTS,4,0)</f>
        <v> </v>
      </c>
    </row>
    <row r="167" customFormat="false" ht="13.8" hidden="false" customHeight="false" outlineLevel="0" collapsed="false">
      <c r="A167" s="1" t="n">
        <v>1</v>
      </c>
      <c r="B167" s="2" t="s">
        <v>36</v>
      </c>
      <c r="C167" s="3" t="str">
        <f aca="false">VLOOKUP(B167,CARD_COLORS,5,0)</f>
        <v>#440088</v>
      </c>
      <c r="D167" s="22" t="str">
        <f aca="false">VLOOKUP(B167,CARD_COLORS,2,0)</f>
        <v>Lila</v>
      </c>
      <c r="E167" s="22" t="str">
        <f aca="false">VLOOKUP(B167,CARD_COLORS,3,0)</f>
        <v>Merkur</v>
      </c>
      <c r="F167" s="23" t="str">
        <f aca="false">"Planets\" &amp; VLOOKUP(B167,CARD_COLORS,4,0) &amp; ".png"</f>
        <v>Planets\Mercury.png</v>
      </c>
      <c r="G167" s="22" t="str">
        <f aca="false">VLOOKUP(B167,CARD_COLORS,6,0)</f>
        <v>☿</v>
      </c>
      <c r="H167" s="12" t="n">
        <v>2</v>
      </c>
      <c r="I167" s="22" t="n">
        <f aca="false">IFERROR(MID(H167,SEARCH("+",H167),2),IFERROR(MID(H167,SEARCH("-",H167),2),IF(ISNUMBER(H167),H167,"")))</f>
        <v>2</v>
      </c>
      <c r="J167" s="14"/>
      <c r="K167" s="22" t="str">
        <f aca="false">VLOOKUP(H167,COLOR_EFFECTS,2,0)</f>
        <v>2</v>
      </c>
      <c r="L167" s="22" t="str">
        <f aca="false">VLOOKUP(H167,COLOR_EFFECTS,3,0)</f>
        <v>Standard</v>
      </c>
      <c r="M167" s="3" t="str">
        <f aca="false">E167&amp;" "&amp;K167</f>
        <v>Merkur 2</v>
      </c>
      <c r="N167" s="22" t="str">
        <f aca="false">G167 &amp; H167</f>
        <v>☿2</v>
      </c>
      <c r="O167" s="24" t="str">
        <f aca="false">VLOOKUP(H167,COLOR_EFFECTS,4,0)</f>
        <v> </v>
      </c>
    </row>
    <row r="168" customFormat="false" ht="13.8" hidden="false" customHeight="false" outlineLevel="0" collapsed="false">
      <c r="A168" s="1" t="n">
        <v>1</v>
      </c>
      <c r="B168" s="2" t="s">
        <v>36</v>
      </c>
      <c r="C168" s="3" t="str">
        <f aca="false">VLOOKUP(B168,CARD_COLORS,5,0)</f>
        <v>#440088</v>
      </c>
      <c r="D168" s="22" t="str">
        <f aca="false">VLOOKUP(B168,CARD_COLORS,2,0)</f>
        <v>Lila</v>
      </c>
      <c r="E168" s="22" t="str">
        <f aca="false">VLOOKUP(B168,CARD_COLORS,3,0)</f>
        <v>Merkur</v>
      </c>
      <c r="F168" s="23" t="str">
        <f aca="false">"Planets\" &amp; VLOOKUP(B168,CARD_COLORS,4,0) &amp; ".png"</f>
        <v>Planets\Mercury.png</v>
      </c>
      <c r="G168" s="22" t="str">
        <f aca="false">VLOOKUP(B168,CARD_COLORS,6,0)</f>
        <v>☿</v>
      </c>
      <c r="H168" s="12" t="n">
        <v>3</v>
      </c>
      <c r="I168" s="22" t="n">
        <f aca="false">IFERROR(MID(H168,SEARCH("+",H168),2),IFERROR(MID(H168,SEARCH("-",H168),2),IF(ISNUMBER(H168),H168,"")))</f>
        <v>3</v>
      </c>
      <c r="J168" s="14"/>
      <c r="K168" s="22" t="str">
        <f aca="false">VLOOKUP(H168,COLOR_EFFECTS,2,0)</f>
        <v>3</v>
      </c>
      <c r="L168" s="22" t="str">
        <f aca="false">VLOOKUP(H168,COLOR_EFFECTS,3,0)</f>
        <v>Standard</v>
      </c>
      <c r="M168" s="3" t="str">
        <f aca="false">E168&amp;" "&amp;K168</f>
        <v>Merkur 3</v>
      </c>
      <c r="N168" s="22" t="str">
        <f aca="false">G168 &amp; H168</f>
        <v>☿3</v>
      </c>
      <c r="O168" s="24" t="str">
        <f aca="false">VLOOKUP(H168,COLOR_EFFECTS,4,0)</f>
        <v> </v>
      </c>
    </row>
    <row r="169" customFormat="false" ht="13.8" hidden="false" customHeight="false" outlineLevel="0" collapsed="false">
      <c r="A169" s="1" t="n">
        <v>1</v>
      </c>
      <c r="B169" s="2" t="s">
        <v>36</v>
      </c>
      <c r="C169" s="3" t="str">
        <f aca="false">VLOOKUP(B169,CARD_COLORS,5,0)</f>
        <v>#440088</v>
      </c>
      <c r="D169" s="22" t="str">
        <f aca="false">VLOOKUP(B169,CARD_COLORS,2,0)</f>
        <v>Lila</v>
      </c>
      <c r="E169" s="22" t="str">
        <f aca="false">VLOOKUP(B169,CARD_COLORS,3,0)</f>
        <v>Merkur</v>
      </c>
      <c r="F169" s="23" t="str">
        <f aca="false">"Planets\" &amp; VLOOKUP(B169,CARD_COLORS,4,0) &amp; ".png"</f>
        <v>Planets\Mercury.png</v>
      </c>
      <c r="G169" s="22" t="str">
        <f aca="false">VLOOKUP(B169,CARD_COLORS,6,0)</f>
        <v>☿</v>
      </c>
      <c r="H169" s="12" t="n">
        <v>4</v>
      </c>
      <c r="I169" s="22" t="n">
        <f aca="false">IFERROR(MID(H169,SEARCH("+",H169),2),IFERROR(MID(H169,SEARCH("-",H169),2),IF(ISNUMBER(H169),H169,"")))</f>
        <v>4</v>
      </c>
      <c r="J169" s="14"/>
      <c r="K169" s="22" t="str">
        <f aca="false">VLOOKUP(H169,COLOR_EFFECTS,2,0)</f>
        <v>4</v>
      </c>
      <c r="L169" s="22" t="str">
        <f aca="false">VLOOKUP(H169,COLOR_EFFECTS,3,0)</f>
        <v>Standard</v>
      </c>
      <c r="M169" s="3" t="str">
        <f aca="false">E169&amp;" "&amp;K169</f>
        <v>Merkur 4</v>
      </c>
      <c r="N169" s="22" t="str">
        <f aca="false">G169 &amp; H169</f>
        <v>☿4</v>
      </c>
      <c r="O169" s="24" t="str">
        <f aca="false">VLOOKUP(H169,COLOR_EFFECTS,4,0)</f>
        <v> </v>
      </c>
    </row>
    <row r="170" customFormat="false" ht="13.8" hidden="false" customHeight="false" outlineLevel="0" collapsed="false">
      <c r="A170" s="1" t="n">
        <v>1</v>
      </c>
      <c r="B170" s="2" t="s">
        <v>36</v>
      </c>
      <c r="C170" s="3" t="str">
        <f aca="false">VLOOKUP(B170,CARD_COLORS,5,0)</f>
        <v>#440088</v>
      </c>
      <c r="D170" s="22" t="str">
        <f aca="false">VLOOKUP(B170,CARD_COLORS,2,0)</f>
        <v>Lila</v>
      </c>
      <c r="E170" s="22" t="str">
        <f aca="false">VLOOKUP(B170,CARD_COLORS,3,0)</f>
        <v>Merkur</v>
      </c>
      <c r="F170" s="23" t="str">
        <f aca="false">"Planets\" &amp; VLOOKUP(B170,CARD_COLORS,4,0) &amp; ".png"</f>
        <v>Planets\Mercury.png</v>
      </c>
      <c r="G170" s="22" t="str">
        <f aca="false">VLOOKUP(B170,CARD_COLORS,6,0)</f>
        <v>☿</v>
      </c>
      <c r="H170" s="12" t="n">
        <v>5</v>
      </c>
      <c r="I170" s="22" t="n">
        <f aca="false">IFERROR(MID(H170,SEARCH("+",H170),2),IFERROR(MID(H170,SEARCH("-",H170),2),IF(ISNUMBER(H170),H170,"")))</f>
        <v>5</v>
      </c>
      <c r="J170" s="14"/>
      <c r="K170" s="22" t="str">
        <f aca="false">VLOOKUP(H170,COLOR_EFFECTS,2,0)</f>
        <v>5</v>
      </c>
      <c r="L170" s="22" t="str">
        <f aca="false">VLOOKUP(H170,COLOR_EFFECTS,3,0)</f>
        <v>Standard</v>
      </c>
      <c r="M170" s="3" t="str">
        <f aca="false">E170&amp;" "&amp;K170</f>
        <v>Merkur 5</v>
      </c>
      <c r="N170" s="22" t="str">
        <f aca="false">G170 &amp; H170</f>
        <v>☿5</v>
      </c>
      <c r="O170" s="24" t="str">
        <f aca="false">VLOOKUP(H170,COLOR_EFFECTS,4,0)</f>
        <v> </v>
      </c>
    </row>
    <row r="171" customFormat="false" ht="13.8" hidden="false" customHeight="false" outlineLevel="0" collapsed="false">
      <c r="A171" s="1" t="n">
        <v>1</v>
      </c>
      <c r="B171" s="2" t="s">
        <v>36</v>
      </c>
      <c r="C171" s="3" t="str">
        <f aca="false">VLOOKUP(B171,CARD_COLORS,5,0)</f>
        <v>#440088</v>
      </c>
      <c r="D171" s="22" t="str">
        <f aca="false">VLOOKUP(B171,CARD_COLORS,2,0)</f>
        <v>Lila</v>
      </c>
      <c r="E171" s="22" t="str">
        <f aca="false">VLOOKUP(B171,CARD_COLORS,3,0)</f>
        <v>Merkur</v>
      </c>
      <c r="F171" s="23" t="str">
        <f aca="false">"Planets\" &amp; VLOOKUP(B171,CARD_COLORS,4,0) &amp; ".png"</f>
        <v>Planets\Mercury.png</v>
      </c>
      <c r="G171" s="22" t="str">
        <f aca="false">VLOOKUP(B171,CARD_COLORS,6,0)</f>
        <v>☿</v>
      </c>
      <c r="H171" s="12" t="n">
        <v>6</v>
      </c>
      <c r="I171" s="22" t="n">
        <f aca="false">IFERROR(MID(H171,SEARCH("+",H171),2),IFERROR(MID(H171,SEARCH("-",H171),2),IF(ISNUMBER(H171),H171,"")))</f>
        <v>6</v>
      </c>
      <c r="J171" s="14"/>
      <c r="K171" s="22" t="str">
        <f aca="false">VLOOKUP(H171,COLOR_EFFECTS,2,0)</f>
        <v>6</v>
      </c>
      <c r="L171" s="22" t="str">
        <f aca="false">VLOOKUP(H171,COLOR_EFFECTS,3,0)</f>
        <v>Standard</v>
      </c>
      <c r="M171" s="3" t="str">
        <f aca="false">E171&amp;" "&amp;K171</f>
        <v>Merkur 6</v>
      </c>
      <c r="N171" s="22" t="str">
        <f aca="false">G171 &amp; H171</f>
        <v>☿6</v>
      </c>
      <c r="O171" s="24" t="str">
        <f aca="false">VLOOKUP(H171,COLOR_EFFECTS,4,0)</f>
        <v> </v>
      </c>
    </row>
    <row r="172" customFormat="false" ht="13.8" hidden="false" customHeight="false" outlineLevel="0" collapsed="false">
      <c r="A172" s="1" t="n">
        <v>1</v>
      </c>
      <c r="B172" s="2" t="s">
        <v>36</v>
      </c>
      <c r="C172" s="3" t="str">
        <f aca="false">VLOOKUP(B172,CARD_COLORS,5,0)</f>
        <v>#440088</v>
      </c>
      <c r="D172" s="22" t="str">
        <f aca="false">VLOOKUP(B172,CARD_COLORS,2,0)</f>
        <v>Lila</v>
      </c>
      <c r="E172" s="22" t="str">
        <f aca="false">VLOOKUP(B172,CARD_COLORS,3,0)</f>
        <v>Merkur</v>
      </c>
      <c r="F172" s="23" t="str">
        <f aca="false">"Planets\" &amp; VLOOKUP(B172,CARD_COLORS,4,0) &amp; ".png"</f>
        <v>Planets\Mercury.png</v>
      </c>
      <c r="G172" s="22" t="str">
        <f aca="false">VLOOKUP(B172,CARD_COLORS,6,0)</f>
        <v>☿</v>
      </c>
      <c r="H172" s="12" t="n">
        <v>7</v>
      </c>
      <c r="I172" s="22" t="n">
        <f aca="false">IFERROR(MID(H172,SEARCH("+",H172),2),IFERROR(MID(H172,SEARCH("-",H172),2),IF(ISNUMBER(H172),H172,"")))</f>
        <v>7</v>
      </c>
      <c r="J172" s="14"/>
      <c r="K172" s="22" t="str">
        <f aca="false">VLOOKUP(H172,COLOR_EFFECTS,2,0)</f>
        <v>7</v>
      </c>
      <c r="L172" s="22" t="str">
        <f aca="false">VLOOKUP(H172,COLOR_EFFECTS,3,0)</f>
        <v>Standard</v>
      </c>
      <c r="M172" s="3" t="str">
        <f aca="false">E172&amp;" "&amp;K172</f>
        <v>Merkur 7</v>
      </c>
      <c r="N172" s="22" t="str">
        <f aca="false">G172 &amp; H172</f>
        <v>☿7</v>
      </c>
      <c r="O172" s="24" t="str">
        <f aca="false">VLOOKUP(H172,COLOR_EFFECTS,4,0)</f>
        <v> </v>
      </c>
    </row>
    <row r="173" customFormat="false" ht="13.8" hidden="false" customHeight="false" outlineLevel="0" collapsed="false">
      <c r="A173" s="1" t="n">
        <v>1</v>
      </c>
      <c r="B173" s="2" t="s">
        <v>36</v>
      </c>
      <c r="C173" s="3" t="str">
        <f aca="false">VLOOKUP(B173,CARD_COLORS,5,0)</f>
        <v>#440088</v>
      </c>
      <c r="D173" s="22" t="str">
        <f aca="false">VLOOKUP(B173,CARD_COLORS,2,0)</f>
        <v>Lila</v>
      </c>
      <c r="E173" s="22" t="str">
        <f aca="false">VLOOKUP(B173,CARD_COLORS,3,0)</f>
        <v>Merkur</v>
      </c>
      <c r="F173" s="23" t="str">
        <f aca="false">"Planets\" &amp; VLOOKUP(B173,CARD_COLORS,4,0) &amp; ".png"</f>
        <v>Planets\Mercury.png</v>
      </c>
      <c r="G173" s="22" t="str">
        <f aca="false">VLOOKUP(B173,CARD_COLORS,6,0)</f>
        <v>☿</v>
      </c>
      <c r="H173" s="12" t="n">
        <v>8</v>
      </c>
      <c r="I173" s="22" t="n">
        <f aca="false">IFERROR(MID(H173,SEARCH("+",H173),2),IFERROR(MID(H173,SEARCH("-",H173),2),IF(ISNUMBER(H173),H173,"")))</f>
        <v>8</v>
      </c>
      <c r="J173" s="14"/>
      <c r="K173" s="22" t="str">
        <f aca="false">VLOOKUP(H173,COLOR_EFFECTS,2,0)</f>
        <v>8</v>
      </c>
      <c r="L173" s="22" t="str">
        <f aca="false">VLOOKUP(H173,COLOR_EFFECTS,3,0)</f>
        <v>Standard</v>
      </c>
      <c r="M173" s="3" t="str">
        <f aca="false">E173&amp;" "&amp;K173</f>
        <v>Merkur 8</v>
      </c>
      <c r="N173" s="22" t="str">
        <f aca="false">G173 &amp; H173</f>
        <v>☿8</v>
      </c>
      <c r="O173" s="24" t="str">
        <f aca="false">VLOOKUP(H173,COLOR_EFFECTS,4,0)</f>
        <v> </v>
      </c>
    </row>
    <row r="174" customFormat="false" ht="13.8" hidden="false" customHeight="false" outlineLevel="0" collapsed="false">
      <c r="A174" s="1" t="n">
        <v>1</v>
      </c>
      <c r="B174" s="2" t="s">
        <v>36</v>
      </c>
      <c r="C174" s="3" t="str">
        <f aca="false">VLOOKUP(B174,CARD_COLORS,5,0)</f>
        <v>#440088</v>
      </c>
      <c r="D174" s="22" t="str">
        <f aca="false">VLOOKUP(B174,CARD_COLORS,2,0)</f>
        <v>Lila</v>
      </c>
      <c r="E174" s="22" t="str">
        <f aca="false">VLOOKUP(B174,CARD_COLORS,3,0)</f>
        <v>Merkur</v>
      </c>
      <c r="F174" s="23" t="str">
        <f aca="false">"Planets\" &amp; VLOOKUP(B174,CARD_COLORS,4,0) &amp; ".png"</f>
        <v>Planets\Mercury.png</v>
      </c>
      <c r="G174" s="22" t="str">
        <f aca="false">VLOOKUP(B174,CARD_COLORS,6,0)</f>
        <v>☿</v>
      </c>
      <c r="H174" s="12" t="n">
        <v>9</v>
      </c>
      <c r="I174" s="22" t="n">
        <f aca="false">IFERROR(MID(H174,SEARCH("+",H174),2),IFERROR(MID(H174,SEARCH("-",H174),2),IF(ISNUMBER(H174),H174,"")))</f>
        <v>9</v>
      </c>
      <c r="J174" s="14"/>
      <c r="K174" s="22" t="str">
        <f aca="false">VLOOKUP(H174,COLOR_EFFECTS,2,0)</f>
        <v>9</v>
      </c>
      <c r="L174" s="22" t="str">
        <f aca="false">VLOOKUP(H174,COLOR_EFFECTS,3,0)</f>
        <v>Standard</v>
      </c>
      <c r="M174" s="3" t="str">
        <f aca="false">E174&amp;" "&amp;K174</f>
        <v>Merkur 9</v>
      </c>
      <c r="N174" s="22" t="str">
        <f aca="false">G174 &amp; H174</f>
        <v>☿9</v>
      </c>
      <c r="O174" s="24" t="str">
        <f aca="false">VLOOKUP(H174,COLOR_EFFECTS,4,0)</f>
        <v> </v>
      </c>
    </row>
    <row r="175" customFormat="false" ht="13.8" hidden="false" customHeight="false" outlineLevel="0" collapsed="false">
      <c r="A175" s="1" t="n">
        <v>1</v>
      </c>
      <c r="B175" s="2" t="s">
        <v>36</v>
      </c>
      <c r="C175" s="3" t="str">
        <f aca="false">VLOOKUP(B175,CARD_COLORS,5,0)</f>
        <v>#440088</v>
      </c>
      <c r="D175" s="22" t="str">
        <f aca="false">VLOOKUP(B175,CARD_COLORS,2,0)</f>
        <v>Lila</v>
      </c>
      <c r="E175" s="22" t="str">
        <f aca="false">VLOOKUP(B175,CARD_COLORS,3,0)</f>
        <v>Merkur</v>
      </c>
      <c r="F175" s="23" t="str">
        <f aca="false">"Planets\" &amp; VLOOKUP(B175,CARD_COLORS,4,0) &amp; ".png"</f>
        <v>Planets\Mercury.png</v>
      </c>
      <c r="G175" s="22" t="str">
        <f aca="false">VLOOKUP(B175,CARD_COLORS,6,0)</f>
        <v>☿</v>
      </c>
      <c r="H175" s="12" t="s">
        <v>20</v>
      </c>
      <c r="I175" s="22" t="str">
        <f aca="false">IFERROR(MID(H175,SEARCH("+",H175),2),IFERROR(MID(H175,SEARCH("-",H175),2),IF(ISNUMBER(H175),H175,"")))</f>
        <v>+2</v>
      </c>
      <c r="J175" s="14"/>
      <c r="K175" s="22" t="str">
        <f aca="false">VLOOKUP(H175,COLOR_EFFECTS,2,0)</f>
        <v>+2</v>
      </c>
      <c r="L175" s="22" t="str">
        <f aca="false">VLOOKUP(H175,COLOR_EFFECTS,3,0)</f>
        <v>Falle</v>
      </c>
      <c r="M175" s="3" t="str">
        <f aca="false">E175&amp;" "&amp;K175</f>
        <v>Merkur +2</v>
      </c>
      <c r="N175" s="22" t="str">
        <f aca="false">G175 &amp; H175</f>
        <v>☿+2</v>
      </c>
      <c r="O175" s="24" t="str">
        <f aca="false">VLOOKUP(H175,COLOR_EFFECTS,4,0)</f>
        <v>Nächster Spieler muss 2 Karten aufnehmen</v>
      </c>
    </row>
    <row r="176" customFormat="false" ht="13.8" hidden="false" customHeight="false" outlineLevel="0" collapsed="false">
      <c r="A176" s="1" t="n">
        <v>1</v>
      </c>
      <c r="B176" s="2" t="s">
        <v>36</v>
      </c>
      <c r="C176" s="3" t="str">
        <f aca="false">VLOOKUP(B176,CARD_COLORS,5,0)</f>
        <v>#440088</v>
      </c>
      <c r="D176" s="22" t="str">
        <f aca="false">VLOOKUP(B176,CARD_COLORS,2,0)</f>
        <v>Lila</v>
      </c>
      <c r="E176" s="22" t="str">
        <f aca="false">VLOOKUP(B176,CARD_COLORS,3,0)</f>
        <v>Merkur</v>
      </c>
      <c r="F176" s="23" t="str">
        <f aca="false">"Planets\" &amp; VLOOKUP(B176,CARD_COLORS,4,0) &amp; ".png"</f>
        <v>Planets\Mercury.png</v>
      </c>
      <c r="G176" s="22" t="str">
        <f aca="false">VLOOKUP(B176,CARD_COLORS,6,0)</f>
        <v>☿</v>
      </c>
      <c r="H176" s="12" t="s">
        <v>40</v>
      </c>
      <c r="I176" s="22" t="str">
        <f aca="false">IFERROR(MID(H176,SEARCH("+",H176),2),IFERROR(MID(H176,SEARCH("-",H176),2),IF(ISNUMBER(H176),H176,"")))</f>
        <v>+3</v>
      </c>
      <c r="J176" s="14"/>
      <c r="K176" s="22" t="str">
        <f aca="false">VLOOKUP(H176,COLOR_EFFECTS,2,0)</f>
        <v>+3</v>
      </c>
      <c r="L176" s="22" t="str">
        <f aca="false">VLOOKUP(H176,COLOR_EFFECTS,3,0)</f>
        <v>Falle</v>
      </c>
      <c r="M176" s="3" t="str">
        <f aca="false">E176&amp;" "&amp;K176</f>
        <v>Merkur +3</v>
      </c>
      <c r="N176" s="22" t="str">
        <f aca="false">G176 &amp; H176</f>
        <v>☿+3</v>
      </c>
      <c r="O176" s="24" t="str">
        <f aca="false">VLOOKUP(H176,COLOR_EFFECTS,4,0)</f>
        <v>Nächster Spieler muss 3 Karten aufnehmen</v>
      </c>
    </row>
    <row r="177" customFormat="false" ht="13.8" hidden="false" customHeight="false" outlineLevel="0" collapsed="false">
      <c r="A177" s="1" t="n">
        <v>1</v>
      </c>
      <c r="B177" s="2" t="s">
        <v>36</v>
      </c>
      <c r="C177" s="3" t="str">
        <f aca="false">VLOOKUP(B177,CARD_COLORS,5,0)</f>
        <v>#440088</v>
      </c>
      <c r="D177" s="22" t="str">
        <f aca="false">VLOOKUP(B177,CARD_COLORS,2,0)</f>
        <v>Lila</v>
      </c>
      <c r="E177" s="22" t="str">
        <f aca="false">VLOOKUP(B177,CARD_COLORS,3,0)</f>
        <v>Merkur</v>
      </c>
      <c r="F177" s="23" t="str">
        <f aca="false">"Planets\" &amp; VLOOKUP(B177,CARD_COLORS,4,0) &amp; ".png"</f>
        <v>Planets\Mercury.png</v>
      </c>
      <c r="G177" s="22" t="str">
        <f aca="false">VLOOKUP(B177,CARD_COLORS,6,0)</f>
        <v>☿</v>
      </c>
      <c r="H177" s="12" t="s">
        <v>22</v>
      </c>
      <c r="I177" s="22" t="str">
        <f aca="false">IFERROR(MID(H177,SEARCH("+",H177),2),IFERROR(MID(H177,SEARCH("-",H177),2),IF(ISNUMBER(H177),H177,"")))</f>
        <v/>
      </c>
      <c r="J177" s="14" t="s">
        <v>23</v>
      </c>
      <c r="K177" s="22" t="str">
        <f aca="false">VLOOKUP(H177,COLOR_EFFECTS,2,0)</f>
        <v>Umkehrung</v>
      </c>
      <c r="L177" s="22" t="str">
        <f aca="false">VLOOKUP(H177,COLOR_EFFECTS,3,0)</f>
        <v>Aktion</v>
      </c>
      <c r="M177" s="3" t="str">
        <f aca="false">E177&amp;" "&amp;K177</f>
        <v>Merkur Umkehrung</v>
      </c>
      <c r="N177" s="22" t="str">
        <f aca="false">G177 &amp; H177</f>
        <v>☿🔄</v>
      </c>
      <c r="O177" s="24" t="str">
        <f aca="false">VLOOKUP(H177,COLOR_EFFECTS,4,0)</f>
        <v>Spielrichtung andersherum</v>
      </c>
    </row>
    <row r="178" customFormat="false" ht="13.8" hidden="false" customHeight="false" outlineLevel="0" collapsed="false">
      <c r="A178" s="1" t="n">
        <v>1</v>
      </c>
      <c r="B178" s="2" t="s">
        <v>36</v>
      </c>
      <c r="C178" s="3" t="str">
        <f aca="false">VLOOKUP(B178,CARD_COLORS,5,0)</f>
        <v>#440088</v>
      </c>
      <c r="D178" s="22" t="str">
        <f aca="false">VLOOKUP(B178,CARD_COLORS,2,0)</f>
        <v>Lila</v>
      </c>
      <c r="E178" s="22" t="str">
        <f aca="false">VLOOKUP(B178,CARD_COLORS,3,0)</f>
        <v>Merkur</v>
      </c>
      <c r="F178" s="23" t="str">
        <f aca="false">"Planets\" &amp; VLOOKUP(B178,CARD_COLORS,4,0) &amp; ".png"</f>
        <v>Planets\Mercury.png</v>
      </c>
      <c r="G178" s="22" t="str">
        <f aca="false">VLOOKUP(B178,CARD_COLORS,6,0)</f>
        <v>☿</v>
      </c>
      <c r="H178" s="12" t="s">
        <v>25</v>
      </c>
      <c r="I178" s="22" t="str">
        <f aca="false">IFERROR(MID(H178,SEARCH("+",H178),2),IFERROR(MID(H178,SEARCH("-",H178),2),IF(ISNUMBER(H178),H178,"")))</f>
        <v/>
      </c>
      <c r="J178" s="14" t="s">
        <v>26</v>
      </c>
      <c r="K178" s="22" t="str">
        <f aca="false">VLOOKUP(H178,COLOR_EFFECTS,2,0)</f>
        <v>Blockade</v>
      </c>
      <c r="L178" s="22" t="str">
        <f aca="false">VLOOKUP(H178,COLOR_EFFECTS,3,0)</f>
        <v>Aktion</v>
      </c>
      <c r="M178" s="3" t="str">
        <f aca="false">E178&amp;" "&amp;K178</f>
        <v>Merkur Blockade</v>
      </c>
      <c r="N178" s="22" t="str">
        <f aca="false">G178 &amp; H178</f>
        <v>☿🚫</v>
      </c>
      <c r="O178" s="24" t="str">
        <f aca="false">VLOOKUP(H178,COLOR_EFFECTS,4,0)</f>
        <v>Nächster Spieler muss aussetzen</v>
      </c>
    </row>
    <row r="179" customFormat="false" ht="13.8" hidden="false" customHeight="false" outlineLevel="0" collapsed="false">
      <c r="A179" s="1" t="n">
        <v>1</v>
      </c>
      <c r="B179" s="2" t="s">
        <v>36</v>
      </c>
      <c r="C179" s="3" t="str">
        <f aca="false">VLOOKUP(B179,CARD_COLORS,5,0)</f>
        <v>#440088</v>
      </c>
      <c r="D179" s="22" t="str">
        <f aca="false">VLOOKUP(B179,CARD_COLORS,2,0)</f>
        <v>Lila</v>
      </c>
      <c r="E179" s="22" t="str">
        <f aca="false">VLOOKUP(B179,CARD_COLORS,3,0)</f>
        <v>Merkur</v>
      </c>
      <c r="F179" s="23" t="str">
        <f aca="false">"Planets\" &amp; VLOOKUP(B179,CARD_COLORS,4,0) &amp; ".png"</f>
        <v>Planets\Mercury.png</v>
      </c>
      <c r="G179" s="22" t="str">
        <f aca="false">VLOOKUP(B179,CARD_COLORS,6,0)</f>
        <v>☿</v>
      </c>
      <c r="H179" s="12" t="s">
        <v>28</v>
      </c>
      <c r="I179" s="22" t="str">
        <f aca="false">IFERROR(MID(H179,SEARCH("+",H179),2),IFERROR(MID(H179,SEARCH("-",H179),2),IF(ISNUMBER(H179),H179,"")))</f>
        <v/>
      </c>
      <c r="J179" s="14" t="s">
        <v>29</v>
      </c>
      <c r="K179" s="22" t="str">
        <f aca="false">VLOOKUP(H179,COLOR_EFFECTS,2,0)</f>
        <v>Wiederholung</v>
      </c>
      <c r="L179" s="22" t="str">
        <f aca="false">VLOOKUP(H179,COLOR_EFFECTS,3,0)</f>
        <v>Aktion</v>
      </c>
      <c r="M179" s="3" t="str">
        <f aca="false">E179&amp;" "&amp;K179</f>
        <v>Merkur Wiederholung</v>
      </c>
      <c r="N179" s="22" t="str">
        <f aca="false">G179 &amp; H179</f>
        <v>☿🔂</v>
      </c>
      <c r="O179" s="24" t="str">
        <f aca="false">VLOOKUP(H179,COLOR_EFFECTS,4,0)</f>
        <v>Ein weiterer Zug</v>
      </c>
    </row>
    <row r="180" customFormat="false" ht="13.8" hidden="false" customHeight="false" outlineLevel="0" collapsed="false">
      <c r="A180" s="1" t="n">
        <v>1</v>
      </c>
      <c r="B180" s="2" t="s">
        <v>36</v>
      </c>
      <c r="C180" s="3" t="str">
        <f aca="false">VLOOKUP(B180,CARD_COLORS,5,0)</f>
        <v>#440088</v>
      </c>
      <c r="D180" s="22" t="str">
        <f aca="false">VLOOKUP(B180,CARD_COLORS,2,0)</f>
        <v>Lila</v>
      </c>
      <c r="E180" s="22" t="str">
        <f aca="false">VLOOKUP(B180,CARD_COLORS,3,0)</f>
        <v>Merkur</v>
      </c>
      <c r="F180" s="23" t="str">
        <f aca="false">"Planets\" &amp; VLOOKUP(B180,CARD_COLORS,4,0) &amp; ".png"</f>
        <v>Planets\Mercury.png</v>
      </c>
      <c r="G180" s="22" t="str">
        <f aca="false">VLOOKUP(B180,CARD_COLORS,6,0)</f>
        <v>☿</v>
      </c>
      <c r="H180" s="12" t="s">
        <v>31</v>
      </c>
      <c r="I180" s="22" t="str">
        <f aca="false">IFERROR(MID(H180,SEARCH("+",H180),2),IFERROR(MID(H180,SEARCH("-",H180),2),IF(ISNUMBER(H180),H180,"")))</f>
        <v/>
      </c>
      <c r="J180" s="14" t="s">
        <v>32</v>
      </c>
      <c r="K180" s="22" t="str">
        <f aca="false">VLOOKUP(H180,COLOR_EFFECTS,2,0)</f>
        <v>Eis</v>
      </c>
      <c r="L180" s="22" t="str">
        <f aca="false">VLOOKUP(H180,COLOR_EFFECTS,3,0)</f>
        <v>Aktion</v>
      </c>
      <c r="M180" s="3" t="str">
        <f aca="false">E180&amp;" "&amp;K180</f>
        <v>Merkur Eis</v>
      </c>
      <c r="N180" s="22" t="str">
        <f aca="false">G180 &amp; H180</f>
        <v>☿❄️</v>
      </c>
      <c r="O180" s="24" t="str">
        <f aca="false">VLOOKUP(H180,COLOR_EFFECTS,4,0)</f>
        <v>Farbe muss für eine komplette Runde beibehalten werden</v>
      </c>
    </row>
    <row r="181" customFormat="false" ht="13.8" hidden="false" customHeight="false" outlineLevel="0" collapsed="false">
      <c r="A181" s="1" t="n">
        <v>1</v>
      </c>
      <c r="B181" s="2" t="s">
        <v>36</v>
      </c>
      <c r="C181" s="3" t="str">
        <f aca="false">VLOOKUP(B181,CARD_COLORS,5,0)</f>
        <v>#440088</v>
      </c>
      <c r="D181" s="22" t="str">
        <f aca="false">VLOOKUP(B181,CARD_COLORS,2,0)</f>
        <v>Lila</v>
      </c>
      <c r="E181" s="22" t="str">
        <f aca="false">VLOOKUP(B181,CARD_COLORS,3,0)</f>
        <v>Merkur</v>
      </c>
      <c r="F181" s="23" t="str">
        <f aca="false">"Planets\" &amp; VLOOKUP(B181,CARD_COLORS,4,0) &amp; ".png"</f>
        <v>Planets\Mercury.png</v>
      </c>
      <c r="G181" s="22" t="str">
        <f aca="false">VLOOKUP(B181,CARD_COLORS,6,0)</f>
        <v>☿</v>
      </c>
      <c r="H181" s="12" t="s">
        <v>34</v>
      </c>
      <c r="I181" s="22" t="str">
        <f aca="false">IFERROR(MID(H181,SEARCH("+",H181),2),IFERROR(MID(H181,SEARCH("-",H181),2),IF(ISNUMBER(H181),H181,"")))</f>
        <v/>
      </c>
      <c r="J181" s="14" t="s">
        <v>35</v>
      </c>
      <c r="K181" s="22" t="str">
        <f aca="false">VLOOKUP(H181,COLOR_EFFECTS,2,0)</f>
        <v>Feuer</v>
      </c>
      <c r="L181" s="22" t="str">
        <f aca="false">VLOOKUP(H181,COLOR_EFFECTS,3,0)</f>
        <v>Aktion</v>
      </c>
      <c r="M181" s="3" t="str">
        <f aca="false">E181&amp;" "&amp;K181</f>
        <v>Merkur Feuer</v>
      </c>
      <c r="N181" s="22" t="str">
        <f aca="false">G181 &amp; H181</f>
        <v>☿🔥</v>
      </c>
      <c r="O181" s="24" t="str">
        <f aca="false">VLOOKUP(H181,COLOR_EFFECTS,4,0)</f>
        <v>Farbe darf bis zur nächsten Runde nicht gespielt werden</v>
      </c>
    </row>
    <row r="182" customFormat="false" ht="13.8" hidden="false" customHeight="false" outlineLevel="0" collapsed="false">
      <c r="A182" s="1" t="n">
        <v>1</v>
      </c>
      <c r="B182" s="2" t="s">
        <v>36</v>
      </c>
      <c r="C182" s="3" t="str">
        <f aca="false">VLOOKUP(B182,CARD_COLORS,5,0)</f>
        <v>#440088</v>
      </c>
      <c r="D182" s="22" t="str">
        <f aca="false">VLOOKUP(B182,CARD_COLORS,2,0)</f>
        <v>Lila</v>
      </c>
      <c r="E182" s="22" t="str">
        <f aca="false">VLOOKUP(B182,CARD_COLORS,3,0)</f>
        <v>Merkur</v>
      </c>
      <c r="F182" s="23" t="str">
        <f aca="false">"Planets\" &amp; VLOOKUP(B182,CARD_COLORS,4,0) &amp; ".png"</f>
        <v>Planets\Mercury.png</v>
      </c>
      <c r="G182" s="22" t="str">
        <f aca="false">VLOOKUP(B182,CARD_COLORS,6,0)</f>
        <v>☿</v>
      </c>
      <c r="H182" s="12" t="s">
        <v>37</v>
      </c>
      <c r="I182" s="22" t="str">
        <f aca="false">IFERROR(MID(H182,SEARCH("+",H182),2),IFERROR(MID(H182,SEARCH("-",H182),2),IF(ISNUMBER(H182),H182,"")))</f>
        <v/>
      </c>
      <c r="J182" s="14" t="s">
        <v>38</v>
      </c>
      <c r="K182" s="22" t="str">
        <f aca="false">VLOOKUP(H182,COLOR_EFFECTS,2,0)</f>
        <v>Fokus</v>
      </c>
      <c r="L182" s="22" t="str">
        <f aca="false">VLOOKUP(H182,COLOR_EFFECTS,3,0)</f>
        <v>Aktion</v>
      </c>
      <c r="M182" s="3" t="str">
        <f aca="false">E182&amp;" "&amp;K182</f>
        <v>Merkur Fokus</v>
      </c>
      <c r="N182" s="22" t="str">
        <f aca="false">G182 &amp; H182</f>
        <v>☿🎯</v>
      </c>
      <c r="O182" s="24" t="str">
        <f aca="false">VLOOKUP(H182,COLOR_EFFECTS,4,0)</f>
        <v>Wähle den nächsten Spieler</v>
      </c>
    </row>
    <row r="183" customFormat="false" ht="13.8" hidden="false" customHeight="false" outlineLevel="0" collapsed="false">
      <c r="A183" s="1" t="n">
        <v>1</v>
      </c>
      <c r="B183" s="2" t="s">
        <v>39</v>
      </c>
      <c r="C183" s="3" t="str">
        <f aca="false">VLOOKUP(B183,CARD_COLORS,5,0)</f>
        <v>#008888</v>
      </c>
      <c r="D183" s="22" t="str">
        <f aca="false">VLOOKUP(B183,CARD_COLORS,2,0)</f>
        <v>Türkis</v>
      </c>
      <c r="E183" s="22" t="str">
        <f aca="false">VLOOKUP(B183,CARD_COLORS,3,0)</f>
        <v>Uranus</v>
      </c>
      <c r="F183" s="23" t="str">
        <f aca="false">"Planets\" &amp; VLOOKUP(B183,CARD_COLORS,4,0) &amp; ".png"</f>
        <v>Planets\Uranus.png</v>
      </c>
      <c r="G183" s="22" t="str">
        <f aca="false">VLOOKUP(B183,CARD_COLORS,6,0)</f>
        <v>♅</v>
      </c>
      <c r="H183" s="12" t="n">
        <v>0</v>
      </c>
      <c r="I183" s="22" t="n">
        <f aca="false">IFERROR(MID(H183,SEARCH("+",H183),2),IFERROR(MID(H183,SEARCH("-",H183),2),IF(ISNUMBER(H183),H183,"")))</f>
        <v>0</v>
      </c>
      <c r="J183" s="14"/>
      <c r="K183" s="22" t="str">
        <f aca="false">VLOOKUP(H183,COLOR_EFFECTS,2,0)</f>
        <v>0</v>
      </c>
      <c r="L183" s="22" t="str">
        <f aca="false">VLOOKUP(H183,COLOR_EFFECTS,3,0)</f>
        <v>Standard</v>
      </c>
      <c r="M183" s="3" t="str">
        <f aca="false">E183&amp;" "&amp;K183</f>
        <v>Uranus 0</v>
      </c>
      <c r="N183" s="22" t="str">
        <f aca="false">G183 &amp; H183</f>
        <v>♅0</v>
      </c>
      <c r="O183" s="24" t="str">
        <f aca="false">VLOOKUP(H183,COLOR_EFFECTS,4,0)</f>
        <v> </v>
      </c>
    </row>
    <row r="184" customFormat="false" ht="13.8" hidden="false" customHeight="false" outlineLevel="0" collapsed="false">
      <c r="A184" s="1" t="n">
        <v>1</v>
      </c>
      <c r="B184" s="2" t="s">
        <v>39</v>
      </c>
      <c r="C184" s="3" t="str">
        <f aca="false">VLOOKUP(B184,CARD_COLORS,5,0)</f>
        <v>#008888</v>
      </c>
      <c r="D184" s="22" t="str">
        <f aca="false">VLOOKUP(B184,CARD_COLORS,2,0)</f>
        <v>Türkis</v>
      </c>
      <c r="E184" s="22" t="str">
        <f aca="false">VLOOKUP(B184,CARD_COLORS,3,0)</f>
        <v>Uranus</v>
      </c>
      <c r="F184" s="23" t="str">
        <f aca="false">"Planets\" &amp; VLOOKUP(B184,CARD_COLORS,4,0) &amp; ".png"</f>
        <v>Planets\Uranus.png</v>
      </c>
      <c r="G184" s="22" t="str">
        <f aca="false">VLOOKUP(B184,CARD_COLORS,6,0)</f>
        <v>♅</v>
      </c>
      <c r="H184" s="12" t="n">
        <v>1</v>
      </c>
      <c r="I184" s="22" t="n">
        <f aca="false">IFERROR(MID(H184,SEARCH("+",H184),2),IFERROR(MID(H184,SEARCH("-",H184),2),IF(ISNUMBER(H184),H184,"")))</f>
        <v>1</v>
      </c>
      <c r="J184" s="14"/>
      <c r="K184" s="22" t="str">
        <f aca="false">VLOOKUP(H184,COLOR_EFFECTS,2,0)</f>
        <v>1</v>
      </c>
      <c r="L184" s="22" t="str">
        <f aca="false">VLOOKUP(H184,COLOR_EFFECTS,3,0)</f>
        <v>Standard</v>
      </c>
      <c r="M184" s="3" t="str">
        <f aca="false">E184&amp;" "&amp;K184</f>
        <v>Uranus 1</v>
      </c>
      <c r="N184" s="22" t="str">
        <f aca="false">G184 &amp; H184</f>
        <v>♅1</v>
      </c>
      <c r="O184" s="24" t="str">
        <f aca="false">VLOOKUP(H184,COLOR_EFFECTS,4,0)</f>
        <v> </v>
      </c>
    </row>
    <row r="185" customFormat="false" ht="13.8" hidden="false" customHeight="false" outlineLevel="0" collapsed="false">
      <c r="A185" s="1" t="n">
        <v>1</v>
      </c>
      <c r="B185" s="2" t="s">
        <v>39</v>
      </c>
      <c r="C185" s="3" t="str">
        <f aca="false">VLOOKUP(B185,CARD_COLORS,5,0)</f>
        <v>#008888</v>
      </c>
      <c r="D185" s="22" t="str">
        <f aca="false">VLOOKUP(B185,CARD_COLORS,2,0)</f>
        <v>Türkis</v>
      </c>
      <c r="E185" s="22" t="str">
        <f aca="false">VLOOKUP(B185,CARD_COLORS,3,0)</f>
        <v>Uranus</v>
      </c>
      <c r="F185" s="23" t="str">
        <f aca="false">"Planets\" &amp; VLOOKUP(B185,CARD_COLORS,4,0) &amp; ".png"</f>
        <v>Planets\Uranus.png</v>
      </c>
      <c r="G185" s="22" t="str">
        <f aca="false">VLOOKUP(B185,CARD_COLORS,6,0)</f>
        <v>♅</v>
      </c>
      <c r="H185" s="12" t="n">
        <v>2</v>
      </c>
      <c r="I185" s="22" t="n">
        <f aca="false">IFERROR(MID(H185,SEARCH("+",H185),2),IFERROR(MID(H185,SEARCH("-",H185),2),IF(ISNUMBER(H185),H185,"")))</f>
        <v>2</v>
      </c>
      <c r="J185" s="14"/>
      <c r="K185" s="22" t="str">
        <f aca="false">VLOOKUP(H185,COLOR_EFFECTS,2,0)</f>
        <v>2</v>
      </c>
      <c r="L185" s="22" t="str">
        <f aca="false">VLOOKUP(H185,COLOR_EFFECTS,3,0)</f>
        <v>Standard</v>
      </c>
      <c r="M185" s="3" t="str">
        <f aca="false">E185&amp;" "&amp;K185</f>
        <v>Uranus 2</v>
      </c>
      <c r="N185" s="22" t="str">
        <f aca="false">G185 &amp; H185</f>
        <v>♅2</v>
      </c>
      <c r="O185" s="24" t="str">
        <f aca="false">VLOOKUP(H185,COLOR_EFFECTS,4,0)</f>
        <v> </v>
      </c>
    </row>
    <row r="186" customFormat="false" ht="13.8" hidden="false" customHeight="false" outlineLevel="0" collapsed="false">
      <c r="A186" s="1" t="n">
        <v>1</v>
      </c>
      <c r="B186" s="2" t="s">
        <v>39</v>
      </c>
      <c r="C186" s="3" t="str">
        <f aca="false">VLOOKUP(B186,CARD_COLORS,5,0)</f>
        <v>#008888</v>
      </c>
      <c r="D186" s="22" t="str">
        <f aca="false">VLOOKUP(B186,CARD_COLORS,2,0)</f>
        <v>Türkis</v>
      </c>
      <c r="E186" s="22" t="str">
        <f aca="false">VLOOKUP(B186,CARD_COLORS,3,0)</f>
        <v>Uranus</v>
      </c>
      <c r="F186" s="23" t="str">
        <f aca="false">"Planets\" &amp; VLOOKUP(B186,CARD_COLORS,4,0) &amp; ".png"</f>
        <v>Planets\Uranus.png</v>
      </c>
      <c r="G186" s="22" t="str">
        <f aca="false">VLOOKUP(B186,CARD_COLORS,6,0)</f>
        <v>♅</v>
      </c>
      <c r="H186" s="12" t="n">
        <v>3</v>
      </c>
      <c r="I186" s="22" t="n">
        <f aca="false">IFERROR(MID(H186,SEARCH("+",H186),2),IFERROR(MID(H186,SEARCH("-",H186),2),IF(ISNUMBER(H186),H186,"")))</f>
        <v>3</v>
      </c>
      <c r="J186" s="14"/>
      <c r="K186" s="22" t="str">
        <f aca="false">VLOOKUP(H186,COLOR_EFFECTS,2,0)</f>
        <v>3</v>
      </c>
      <c r="L186" s="22" t="str">
        <f aca="false">VLOOKUP(H186,COLOR_EFFECTS,3,0)</f>
        <v>Standard</v>
      </c>
      <c r="M186" s="3" t="str">
        <f aca="false">E186&amp;" "&amp;K186</f>
        <v>Uranus 3</v>
      </c>
      <c r="N186" s="22" t="str">
        <f aca="false">G186 &amp; H186</f>
        <v>♅3</v>
      </c>
      <c r="O186" s="24" t="str">
        <f aca="false">VLOOKUP(H186,COLOR_EFFECTS,4,0)</f>
        <v> </v>
      </c>
    </row>
    <row r="187" customFormat="false" ht="13.8" hidden="false" customHeight="false" outlineLevel="0" collapsed="false">
      <c r="A187" s="1" t="n">
        <v>1</v>
      </c>
      <c r="B187" s="2" t="s">
        <v>39</v>
      </c>
      <c r="C187" s="3" t="str">
        <f aca="false">VLOOKUP(B187,CARD_COLORS,5,0)</f>
        <v>#008888</v>
      </c>
      <c r="D187" s="22" t="str">
        <f aca="false">VLOOKUP(B187,CARD_COLORS,2,0)</f>
        <v>Türkis</v>
      </c>
      <c r="E187" s="22" t="str">
        <f aca="false">VLOOKUP(B187,CARD_COLORS,3,0)</f>
        <v>Uranus</v>
      </c>
      <c r="F187" s="23" t="str">
        <f aca="false">"Planets\" &amp; VLOOKUP(B187,CARD_COLORS,4,0) &amp; ".png"</f>
        <v>Planets\Uranus.png</v>
      </c>
      <c r="G187" s="22" t="str">
        <f aca="false">VLOOKUP(B187,CARD_COLORS,6,0)</f>
        <v>♅</v>
      </c>
      <c r="H187" s="12" t="n">
        <v>4</v>
      </c>
      <c r="I187" s="22" t="n">
        <f aca="false">IFERROR(MID(H187,SEARCH("+",H187),2),IFERROR(MID(H187,SEARCH("-",H187),2),IF(ISNUMBER(H187),H187,"")))</f>
        <v>4</v>
      </c>
      <c r="J187" s="14"/>
      <c r="K187" s="22" t="str">
        <f aca="false">VLOOKUP(H187,COLOR_EFFECTS,2,0)</f>
        <v>4</v>
      </c>
      <c r="L187" s="22" t="str">
        <f aca="false">VLOOKUP(H187,COLOR_EFFECTS,3,0)</f>
        <v>Standard</v>
      </c>
      <c r="M187" s="3" t="str">
        <f aca="false">E187&amp;" "&amp;K187</f>
        <v>Uranus 4</v>
      </c>
      <c r="N187" s="22" t="str">
        <f aca="false">G187 &amp; H187</f>
        <v>♅4</v>
      </c>
      <c r="O187" s="24" t="str">
        <f aca="false">VLOOKUP(H187,COLOR_EFFECTS,4,0)</f>
        <v> </v>
      </c>
    </row>
    <row r="188" customFormat="false" ht="13.8" hidden="false" customHeight="false" outlineLevel="0" collapsed="false">
      <c r="A188" s="1" t="n">
        <v>1</v>
      </c>
      <c r="B188" s="2" t="s">
        <v>39</v>
      </c>
      <c r="C188" s="3" t="str">
        <f aca="false">VLOOKUP(B188,CARD_COLORS,5,0)</f>
        <v>#008888</v>
      </c>
      <c r="D188" s="22" t="str">
        <f aca="false">VLOOKUP(B188,CARD_COLORS,2,0)</f>
        <v>Türkis</v>
      </c>
      <c r="E188" s="22" t="str">
        <f aca="false">VLOOKUP(B188,CARD_COLORS,3,0)</f>
        <v>Uranus</v>
      </c>
      <c r="F188" s="23" t="str">
        <f aca="false">"Planets\" &amp; VLOOKUP(B188,CARD_COLORS,4,0) &amp; ".png"</f>
        <v>Planets\Uranus.png</v>
      </c>
      <c r="G188" s="22" t="str">
        <f aca="false">VLOOKUP(B188,CARD_COLORS,6,0)</f>
        <v>♅</v>
      </c>
      <c r="H188" s="12" t="n">
        <v>5</v>
      </c>
      <c r="I188" s="22" t="n">
        <f aca="false">IFERROR(MID(H188,SEARCH("+",H188),2),IFERROR(MID(H188,SEARCH("-",H188),2),IF(ISNUMBER(H188),H188,"")))</f>
        <v>5</v>
      </c>
      <c r="J188" s="14"/>
      <c r="K188" s="22" t="str">
        <f aca="false">VLOOKUP(H188,COLOR_EFFECTS,2,0)</f>
        <v>5</v>
      </c>
      <c r="L188" s="22" t="str">
        <f aca="false">VLOOKUP(H188,COLOR_EFFECTS,3,0)</f>
        <v>Standard</v>
      </c>
      <c r="M188" s="3" t="str">
        <f aca="false">E188&amp;" "&amp;K188</f>
        <v>Uranus 5</v>
      </c>
      <c r="N188" s="22" t="str">
        <f aca="false">G188 &amp; H188</f>
        <v>♅5</v>
      </c>
      <c r="O188" s="24" t="str">
        <f aca="false">VLOOKUP(H188,COLOR_EFFECTS,4,0)</f>
        <v> </v>
      </c>
    </row>
    <row r="189" customFormat="false" ht="13.8" hidden="false" customHeight="false" outlineLevel="0" collapsed="false">
      <c r="A189" s="1" t="n">
        <v>1</v>
      </c>
      <c r="B189" s="2" t="s">
        <v>39</v>
      </c>
      <c r="C189" s="3" t="str">
        <f aca="false">VLOOKUP(B189,CARD_COLORS,5,0)</f>
        <v>#008888</v>
      </c>
      <c r="D189" s="22" t="str">
        <f aca="false">VLOOKUP(B189,CARD_COLORS,2,0)</f>
        <v>Türkis</v>
      </c>
      <c r="E189" s="22" t="str">
        <f aca="false">VLOOKUP(B189,CARD_COLORS,3,0)</f>
        <v>Uranus</v>
      </c>
      <c r="F189" s="23" t="str">
        <f aca="false">"Planets\" &amp; VLOOKUP(B189,CARD_COLORS,4,0) &amp; ".png"</f>
        <v>Planets\Uranus.png</v>
      </c>
      <c r="G189" s="22" t="str">
        <f aca="false">VLOOKUP(B189,CARD_COLORS,6,0)</f>
        <v>♅</v>
      </c>
      <c r="H189" s="12" t="n">
        <v>6</v>
      </c>
      <c r="I189" s="22" t="n">
        <f aca="false">IFERROR(MID(H189,SEARCH("+",H189),2),IFERROR(MID(H189,SEARCH("-",H189),2),IF(ISNUMBER(H189),H189,"")))</f>
        <v>6</v>
      </c>
      <c r="J189" s="14"/>
      <c r="K189" s="22" t="str">
        <f aca="false">VLOOKUP(H189,COLOR_EFFECTS,2,0)</f>
        <v>6</v>
      </c>
      <c r="L189" s="22" t="str">
        <f aca="false">VLOOKUP(H189,COLOR_EFFECTS,3,0)</f>
        <v>Standard</v>
      </c>
      <c r="M189" s="3" t="str">
        <f aca="false">E189&amp;" "&amp;K189</f>
        <v>Uranus 6</v>
      </c>
      <c r="N189" s="22" t="str">
        <f aca="false">G189 &amp; H189</f>
        <v>♅6</v>
      </c>
      <c r="O189" s="24" t="str">
        <f aca="false">VLOOKUP(H189,COLOR_EFFECTS,4,0)</f>
        <v> </v>
      </c>
    </row>
    <row r="190" customFormat="false" ht="13.8" hidden="false" customHeight="false" outlineLevel="0" collapsed="false">
      <c r="A190" s="1" t="n">
        <v>1</v>
      </c>
      <c r="B190" s="2" t="s">
        <v>39</v>
      </c>
      <c r="C190" s="3" t="str">
        <f aca="false">VLOOKUP(B190,CARD_COLORS,5,0)</f>
        <v>#008888</v>
      </c>
      <c r="D190" s="22" t="str">
        <f aca="false">VLOOKUP(B190,CARD_COLORS,2,0)</f>
        <v>Türkis</v>
      </c>
      <c r="E190" s="22" t="str">
        <f aca="false">VLOOKUP(B190,CARD_COLORS,3,0)</f>
        <v>Uranus</v>
      </c>
      <c r="F190" s="23" t="str">
        <f aca="false">"Planets\" &amp; VLOOKUP(B190,CARD_COLORS,4,0) &amp; ".png"</f>
        <v>Planets\Uranus.png</v>
      </c>
      <c r="G190" s="22" t="str">
        <f aca="false">VLOOKUP(B190,CARD_COLORS,6,0)</f>
        <v>♅</v>
      </c>
      <c r="H190" s="12" t="n">
        <v>7</v>
      </c>
      <c r="I190" s="22" t="n">
        <f aca="false">IFERROR(MID(H190,SEARCH("+",H190),2),IFERROR(MID(H190,SEARCH("-",H190),2),IF(ISNUMBER(H190),H190,"")))</f>
        <v>7</v>
      </c>
      <c r="J190" s="14"/>
      <c r="K190" s="22" t="str">
        <f aca="false">VLOOKUP(H190,COLOR_EFFECTS,2,0)</f>
        <v>7</v>
      </c>
      <c r="L190" s="22" t="str">
        <f aca="false">VLOOKUP(H190,COLOR_EFFECTS,3,0)</f>
        <v>Standard</v>
      </c>
      <c r="M190" s="3" t="str">
        <f aca="false">E190&amp;" "&amp;K190</f>
        <v>Uranus 7</v>
      </c>
      <c r="N190" s="22" t="str">
        <f aca="false">G190 &amp; H190</f>
        <v>♅7</v>
      </c>
      <c r="O190" s="24" t="str">
        <f aca="false">VLOOKUP(H190,COLOR_EFFECTS,4,0)</f>
        <v> </v>
      </c>
    </row>
    <row r="191" customFormat="false" ht="13.8" hidden="false" customHeight="false" outlineLevel="0" collapsed="false">
      <c r="A191" s="1" t="n">
        <v>1</v>
      </c>
      <c r="B191" s="2" t="s">
        <v>39</v>
      </c>
      <c r="C191" s="3" t="str">
        <f aca="false">VLOOKUP(B191,CARD_COLORS,5,0)</f>
        <v>#008888</v>
      </c>
      <c r="D191" s="22" t="str">
        <f aca="false">VLOOKUP(B191,CARD_COLORS,2,0)</f>
        <v>Türkis</v>
      </c>
      <c r="E191" s="22" t="str">
        <f aca="false">VLOOKUP(B191,CARD_COLORS,3,0)</f>
        <v>Uranus</v>
      </c>
      <c r="F191" s="23" t="str">
        <f aca="false">"Planets\" &amp; VLOOKUP(B191,CARD_COLORS,4,0) &amp; ".png"</f>
        <v>Planets\Uranus.png</v>
      </c>
      <c r="G191" s="22" t="str">
        <f aca="false">VLOOKUP(B191,CARD_COLORS,6,0)</f>
        <v>♅</v>
      </c>
      <c r="H191" s="12" t="n">
        <v>8</v>
      </c>
      <c r="I191" s="22" t="n">
        <f aca="false">IFERROR(MID(H191,SEARCH("+",H191),2),IFERROR(MID(H191,SEARCH("-",H191),2),IF(ISNUMBER(H191),H191,"")))</f>
        <v>8</v>
      </c>
      <c r="J191" s="14"/>
      <c r="K191" s="22" t="str">
        <f aca="false">VLOOKUP(H191,COLOR_EFFECTS,2,0)</f>
        <v>8</v>
      </c>
      <c r="L191" s="22" t="str">
        <f aca="false">VLOOKUP(H191,COLOR_EFFECTS,3,0)</f>
        <v>Standard</v>
      </c>
      <c r="M191" s="3" t="str">
        <f aca="false">E191&amp;" "&amp;K191</f>
        <v>Uranus 8</v>
      </c>
      <c r="N191" s="22" t="str">
        <f aca="false">G191 &amp; H191</f>
        <v>♅8</v>
      </c>
      <c r="O191" s="24" t="str">
        <f aca="false">VLOOKUP(H191,COLOR_EFFECTS,4,0)</f>
        <v> </v>
      </c>
    </row>
    <row r="192" customFormat="false" ht="13.8" hidden="false" customHeight="false" outlineLevel="0" collapsed="false">
      <c r="A192" s="1" t="n">
        <v>1</v>
      </c>
      <c r="B192" s="2" t="s">
        <v>39</v>
      </c>
      <c r="C192" s="3" t="str">
        <f aca="false">VLOOKUP(B192,CARD_COLORS,5,0)</f>
        <v>#008888</v>
      </c>
      <c r="D192" s="22" t="str">
        <f aca="false">VLOOKUP(B192,CARD_COLORS,2,0)</f>
        <v>Türkis</v>
      </c>
      <c r="E192" s="22" t="str">
        <f aca="false">VLOOKUP(B192,CARD_COLORS,3,0)</f>
        <v>Uranus</v>
      </c>
      <c r="F192" s="23" t="str">
        <f aca="false">"Planets\" &amp; VLOOKUP(B192,CARD_COLORS,4,0) &amp; ".png"</f>
        <v>Planets\Uranus.png</v>
      </c>
      <c r="G192" s="22" t="str">
        <f aca="false">VLOOKUP(B192,CARD_COLORS,6,0)</f>
        <v>♅</v>
      </c>
      <c r="H192" s="12" t="n">
        <v>9</v>
      </c>
      <c r="I192" s="22" t="n">
        <f aca="false">IFERROR(MID(H192,SEARCH("+",H192),2),IFERROR(MID(H192,SEARCH("-",H192),2),IF(ISNUMBER(H192),H192,"")))</f>
        <v>9</v>
      </c>
      <c r="J192" s="14"/>
      <c r="K192" s="22" t="str">
        <f aca="false">VLOOKUP(H192,COLOR_EFFECTS,2,0)</f>
        <v>9</v>
      </c>
      <c r="L192" s="22" t="str">
        <f aca="false">VLOOKUP(H192,COLOR_EFFECTS,3,0)</f>
        <v>Standard</v>
      </c>
      <c r="M192" s="3" t="str">
        <f aca="false">E192&amp;" "&amp;K192</f>
        <v>Uranus 9</v>
      </c>
      <c r="N192" s="22" t="str">
        <f aca="false">G192 &amp; H192</f>
        <v>♅9</v>
      </c>
      <c r="O192" s="24" t="str">
        <f aca="false">VLOOKUP(H192,COLOR_EFFECTS,4,0)</f>
        <v> </v>
      </c>
    </row>
    <row r="193" customFormat="false" ht="13.8" hidden="false" customHeight="false" outlineLevel="0" collapsed="false">
      <c r="A193" s="1" t="n">
        <v>1</v>
      </c>
      <c r="B193" s="2" t="s">
        <v>39</v>
      </c>
      <c r="C193" s="3" t="str">
        <f aca="false">VLOOKUP(B193,CARD_COLORS,5,0)</f>
        <v>#008888</v>
      </c>
      <c r="D193" s="22" t="str">
        <f aca="false">VLOOKUP(B193,CARD_COLORS,2,0)</f>
        <v>Türkis</v>
      </c>
      <c r="E193" s="22" t="str">
        <f aca="false">VLOOKUP(B193,CARD_COLORS,3,0)</f>
        <v>Uranus</v>
      </c>
      <c r="F193" s="23" t="str">
        <f aca="false">"Planets\" &amp; VLOOKUP(B193,CARD_COLORS,4,0) &amp; ".png"</f>
        <v>Planets\Uranus.png</v>
      </c>
      <c r="G193" s="22" t="str">
        <f aca="false">VLOOKUP(B193,CARD_COLORS,6,0)</f>
        <v>♅</v>
      </c>
      <c r="H193" s="12" t="s">
        <v>20</v>
      </c>
      <c r="I193" s="22" t="str">
        <f aca="false">IFERROR(MID(H193,SEARCH("+",H193),2),IFERROR(MID(H193,SEARCH("-",H193),2),IF(ISNUMBER(H193),H193,"")))</f>
        <v>+2</v>
      </c>
      <c r="J193" s="14"/>
      <c r="K193" s="22" t="str">
        <f aca="false">VLOOKUP(H193,COLOR_EFFECTS,2,0)</f>
        <v>+2</v>
      </c>
      <c r="L193" s="22" t="str">
        <f aca="false">VLOOKUP(H193,COLOR_EFFECTS,3,0)</f>
        <v>Falle</v>
      </c>
      <c r="M193" s="3" t="str">
        <f aca="false">E193&amp;" "&amp;K193</f>
        <v>Uranus +2</v>
      </c>
      <c r="N193" s="22" t="str">
        <f aca="false">G193 &amp; H193</f>
        <v>♅+2</v>
      </c>
      <c r="O193" s="24" t="str">
        <f aca="false">VLOOKUP(H193,COLOR_EFFECTS,4,0)</f>
        <v>Nächster Spieler muss 2 Karten aufnehmen</v>
      </c>
    </row>
    <row r="194" customFormat="false" ht="13.8" hidden="false" customHeight="false" outlineLevel="0" collapsed="false">
      <c r="A194" s="1" t="n">
        <v>1</v>
      </c>
      <c r="B194" s="2" t="s">
        <v>39</v>
      </c>
      <c r="C194" s="3" t="str">
        <f aca="false">VLOOKUP(B194,CARD_COLORS,5,0)</f>
        <v>#008888</v>
      </c>
      <c r="D194" s="22" t="str">
        <f aca="false">VLOOKUP(B194,CARD_COLORS,2,0)</f>
        <v>Türkis</v>
      </c>
      <c r="E194" s="22" t="str">
        <f aca="false">VLOOKUP(B194,CARD_COLORS,3,0)</f>
        <v>Uranus</v>
      </c>
      <c r="F194" s="23" t="str">
        <f aca="false">"Planets\" &amp; VLOOKUP(B194,CARD_COLORS,4,0) &amp; ".png"</f>
        <v>Planets\Uranus.png</v>
      </c>
      <c r="G194" s="22" t="str">
        <f aca="false">VLOOKUP(B194,CARD_COLORS,6,0)</f>
        <v>♅</v>
      </c>
      <c r="H194" s="12" t="s">
        <v>40</v>
      </c>
      <c r="I194" s="22" t="str">
        <f aca="false">IFERROR(MID(H194,SEARCH("+",H194),2),IFERROR(MID(H194,SEARCH("-",H194),2),IF(ISNUMBER(H194),H194,"")))</f>
        <v>+3</v>
      </c>
      <c r="J194" s="14"/>
      <c r="K194" s="22" t="str">
        <f aca="false">VLOOKUP(H194,COLOR_EFFECTS,2,0)</f>
        <v>+3</v>
      </c>
      <c r="L194" s="22" t="str">
        <f aca="false">VLOOKUP(H194,COLOR_EFFECTS,3,0)</f>
        <v>Falle</v>
      </c>
      <c r="M194" s="3" t="str">
        <f aca="false">E194&amp;" "&amp;K194</f>
        <v>Uranus +3</v>
      </c>
      <c r="N194" s="22" t="str">
        <f aca="false">G194 &amp; H194</f>
        <v>♅+3</v>
      </c>
      <c r="O194" s="24" t="str">
        <f aca="false">VLOOKUP(H194,COLOR_EFFECTS,4,0)</f>
        <v>Nächster Spieler muss 3 Karten aufnehmen</v>
      </c>
    </row>
    <row r="195" customFormat="false" ht="13.8" hidden="false" customHeight="false" outlineLevel="0" collapsed="false">
      <c r="A195" s="1" t="n">
        <v>1</v>
      </c>
      <c r="B195" s="2" t="s">
        <v>39</v>
      </c>
      <c r="C195" s="3" t="str">
        <f aca="false">VLOOKUP(B195,CARD_COLORS,5,0)</f>
        <v>#008888</v>
      </c>
      <c r="D195" s="22" t="str">
        <f aca="false">VLOOKUP(B195,CARD_COLORS,2,0)</f>
        <v>Türkis</v>
      </c>
      <c r="E195" s="22" t="str">
        <f aca="false">VLOOKUP(B195,CARD_COLORS,3,0)</f>
        <v>Uranus</v>
      </c>
      <c r="F195" s="23" t="str">
        <f aca="false">"Planets\" &amp; VLOOKUP(B195,CARD_COLORS,4,0) &amp; ".png"</f>
        <v>Planets\Uranus.png</v>
      </c>
      <c r="G195" s="22" t="str">
        <f aca="false">VLOOKUP(B195,CARD_COLORS,6,0)</f>
        <v>♅</v>
      </c>
      <c r="H195" s="12" t="s">
        <v>22</v>
      </c>
      <c r="I195" s="22" t="str">
        <f aca="false">IFERROR(MID(H195,SEARCH("+",H195),2),IFERROR(MID(H195,SEARCH("-",H195),2),IF(ISNUMBER(H195),H195,"")))</f>
        <v/>
      </c>
      <c r="J195" s="14" t="s">
        <v>23</v>
      </c>
      <c r="K195" s="22" t="str">
        <f aca="false">VLOOKUP(H195,COLOR_EFFECTS,2,0)</f>
        <v>Umkehrung</v>
      </c>
      <c r="L195" s="22" t="str">
        <f aca="false">VLOOKUP(H195,COLOR_EFFECTS,3,0)</f>
        <v>Aktion</v>
      </c>
      <c r="M195" s="3" t="str">
        <f aca="false">E195&amp;" "&amp;K195</f>
        <v>Uranus Umkehrung</v>
      </c>
      <c r="N195" s="22" t="str">
        <f aca="false">G195 &amp; H195</f>
        <v>♅🔄</v>
      </c>
      <c r="O195" s="24" t="str">
        <f aca="false">VLOOKUP(H195,COLOR_EFFECTS,4,0)</f>
        <v>Spielrichtung andersherum</v>
      </c>
    </row>
    <row r="196" customFormat="false" ht="13.8" hidden="false" customHeight="false" outlineLevel="0" collapsed="false">
      <c r="A196" s="1" t="n">
        <v>1</v>
      </c>
      <c r="B196" s="2" t="s">
        <v>39</v>
      </c>
      <c r="C196" s="3" t="str">
        <f aca="false">VLOOKUP(B196,CARD_COLORS,5,0)</f>
        <v>#008888</v>
      </c>
      <c r="D196" s="22" t="str">
        <f aca="false">VLOOKUP(B196,CARD_COLORS,2,0)</f>
        <v>Türkis</v>
      </c>
      <c r="E196" s="22" t="str">
        <f aca="false">VLOOKUP(B196,CARD_COLORS,3,0)</f>
        <v>Uranus</v>
      </c>
      <c r="F196" s="23" t="str">
        <f aca="false">"Planets\" &amp; VLOOKUP(B196,CARD_COLORS,4,0) &amp; ".png"</f>
        <v>Planets\Uranus.png</v>
      </c>
      <c r="G196" s="22" t="str">
        <f aca="false">VLOOKUP(B196,CARD_COLORS,6,0)</f>
        <v>♅</v>
      </c>
      <c r="H196" s="12" t="s">
        <v>25</v>
      </c>
      <c r="I196" s="22" t="str">
        <f aca="false">IFERROR(MID(H196,SEARCH("+",H196),2),IFERROR(MID(H196,SEARCH("-",H196),2),IF(ISNUMBER(H196),H196,"")))</f>
        <v/>
      </c>
      <c r="J196" s="14" t="s">
        <v>26</v>
      </c>
      <c r="K196" s="22" t="str">
        <f aca="false">VLOOKUP(H196,COLOR_EFFECTS,2,0)</f>
        <v>Blockade</v>
      </c>
      <c r="L196" s="22" t="str">
        <f aca="false">VLOOKUP(H196,COLOR_EFFECTS,3,0)</f>
        <v>Aktion</v>
      </c>
      <c r="M196" s="3" t="str">
        <f aca="false">E196&amp;" "&amp;K196</f>
        <v>Uranus Blockade</v>
      </c>
      <c r="N196" s="22" t="str">
        <f aca="false">G196 &amp; H196</f>
        <v>♅🚫</v>
      </c>
      <c r="O196" s="24" t="str">
        <f aca="false">VLOOKUP(H196,COLOR_EFFECTS,4,0)</f>
        <v>Nächster Spieler muss aussetzen</v>
      </c>
    </row>
    <row r="197" customFormat="false" ht="13.8" hidden="false" customHeight="false" outlineLevel="0" collapsed="false">
      <c r="A197" s="1" t="n">
        <v>1</v>
      </c>
      <c r="B197" s="2" t="s">
        <v>39</v>
      </c>
      <c r="C197" s="3" t="str">
        <f aca="false">VLOOKUP(B197,CARD_COLORS,5,0)</f>
        <v>#008888</v>
      </c>
      <c r="D197" s="22" t="str">
        <f aca="false">VLOOKUP(B197,CARD_COLORS,2,0)</f>
        <v>Türkis</v>
      </c>
      <c r="E197" s="22" t="str">
        <f aca="false">VLOOKUP(B197,CARD_COLORS,3,0)</f>
        <v>Uranus</v>
      </c>
      <c r="F197" s="23" t="str">
        <f aca="false">"Planets\" &amp; VLOOKUP(B197,CARD_COLORS,4,0) &amp; ".png"</f>
        <v>Planets\Uranus.png</v>
      </c>
      <c r="G197" s="22" t="str">
        <f aca="false">VLOOKUP(B197,CARD_COLORS,6,0)</f>
        <v>♅</v>
      </c>
      <c r="H197" s="12" t="s">
        <v>28</v>
      </c>
      <c r="I197" s="22" t="str">
        <f aca="false">IFERROR(MID(H197,SEARCH("+",H197),2),IFERROR(MID(H197,SEARCH("-",H197),2),IF(ISNUMBER(H197),H197,"")))</f>
        <v/>
      </c>
      <c r="J197" s="14" t="s">
        <v>29</v>
      </c>
      <c r="K197" s="22" t="str">
        <f aca="false">VLOOKUP(H197,COLOR_EFFECTS,2,0)</f>
        <v>Wiederholung</v>
      </c>
      <c r="L197" s="22" t="str">
        <f aca="false">VLOOKUP(H197,COLOR_EFFECTS,3,0)</f>
        <v>Aktion</v>
      </c>
      <c r="M197" s="3" t="str">
        <f aca="false">E197&amp;" "&amp;K197</f>
        <v>Uranus Wiederholung</v>
      </c>
      <c r="N197" s="22" t="str">
        <f aca="false">G197 &amp; H197</f>
        <v>♅🔂</v>
      </c>
      <c r="O197" s="24" t="str">
        <f aca="false">VLOOKUP(H197,COLOR_EFFECTS,4,0)</f>
        <v>Ein weiterer Zug</v>
      </c>
    </row>
    <row r="198" customFormat="false" ht="13.8" hidden="false" customHeight="false" outlineLevel="0" collapsed="false">
      <c r="A198" s="1" t="n">
        <v>1</v>
      </c>
      <c r="B198" s="2" t="s">
        <v>39</v>
      </c>
      <c r="C198" s="3" t="str">
        <f aca="false">VLOOKUP(B198,CARD_COLORS,5,0)</f>
        <v>#008888</v>
      </c>
      <c r="D198" s="22" t="str">
        <f aca="false">VLOOKUP(B198,CARD_COLORS,2,0)</f>
        <v>Türkis</v>
      </c>
      <c r="E198" s="22" t="str">
        <f aca="false">VLOOKUP(B198,CARD_COLORS,3,0)</f>
        <v>Uranus</v>
      </c>
      <c r="F198" s="23" t="str">
        <f aca="false">"Planets\" &amp; VLOOKUP(B198,CARD_COLORS,4,0) &amp; ".png"</f>
        <v>Planets\Uranus.png</v>
      </c>
      <c r="G198" s="22" t="str">
        <f aca="false">VLOOKUP(B198,CARD_COLORS,6,0)</f>
        <v>♅</v>
      </c>
      <c r="H198" s="12" t="s">
        <v>31</v>
      </c>
      <c r="I198" s="22" t="str">
        <f aca="false">IFERROR(MID(H198,SEARCH("+",H198),2),IFERROR(MID(H198,SEARCH("-",H198),2),IF(ISNUMBER(H198),H198,"")))</f>
        <v/>
      </c>
      <c r="J198" s="14" t="s">
        <v>32</v>
      </c>
      <c r="K198" s="22" t="str">
        <f aca="false">VLOOKUP(H198,COLOR_EFFECTS,2,0)</f>
        <v>Eis</v>
      </c>
      <c r="L198" s="22" t="str">
        <f aca="false">VLOOKUP(H198,COLOR_EFFECTS,3,0)</f>
        <v>Aktion</v>
      </c>
      <c r="M198" s="3" t="str">
        <f aca="false">E198&amp;" "&amp;K198</f>
        <v>Uranus Eis</v>
      </c>
      <c r="N198" s="22" t="str">
        <f aca="false">G198 &amp; H198</f>
        <v>♅❄️</v>
      </c>
      <c r="O198" s="24" t="str">
        <f aca="false">VLOOKUP(H198,COLOR_EFFECTS,4,0)</f>
        <v>Farbe muss für eine komplette Runde beibehalten werden</v>
      </c>
    </row>
    <row r="199" customFormat="false" ht="13.8" hidden="false" customHeight="false" outlineLevel="0" collapsed="false">
      <c r="A199" s="1" t="n">
        <v>1</v>
      </c>
      <c r="B199" s="2" t="s">
        <v>39</v>
      </c>
      <c r="C199" s="3" t="str">
        <f aca="false">VLOOKUP(B199,CARD_COLORS,5,0)</f>
        <v>#008888</v>
      </c>
      <c r="D199" s="22" t="str">
        <f aca="false">VLOOKUP(B199,CARD_COLORS,2,0)</f>
        <v>Türkis</v>
      </c>
      <c r="E199" s="22" t="str">
        <f aca="false">VLOOKUP(B199,CARD_COLORS,3,0)</f>
        <v>Uranus</v>
      </c>
      <c r="F199" s="23" t="str">
        <f aca="false">"Planets\" &amp; VLOOKUP(B199,CARD_COLORS,4,0) &amp; ".png"</f>
        <v>Planets\Uranus.png</v>
      </c>
      <c r="G199" s="22" t="str">
        <f aca="false">VLOOKUP(B199,CARD_COLORS,6,0)</f>
        <v>♅</v>
      </c>
      <c r="H199" s="12" t="s">
        <v>34</v>
      </c>
      <c r="I199" s="22" t="str">
        <f aca="false">IFERROR(MID(H199,SEARCH("+",H199),2),IFERROR(MID(H199,SEARCH("-",H199),2),IF(ISNUMBER(H199),H199,"")))</f>
        <v/>
      </c>
      <c r="J199" s="14" t="s">
        <v>35</v>
      </c>
      <c r="K199" s="22" t="str">
        <f aca="false">VLOOKUP(H199,COLOR_EFFECTS,2,0)</f>
        <v>Feuer</v>
      </c>
      <c r="L199" s="22" t="str">
        <f aca="false">VLOOKUP(H199,COLOR_EFFECTS,3,0)</f>
        <v>Aktion</v>
      </c>
      <c r="M199" s="3" t="str">
        <f aca="false">E199&amp;" "&amp;K199</f>
        <v>Uranus Feuer</v>
      </c>
      <c r="N199" s="22" t="str">
        <f aca="false">G199 &amp; H199</f>
        <v>♅🔥</v>
      </c>
      <c r="O199" s="24" t="str">
        <f aca="false">VLOOKUP(H199,COLOR_EFFECTS,4,0)</f>
        <v>Farbe darf bis zur nächsten Runde nicht gespielt werden</v>
      </c>
    </row>
    <row r="200" customFormat="false" ht="13.8" hidden="false" customHeight="false" outlineLevel="0" collapsed="false">
      <c r="A200" s="1" t="n">
        <v>1</v>
      </c>
      <c r="B200" s="2" t="s">
        <v>39</v>
      </c>
      <c r="C200" s="3" t="str">
        <f aca="false">VLOOKUP(B200,CARD_COLORS,5,0)</f>
        <v>#008888</v>
      </c>
      <c r="D200" s="22" t="str">
        <f aca="false">VLOOKUP(B200,CARD_COLORS,2,0)</f>
        <v>Türkis</v>
      </c>
      <c r="E200" s="22" t="str">
        <f aca="false">VLOOKUP(B200,CARD_COLORS,3,0)</f>
        <v>Uranus</v>
      </c>
      <c r="F200" s="23" t="str">
        <f aca="false">"Planets\" &amp; VLOOKUP(B200,CARD_COLORS,4,0) &amp; ".png"</f>
        <v>Planets\Uranus.png</v>
      </c>
      <c r="G200" s="22" t="str">
        <f aca="false">VLOOKUP(B200,CARD_COLORS,6,0)</f>
        <v>♅</v>
      </c>
      <c r="H200" s="12" t="s">
        <v>37</v>
      </c>
      <c r="I200" s="22" t="str">
        <f aca="false">IFERROR(MID(H200,SEARCH("+",H200),2),IFERROR(MID(H200,SEARCH("-",H200),2),IF(ISNUMBER(H200),H200,"")))</f>
        <v/>
      </c>
      <c r="J200" s="14" t="s">
        <v>38</v>
      </c>
      <c r="K200" s="22" t="str">
        <f aca="false">VLOOKUP(H200,COLOR_EFFECTS,2,0)</f>
        <v>Fokus</v>
      </c>
      <c r="L200" s="22" t="str">
        <f aca="false">VLOOKUP(H200,COLOR_EFFECTS,3,0)</f>
        <v>Aktion</v>
      </c>
      <c r="M200" s="3" t="str">
        <f aca="false">E200&amp;" "&amp;K200</f>
        <v>Uranus Fokus</v>
      </c>
      <c r="N200" s="22" t="str">
        <f aca="false">G200 &amp; H200</f>
        <v>♅🎯</v>
      </c>
      <c r="O200" s="24" t="str">
        <f aca="false">VLOOKUP(H200,COLOR_EFFECTS,4,0)</f>
        <v>Wähle den nächsten Spieler</v>
      </c>
    </row>
    <row r="201" customFormat="false" ht="13.8" hidden="false" customHeight="false" outlineLevel="0" collapsed="false">
      <c r="A201" s="1" t="n">
        <v>1</v>
      </c>
      <c r="B201" s="2" t="s">
        <v>41</v>
      </c>
      <c r="C201" s="3" t="str">
        <f aca="false">VLOOKUP(B201,CARD_COLORS,5,0)</f>
        <v>#0000CC</v>
      </c>
      <c r="D201" s="22" t="str">
        <f aca="false">VLOOKUP(B201,CARD_COLORS,2,0)</f>
        <v>Blau</v>
      </c>
      <c r="E201" s="22" t="str">
        <f aca="false">VLOOKUP(B201,CARD_COLORS,3,0)</f>
        <v>Neptun</v>
      </c>
      <c r="F201" s="23" t="str">
        <f aca="false">"Planets\" &amp; VLOOKUP(B201,CARD_COLORS,4,0) &amp; ".png"</f>
        <v>Planets\Neptune.png</v>
      </c>
      <c r="G201" s="22" t="str">
        <f aca="false">VLOOKUP(B201,CARD_COLORS,6,0)</f>
        <v>♆</v>
      </c>
      <c r="H201" s="12" t="n">
        <v>0</v>
      </c>
      <c r="I201" s="22" t="n">
        <f aca="false">IFERROR(MID(H201,SEARCH("+",H201),2),IFERROR(MID(H201,SEARCH("-",H201),2),IF(ISNUMBER(H201),H201,"")))</f>
        <v>0</v>
      </c>
      <c r="J201" s="14"/>
      <c r="K201" s="22" t="str">
        <f aca="false">VLOOKUP(H201,COLOR_EFFECTS,2,0)</f>
        <v>0</v>
      </c>
      <c r="L201" s="22" t="str">
        <f aca="false">VLOOKUP(H201,COLOR_EFFECTS,3,0)</f>
        <v>Standard</v>
      </c>
      <c r="M201" s="3" t="str">
        <f aca="false">E201&amp;" "&amp;K201</f>
        <v>Neptun 0</v>
      </c>
      <c r="N201" s="22" t="str">
        <f aca="false">G201 &amp; H201</f>
        <v>♆0</v>
      </c>
      <c r="O201" s="24" t="str">
        <f aca="false">VLOOKUP(H201,COLOR_EFFECTS,4,0)</f>
        <v> </v>
      </c>
    </row>
    <row r="202" customFormat="false" ht="13.8" hidden="false" customHeight="false" outlineLevel="0" collapsed="false">
      <c r="A202" s="1" t="n">
        <v>1</v>
      </c>
      <c r="B202" s="2" t="s">
        <v>41</v>
      </c>
      <c r="C202" s="3" t="str">
        <f aca="false">VLOOKUP(B202,CARD_COLORS,5,0)</f>
        <v>#0000CC</v>
      </c>
      <c r="D202" s="22" t="str">
        <f aca="false">VLOOKUP(B202,CARD_COLORS,2,0)</f>
        <v>Blau</v>
      </c>
      <c r="E202" s="22" t="str">
        <f aca="false">VLOOKUP(B202,CARD_COLORS,3,0)</f>
        <v>Neptun</v>
      </c>
      <c r="F202" s="23" t="str">
        <f aca="false">"Planets\" &amp; VLOOKUP(B202,CARD_COLORS,4,0) &amp; ".png"</f>
        <v>Planets\Neptune.png</v>
      </c>
      <c r="G202" s="22" t="str">
        <f aca="false">VLOOKUP(B202,CARD_COLORS,6,0)</f>
        <v>♆</v>
      </c>
      <c r="H202" s="12" t="n">
        <v>1</v>
      </c>
      <c r="I202" s="22" t="n">
        <f aca="false">IFERROR(MID(H202,SEARCH("+",H202),2),IFERROR(MID(H202,SEARCH("-",H202),2),IF(ISNUMBER(H202),H202,"")))</f>
        <v>1</v>
      </c>
      <c r="J202" s="14"/>
      <c r="K202" s="22" t="str">
        <f aca="false">VLOOKUP(H202,COLOR_EFFECTS,2,0)</f>
        <v>1</v>
      </c>
      <c r="L202" s="22" t="str">
        <f aca="false">VLOOKUP(H202,COLOR_EFFECTS,3,0)</f>
        <v>Standard</v>
      </c>
      <c r="M202" s="3" t="str">
        <f aca="false">E202&amp;" "&amp;K202</f>
        <v>Neptun 1</v>
      </c>
      <c r="N202" s="22" t="str">
        <f aca="false">G202 &amp; H202</f>
        <v>♆1</v>
      </c>
      <c r="O202" s="24" t="str">
        <f aca="false">VLOOKUP(H202,COLOR_EFFECTS,4,0)</f>
        <v> </v>
      </c>
    </row>
    <row r="203" customFormat="false" ht="13.8" hidden="false" customHeight="false" outlineLevel="0" collapsed="false">
      <c r="A203" s="1" t="n">
        <v>1</v>
      </c>
      <c r="B203" s="2" t="s">
        <v>41</v>
      </c>
      <c r="C203" s="3" t="str">
        <f aca="false">VLOOKUP(B203,CARD_COLORS,5,0)</f>
        <v>#0000CC</v>
      </c>
      <c r="D203" s="22" t="str">
        <f aca="false">VLOOKUP(B203,CARD_COLORS,2,0)</f>
        <v>Blau</v>
      </c>
      <c r="E203" s="22" t="str">
        <f aca="false">VLOOKUP(B203,CARD_COLORS,3,0)</f>
        <v>Neptun</v>
      </c>
      <c r="F203" s="23" t="str">
        <f aca="false">"Planets\" &amp; VLOOKUP(B203,CARD_COLORS,4,0) &amp; ".png"</f>
        <v>Planets\Neptune.png</v>
      </c>
      <c r="G203" s="22" t="str">
        <f aca="false">VLOOKUP(B203,CARD_COLORS,6,0)</f>
        <v>♆</v>
      </c>
      <c r="H203" s="12" t="n">
        <v>2</v>
      </c>
      <c r="I203" s="22" t="n">
        <f aca="false">IFERROR(MID(H203,SEARCH("+",H203),2),IFERROR(MID(H203,SEARCH("-",H203),2),IF(ISNUMBER(H203),H203,"")))</f>
        <v>2</v>
      </c>
      <c r="J203" s="14"/>
      <c r="K203" s="22" t="str">
        <f aca="false">VLOOKUP(H203,COLOR_EFFECTS,2,0)</f>
        <v>2</v>
      </c>
      <c r="L203" s="22" t="str">
        <f aca="false">VLOOKUP(H203,COLOR_EFFECTS,3,0)</f>
        <v>Standard</v>
      </c>
      <c r="M203" s="3" t="str">
        <f aca="false">E203&amp;" "&amp;K203</f>
        <v>Neptun 2</v>
      </c>
      <c r="N203" s="22" t="str">
        <f aca="false">G203 &amp; H203</f>
        <v>♆2</v>
      </c>
      <c r="O203" s="24" t="str">
        <f aca="false">VLOOKUP(H203,COLOR_EFFECTS,4,0)</f>
        <v> </v>
      </c>
    </row>
    <row r="204" customFormat="false" ht="13.8" hidden="false" customHeight="false" outlineLevel="0" collapsed="false">
      <c r="A204" s="1" t="n">
        <v>1</v>
      </c>
      <c r="B204" s="2" t="s">
        <v>41</v>
      </c>
      <c r="C204" s="3" t="str">
        <f aca="false">VLOOKUP(B204,CARD_COLORS,5,0)</f>
        <v>#0000CC</v>
      </c>
      <c r="D204" s="22" t="str">
        <f aca="false">VLOOKUP(B204,CARD_COLORS,2,0)</f>
        <v>Blau</v>
      </c>
      <c r="E204" s="22" t="str">
        <f aca="false">VLOOKUP(B204,CARD_COLORS,3,0)</f>
        <v>Neptun</v>
      </c>
      <c r="F204" s="23" t="str">
        <f aca="false">"Planets\" &amp; VLOOKUP(B204,CARD_COLORS,4,0) &amp; ".png"</f>
        <v>Planets\Neptune.png</v>
      </c>
      <c r="G204" s="22" t="str">
        <f aca="false">VLOOKUP(B204,CARD_COLORS,6,0)</f>
        <v>♆</v>
      </c>
      <c r="H204" s="12" t="n">
        <v>3</v>
      </c>
      <c r="I204" s="22" t="n">
        <f aca="false">IFERROR(MID(H204,SEARCH("+",H204),2),IFERROR(MID(H204,SEARCH("-",H204),2),IF(ISNUMBER(H204),H204,"")))</f>
        <v>3</v>
      </c>
      <c r="J204" s="14"/>
      <c r="K204" s="22" t="str">
        <f aca="false">VLOOKUP(H204,COLOR_EFFECTS,2,0)</f>
        <v>3</v>
      </c>
      <c r="L204" s="22" t="str">
        <f aca="false">VLOOKUP(H204,COLOR_EFFECTS,3,0)</f>
        <v>Standard</v>
      </c>
      <c r="M204" s="3" t="str">
        <f aca="false">E204&amp;" "&amp;K204</f>
        <v>Neptun 3</v>
      </c>
      <c r="N204" s="22" t="str">
        <f aca="false">G204 &amp; H204</f>
        <v>♆3</v>
      </c>
      <c r="O204" s="24" t="str">
        <f aca="false">VLOOKUP(H204,COLOR_EFFECTS,4,0)</f>
        <v> </v>
      </c>
    </row>
    <row r="205" customFormat="false" ht="13.8" hidden="false" customHeight="false" outlineLevel="0" collapsed="false">
      <c r="A205" s="1" t="n">
        <v>1</v>
      </c>
      <c r="B205" s="2" t="s">
        <v>41</v>
      </c>
      <c r="C205" s="3" t="str">
        <f aca="false">VLOOKUP(B205,CARD_COLORS,5,0)</f>
        <v>#0000CC</v>
      </c>
      <c r="D205" s="22" t="str">
        <f aca="false">VLOOKUP(B205,CARD_COLORS,2,0)</f>
        <v>Blau</v>
      </c>
      <c r="E205" s="22" t="str">
        <f aca="false">VLOOKUP(B205,CARD_COLORS,3,0)</f>
        <v>Neptun</v>
      </c>
      <c r="F205" s="23" t="str">
        <f aca="false">"Planets\" &amp; VLOOKUP(B205,CARD_COLORS,4,0) &amp; ".png"</f>
        <v>Planets\Neptune.png</v>
      </c>
      <c r="G205" s="22" t="str">
        <f aca="false">VLOOKUP(B205,CARD_COLORS,6,0)</f>
        <v>♆</v>
      </c>
      <c r="H205" s="12" t="n">
        <v>4</v>
      </c>
      <c r="I205" s="22" t="n">
        <f aca="false">IFERROR(MID(H205,SEARCH("+",H205),2),IFERROR(MID(H205,SEARCH("-",H205),2),IF(ISNUMBER(H205),H205,"")))</f>
        <v>4</v>
      </c>
      <c r="J205" s="14"/>
      <c r="K205" s="22" t="str">
        <f aca="false">VLOOKUP(H205,COLOR_EFFECTS,2,0)</f>
        <v>4</v>
      </c>
      <c r="L205" s="22" t="str">
        <f aca="false">VLOOKUP(H205,COLOR_EFFECTS,3,0)</f>
        <v>Standard</v>
      </c>
      <c r="M205" s="3" t="str">
        <f aca="false">E205&amp;" "&amp;K205</f>
        <v>Neptun 4</v>
      </c>
      <c r="N205" s="22" t="str">
        <f aca="false">G205 &amp; H205</f>
        <v>♆4</v>
      </c>
      <c r="O205" s="24" t="str">
        <f aca="false">VLOOKUP(H205,COLOR_EFFECTS,4,0)</f>
        <v> </v>
      </c>
    </row>
    <row r="206" customFormat="false" ht="13.8" hidden="false" customHeight="false" outlineLevel="0" collapsed="false">
      <c r="A206" s="1" t="n">
        <v>1</v>
      </c>
      <c r="B206" s="2" t="s">
        <v>41</v>
      </c>
      <c r="C206" s="3" t="str">
        <f aca="false">VLOOKUP(B206,CARD_COLORS,5,0)</f>
        <v>#0000CC</v>
      </c>
      <c r="D206" s="22" t="str">
        <f aca="false">VLOOKUP(B206,CARD_COLORS,2,0)</f>
        <v>Blau</v>
      </c>
      <c r="E206" s="22" t="str">
        <f aca="false">VLOOKUP(B206,CARD_COLORS,3,0)</f>
        <v>Neptun</v>
      </c>
      <c r="F206" s="23" t="str">
        <f aca="false">"Planets\" &amp; VLOOKUP(B206,CARD_COLORS,4,0) &amp; ".png"</f>
        <v>Planets\Neptune.png</v>
      </c>
      <c r="G206" s="22" t="str">
        <f aca="false">VLOOKUP(B206,CARD_COLORS,6,0)</f>
        <v>♆</v>
      </c>
      <c r="H206" s="12" t="n">
        <v>5</v>
      </c>
      <c r="I206" s="22" t="n">
        <f aca="false">IFERROR(MID(H206,SEARCH("+",H206),2),IFERROR(MID(H206,SEARCH("-",H206),2),IF(ISNUMBER(H206),H206,"")))</f>
        <v>5</v>
      </c>
      <c r="J206" s="14"/>
      <c r="K206" s="22" t="str">
        <f aca="false">VLOOKUP(H206,COLOR_EFFECTS,2,0)</f>
        <v>5</v>
      </c>
      <c r="L206" s="22" t="str">
        <f aca="false">VLOOKUP(H206,COLOR_EFFECTS,3,0)</f>
        <v>Standard</v>
      </c>
      <c r="M206" s="3" t="str">
        <f aca="false">E206&amp;" "&amp;K206</f>
        <v>Neptun 5</v>
      </c>
      <c r="N206" s="22" t="str">
        <f aca="false">G206 &amp; H206</f>
        <v>♆5</v>
      </c>
      <c r="O206" s="24" t="str">
        <f aca="false">VLOOKUP(H206,COLOR_EFFECTS,4,0)</f>
        <v> </v>
      </c>
    </row>
    <row r="207" customFormat="false" ht="13.8" hidden="false" customHeight="false" outlineLevel="0" collapsed="false">
      <c r="A207" s="1" t="n">
        <v>1</v>
      </c>
      <c r="B207" s="2" t="s">
        <v>41</v>
      </c>
      <c r="C207" s="3" t="str">
        <f aca="false">VLOOKUP(B207,CARD_COLORS,5,0)</f>
        <v>#0000CC</v>
      </c>
      <c r="D207" s="22" t="str">
        <f aca="false">VLOOKUP(B207,CARD_COLORS,2,0)</f>
        <v>Blau</v>
      </c>
      <c r="E207" s="22" t="str">
        <f aca="false">VLOOKUP(B207,CARD_COLORS,3,0)</f>
        <v>Neptun</v>
      </c>
      <c r="F207" s="23" t="str">
        <f aca="false">"Planets\" &amp; VLOOKUP(B207,CARD_COLORS,4,0) &amp; ".png"</f>
        <v>Planets\Neptune.png</v>
      </c>
      <c r="G207" s="22" t="str">
        <f aca="false">VLOOKUP(B207,CARD_COLORS,6,0)</f>
        <v>♆</v>
      </c>
      <c r="H207" s="12" t="n">
        <v>6</v>
      </c>
      <c r="I207" s="22" t="n">
        <f aca="false">IFERROR(MID(H207,SEARCH("+",H207),2),IFERROR(MID(H207,SEARCH("-",H207),2),IF(ISNUMBER(H207),H207,"")))</f>
        <v>6</v>
      </c>
      <c r="J207" s="14"/>
      <c r="K207" s="22" t="str">
        <f aca="false">VLOOKUP(H207,COLOR_EFFECTS,2,0)</f>
        <v>6</v>
      </c>
      <c r="L207" s="22" t="str">
        <f aca="false">VLOOKUP(H207,COLOR_EFFECTS,3,0)</f>
        <v>Standard</v>
      </c>
      <c r="M207" s="3" t="str">
        <f aca="false">E207&amp;" "&amp;K207</f>
        <v>Neptun 6</v>
      </c>
      <c r="N207" s="22" t="str">
        <f aca="false">G207 &amp; H207</f>
        <v>♆6</v>
      </c>
      <c r="O207" s="24" t="str">
        <f aca="false">VLOOKUP(H207,COLOR_EFFECTS,4,0)</f>
        <v> </v>
      </c>
    </row>
    <row r="208" customFormat="false" ht="13.8" hidden="false" customHeight="false" outlineLevel="0" collapsed="false">
      <c r="A208" s="1" t="n">
        <v>1</v>
      </c>
      <c r="B208" s="2" t="s">
        <v>41</v>
      </c>
      <c r="C208" s="3" t="str">
        <f aca="false">VLOOKUP(B208,CARD_COLORS,5,0)</f>
        <v>#0000CC</v>
      </c>
      <c r="D208" s="22" t="str">
        <f aca="false">VLOOKUP(B208,CARD_COLORS,2,0)</f>
        <v>Blau</v>
      </c>
      <c r="E208" s="22" t="str">
        <f aca="false">VLOOKUP(B208,CARD_COLORS,3,0)</f>
        <v>Neptun</v>
      </c>
      <c r="F208" s="23" t="str">
        <f aca="false">"Planets\" &amp; VLOOKUP(B208,CARD_COLORS,4,0) &amp; ".png"</f>
        <v>Planets\Neptune.png</v>
      </c>
      <c r="G208" s="22" t="str">
        <f aca="false">VLOOKUP(B208,CARD_COLORS,6,0)</f>
        <v>♆</v>
      </c>
      <c r="H208" s="12" t="n">
        <v>7</v>
      </c>
      <c r="I208" s="22" t="n">
        <f aca="false">IFERROR(MID(H208,SEARCH("+",H208),2),IFERROR(MID(H208,SEARCH("-",H208),2),IF(ISNUMBER(H208),H208,"")))</f>
        <v>7</v>
      </c>
      <c r="J208" s="14"/>
      <c r="K208" s="22" t="str">
        <f aca="false">VLOOKUP(H208,COLOR_EFFECTS,2,0)</f>
        <v>7</v>
      </c>
      <c r="L208" s="22" t="str">
        <f aca="false">VLOOKUP(H208,COLOR_EFFECTS,3,0)</f>
        <v>Standard</v>
      </c>
      <c r="M208" s="3" t="str">
        <f aca="false">E208&amp;" "&amp;K208</f>
        <v>Neptun 7</v>
      </c>
      <c r="N208" s="22" t="str">
        <f aca="false">G208 &amp; H208</f>
        <v>♆7</v>
      </c>
      <c r="O208" s="24" t="str">
        <f aca="false">VLOOKUP(H208,COLOR_EFFECTS,4,0)</f>
        <v> </v>
      </c>
    </row>
    <row r="209" customFormat="false" ht="13.8" hidden="false" customHeight="false" outlineLevel="0" collapsed="false">
      <c r="A209" s="1" t="n">
        <v>1</v>
      </c>
      <c r="B209" s="2" t="s">
        <v>41</v>
      </c>
      <c r="C209" s="3" t="str">
        <f aca="false">VLOOKUP(B209,CARD_COLORS,5,0)</f>
        <v>#0000CC</v>
      </c>
      <c r="D209" s="22" t="str">
        <f aca="false">VLOOKUP(B209,CARD_COLORS,2,0)</f>
        <v>Blau</v>
      </c>
      <c r="E209" s="22" t="str">
        <f aca="false">VLOOKUP(B209,CARD_COLORS,3,0)</f>
        <v>Neptun</v>
      </c>
      <c r="F209" s="23" t="str">
        <f aca="false">"Planets\" &amp; VLOOKUP(B209,CARD_COLORS,4,0) &amp; ".png"</f>
        <v>Planets\Neptune.png</v>
      </c>
      <c r="G209" s="22" t="str">
        <f aca="false">VLOOKUP(B209,CARD_COLORS,6,0)</f>
        <v>♆</v>
      </c>
      <c r="H209" s="12" t="n">
        <v>8</v>
      </c>
      <c r="I209" s="22" t="n">
        <f aca="false">IFERROR(MID(H209,SEARCH("+",H209),2),IFERROR(MID(H209,SEARCH("-",H209),2),IF(ISNUMBER(H209),H209,"")))</f>
        <v>8</v>
      </c>
      <c r="J209" s="14"/>
      <c r="K209" s="22" t="str">
        <f aca="false">VLOOKUP(H209,COLOR_EFFECTS,2,0)</f>
        <v>8</v>
      </c>
      <c r="L209" s="22" t="str">
        <f aca="false">VLOOKUP(H209,COLOR_EFFECTS,3,0)</f>
        <v>Standard</v>
      </c>
      <c r="M209" s="3" t="str">
        <f aca="false">E209&amp;" "&amp;K209</f>
        <v>Neptun 8</v>
      </c>
      <c r="N209" s="22" t="str">
        <f aca="false">G209 &amp; H209</f>
        <v>♆8</v>
      </c>
      <c r="O209" s="24" t="str">
        <f aca="false">VLOOKUP(H209,COLOR_EFFECTS,4,0)</f>
        <v> </v>
      </c>
    </row>
    <row r="210" customFormat="false" ht="13.8" hidden="false" customHeight="false" outlineLevel="0" collapsed="false">
      <c r="A210" s="1" t="n">
        <v>1</v>
      </c>
      <c r="B210" s="2" t="s">
        <v>41</v>
      </c>
      <c r="C210" s="3" t="str">
        <f aca="false">VLOOKUP(B210,CARD_COLORS,5,0)</f>
        <v>#0000CC</v>
      </c>
      <c r="D210" s="22" t="str">
        <f aca="false">VLOOKUP(B210,CARD_COLORS,2,0)</f>
        <v>Blau</v>
      </c>
      <c r="E210" s="22" t="str">
        <f aca="false">VLOOKUP(B210,CARD_COLORS,3,0)</f>
        <v>Neptun</v>
      </c>
      <c r="F210" s="23" t="str">
        <f aca="false">"Planets\" &amp; VLOOKUP(B210,CARD_COLORS,4,0) &amp; ".png"</f>
        <v>Planets\Neptune.png</v>
      </c>
      <c r="G210" s="22" t="str">
        <f aca="false">VLOOKUP(B210,CARD_COLORS,6,0)</f>
        <v>♆</v>
      </c>
      <c r="H210" s="12" t="n">
        <v>9</v>
      </c>
      <c r="I210" s="22" t="n">
        <f aca="false">IFERROR(MID(H210,SEARCH("+",H210),2),IFERROR(MID(H210,SEARCH("-",H210),2),IF(ISNUMBER(H210),H210,"")))</f>
        <v>9</v>
      </c>
      <c r="J210" s="14"/>
      <c r="K210" s="22" t="str">
        <f aca="false">VLOOKUP(H210,COLOR_EFFECTS,2,0)</f>
        <v>9</v>
      </c>
      <c r="L210" s="22" t="str">
        <f aca="false">VLOOKUP(H210,COLOR_EFFECTS,3,0)</f>
        <v>Standard</v>
      </c>
      <c r="M210" s="3" t="str">
        <f aca="false">E210&amp;" "&amp;K210</f>
        <v>Neptun 9</v>
      </c>
      <c r="N210" s="22" t="str">
        <f aca="false">G210 &amp; H210</f>
        <v>♆9</v>
      </c>
      <c r="O210" s="24" t="str">
        <f aca="false">VLOOKUP(H210,COLOR_EFFECTS,4,0)</f>
        <v> </v>
      </c>
    </row>
    <row r="211" customFormat="false" ht="13.8" hidden="false" customHeight="false" outlineLevel="0" collapsed="false">
      <c r="A211" s="1" t="n">
        <v>1</v>
      </c>
      <c r="B211" s="2" t="s">
        <v>41</v>
      </c>
      <c r="C211" s="3" t="str">
        <f aca="false">VLOOKUP(B211,CARD_COLORS,5,0)</f>
        <v>#0000CC</v>
      </c>
      <c r="D211" s="22" t="str">
        <f aca="false">VLOOKUP(B211,CARD_COLORS,2,0)</f>
        <v>Blau</v>
      </c>
      <c r="E211" s="22" t="str">
        <f aca="false">VLOOKUP(B211,CARD_COLORS,3,0)</f>
        <v>Neptun</v>
      </c>
      <c r="F211" s="23" t="str">
        <f aca="false">"Planets\" &amp; VLOOKUP(B211,CARD_COLORS,4,0) &amp; ".png"</f>
        <v>Planets\Neptune.png</v>
      </c>
      <c r="G211" s="22" t="str">
        <f aca="false">VLOOKUP(B211,CARD_COLORS,6,0)</f>
        <v>♆</v>
      </c>
      <c r="H211" s="12" t="s">
        <v>20</v>
      </c>
      <c r="I211" s="22" t="str">
        <f aca="false">IFERROR(MID(H211,SEARCH("+",H211),2),IFERROR(MID(H211,SEARCH("-",H211),2),IF(ISNUMBER(H211),H211,"")))</f>
        <v>+2</v>
      </c>
      <c r="J211" s="14"/>
      <c r="K211" s="22" t="str">
        <f aca="false">VLOOKUP(H211,COLOR_EFFECTS,2,0)</f>
        <v>+2</v>
      </c>
      <c r="L211" s="22" t="str">
        <f aca="false">VLOOKUP(H211,COLOR_EFFECTS,3,0)</f>
        <v>Falle</v>
      </c>
      <c r="M211" s="3" t="str">
        <f aca="false">E211&amp;" "&amp;K211</f>
        <v>Neptun +2</v>
      </c>
      <c r="N211" s="22" t="str">
        <f aca="false">G211 &amp; H211</f>
        <v>♆+2</v>
      </c>
      <c r="O211" s="24" t="str">
        <f aca="false">VLOOKUP(H211,COLOR_EFFECTS,4,0)</f>
        <v>Nächster Spieler muss 2 Karten aufnehmen</v>
      </c>
    </row>
    <row r="212" customFormat="false" ht="13.8" hidden="false" customHeight="false" outlineLevel="0" collapsed="false">
      <c r="A212" s="1" t="n">
        <v>1</v>
      </c>
      <c r="B212" s="2" t="s">
        <v>41</v>
      </c>
      <c r="C212" s="3" t="str">
        <f aca="false">VLOOKUP(B212,CARD_COLORS,5,0)</f>
        <v>#0000CC</v>
      </c>
      <c r="D212" s="22" t="str">
        <f aca="false">VLOOKUP(B212,CARD_COLORS,2,0)</f>
        <v>Blau</v>
      </c>
      <c r="E212" s="22" t="str">
        <f aca="false">VLOOKUP(B212,CARD_COLORS,3,0)</f>
        <v>Neptun</v>
      </c>
      <c r="F212" s="23" t="str">
        <f aca="false">"Planets\" &amp; VLOOKUP(B212,CARD_COLORS,4,0) &amp; ".png"</f>
        <v>Planets\Neptune.png</v>
      </c>
      <c r="G212" s="22" t="str">
        <f aca="false">VLOOKUP(B212,CARD_COLORS,6,0)</f>
        <v>♆</v>
      </c>
      <c r="H212" s="12" t="s">
        <v>40</v>
      </c>
      <c r="I212" s="22" t="str">
        <f aca="false">IFERROR(MID(H212,SEARCH("+",H212),2),IFERROR(MID(H212,SEARCH("-",H212),2),IF(ISNUMBER(H212),H212,"")))</f>
        <v>+3</v>
      </c>
      <c r="J212" s="14"/>
      <c r="K212" s="22" t="str">
        <f aca="false">VLOOKUP(H212,COLOR_EFFECTS,2,0)</f>
        <v>+3</v>
      </c>
      <c r="L212" s="22" t="str">
        <f aca="false">VLOOKUP(H212,COLOR_EFFECTS,3,0)</f>
        <v>Falle</v>
      </c>
      <c r="M212" s="3" t="str">
        <f aca="false">E212&amp;" "&amp;K212</f>
        <v>Neptun +3</v>
      </c>
      <c r="N212" s="22" t="str">
        <f aca="false">G212 &amp; H212</f>
        <v>♆+3</v>
      </c>
      <c r="O212" s="24" t="str">
        <f aca="false">VLOOKUP(H212,COLOR_EFFECTS,4,0)</f>
        <v>Nächster Spieler muss 3 Karten aufnehmen</v>
      </c>
    </row>
    <row r="213" customFormat="false" ht="13.8" hidden="false" customHeight="false" outlineLevel="0" collapsed="false">
      <c r="A213" s="1" t="n">
        <v>1</v>
      </c>
      <c r="B213" s="2" t="s">
        <v>41</v>
      </c>
      <c r="C213" s="3" t="str">
        <f aca="false">VLOOKUP(B213,CARD_COLORS,5,0)</f>
        <v>#0000CC</v>
      </c>
      <c r="D213" s="22" t="str">
        <f aca="false">VLOOKUP(B213,CARD_COLORS,2,0)</f>
        <v>Blau</v>
      </c>
      <c r="E213" s="22" t="str">
        <f aca="false">VLOOKUP(B213,CARD_COLORS,3,0)</f>
        <v>Neptun</v>
      </c>
      <c r="F213" s="23" t="str">
        <f aca="false">"Planets\" &amp; VLOOKUP(B213,CARD_COLORS,4,0) &amp; ".png"</f>
        <v>Planets\Neptune.png</v>
      </c>
      <c r="G213" s="22" t="str">
        <f aca="false">VLOOKUP(B213,CARD_COLORS,6,0)</f>
        <v>♆</v>
      </c>
      <c r="H213" s="12" t="s">
        <v>22</v>
      </c>
      <c r="I213" s="22" t="str">
        <f aca="false">IFERROR(MID(H213,SEARCH("+",H213),2),IFERROR(MID(H213,SEARCH("-",H213),2),IF(ISNUMBER(H213),H213,"")))</f>
        <v/>
      </c>
      <c r="J213" s="14" t="s">
        <v>23</v>
      </c>
      <c r="K213" s="22" t="str">
        <f aca="false">VLOOKUP(H213,COLOR_EFFECTS,2,0)</f>
        <v>Umkehrung</v>
      </c>
      <c r="L213" s="22" t="str">
        <f aca="false">VLOOKUP(H213,COLOR_EFFECTS,3,0)</f>
        <v>Aktion</v>
      </c>
      <c r="M213" s="3" t="str">
        <f aca="false">E213&amp;" "&amp;K213</f>
        <v>Neptun Umkehrung</v>
      </c>
      <c r="N213" s="22" t="str">
        <f aca="false">G213 &amp; H213</f>
        <v>♆🔄</v>
      </c>
      <c r="O213" s="24" t="str">
        <f aca="false">VLOOKUP(H213,COLOR_EFFECTS,4,0)</f>
        <v>Spielrichtung andersherum</v>
      </c>
    </row>
    <row r="214" customFormat="false" ht="13.8" hidden="false" customHeight="false" outlineLevel="0" collapsed="false">
      <c r="A214" s="1" t="n">
        <v>1</v>
      </c>
      <c r="B214" s="2" t="s">
        <v>41</v>
      </c>
      <c r="C214" s="3" t="str">
        <f aca="false">VLOOKUP(B214,CARD_COLORS,5,0)</f>
        <v>#0000CC</v>
      </c>
      <c r="D214" s="22" t="str">
        <f aca="false">VLOOKUP(B214,CARD_COLORS,2,0)</f>
        <v>Blau</v>
      </c>
      <c r="E214" s="22" t="str">
        <f aca="false">VLOOKUP(B214,CARD_COLORS,3,0)</f>
        <v>Neptun</v>
      </c>
      <c r="F214" s="23" t="str">
        <f aca="false">"Planets\" &amp; VLOOKUP(B214,CARD_COLORS,4,0) &amp; ".png"</f>
        <v>Planets\Neptune.png</v>
      </c>
      <c r="G214" s="22" t="str">
        <f aca="false">VLOOKUP(B214,CARD_COLORS,6,0)</f>
        <v>♆</v>
      </c>
      <c r="H214" s="12" t="s">
        <v>25</v>
      </c>
      <c r="I214" s="22" t="str">
        <f aca="false">IFERROR(MID(H214,SEARCH("+",H214),2),IFERROR(MID(H214,SEARCH("-",H214),2),IF(ISNUMBER(H214),H214,"")))</f>
        <v/>
      </c>
      <c r="J214" s="14" t="s">
        <v>26</v>
      </c>
      <c r="K214" s="22" t="str">
        <f aca="false">VLOOKUP(H214,COLOR_EFFECTS,2,0)</f>
        <v>Blockade</v>
      </c>
      <c r="L214" s="22" t="str">
        <f aca="false">VLOOKUP(H214,COLOR_EFFECTS,3,0)</f>
        <v>Aktion</v>
      </c>
      <c r="M214" s="3" t="str">
        <f aca="false">E214&amp;" "&amp;K214</f>
        <v>Neptun Blockade</v>
      </c>
      <c r="N214" s="22" t="str">
        <f aca="false">G214 &amp; H214</f>
        <v>♆🚫</v>
      </c>
      <c r="O214" s="24" t="str">
        <f aca="false">VLOOKUP(H214,COLOR_EFFECTS,4,0)</f>
        <v>Nächster Spieler muss aussetzen</v>
      </c>
    </row>
    <row r="215" customFormat="false" ht="13.8" hidden="false" customHeight="false" outlineLevel="0" collapsed="false">
      <c r="A215" s="1" t="n">
        <v>1</v>
      </c>
      <c r="B215" s="2" t="s">
        <v>41</v>
      </c>
      <c r="C215" s="3" t="str">
        <f aca="false">VLOOKUP(B215,CARD_COLORS,5,0)</f>
        <v>#0000CC</v>
      </c>
      <c r="D215" s="22" t="str">
        <f aca="false">VLOOKUP(B215,CARD_COLORS,2,0)</f>
        <v>Blau</v>
      </c>
      <c r="E215" s="22" t="str">
        <f aca="false">VLOOKUP(B215,CARD_COLORS,3,0)</f>
        <v>Neptun</v>
      </c>
      <c r="F215" s="23" t="str">
        <f aca="false">"Planets\" &amp; VLOOKUP(B215,CARD_COLORS,4,0) &amp; ".png"</f>
        <v>Planets\Neptune.png</v>
      </c>
      <c r="G215" s="22" t="str">
        <f aca="false">VLOOKUP(B215,CARD_COLORS,6,0)</f>
        <v>♆</v>
      </c>
      <c r="H215" s="12" t="s">
        <v>28</v>
      </c>
      <c r="I215" s="22" t="str">
        <f aca="false">IFERROR(MID(H215,SEARCH("+",H215),2),IFERROR(MID(H215,SEARCH("-",H215),2),IF(ISNUMBER(H215),H215,"")))</f>
        <v/>
      </c>
      <c r="J215" s="14" t="s">
        <v>29</v>
      </c>
      <c r="K215" s="22" t="str">
        <f aca="false">VLOOKUP(H215,COLOR_EFFECTS,2,0)</f>
        <v>Wiederholung</v>
      </c>
      <c r="L215" s="22" t="str">
        <f aca="false">VLOOKUP(H215,COLOR_EFFECTS,3,0)</f>
        <v>Aktion</v>
      </c>
      <c r="M215" s="3" t="str">
        <f aca="false">E215&amp;" "&amp;K215</f>
        <v>Neptun Wiederholung</v>
      </c>
      <c r="N215" s="22" t="str">
        <f aca="false">G215 &amp; H215</f>
        <v>♆🔂</v>
      </c>
      <c r="O215" s="24" t="str">
        <f aca="false">VLOOKUP(H215,COLOR_EFFECTS,4,0)</f>
        <v>Ein weiterer Zug</v>
      </c>
    </row>
    <row r="216" customFormat="false" ht="13.8" hidden="false" customHeight="false" outlineLevel="0" collapsed="false">
      <c r="A216" s="1" t="n">
        <v>1</v>
      </c>
      <c r="B216" s="2" t="s">
        <v>41</v>
      </c>
      <c r="C216" s="3" t="str">
        <f aca="false">VLOOKUP(B216,CARD_COLORS,5,0)</f>
        <v>#0000CC</v>
      </c>
      <c r="D216" s="22" t="str">
        <f aca="false">VLOOKUP(B216,CARD_COLORS,2,0)</f>
        <v>Blau</v>
      </c>
      <c r="E216" s="22" t="str">
        <f aca="false">VLOOKUP(B216,CARD_COLORS,3,0)</f>
        <v>Neptun</v>
      </c>
      <c r="F216" s="23" t="str">
        <f aca="false">"Planets\" &amp; VLOOKUP(B216,CARD_COLORS,4,0) &amp; ".png"</f>
        <v>Planets\Neptune.png</v>
      </c>
      <c r="G216" s="22" t="str">
        <f aca="false">VLOOKUP(B216,CARD_COLORS,6,0)</f>
        <v>♆</v>
      </c>
      <c r="H216" s="12" t="s">
        <v>31</v>
      </c>
      <c r="I216" s="22" t="str">
        <f aca="false">IFERROR(MID(H216,SEARCH("+",H216),2),IFERROR(MID(H216,SEARCH("-",H216),2),IF(ISNUMBER(H216),H216,"")))</f>
        <v/>
      </c>
      <c r="J216" s="14" t="s">
        <v>32</v>
      </c>
      <c r="K216" s="22" t="str">
        <f aca="false">VLOOKUP(H216,COLOR_EFFECTS,2,0)</f>
        <v>Eis</v>
      </c>
      <c r="L216" s="22" t="str">
        <f aca="false">VLOOKUP(H216,COLOR_EFFECTS,3,0)</f>
        <v>Aktion</v>
      </c>
      <c r="M216" s="3" t="str">
        <f aca="false">E216&amp;" "&amp;K216</f>
        <v>Neptun Eis</v>
      </c>
      <c r="N216" s="22" t="str">
        <f aca="false">G216 &amp; H216</f>
        <v>♆❄️</v>
      </c>
      <c r="O216" s="24" t="str">
        <f aca="false">VLOOKUP(H216,COLOR_EFFECTS,4,0)</f>
        <v>Farbe muss für eine komplette Runde beibehalten werden</v>
      </c>
    </row>
    <row r="217" customFormat="false" ht="13.8" hidden="false" customHeight="false" outlineLevel="0" collapsed="false">
      <c r="A217" s="1" t="n">
        <v>1</v>
      </c>
      <c r="B217" s="2" t="s">
        <v>41</v>
      </c>
      <c r="C217" s="3" t="str">
        <f aca="false">VLOOKUP(B217,CARD_COLORS,5,0)</f>
        <v>#0000CC</v>
      </c>
      <c r="D217" s="22" t="str">
        <f aca="false">VLOOKUP(B217,CARD_COLORS,2,0)</f>
        <v>Blau</v>
      </c>
      <c r="E217" s="22" t="str">
        <f aca="false">VLOOKUP(B217,CARD_COLORS,3,0)</f>
        <v>Neptun</v>
      </c>
      <c r="F217" s="23" t="str">
        <f aca="false">"Planets\" &amp; VLOOKUP(B217,CARD_COLORS,4,0) &amp; ".png"</f>
        <v>Planets\Neptune.png</v>
      </c>
      <c r="G217" s="22" t="str">
        <f aca="false">VLOOKUP(B217,CARD_COLORS,6,0)</f>
        <v>♆</v>
      </c>
      <c r="H217" s="12" t="s">
        <v>34</v>
      </c>
      <c r="I217" s="22" t="str">
        <f aca="false">IFERROR(MID(H217,SEARCH("+",H217),2),IFERROR(MID(H217,SEARCH("-",H217),2),IF(ISNUMBER(H217),H217,"")))</f>
        <v/>
      </c>
      <c r="J217" s="14" t="s">
        <v>35</v>
      </c>
      <c r="K217" s="22" t="str">
        <f aca="false">VLOOKUP(H217,COLOR_EFFECTS,2,0)</f>
        <v>Feuer</v>
      </c>
      <c r="L217" s="22" t="str">
        <f aca="false">VLOOKUP(H217,COLOR_EFFECTS,3,0)</f>
        <v>Aktion</v>
      </c>
      <c r="M217" s="3" t="str">
        <f aca="false">E217&amp;" "&amp;K217</f>
        <v>Neptun Feuer</v>
      </c>
      <c r="N217" s="22" t="str">
        <f aca="false">G217 &amp; H217</f>
        <v>♆🔥</v>
      </c>
      <c r="O217" s="24" t="str">
        <f aca="false">VLOOKUP(H217,COLOR_EFFECTS,4,0)</f>
        <v>Farbe darf bis zur nächsten Runde nicht gespielt werden</v>
      </c>
    </row>
    <row r="218" customFormat="false" ht="13.8" hidden="false" customHeight="false" outlineLevel="0" collapsed="false">
      <c r="A218" s="1" t="n">
        <v>1</v>
      </c>
      <c r="B218" s="2" t="s">
        <v>41</v>
      </c>
      <c r="C218" s="3" t="str">
        <f aca="false">VLOOKUP(B218,CARD_COLORS,5,0)</f>
        <v>#0000CC</v>
      </c>
      <c r="D218" s="22" t="str">
        <f aca="false">VLOOKUP(B218,CARD_COLORS,2,0)</f>
        <v>Blau</v>
      </c>
      <c r="E218" s="22" t="str">
        <f aca="false">VLOOKUP(B218,CARD_COLORS,3,0)</f>
        <v>Neptun</v>
      </c>
      <c r="F218" s="23" t="str">
        <f aca="false">"Planets\" &amp; VLOOKUP(B218,CARD_COLORS,4,0) &amp; ".png"</f>
        <v>Planets\Neptune.png</v>
      </c>
      <c r="G218" s="22" t="str">
        <f aca="false">VLOOKUP(B218,CARD_COLORS,6,0)</f>
        <v>♆</v>
      </c>
      <c r="H218" s="12" t="s">
        <v>37</v>
      </c>
      <c r="I218" s="22" t="str">
        <f aca="false">IFERROR(MID(H218,SEARCH("+",H218),2),IFERROR(MID(H218,SEARCH("-",H218),2),IF(ISNUMBER(H218),H218,"")))</f>
        <v/>
      </c>
      <c r="J218" s="14" t="s">
        <v>38</v>
      </c>
      <c r="K218" s="22" t="str">
        <f aca="false">VLOOKUP(H218,COLOR_EFFECTS,2,0)</f>
        <v>Fokus</v>
      </c>
      <c r="L218" s="22" t="str">
        <f aca="false">VLOOKUP(H218,COLOR_EFFECTS,3,0)</f>
        <v>Aktion</v>
      </c>
      <c r="M218" s="3" t="str">
        <f aca="false">E218&amp;" "&amp;K218</f>
        <v>Neptun Fokus</v>
      </c>
      <c r="N218" s="22" t="str">
        <f aca="false">G218 &amp; H218</f>
        <v>♆🎯</v>
      </c>
      <c r="O218" s="24" t="str">
        <f aca="false">VLOOKUP(H218,COLOR_EFFECTS,4,0)</f>
        <v>Wähle den nächsten Spieler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7" width="11.43"/>
    <col collapsed="false" customWidth="true" hidden="false" outlineLevel="0" max="2" min="2" style="7" width="19.86"/>
    <col collapsed="false" customWidth="true" hidden="false" outlineLevel="0" max="3" min="3" style="7" width="6.09"/>
    <col collapsed="false" customWidth="true" hidden="false" outlineLevel="0" max="4" min="4" style="18" width="2.42"/>
    <col collapsed="false" customWidth="false" hidden="false" outlineLevel="0" max="5" min="5" style="7" width="11.43"/>
    <col collapsed="false" customWidth="true" hidden="false" outlineLevel="0" max="6" min="6" style="18" width="12.15"/>
    <col collapsed="false" customWidth="true" hidden="false" outlineLevel="0" max="7" min="7" style="18" width="23.93"/>
    <col collapsed="false" customWidth="true" hidden="false" outlineLevel="0" max="8" min="8" style="18" width="28"/>
    <col collapsed="false" customWidth="true" hidden="false" outlineLevel="0" max="9" min="9" style="7" width="67.54"/>
    <col collapsed="false" customWidth="false" hidden="false" outlineLevel="0" max="11" min="10" style="7" width="11.43"/>
    <col collapsed="false" customWidth="false" hidden="false" outlineLevel="0" max="12" min="12" style="18" width="11.43"/>
    <col collapsed="false" customWidth="true" hidden="false" outlineLevel="0" max="13" min="13" style="7" width="29.14"/>
    <col collapsed="false" customWidth="false" hidden="false" outlineLevel="0" max="14" min="14" style="7" width="11.43"/>
    <col collapsed="false" customWidth="false" hidden="false" outlineLevel="0" max="15" min="15" style="18" width="11.43"/>
    <col collapsed="false" customWidth="false" hidden="false" outlineLevel="0" max="16384" min="16" style="7" width="11.43"/>
  </cols>
  <sheetData>
    <row r="1" customFormat="false" ht="13.8" hidden="false" customHeight="false" outlineLevel="0" collapsed="false">
      <c r="A1" s="25"/>
      <c r="B1" s="25"/>
      <c r="C1" s="25"/>
      <c r="D1" s="25"/>
      <c r="F1" s="25"/>
      <c r="G1" s="25"/>
      <c r="H1" s="25"/>
      <c r="I1" s="25"/>
    </row>
    <row r="2" customFormat="false" ht="13.8" hidden="false" customHeight="false" outlineLevel="0" collapsed="false">
      <c r="A2" s="25"/>
      <c r="B2" s="29" t="s">
        <v>64</v>
      </c>
      <c r="C2" s="30" t="s">
        <v>65</v>
      </c>
      <c r="D2" s="31" t="n">
        <f aca="false">MATCH(CURRENT_CULTURE,CULTURES)</f>
        <v>1</v>
      </c>
      <c r="F2" s="25"/>
      <c r="G2" s="25"/>
      <c r="H2" s="25"/>
      <c r="I2" s="25"/>
    </row>
    <row r="3" customFormat="false" ht="13.8" hidden="false" customHeight="false" outlineLevel="0" collapsed="false">
      <c r="A3" s="25"/>
      <c r="B3" s="25"/>
      <c r="C3" s="25"/>
      <c r="D3" s="25"/>
      <c r="F3" s="25"/>
      <c r="G3" s="25"/>
      <c r="H3" s="25"/>
      <c r="I3" s="25"/>
    </row>
    <row r="4" customFormat="false" ht="13.8" hidden="false" customHeight="false" outlineLevel="0" collapsed="false">
      <c r="A4" s="25"/>
      <c r="B4" s="25"/>
      <c r="C4" s="25"/>
      <c r="D4" s="25"/>
      <c r="F4" s="25"/>
      <c r="G4" s="25"/>
      <c r="H4" s="25"/>
      <c r="I4" s="25"/>
    </row>
    <row r="5" customFormat="false" ht="13.8" hidden="false" customHeight="false" outlineLevel="0" collapsed="false">
      <c r="A5" s="25"/>
      <c r="B5" s="25"/>
      <c r="C5" s="25"/>
      <c r="D5" s="25"/>
      <c r="F5" s="25"/>
      <c r="G5" s="25"/>
      <c r="H5" s="25"/>
      <c r="I5" s="25"/>
    </row>
    <row r="6" customFormat="false" ht="13.8" hidden="false" customHeight="false" outlineLevel="0" collapsed="false">
      <c r="A6" s="25"/>
      <c r="B6" s="25"/>
      <c r="C6" s="25"/>
      <c r="D6" s="25"/>
      <c r="F6" s="25"/>
      <c r="G6" s="25"/>
      <c r="H6" s="25"/>
      <c r="I6" s="25"/>
    </row>
    <row r="7" customFormat="false" ht="13.8" hidden="false" customHeight="false" outlineLevel="0" collapsed="false">
      <c r="A7" s="25"/>
      <c r="B7" s="25"/>
      <c r="C7" s="25"/>
      <c r="D7" s="25"/>
      <c r="F7" s="25"/>
      <c r="G7" s="25"/>
      <c r="H7" s="25"/>
      <c r="I7" s="25"/>
    </row>
    <row r="8" customFormat="false" ht="13.8" hidden="false" customHeight="false" outlineLevel="0" collapsed="false">
      <c r="A8" s="25"/>
      <c r="B8" s="25"/>
      <c r="C8" s="25"/>
      <c r="D8" s="25"/>
      <c r="F8" s="25"/>
      <c r="G8" s="25"/>
      <c r="H8" s="25"/>
      <c r="I8" s="25"/>
    </row>
    <row r="9" customFormat="false" ht="13.8" hidden="false" customHeight="false" outlineLevel="0" collapsed="false">
      <c r="A9" s="25"/>
      <c r="B9" s="25"/>
      <c r="C9" s="25"/>
      <c r="D9" s="25"/>
      <c r="F9" s="25"/>
      <c r="G9" s="25"/>
      <c r="H9" s="25"/>
      <c r="I9" s="25"/>
    </row>
    <row r="10" customFormat="false" ht="13.8" hidden="false" customHeight="false" outlineLevel="0" collapsed="false">
      <c r="A10" s="25"/>
      <c r="B10" s="25"/>
      <c r="C10" s="25"/>
      <c r="D10" s="25"/>
      <c r="F10" s="25"/>
      <c r="G10" s="25"/>
      <c r="H10" s="25"/>
      <c r="I10" s="25"/>
    </row>
    <row r="11" customFormat="false" ht="13.8" hidden="false" customHeight="false" outlineLevel="0" collapsed="false">
      <c r="A11" s="25"/>
      <c r="B11" s="25"/>
      <c r="C11" s="25"/>
      <c r="D11" s="25"/>
      <c r="F11" s="25"/>
      <c r="G11" s="25"/>
      <c r="H11" s="25"/>
      <c r="I11" s="25"/>
    </row>
    <row r="12" customFormat="false" ht="13.8" hidden="false" customHeight="false" outlineLevel="0" collapsed="false">
      <c r="A12" s="25"/>
      <c r="B12" s="25"/>
      <c r="C12" s="25"/>
      <c r="D12" s="25"/>
      <c r="F12" s="25"/>
      <c r="G12" s="25"/>
      <c r="H12" s="25"/>
      <c r="I12" s="25"/>
    </row>
    <row r="13" customFormat="false" ht="13.8" hidden="false" customHeight="false" outlineLevel="0" collapsed="false">
      <c r="A13" s="25"/>
      <c r="B13" s="25"/>
      <c r="C13" s="25"/>
      <c r="D13" s="25"/>
      <c r="F13" s="25"/>
      <c r="G13" s="25"/>
      <c r="H13" s="25"/>
      <c r="I13" s="25"/>
    </row>
    <row r="14" customFormat="false" ht="13.8" hidden="false" customHeight="false" outlineLevel="0" collapsed="false">
      <c r="F14" s="25"/>
      <c r="G14" s="25"/>
      <c r="H14" s="25"/>
      <c r="I14" s="25"/>
    </row>
    <row r="15" customFormat="false" ht="13.8" hidden="false" customHeight="false" outlineLevel="0" collapsed="false">
      <c r="A15" s="25"/>
      <c r="B15" s="25"/>
      <c r="C15" s="25"/>
      <c r="F15" s="25"/>
      <c r="G15" s="25"/>
      <c r="H15" s="25"/>
      <c r="I15" s="25"/>
    </row>
    <row r="16" customFormat="false" ht="13.8" hidden="false" customHeight="false" outlineLevel="0" collapsed="false">
      <c r="F16" s="25"/>
      <c r="G16" s="25"/>
      <c r="H16" s="25"/>
      <c r="I16" s="25"/>
    </row>
    <row r="17" customFormat="false" ht="13.8" hidden="false" customHeight="false" outlineLevel="0" collapsed="false">
      <c r="A17" s="25"/>
      <c r="B17" s="25"/>
      <c r="C17" s="25"/>
      <c r="F17" s="25"/>
      <c r="G17" s="25"/>
      <c r="H17" s="25"/>
      <c r="I17" s="25"/>
    </row>
    <row r="18" customFormat="false" ht="13.8" hidden="false" customHeight="false" outlineLevel="0" collapsed="false">
      <c r="A18" s="25"/>
      <c r="B18" s="25"/>
      <c r="C18" s="25"/>
      <c r="F18" s="25"/>
      <c r="G18" s="25"/>
      <c r="H18" s="25"/>
      <c r="I18" s="25"/>
    </row>
    <row r="19" customFormat="false" ht="13.8" hidden="false" customHeight="false" outlineLevel="0" collapsed="false">
      <c r="A19" s="25"/>
      <c r="B19" s="25"/>
      <c r="C19" s="25"/>
      <c r="F19" s="25"/>
      <c r="G19" s="25"/>
      <c r="H19" s="25"/>
      <c r="I19" s="25"/>
    </row>
    <row r="20" customFormat="false" ht="13.8" hidden="false" customHeight="false" outlineLevel="0" collapsed="false">
      <c r="A20" s="25"/>
      <c r="B20" s="25"/>
      <c r="C20" s="25"/>
      <c r="F20" s="25"/>
      <c r="G20" s="25"/>
      <c r="H20" s="25"/>
      <c r="I20" s="25"/>
    </row>
    <row r="21" customFormat="false" ht="13.8" hidden="false" customHeight="false" outlineLevel="0" collapsed="false">
      <c r="A21" s="25"/>
      <c r="B21" s="25"/>
      <c r="C21" s="25"/>
      <c r="F21" s="25"/>
      <c r="G21" s="25"/>
      <c r="H21" s="25"/>
      <c r="I21" s="25"/>
    </row>
    <row r="22" customFormat="false" ht="13.8" hidden="false" customHeight="false" outlineLevel="0" collapsed="false">
      <c r="A22" s="25"/>
      <c r="B22" s="25"/>
      <c r="C22" s="25"/>
      <c r="F22" s="25"/>
      <c r="G22" s="25"/>
      <c r="H22" s="25"/>
      <c r="I22" s="25"/>
    </row>
    <row r="23" customFormat="false" ht="13.8" hidden="false" customHeight="false" outlineLevel="0" collapsed="false">
      <c r="A23" s="25"/>
      <c r="B23" s="25"/>
      <c r="C23" s="25"/>
      <c r="F23" s="25"/>
      <c r="G23" s="25"/>
      <c r="H23" s="25"/>
      <c r="I23" s="25"/>
    </row>
    <row r="24" customFormat="false" ht="13.8" hidden="false" customHeight="false" outlineLevel="0" collapsed="false">
      <c r="A24" s="25"/>
      <c r="B24" s="25"/>
      <c r="C24" s="25"/>
      <c r="F24" s="25"/>
      <c r="G24" s="25"/>
      <c r="H24" s="25"/>
      <c r="I24" s="25"/>
    </row>
    <row r="25" customFormat="false" ht="13.8" hidden="false" customHeight="false" outlineLevel="0" collapsed="false">
      <c r="A25" s="25"/>
      <c r="B25" s="25"/>
      <c r="C25" s="25"/>
      <c r="F25" s="25"/>
      <c r="G25" s="25"/>
      <c r="H25" s="25"/>
      <c r="I25" s="25"/>
    </row>
    <row r="26" customFormat="false" ht="13.8" hidden="false" customHeight="false" outlineLevel="0" collapsed="false">
      <c r="A26" s="25"/>
      <c r="B26" s="25"/>
      <c r="C26" s="25"/>
      <c r="F26" s="25"/>
      <c r="G26" s="25"/>
      <c r="H26" s="25"/>
      <c r="I26" s="25"/>
    </row>
    <row r="27" customFormat="false" ht="13.8" hidden="false" customHeight="false" outlineLevel="0" collapsed="false">
      <c r="A27" s="25"/>
      <c r="B27" s="25"/>
      <c r="C27" s="25"/>
      <c r="F27" s="25"/>
      <c r="G27" s="25"/>
      <c r="H27" s="25"/>
      <c r="I27" s="25"/>
    </row>
    <row r="28" customFormat="false" ht="13.8" hidden="false" customHeight="false" outlineLevel="0" collapsed="false">
      <c r="A28" s="25"/>
      <c r="B28" s="25"/>
      <c r="C28" s="25"/>
      <c r="F28" s="25"/>
      <c r="G28" s="25"/>
      <c r="H28" s="25"/>
      <c r="I28" s="25"/>
    </row>
    <row r="29" customFormat="false" ht="13.8" hidden="false" customHeight="false" outlineLevel="0" collapsed="false">
      <c r="A29" s="25"/>
      <c r="B29" s="25"/>
      <c r="C29" s="25"/>
      <c r="F29" s="25"/>
      <c r="G29" s="25"/>
      <c r="H29" s="25"/>
      <c r="I29" s="25"/>
    </row>
    <row r="30" customFormat="false" ht="13.8" hidden="false" customHeight="false" outlineLevel="0" collapsed="false">
      <c r="A30" s="25"/>
      <c r="B30" s="25"/>
      <c r="C30" s="25"/>
      <c r="F30" s="25"/>
      <c r="G30" s="25"/>
      <c r="H30" s="25"/>
      <c r="I30" s="25"/>
    </row>
    <row r="31" customFormat="false" ht="13.8" hidden="false" customHeight="false" outlineLevel="0" collapsed="false">
      <c r="A31" s="25"/>
      <c r="B31" s="25"/>
      <c r="C31" s="25"/>
      <c r="F31" s="25"/>
      <c r="G31" s="25"/>
      <c r="H31" s="25"/>
      <c r="I31" s="25"/>
    </row>
    <row r="32" customFormat="false" ht="13.8" hidden="false" customHeight="false" outlineLevel="0" collapsed="false">
      <c r="A32" s="25"/>
      <c r="B32" s="25"/>
      <c r="C32" s="25"/>
    </row>
    <row r="33" customFormat="false" ht="13.8" hidden="false" customHeight="false" outlineLevel="0" collapsed="false">
      <c r="A33" s="25"/>
      <c r="B33" s="25"/>
      <c r="C33" s="25"/>
    </row>
    <row r="34" customFormat="false" ht="13.8" hidden="false" customHeight="false" outlineLevel="0" collapsed="false">
      <c r="A34" s="25"/>
      <c r="B34" s="25"/>
      <c r="C34" s="25"/>
    </row>
    <row r="35" customFormat="false" ht="13.8" hidden="false" customHeight="false" outlineLevel="0" collapsed="false">
      <c r="A35" s="25"/>
      <c r="B35" s="25"/>
      <c r="C35" s="25"/>
    </row>
    <row r="36" customFormat="false" ht="13.8" hidden="false" customHeight="false" outlineLevel="0" collapsed="false">
      <c r="A36" s="25"/>
      <c r="B36" s="25"/>
      <c r="C36" s="25"/>
    </row>
    <row r="37" customFormat="false" ht="13.8" hidden="false" customHeight="false" outlineLevel="0" collapsed="false">
      <c r="A37" s="25"/>
      <c r="B37" s="25"/>
      <c r="C37" s="25"/>
    </row>
    <row r="38" customFormat="false" ht="13.8" hidden="false" customHeight="false" outlineLevel="0" collapsed="false">
      <c r="A38" s="25"/>
      <c r="B38" s="25"/>
      <c r="C38" s="25"/>
    </row>
    <row r="39" customFormat="false" ht="13.8" hidden="false" customHeight="false" outlineLevel="0" collapsed="false">
      <c r="A39" s="25"/>
      <c r="B39" s="25"/>
      <c r="C39" s="25"/>
    </row>
    <row r="40" customFormat="false" ht="13.8" hidden="false" customHeight="false" outlineLevel="0" collapsed="false">
      <c r="A40" s="25"/>
      <c r="B40" s="25"/>
      <c r="C40" s="25"/>
    </row>
    <row r="41" customFormat="false" ht="13.8" hidden="false" customHeight="false" outlineLevel="0" collapsed="false">
      <c r="A41" s="25"/>
      <c r="B41" s="25"/>
      <c r="C41" s="25"/>
    </row>
    <row r="42" customFormat="false" ht="13.8" hidden="false" customHeight="false" outlineLevel="0" collapsed="false">
      <c r="A42" s="25"/>
      <c r="B42" s="25"/>
      <c r="C42" s="25"/>
    </row>
  </sheetData>
  <dataValidations count="1">
    <dataValidation allowBlank="false" errorStyle="stop" operator="equal" showDropDown="false" showErrorMessage="true" showInputMessage="false" sqref="C2" type="list">
      <formula1>CULTURES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3" activeCellId="0" sqref="A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5" width="12.57"/>
    <col collapsed="false" customWidth="true" hidden="false" outlineLevel="0" max="2" min="2" style="25" width="72.1"/>
    <col collapsed="false" customWidth="true" hidden="false" outlineLevel="0" max="3" min="3" style="25" width="65.69"/>
  </cols>
  <sheetData>
    <row r="1" customFormat="false" ht="13.8" hidden="false" customHeight="false" outlineLevel="0" collapsed="false">
      <c r="A1" s="32" t="s">
        <v>66</v>
      </c>
      <c r="B1" s="32" t="s">
        <v>65</v>
      </c>
      <c r="C1" s="32" t="s">
        <v>67</v>
      </c>
    </row>
    <row r="2" customFormat="false" ht="13.8" hidden="false" customHeight="false" outlineLevel="0" collapsed="false">
      <c r="A2" s="33" t="str">
        <f aca="true">OFFSET(A2,0,CURRENT_CULTURE_INDEX)</f>
        <v>Sonne</v>
      </c>
      <c r="B2" s="7" t="s">
        <v>68</v>
      </c>
      <c r="C2" s="34" t="s">
        <v>69</v>
      </c>
    </row>
    <row r="3" customFormat="false" ht="13.8" hidden="false" customHeight="false" outlineLevel="0" collapsed="false">
      <c r="A3" s="33" t="str">
        <f aca="true">OFFSET(A3,0,CURRENT_CULTURE_INDEX)</f>
        <v>Merkur</v>
      </c>
      <c r="B3" s="7" t="s">
        <v>70</v>
      </c>
      <c r="C3" s="34" t="s">
        <v>71</v>
      </c>
    </row>
    <row r="4" customFormat="false" ht="13.8" hidden="false" customHeight="false" outlineLevel="0" collapsed="false">
      <c r="A4" s="33" t="str">
        <f aca="true">OFFSET(A4,0,CURRENT_CULTURE_INDEX)</f>
        <v>Venus</v>
      </c>
      <c r="B4" s="7" t="s">
        <v>72</v>
      </c>
      <c r="C4" s="34" t="s">
        <v>72</v>
      </c>
    </row>
    <row r="5" customFormat="false" ht="13.8" hidden="false" customHeight="false" outlineLevel="0" collapsed="false">
      <c r="A5" s="33" t="str">
        <f aca="true">OFFSET(A5,0,CURRENT_CULTURE_INDEX)</f>
        <v>Erde</v>
      </c>
      <c r="B5" s="7" t="s">
        <v>73</v>
      </c>
      <c r="C5" s="34" t="s">
        <v>74</v>
      </c>
    </row>
    <row r="6" customFormat="false" ht="13.8" hidden="false" customHeight="false" outlineLevel="0" collapsed="false">
      <c r="A6" s="33" t="str">
        <f aca="true">OFFSET(A6,0,CURRENT_CULTURE_INDEX)</f>
        <v>Mond</v>
      </c>
      <c r="B6" s="7" t="s">
        <v>75</v>
      </c>
      <c r="C6" s="34" t="s">
        <v>76</v>
      </c>
    </row>
    <row r="7" customFormat="false" ht="13.8" hidden="false" customHeight="false" outlineLevel="0" collapsed="false">
      <c r="A7" s="33" t="str">
        <f aca="true">OFFSET(A7,0,CURRENT_CULTURE_INDEX)</f>
        <v>Mars</v>
      </c>
      <c r="B7" s="7" t="s">
        <v>77</v>
      </c>
      <c r="C7" s="34" t="s">
        <v>77</v>
      </c>
    </row>
    <row r="8" customFormat="false" ht="13.8" hidden="false" customHeight="false" outlineLevel="0" collapsed="false">
      <c r="A8" s="33" t="str">
        <f aca="true">OFFSET(A8,0,CURRENT_CULTURE_INDEX)</f>
        <v>Jupiter</v>
      </c>
      <c r="B8" s="7" t="s">
        <v>78</v>
      </c>
      <c r="C8" s="34" t="s">
        <v>78</v>
      </c>
    </row>
    <row r="9" customFormat="false" ht="13.8" hidden="false" customHeight="false" outlineLevel="0" collapsed="false">
      <c r="A9" s="33" t="str">
        <f aca="true">OFFSET(A9,0,CURRENT_CULTURE_INDEX)</f>
        <v>Saturn</v>
      </c>
      <c r="B9" s="7" t="s">
        <v>79</v>
      </c>
      <c r="C9" s="34" t="s">
        <v>79</v>
      </c>
    </row>
    <row r="10" customFormat="false" ht="13.8" hidden="false" customHeight="false" outlineLevel="0" collapsed="false">
      <c r="A10" s="33" t="str">
        <f aca="true">OFFSET(A10,0,CURRENT_CULTURE_INDEX)</f>
        <v>Uranus</v>
      </c>
      <c r="B10" s="7" t="s">
        <v>80</v>
      </c>
      <c r="C10" s="34" t="s">
        <v>80</v>
      </c>
    </row>
    <row r="11" customFormat="false" ht="13.8" hidden="false" customHeight="false" outlineLevel="0" collapsed="false">
      <c r="A11" s="33" t="str">
        <f aca="true">OFFSET(A11,0,CURRENT_CULTURE_INDEX)</f>
        <v>Neptun</v>
      </c>
      <c r="B11" s="7" t="s">
        <v>81</v>
      </c>
      <c r="C11" s="34" t="s">
        <v>82</v>
      </c>
    </row>
    <row r="12" customFormat="false" ht="13.8" hidden="false" customHeight="false" outlineLevel="0" collapsed="false">
      <c r="A12" s="33" t="str">
        <f aca="true">OFFSET(A12,0,CURRENT_CULTURE_INDEX)</f>
        <v>Pluto</v>
      </c>
      <c r="B12" s="7" t="s">
        <v>83</v>
      </c>
      <c r="C12" s="34" t="s">
        <v>83</v>
      </c>
    </row>
    <row r="13" customFormat="false" ht="13.8" hidden="false" customHeight="false" outlineLevel="0" collapsed="false">
      <c r="A13" s="33" t="str">
        <f aca="true">OFFSET(A13,0,CURRENT_CULTURE_INDEX)</f>
        <v>Stern</v>
      </c>
      <c r="B13" s="7" t="s">
        <v>84</v>
      </c>
      <c r="C13" s="34" t="s">
        <v>85</v>
      </c>
    </row>
    <row r="14" customFormat="false" ht="13.8" hidden="false" customHeight="false" outlineLevel="0" collapsed="false">
      <c r="A14" s="33" t="str">
        <f aca="true">OFFSET(A14,0,CURRENT_CULTURE_INDEX)</f>
        <v>Umkehrung</v>
      </c>
      <c r="B14" s="7" t="s">
        <v>86</v>
      </c>
      <c r="C14" s="34" t="s">
        <v>87</v>
      </c>
    </row>
    <row r="15" customFormat="false" ht="13.8" hidden="false" customHeight="false" outlineLevel="0" collapsed="false">
      <c r="A15" s="33" t="str">
        <f aca="true">OFFSET(A15,0,CURRENT_CULTURE_INDEX)</f>
        <v>Blockade</v>
      </c>
      <c r="B15" s="7" t="s">
        <v>88</v>
      </c>
      <c r="C15" s="34" t="s">
        <v>89</v>
      </c>
    </row>
    <row r="16" customFormat="false" ht="13.8" hidden="false" customHeight="false" outlineLevel="0" collapsed="false">
      <c r="A16" s="33" t="str">
        <f aca="true">OFFSET(A16,0,CURRENT_CULTURE_INDEX)</f>
        <v>Wiederholung</v>
      </c>
      <c r="B16" s="7" t="s">
        <v>90</v>
      </c>
      <c r="C16" s="34" t="s">
        <v>91</v>
      </c>
    </row>
    <row r="17" customFormat="false" ht="13.8" hidden="false" customHeight="false" outlineLevel="0" collapsed="false">
      <c r="A17" s="33" t="str">
        <f aca="true">OFFSET(A17,0,CURRENT_CULTURE_INDEX)</f>
        <v>Feuer</v>
      </c>
      <c r="B17" s="7" t="s">
        <v>92</v>
      </c>
      <c r="C17" s="34" t="s">
        <v>93</v>
      </c>
    </row>
    <row r="18" customFormat="false" ht="13.8" hidden="false" customHeight="false" outlineLevel="0" collapsed="false">
      <c r="A18" s="33" t="str">
        <f aca="true">OFFSET(A18,0,CURRENT_CULTURE_INDEX)</f>
        <v>Eis</v>
      </c>
      <c r="B18" s="7" t="s">
        <v>94</v>
      </c>
      <c r="C18" s="34" t="s">
        <v>95</v>
      </c>
    </row>
    <row r="19" customFormat="false" ht="13.8" hidden="false" customHeight="false" outlineLevel="0" collapsed="false">
      <c r="A19" s="33" t="str">
        <f aca="true">OFFSET(A19,0,CURRENT_CULTURE_INDEX)</f>
        <v>Fokus</v>
      </c>
      <c r="B19" s="7" t="s">
        <v>96</v>
      </c>
      <c r="C19" s="34" t="s">
        <v>97</v>
      </c>
    </row>
    <row r="20" customFormat="false" ht="13.8" hidden="false" customHeight="false" outlineLevel="0" collapsed="false">
      <c r="A20" s="33" t="str">
        <f aca="true">OFFSET(A20,0,CURRENT_CULTURE_INDEX)</f>
        <v>Prisma</v>
      </c>
      <c r="B20" s="7" t="s">
        <v>98</v>
      </c>
      <c r="C20" s="34" t="s">
        <v>99</v>
      </c>
    </row>
    <row r="21" customFormat="false" ht="13.8" hidden="false" customHeight="false" outlineLevel="0" collapsed="false">
      <c r="A21" s="33" t="str">
        <f aca="true">OFFSET(A21,0,CURRENT_CULTURE_INDEX)</f>
        <v>Schild</v>
      </c>
      <c r="B21" s="7" t="s">
        <v>100</v>
      </c>
      <c r="C21" s="34" t="s">
        <v>101</v>
      </c>
    </row>
    <row r="22" customFormat="false" ht="13.8" hidden="false" customHeight="false" outlineLevel="0" collapsed="false">
      <c r="A22" s="33" t="str">
        <f aca="true">OFFSET(A22,0,CURRENT_CULTURE_INDEX)</f>
        <v>Spiegel</v>
      </c>
      <c r="B22" s="34" t="s">
        <v>102</v>
      </c>
      <c r="C22" s="34" t="s">
        <v>103</v>
      </c>
    </row>
    <row r="23" customFormat="false" ht="13.8" hidden="false" customHeight="false" outlineLevel="0" collapsed="false">
      <c r="A23" s="33" t="str">
        <f aca="true">OFFSET(A23,0,CURRENT_CULTURE_INDEX)</f>
        <v>Standard</v>
      </c>
      <c r="B23" s="34" t="s">
        <v>104</v>
      </c>
      <c r="C23" s="34" t="s">
        <v>105</v>
      </c>
    </row>
    <row r="24" customFormat="false" ht="13.8" hidden="false" customHeight="false" outlineLevel="0" collapsed="false">
      <c r="A24" s="33" t="str">
        <f aca="true">OFFSET(A24,0,CURRENT_CULTURE_INDEX)</f>
        <v>Falle</v>
      </c>
      <c r="B24" s="34" t="s">
        <v>106</v>
      </c>
      <c r="C24" s="34" t="s">
        <v>107</v>
      </c>
    </row>
    <row r="25" customFormat="false" ht="13.8" hidden="false" customHeight="false" outlineLevel="0" collapsed="false">
      <c r="A25" s="33" t="str">
        <f aca="true">OFFSET(A25,0,CURRENT_CULTURE_INDEX)</f>
        <v>Aktion</v>
      </c>
      <c r="B25" s="34" t="s">
        <v>108</v>
      </c>
      <c r="C25" s="34" t="s">
        <v>109</v>
      </c>
    </row>
    <row r="26" customFormat="false" ht="13.8" hidden="false" customHeight="false" outlineLevel="0" collapsed="false">
      <c r="A26" s="33" t="str">
        <f aca="true">OFFSET(A26,0,CURRENT_CULTURE_INDEX)</f>
        <v>Schutz</v>
      </c>
      <c r="B26" s="34" t="s">
        <v>110</v>
      </c>
      <c r="C26" s="34" t="s">
        <v>111</v>
      </c>
    </row>
    <row r="27" customFormat="false" ht="13.8" hidden="false" customHeight="false" outlineLevel="0" collapsed="false">
      <c r="A27" s="33" t="str">
        <f aca="true">OFFSET(A27,0,CURRENT_CULTURE_INDEX)</f>
        <v>Gelb</v>
      </c>
      <c r="B27" s="25" t="s">
        <v>112</v>
      </c>
      <c r="C27" s="34" t="s">
        <v>18</v>
      </c>
    </row>
    <row r="28" customFormat="false" ht="13.8" hidden="false" customHeight="false" outlineLevel="0" collapsed="false">
      <c r="A28" s="33" t="str">
        <f aca="true">OFFSET(A28,0,CURRENT_CULTURE_INDEX)</f>
        <v>Lila</v>
      </c>
      <c r="B28" s="25" t="s">
        <v>113</v>
      </c>
      <c r="C28" s="34" t="s">
        <v>36</v>
      </c>
    </row>
    <row r="29" customFormat="false" ht="13.8" hidden="false" customHeight="false" outlineLevel="0" collapsed="false">
      <c r="A29" s="33" t="str">
        <f aca="true">OFFSET(A29,0,CURRENT_CULTURE_INDEX)</f>
        <v>Pink</v>
      </c>
      <c r="B29" s="25" t="s">
        <v>21</v>
      </c>
      <c r="C29" s="34" t="s">
        <v>21</v>
      </c>
    </row>
    <row r="30" customFormat="false" ht="13.8" hidden="false" customHeight="false" outlineLevel="0" collapsed="false">
      <c r="A30" s="33" t="str">
        <f aca="true">OFFSET(A30,0,CURRENT_CULTURE_INDEX)</f>
        <v>Grün</v>
      </c>
      <c r="B30" s="25" t="s">
        <v>114</v>
      </c>
      <c r="C30" s="34" t="s">
        <v>24</v>
      </c>
    </row>
    <row r="31" customFormat="false" ht="13.8" hidden="false" customHeight="false" outlineLevel="0" collapsed="false">
      <c r="A31" s="33" t="str">
        <f aca="true">OFFSET(A31,0,CURRENT_CULTURE_INDEX)</f>
        <v>Grau</v>
      </c>
      <c r="B31" s="25" t="s">
        <v>115</v>
      </c>
      <c r="C31" s="34" t="s">
        <v>27</v>
      </c>
    </row>
    <row r="32" customFormat="false" ht="13.8" hidden="false" customHeight="false" outlineLevel="0" collapsed="false">
      <c r="A32" s="33" t="str">
        <f aca="true">OFFSET(A32,0,CURRENT_CULTURE_INDEX)</f>
        <v>Rot</v>
      </c>
      <c r="B32" s="25" t="s">
        <v>116</v>
      </c>
      <c r="C32" s="34" t="s">
        <v>30</v>
      </c>
    </row>
    <row r="33" customFormat="false" ht="13.8" hidden="false" customHeight="false" outlineLevel="0" collapsed="false">
      <c r="A33" s="33" t="str">
        <f aca="true">OFFSET(A33,0,CURRENT_CULTURE_INDEX)</f>
        <v>Orange</v>
      </c>
      <c r="B33" s="25" t="s">
        <v>33</v>
      </c>
      <c r="C33" s="34" t="s">
        <v>33</v>
      </c>
    </row>
    <row r="34" customFormat="false" ht="13.8" hidden="false" customHeight="false" outlineLevel="0" collapsed="false">
      <c r="A34" s="33" t="str">
        <f aca="true">OFFSET(A34,0,CURRENT_CULTURE_INDEX)</f>
        <v>Braun</v>
      </c>
      <c r="B34" s="25" t="s">
        <v>117</v>
      </c>
      <c r="C34" s="34" t="s">
        <v>19</v>
      </c>
    </row>
    <row r="35" customFormat="false" ht="13.8" hidden="false" customHeight="false" outlineLevel="0" collapsed="false">
      <c r="A35" s="33" t="str">
        <f aca="true">OFFSET(A35,0,CURRENT_CULTURE_INDEX)</f>
        <v>Türkis</v>
      </c>
      <c r="B35" s="25" t="s">
        <v>118</v>
      </c>
      <c r="C35" s="34" t="s">
        <v>39</v>
      </c>
    </row>
    <row r="36" customFormat="false" ht="13.8" hidden="false" customHeight="false" outlineLevel="0" collapsed="false">
      <c r="A36" s="33" t="str">
        <f aca="true">OFFSET(A36,0,CURRENT_CULTURE_INDEX)</f>
        <v>Blau</v>
      </c>
      <c r="B36" s="25" t="s">
        <v>119</v>
      </c>
      <c r="C36" s="34" t="s">
        <v>41</v>
      </c>
    </row>
    <row r="37" customFormat="false" ht="13.8" hidden="false" customHeight="false" outlineLevel="0" collapsed="false">
      <c r="A37" s="33" t="str">
        <f aca="true">OFFSET(A37,0,CURRENT_CULTURE_INDEX)</f>
        <v>Schwarz</v>
      </c>
      <c r="B37" s="25" t="s">
        <v>120</v>
      </c>
      <c r="C37" s="34" t="s">
        <v>42</v>
      </c>
    </row>
    <row r="38" customFormat="false" ht="13.8" hidden="false" customHeight="false" outlineLevel="0" collapsed="false">
      <c r="A38" s="33" t="str">
        <f aca="true">OFFSET(A38,0,CURRENT_CULTURE_INDEX)</f>
        <v>Weiß</v>
      </c>
      <c r="B38" s="25" t="s">
        <v>121</v>
      </c>
      <c r="C38" s="34" t="s">
        <v>55</v>
      </c>
    </row>
    <row r="39" customFormat="false" ht="13.8" hidden="false" customHeight="false" outlineLevel="0" collapsed="false">
      <c r="A39" s="33" t="str">
        <f aca="true">OFFSET(A39,0,CURRENT_CULTURE_INDEX)</f>
        <v>Nächster Spieler muss 2 Karten aufnehmen</v>
      </c>
      <c r="B39" s="25" t="s">
        <v>122</v>
      </c>
      <c r="C39" s="34" t="s">
        <v>123</v>
      </c>
    </row>
    <row r="40" customFormat="false" ht="13.8" hidden="false" customHeight="false" outlineLevel="0" collapsed="false">
      <c r="A40" s="33" t="str">
        <f aca="true">OFFSET(A40,0,CURRENT_CULTURE_INDEX)</f>
        <v>Nächster Spieler muss 3 Karten aufnehmen</v>
      </c>
      <c r="B40" s="25" t="s">
        <v>124</v>
      </c>
      <c r="C40" s="34" t="s">
        <v>125</v>
      </c>
    </row>
    <row r="41" customFormat="false" ht="13.8" hidden="false" customHeight="false" outlineLevel="0" collapsed="false">
      <c r="A41" s="33" t="str">
        <f aca="true">OFFSET(A41,0,CURRENT_CULTURE_INDEX)</f>
        <v>Spielrichtung andersherum</v>
      </c>
      <c r="B41" s="25" t="s">
        <v>126</v>
      </c>
      <c r="C41" s="34" t="s">
        <v>127</v>
      </c>
    </row>
    <row r="42" customFormat="false" ht="13.8" hidden="false" customHeight="false" outlineLevel="0" collapsed="false">
      <c r="A42" s="33" t="str">
        <f aca="true">OFFSET(A42,0,CURRENT_CULTURE_INDEX)</f>
        <v>Nächster Spieler muss aussetzen</v>
      </c>
      <c r="B42" s="25" t="s">
        <v>128</v>
      </c>
      <c r="C42" s="34" t="s">
        <v>129</v>
      </c>
    </row>
    <row r="43" customFormat="false" ht="13.8" hidden="false" customHeight="false" outlineLevel="0" collapsed="false">
      <c r="A43" s="33" t="str">
        <f aca="true">OFFSET(A43,0,CURRENT_CULTURE_INDEX)</f>
        <v>Ein weiterer Zug</v>
      </c>
      <c r="B43" s="25" t="s">
        <v>130</v>
      </c>
      <c r="C43" s="34" t="s">
        <v>131</v>
      </c>
    </row>
    <row r="44" customFormat="false" ht="13.8" hidden="false" customHeight="false" outlineLevel="0" collapsed="false">
      <c r="A44" s="33" t="str">
        <f aca="true">OFFSET(A44,0,CURRENT_CULTURE_INDEX)</f>
        <v>Farbe muss für eine komplette Runde beibehalten werden</v>
      </c>
      <c r="B44" s="25" t="s">
        <v>132</v>
      </c>
      <c r="C44" s="34" t="s">
        <v>133</v>
      </c>
    </row>
    <row r="45" customFormat="false" ht="13.8" hidden="false" customHeight="false" outlineLevel="0" collapsed="false">
      <c r="A45" s="33" t="str">
        <f aca="true">OFFSET(A45,0,CURRENT_CULTURE_INDEX)</f>
        <v>Farbe darf bis zur nächsten Runde nicht gespielt werden</v>
      </c>
      <c r="B45" s="25" t="s">
        <v>134</v>
      </c>
      <c r="C45" s="34" t="s">
        <v>135</v>
      </c>
    </row>
    <row r="46" customFormat="false" ht="13.8" hidden="false" customHeight="false" outlineLevel="0" collapsed="false">
      <c r="A46" s="33" t="str">
        <f aca="true">OFFSET(A46,0,CURRENT_CULTURE_INDEX)</f>
        <v>Wähle den nächsten Spieler</v>
      </c>
      <c r="B46" s="25" t="s">
        <v>136</v>
      </c>
      <c r="C46" s="34" t="s">
        <v>137</v>
      </c>
    </row>
    <row r="47" customFormat="false" ht="13.8" hidden="false" customHeight="false" outlineLevel="0" collapsed="false">
      <c r="A47" s="33" t="str">
        <f aca="true">OFFSET(A47,0,CURRENT_CULTURE_INDEX)</f>
        <v>Wähle eine Farbe</v>
      </c>
      <c r="B47" s="25" t="s">
        <v>138</v>
      </c>
      <c r="C47" s="34" t="s">
        <v>139</v>
      </c>
    </row>
    <row r="48" customFormat="false" ht="13.8" hidden="false" customHeight="false" outlineLevel="0" collapsed="false">
      <c r="A48" s="33" t="str">
        <f aca="true">OFFSET(A48,0,CURRENT_CULTURE_INDEX)</f>
        <v>Nächster Spieler muss 4 Karten aufnehmen, Wähle eine Farbe</v>
      </c>
      <c r="B48" s="35" t="s">
        <v>140</v>
      </c>
      <c r="C48" s="34" t="s">
        <v>141</v>
      </c>
    </row>
    <row r="49" customFormat="false" ht="13.8" hidden="false" customHeight="false" outlineLevel="0" collapsed="false">
      <c r="A49" s="33" t="str">
        <f aca="true">OFFSET(A49,0,CURRENT_CULTURE_INDEX)</f>
        <v>Nächster Spieler muss aussetzen, Wähle eine Farbe</v>
      </c>
      <c r="B49" s="35" t="s">
        <v>142</v>
      </c>
      <c r="C49" s="34" t="s">
        <v>143</v>
      </c>
    </row>
    <row r="50" customFormat="false" ht="13.8" hidden="false" customHeight="false" outlineLevel="0" collapsed="false">
      <c r="A50" s="33" t="str">
        <f aca="true">OFFSET(A50,0,CURRENT_CULTURE_INDEX)</f>
        <v>Spielrichtung andersherum, Wähle eine Farbe</v>
      </c>
      <c r="B50" s="35" t="s">
        <v>144</v>
      </c>
      <c r="C50" s="34" t="s">
        <v>145</v>
      </c>
    </row>
    <row r="51" customFormat="false" ht="13.8" hidden="false" customHeight="false" outlineLevel="0" collapsed="false">
      <c r="A51" s="33" t="str">
        <f aca="true">OFFSET(A51,0,CURRENT_CULTURE_INDEX)</f>
        <v>Spielrichtung andersherum, Nächster Spieler muss 4 Karten aufnehmen, Wähle eine Farbe</v>
      </c>
      <c r="B51" s="35" t="s">
        <v>146</v>
      </c>
      <c r="C51" s="34" t="s">
        <v>147</v>
      </c>
    </row>
    <row r="52" customFormat="false" ht="13.8" hidden="false" customHeight="false" outlineLevel="0" collapsed="false">
      <c r="A52" s="33" t="str">
        <f aca="true">OFFSET(A52,0,CURRENT_CULTURE_INDEX)</f>
        <v>Spielrichtung andersherum, Nächster Spieler muss aussetzen, Wähle eine Farbe</v>
      </c>
      <c r="B52" s="35" t="s">
        <v>148</v>
      </c>
      <c r="C52" s="34" t="s">
        <v>149</v>
      </c>
    </row>
    <row r="53" customFormat="false" ht="13.8" hidden="false" customHeight="false" outlineLevel="0" collapsed="false">
      <c r="A53" s="33" t="str">
        <f aca="true">OFFSET(A53,0,CURRENT_CULTURE_INDEX)</f>
        <v>Ein ausgesuchter Spieler muss 2 Karten ziehen, Wähle eine Farbe</v>
      </c>
      <c r="B53" s="35" t="s">
        <v>150</v>
      </c>
      <c r="C53" s="34" t="s">
        <v>151</v>
      </c>
    </row>
    <row r="54" customFormat="false" ht="13.8" hidden="false" customHeight="false" outlineLevel="0" collapsed="false">
      <c r="A54" s="33" t="str">
        <f aca="true">OFFSET(A54,0,CURRENT_CULTURE_INDEX)</f>
        <v>Alle Effekte werden aufgehoben</v>
      </c>
      <c r="B54" s="25" t="s">
        <v>152</v>
      </c>
      <c r="C54" s="34" t="s">
        <v>153</v>
      </c>
    </row>
    <row r="55" customFormat="false" ht="13.8" hidden="false" customHeight="false" outlineLevel="0" collapsed="false">
      <c r="A55" s="33" t="str">
        <f aca="true">OFFSET(A55,0,CURRENT_CULTURE_INDEX)</f>
        <v>Alle Effekte treffen den vorherigen Spieler</v>
      </c>
      <c r="B55" s="25" t="s">
        <v>154</v>
      </c>
      <c r="C55" s="34" t="s">
        <v>155</v>
      </c>
    </row>
    <row r="56" customFormat="false" ht="13.8" hidden="false" customHeight="false" outlineLevel="0" collapsed="false">
      <c r="A56" s="33" t="str">
        <f aca="true">OFFSET(A56,0,CURRENT_CULTURE_INDEX)</f>
        <v>Alle Effekte treffen einen ausgesuchten Spieler</v>
      </c>
      <c r="B56" s="35" t="s">
        <v>156</v>
      </c>
      <c r="C56" s="34" t="s">
        <v>157</v>
      </c>
    </row>
    <row r="57" customFormat="false" ht="13.8" hidden="false" customHeight="false" outlineLevel="0" collapsed="false">
      <c r="A57" s="33" t="str">
        <f aca="true">OFFSET(A57,0,CURRENT_CULTURE_INDEX)</f>
        <v>Werfe 3 Karten ab</v>
      </c>
      <c r="B57" s="25" t="s">
        <v>158</v>
      </c>
      <c r="C57" s="34" t="s">
        <v>159</v>
      </c>
    </row>
    <row r="58" customFormat="false" ht="13.8" hidden="false" customHeight="false" outlineLevel="0" collapsed="false">
      <c r="A58" s="33" t="str">
        <f aca="true">OFFSET(A58,0,CURRENT_CULTURE_INDEX)</f>
        <v>Werfe 4 Karten ab</v>
      </c>
      <c r="B58" s="25" t="s">
        <v>160</v>
      </c>
      <c r="C58" s="34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32" t="s">
        <v>1</v>
      </c>
      <c r="B1" s="32" t="s">
        <v>162</v>
      </c>
      <c r="C1" s="32" t="s">
        <v>4</v>
      </c>
      <c r="D1" s="32" t="s">
        <v>163</v>
      </c>
      <c r="E1" s="32" t="s">
        <v>164</v>
      </c>
      <c r="F1" s="36" t="s">
        <v>6</v>
      </c>
    </row>
    <row r="2" customFormat="false" ht="13.8" hidden="false" customHeight="false" outlineLevel="0" collapsed="false">
      <c r="A2" s="34" t="s">
        <v>18</v>
      </c>
      <c r="B2" s="34" t="str">
        <f aca="false">RES_YELLOW</f>
        <v>Gelb</v>
      </c>
      <c r="C2" s="7" t="str">
        <f aca="false">RES_SUN</f>
        <v>Sonne</v>
      </c>
      <c r="D2" s="7" t="s">
        <v>69</v>
      </c>
      <c r="E2" s="7" t="s">
        <v>165</v>
      </c>
      <c r="F2" s="37" t="s">
        <v>166</v>
      </c>
    </row>
    <row r="3" customFormat="false" ht="13.8" hidden="false" customHeight="false" outlineLevel="0" collapsed="false">
      <c r="A3" s="34" t="s">
        <v>36</v>
      </c>
      <c r="B3" s="34" t="str">
        <f aca="false">RES_PURPLE</f>
        <v>Lila</v>
      </c>
      <c r="C3" s="7" t="str">
        <f aca="false">RES_MERCURY</f>
        <v>Merkur</v>
      </c>
      <c r="D3" s="7" t="s">
        <v>71</v>
      </c>
      <c r="E3" s="7" t="s">
        <v>167</v>
      </c>
      <c r="F3" s="37" t="s">
        <v>168</v>
      </c>
    </row>
    <row r="4" customFormat="false" ht="13.8" hidden="false" customHeight="false" outlineLevel="0" collapsed="false">
      <c r="A4" s="34" t="s">
        <v>21</v>
      </c>
      <c r="B4" s="34" t="str">
        <f aca="false">RES_PINK</f>
        <v>Pink</v>
      </c>
      <c r="C4" s="7" t="str">
        <f aca="false">RES_VENUS</f>
        <v>Venus</v>
      </c>
      <c r="D4" s="7" t="s">
        <v>72</v>
      </c>
      <c r="E4" s="7" t="s">
        <v>169</v>
      </c>
      <c r="F4" s="37" t="s">
        <v>170</v>
      </c>
    </row>
    <row r="5" customFormat="false" ht="13.8" hidden="false" customHeight="false" outlineLevel="0" collapsed="false">
      <c r="A5" s="34" t="s">
        <v>24</v>
      </c>
      <c r="B5" s="34" t="str">
        <f aca="false">RES_GREEN</f>
        <v>Grün</v>
      </c>
      <c r="C5" s="7" t="str">
        <f aca="false">RES_EARTH</f>
        <v>Erde</v>
      </c>
      <c r="D5" s="7" t="s">
        <v>74</v>
      </c>
      <c r="E5" s="7" t="s">
        <v>171</v>
      </c>
      <c r="F5" s="37" t="s">
        <v>172</v>
      </c>
    </row>
    <row r="6" customFormat="false" ht="13.8" hidden="false" customHeight="false" outlineLevel="0" collapsed="false">
      <c r="A6" s="34" t="s">
        <v>27</v>
      </c>
      <c r="B6" s="34" t="str">
        <f aca="false">RES_GRAY</f>
        <v>Grau</v>
      </c>
      <c r="C6" s="7" t="str">
        <f aca="false">RES_MOON</f>
        <v>Mond</v>
      </c>
      <c r="D6" s="7" t="s">
        <v>76</v>
      </c>
      <c r="E6" s="7" t="s">
        <v>173</v>
      </c>
      <c r="F6" s="37" t="s">
        <v>174</v>
      </c>
    </row>
    <row r="7" customFormat="false" ht="13.8" hidden="false" customHeight="false" outlineLevel="0" collapsed="false">
      <c r="A7" s="34" t="s">
        <v>30</v>
      </c>
      <c r="B7" s="34" t="str">
        <f aca="false">RES_RED</f>
        <v>Rot</v>
      </c>
      <c r="C7" s="7" t="str">
        <f aca="false">RES_MARS</f>
        <v>Mars</v>
      </c>
      <c r="D7" s="7" t="s">
        <v>77</v>
      </c>
      <c r="E7" s="7" t="s">
        <v>175</v>
      </c>
      <c r="F7" s="37" t="s">
        <v>176</v>
      </c>
    </row>
    <row r="8" customFormat="false" ht="13.8" hidden="false" customHeight="false" outlineLevel="0" collapsed="false">
      <c r="A8" s="34" t="s">
        <v>33</v>
      </c>
      <c r="B8" s="34" t="str">
        <f aca="false">RES_ORANGE</f>
        <v>Orange</v>
      </c>
      <c r="C8" s="7" t="str">
        <f aca="false">RES_JUPITER</f>
        <v>Jupiter</v>
      </c>
      <c r="D8" s="7" t="s">
        <v>78</v>
      </c>
      <c r="E8" s="7" t="s">
        <v>177</v>
      </c>
      <c r="F8" s="37" t="s">
        <v>178</v>
      </c>
    </row>
    <row r="9" customFormat="false" ht="13.8" hidden="false" customHeight="false" outlineLevel="0" collapsed="false">
      <c r="A9" s="34" t="s">
        <v>19</v>
      </c>
      <c r="B9" s="34" t="str">
        <f aca="false">RES_BROWN</f>
        <v>Braun</v>
      </c>
      <c r="C9" s="7" t="str">
        <f aca="false">RES_SATURN</f>
        <v>Saturn</v>
      </c>
      <c r="D9" s="7" t="s">
        <v>79</v>
      </c>
      <c r="E9" s="7" t="s">
        <v>179</v>
      </c>
      <c r="F9" s="37" t="s">
        <v>180</v>
      </c>
    </row>
    <row r="10" customFormat="false" ht="13.8" hidden="false" customHeight="false" outlineLevel="0" collapsed="false">
      <c r="A10" s="34" t="s">
        <v>39</v>
      </c>
      <c r="B10" s="34" t="str">
        <f aca="false">RES_CYAN</f>
        <v>Türkis</v>
      </c>
      <c r="C10" s="7" t="str">
        <f aca="false">RES_URANUS</f>
        <v>Uranus</v>
      </c>
      <c r="D10" s="7" t="s">
        <v>80</v>
      </c>
      <c r="E10" s="7" t="s">
        <v>181</v>
      </c>
      <c r="F10" s="37" t="s">
        <v>182</v>
      </c>
    </row>
    <row r="11" customFormat="false" ht="13.8" hidden="false" customHeight="false" outlineLevel="0" collapsed="false">
      <c r="A11" s="34" t="s">
        <v>41</v>
      </c>
      <c r="B11" s="34" t="str">
        <f aca="false">RES_BLUE</f>
        <v>Blau</v>
      </c>
      <c r="C11" s="7" t="str">
        <f aca="false">RES_NEPTUNE</f>
        <v>Neptun</v>
      </c>
      <c r="D11" s="7" t="s">
        <v>82</v>
      </c>
      <c r="E11" s="7" t="s">
        <v>183</v>
      </c>
      <c r="F11" s="37" t="s">
        <v>184</v>
      </c>
    </row>
    <row r="12" customFormat="false" ht="13.8" hidden="false" customHeight="false" outlineLevel="0" collapsed="false">
      <c r="A12" s="34" t="s">
        <v>42</v>
      </c>
      <c r="B12" s="34" t="str">
        <f aca="false">RES_BLACK</f>
        <v>Schwarz</v>
      </c>
      <c r="C12" s="7" t="str">
        <f aca="false">RES_PLUTO</f>
        <v>Pluto</v>
      </c>
      <c r="D12" s="7" t="s">
        <v>83</v>
      </c>
      <c r="E12" s="7" t="s">
        <v>185</v>
      </c>
      <c r="F12" s="37" t="s">
        <v>186</v>
      </c>
    </row>
    <row r="13" customFormat="false" ht="13.8" hidden="false" customHeight="false" outlineLevel="0" collapsed="false">
      <c r="A13" s="34" t="s">
        <v>55</v>
      </c>
      <c r="B13" s="34" t="str">
        <f aca="false">RES_WHITE</f>
        <v>Weiß</v>
      </c>
      <c r="C13" s="34" t="str">
        <f aca="false">RES_STAR</f>
        <v>Stern</v>
      </c>
      <c r="D13" s="34" t="s">
        <v>85</v>
      </c>
      <c r="E13" s="34" t="s">
        <v>187</v>
      </c>
      <c r="F13" s="37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5" width="23.93"/>
    <col collapsed="false" customWidth="true" hidden="false" outlineLevel="0" max="4" min="4" style="25" width="65.69"/>
  </cols>
  <sheetData>
    <row r="1" customFormat="false" ht="13.8" hidden="false" customHeight="false" outlineLevel="0" collapsed="false">
      <c r="A1" s="38" t="s">
        <v>6</v>
      </c>
      <c r="B1" s="39" t="s">
        <v>12</v>
      </c>
      <c r="C1" s="39" t="s">
        <v>11</v>
      </c>
      <c r="D1" s="40" t="s">
        <v>14</v>
      </c>
    </row>
    <row r="2" customFormat="false" ht="13.8" hidden="false" customHeight="false" outlineLevel="0" collapsed="false">
      <c r="A2" s="41" t="n">
        <v>0</v>
      </c>
      <c r="B2" s="18" t="s">
        <v>189</v>
      </c>
      <c r="C2" s="20" t="str">
        <f aca="false">RES_NORMAL</f>
        <v>Standard</v>
      </c>
      <c r="D2" s="42" t="s">
        <v>190</v>
      </c>
    </row>
    <row r="3" customFormat="false" ht="13.8" hidden="false" customHeight="false" outlineLevel="0" collapsed="false">
      <c r="A3" s="41" t="n">
        <v>1</v>
      </c>
      <c r="B3" s="18" t="s">
        <v>191</v>
      </c>
      <c r="C3" s="20" t="str">
        <f aca="false">RES_NORMAL</f>
        <v>Standard</v>
      </c>
      <c r="D3" s="42" t="s">
        <v>190</v>
      </c>
    </row>
    <row r="4" customFormat="false" ht="13.8" hidden="false" customHeight="false" outlineLevel="0" collapsed="false">
      <c r="A4" s="41" t="n">
        <v>2</v>
      </c>
      <c r="B4" s="18" t="s">
        <v>192</v>
      </c>
      <c r="C4" s="20" t="str">
        <f aca="false">RES_NORMAL</f>
        <v>Standard</v>
      </c>
      <c r="D4" s="42" t="s">
        <v>190</v>
      </c>
    </row>
    <row r="5" customFormat="false" ht="13.8" hidden="false" customHeight="false" outlineLevel="0" collapsed="false">
      <c r="A5" s="41" t="n">
        <v>3</v>
      </c>
      <c r="B5" s="18" t="s">
        <v>193</v>
      </c>
      <c r="C5" s="20" t="str">
        <f aca="false">RES_NORMAL</f>
        <v>Standard</v>
      </c>
      <c r="D5" s="42" t="s">
        <v>190</v>
      </c>
    </row>
    <row r="6" customFormat="false" ht="13.8" hidden="false" customHeight="false" outlineLevel="0" collapsed="false">
      <c r="A6" s="41" t="n">
        <v>4</v>
      </c>
      <c r="B6" s="18" t="s">
        <v>194</v>
      </c>
      <c r="C6" s="20" t="str">
        <f aca="false">RES_NORMAL</f>
        <v>Standard</v>
      </c>
      <c r="D6" s="42" t="s">
        <v>190</v>
      </c>
    </row>
    <row r="7" customFormat="false" ht="13.8" hidden="false" customHeight="false" outlineLevel="0" collapsed="false">
      <c r="A7" s="41" t="n">
        <v>5</v>
      </c>
      <c r="B7" s="18" t="s">
        <v>195</v>
      </c>
      <c r="C7" s="20" t="str">
        <f aca="false">RES_NORMAL</f>
        <v>Standard</v>
      </c>
      <c r="D7" s="42" t="s">
        <v>190</v>
      </c>
    </row>
    <row r="8" customFormat="false" ht="13.8" hidden="false" customHeight="false" outlineLevel="0" collapsed="false">
      <c r="A8" s="41" t="n">
        <v>6</v>
      </c>
      <c r="B8" s="18" t="s">
        <v>196</v>
      </c>
      <c r="C8" s="20" t="str">
        <f aca="false">RES_NORMAL</f>
        <v>Standard</v>
      </c>
      <c r="D8" s="42" t="s">
        <v>190</v>
      </c>
    </row>
    <row r="9" customFormat="false" ht="13.8" hidden="false" customHeight="false" outlineLevel="0" collapsed="false">
      <c r="A9" s="41" t="n">
        <v>7</v>
      </c>
      <c r="B9" s="18" t="s">
        <v>197</v>
      </c>
      <c r="C9" s="20" t="str">
        <f aca="false">RES_NORMAL</f>
        <v>Standard</v>
      </c>
      <c r="D9" s="42" t="s">
        <v>190</v>
      </c>
    </row>
    <row r="10" customFormat="false" ht="13.8" hidden="false" customHeight="false" outlineLevel="0" collapsed="false">
      <c r="A10" s="41" t="n">
        <v>8</v>
      </c>
      <c r="B10" s="18" t="s">
        <v>198</v>
      </c>
      <c r="C10" s="20" t="str">
        <f aca="false">RES_NORMAL</f>
        <v>Standard</v>
      </c>
      <c r="D10" s="42" t="s">
        <v>190</v>
      </c>
    </row>
    <row r="11" customFormat="false" ht="13.8" hidden="false" customHeight="false" outlineLevel="0" collapsed="false">
      <c r="A11" s="41" t="n">
        <v>9</v>
      </c>
      <c r="B11" s="18" t="s">
        <v>199</v>
      </c>
      <c r="C11" s="20" t="str">
        <f aca="false">RES_NORMAL</f>
        <v>Standard</v>
      </c>
      <c r="D11" s="42" t="s">
        <v>190</v>
      </c>
    </row>
    <row r="12" customFormat="false" ht="13.8" hidden="false" customHeight="false" outlineLevel="0" collapsed="false">
      <c r="A12" s="41" t="s">
        <v>20</v>
      </c>
      <c r="B12" s="18" t="s">
        <v>20</v>
      </c>
      <c r="C12" s="20" t="str">
        <f aca="false">RES_TRAP</f>
        <v>Falle</v>
      </c>
      <c r="D12" s="42" t="str">
        <f aca="false">RES_EFFECT_PLUS_2</f>
        <v>Nächster Spieler muss 2 Karten aufnehmen</v>
      </c>
    </row>
    <row r="13" customFormat="false" ht="13.8" hidden="false" customHeight="false" outlineLevel="0" collapsed="false">
      <c r="A13" s="41" t="s">
        <v>40</v>
      </c>
      <c r="B13" s="18" t="s">
        <v>40</v>
      </c>
      <c r="C13" s="20" t="str">
        <f aca="false">RES_TRAP</f>
        <v>Falle</v>
      </c>
      <c r="D13" s="42" t="str">
        <f aca="false">RES_EFFECT_PLUS_3</f>
        <v>Nächster Spieler muss 3 Karten aufnehmen</v>
      </c>
    </row>
    <row r="14" customFormat="false" ht="13.8" hidden="false" customHeight="false" outlineLevel="0" collapsed="false">
      <c r="A14" s="41" t="s">
        <v>22</v>
      </c>
      <c r="B14" s="20" t="str">
        <f aca="false">RES_REVERSAL</f>
        <v>Umkehrung</v>
      </c>
      <c r="C14" s="20" t="str">
        <f aca="false">RES_ACTION</f>
        <v>Aktion</v>
      </c>
      <c r="D14" s="42" t="str">
        <f aca="false">RES_EFFECT_REVERSAL</f>
        <v>Spielrichtung andersherum</v>
      </c>
    </row>
    <row r="15" customFormat="false" ht="13.8" hidden="false" customHeight="false" outlineLevel="0" collapsed="false">
      <c r="A15" s="41" t="s">
        <v>25</v>
      </c>
      <c r="B15" s="20" t="str">
        <f aca="false">RES_BLOCK</f>
        <v>Blockade</v>
      </c>
      <c r="C15" s="20" t="str">
        <f aca="false">RES_ACTION</f>
        <v>Aktion</v>
      </c>
      <c r="D15" s="42" t="str">
        <f aca="false">RES_EFFECT_BLOCK</f>
        <v>Nächster Spieler muss aussetzen</v>
      </c>
    </row>
    <row r="16" customFormat="false" ht="13.8" hidden="false" customHeight="false" outlineLevel="0" collapsed="false">
      <c r="A16" s="41" t="s">
        <v>28</v>
      </c>
      <c r="B16" s="20" t="str">
        <f aca="false">RES_REPEAT</f>
        <v>Wiederholung</v>
      </c>
      <c r="C16" s="20" t="str">
        <f aca="false">RES_ACTION</f>
        <v>Aktion</v>
      </c>
      <c r="D16" s="42" t="str">
        <f aca="false">RES_EFFECT_REPEAT</f>
        <v>Ein weiterer Zug</v>
      </c>
    </row>
    <row r="17" customFormat="false" ht="13.8" hidden="false" customHeight="false" outlineLevel="0" collapsed="false">
      <c r="A17" s="41" t="s">
        <v>31</v>
      </c>
      <c r="B17" s="20" t="str">
        <f aca="false">RES_FREEZE</f>
        <v>Eis</v>
      </c>
      <c r="C17" s="20" t="str">
        <f aca="false">RES_ACTION</f>
        <v>Aktion</v>
      </c>
      <c r="D17" s="42" t="str">
        <f aca="false">RES_EFFECT_FREEZE</f>
        <v>Farbe muss für eine komplette Runde beibehalten werden</v>
      </c>
    </row>
    <row r="18" customFormat="false" ht="13.8" hidden="false" customHeight="false" outlineLevel="0" collapsed="false">
      <c r="A18" s="41" t="s">
        <v>34</v>
      </c>
      <c r="B18" s="20" t="str">
        <f aca="false">RES_BURN</f>
        <v>Feuer</v>
      </c>
      <c r="C18" s="20" t="str">
        <f aca="false">RES_ACTION</f>
        <v>Aktion</v>
      </c>
      <c r="D18" s="42" t="str">
        <f aca="false">RES_EFFECT_BURN</f>
        <v>Farbe darf bis zur nächsten Runde nicht gespielt werden</v>
      </c>
    </row>
    <row r="19" customFormat="false" ht="13.8" hidden="false" customHeight="false" outlineLevel="0" collapsed="false">
      <c r="A19" s="43" t="s">
        <v>37</v>
      </c>
      <c r="B19" s="44" t="str">
        <f aca="false">RES_FOCUS</f>
        <v>Fokus</v>
      </c>
      <c r="C19" s="44" t="str">
        <f aca="false">RES_ACTION</f>
        <v>Aktion</v>
      </c>
      <c r="D19" s="45" t="str">
        <f aca="false">RES_EFFECT_FOCUS</f>
        <v>Wähle den nächsten Spieler</v>
      </c>
    </row>
    <row r="20" customFormat="false" ht="13.8" hidden="false" customHeight="false" outlineLevel="0" collapsed="false">
      <c r="A20" s="46" t="s">
        <v>43</v>
      </c>
      <c r="B20" s="47" t="str">
        <f aca="false">RES_RAINBOW</f>
        <v>Prisma</v>
      </c>
      <c r="C20" s="47" t="str">
        <f aca="false">RES_TRAP</f>
        <v>Falle</v>
      </c>
      <c r="D20" s="48" t="str">
        <f aca="false">RES_EFFECT_RAINBOW</f>
        <v>Wähle eine Farbe</v>
      </c>
    </row>
    <row r="21" customFormat="false" ht="13.8" hidden="false" customHeight="false" outlineLevel="0" collapsed="false">
      <c r="A21" s="41" t="s">
        <v>45</v>
      </c>
      <c r="B21" s="20" t="str">
        <f aca="false">RES_RAINBOW &amp; " +4"</f>
        <v>Prisma +4</v>
      </c>
      <c r="C21" s="20" t="str">
        <f aca="false">RES_TRAP</f>
        <v>Falle</v>
      </c>
      <c r="D21" s="42" t="str">
        <f aca="false">RES_EFFECT_RAINBOW_PLUS_4</f>
        <v>Nächster Spieler muss 4 Karten aufnehmen, Wähle eine Farbe</v>
      </c>
    </row>
    <row r="22" customFormat="false" ht="13.8" hidden="false" customHeight="false" outlineLevel="0" collapsed="false">
      <c r="A22" s="41" t="s">
        <v>46</v>
      </c>
      <c r="B22" s="20" t="str">
        <f aca="false">RES_RAINBOW &amp; " " &amp; RES_BLOCK</f>
        <v>Prisma Blockade</v>
      </c>
      <c r="C22" s="20" t="str">
        <f aca="false">RES_TRAP</f>
        <v>Falle</v>
      </c>
      <c r="D22" s="42" t="str">
        <f aca="false">RES_EFFECT_RAINBOW_BLOCK</f>
        <v>Nächster Spieler muss aussetzen, Wähle eine Farbe</v>
      </c>
    </row>
    <row r="23" customFormat="false" ht="13.8" hidden="false" customHeight="false" outlineLevel="0" collapsed="false">
      <c r="A23" s="41" t="s">
        <v>48</v>
      </c>
      <c r="B23" s="20" t="str">
        <f aca="false">RES_RAINBOW &amp; " " &amp; RES_REVERSAL</f>
        <v>Prisma Umkehrung</v>
      </c>
      <c r="C23" s="20" t="str">
        <f aca="false">RES_TRAP</f>
        <v>Falle</v>
      </c>
      <c r="D23" s="42" t="str">
        <f aca="false">RES_EFFECT_RAINBOW_REVERSAL</f>
        <v>Spielrichtung andersherum, Wähle eine Farbe</v>
      </c>
    </row>
    <row r="24" customFormat="false" ht="13.8" hidden="false" customHeight="false" outlineLevel="0" collapsed="false">
      <c r="A24" s="41" t="s">
        <v>50</v>
      </c>
      <c r="B24" s="20" t="str">
        <f aca="false">RES_RAINBOW &amp; " " &amp; RES_REVERSAL &amp; " +4"</f>
        <v>Prisma Umkehrung +4</v>
      </c>
      <c r="C24" s="20" t="str">
        <f aca="false">RES_TRAP</f>
        <v>Falle</v>
      </c>
      <c r="D24" s="42" t="str">
        <f aca="false">RES_EFFECT_RAINBOW_REVERSAL_PLUS_4</f>
        <v>Spielrichtung andersherum, Nächster Spieler muss 4 Karten aufnehmen, Wähle eine Farbe</v>
      </c>
    </row>
    <row r="25" customFormat="false" ht="13.8" hidden="false" customHeight="false" outlineLevel="0" collapsed="false">
      <c r="A25" s="41" t="s">
        <v>51</v>
      </c>
      <c r="B25" s="20" t="str">
        <f aca="false">RES_RAINBOW &amp;" " &amp; RES_REVERSAL &amp; " " &amp; RES_BLOCK</f>
        <v>Prisma Umkehrung Blockade</v>
      </c>
      <c r="C25" s="20" t="str">
        <f aca="false">RES_TRAP</f>
        <v>Falle</v>
      </c>
      <c r="D25" s="42" t="str">
        <f aca="false">RES_EFFECT_RAINBOW_REVERSAL_BLOCK</f>
        <v>Spielrichtung andersherum, Nächster Spieler muss aussetzen, Wähle eine Farbe</v>
      </c>
    </row>
    <row r="26" customFormat="false" ht="13.8" hidden="false" customHeight="false" outlineLevel="0" collapsed="false">
      <c r="A26" s="43" t="s">
        <v>53</v>
      </c>
      <c r="B26" s="44" t="str">
        <f aca="false">RES_RAINBOW &amp; " " &amp; RES_FOCUS &amp; " +2"</f>
        <v>Prisma Fokus +2</v>
      </c>
      <c r="C26" s="44" t="str">
        <f aca="false">RES_TRAP</f>
        <v>Falle</v>
      </c>
      <c r="D26" s="45" t="str">
        <f aca="false">RES_EFFECT_RAINBOW_FOCUS_PLUS_2</f>
        <v>Ein ausgesuchter Spieler muss 2 Karten ziehen, Wähle eine Farbe</v>
      </c>
    </row>
    <row r="27" customFormat="false" ht="13.8" hidden="false" customHeight="false" outlineLevel="0" collapsed="false">
      <c r="A27" s="46" t="s">
        <v>56</v>
      </c>
      <c r="B27" s="47" t="str">
        <f aca="false">RES_SHIELD</f>
        <v>Schild</v>
      </c>
      <c r="C27" s="47" t="str">
        <f aca="false">RES_GUARD</f>
        <v>Schutz</v>
      </c>
      <c r="D27" s="48" t="str">
        <f aca="false">RES_EFFECT_SHIELD</f>
        <v>Alle Effekte werden aufgehoben</v>
      </c>
    </row>
    <row r="28" customFormat="false" ht="13.8" hidden="false" customHeight="false" outlineLevel="0" collapsed="false">
      <c r="A28" s="41" t="s">
        <v>58</v>
      </c>
      <c r="B28" s="20" t="str">
        <f aca="false">RES_MIRROR</f>
        <v>Spiegel</v>
      </c>
      <c r="C28" s="20" t="str">
        <f aca="false">RES_GUARD</f>
        <v>Schutz</v>
      </c>
      <c r="D28" s="42" t="str">
        <f aca="false">RES_EFFECT_MIRROR</f>
        <v>Alle Effekte treffen den vorherigen Spieler</v>
      </c>
    </row>
    <row r="29" customFormat="false" ht="13.8" hidden="false" customHeight="false" outlineLevel="0" collapsed="false">
      <c r="A29" s="41" t="s">
        <v>60</v>
      </c>
      <c r="B29" s="20" t="str">
        <f aca="false">RES_FOCUS</f>
        <v>Fokus</v>
      </c>
      <c r="C29" s="20" t="str">
        <f aca="false">RES_GUARD</f>
        <v>Schutz</v>
      </c>
      <c r="D29" s="42" t="str">
        <f aca="false">RES_EFFECT_MIRROR_FOCUS</f>
        <v>Alle Effekte treffen einen ausgesuchten Spieler</v>
      </c>
    </row>
    <row r="30" customFormat="false" ht="13.8" hidden="false" customHeight="false" outlineLevel="0" collapsed="false">
      <c r="A30" s="41" t="s">
        <v>62</v>
      </c>
      <c r="B30" s="18" t="s">
        <v>62</v>
      </c>
      <c r="C30" s="20" t="str">
        <f aca="false">RES_GUARD</f>
        <v>Schutz</v>
      </c>
      <c r="D30" s="42" t="str">
        <f aca="false">RES_EFFECT_MINUS_3</f>
        <v>Werfe 3 Karten ab</v>
      </c>
    </row>
    <row r="31" customFormat="false" ht="13.8" hidden="false" customHeight="false" outlineLevel="0" collapsed="false">
      <c r="A31" s="43" t="s">
        <v>63</v>
      </c>
      <c r="B31" s="49" t="s">
        <v>63</v>
      </c>
      <c r="C31" s="44" t="str">
        <f aca="false">RES_GUARD</f>
        <v>Schutz</v>
      </c>
      <c r="D31" s="45" t="str">
        <f aca="false">RES_EFFECT_MINUS_4</f>
        <v>Werfe 4 Karten ab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1324</TotalTime>
  <Application>LibreOffice/7.6.4.1$Windows_x86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2024-01-05T13:31:14Z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