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DM\"/>
    </mc:Choice>
  </mc:AlternateContent>
  <xr:revisionPtr revIDLastSave="0" documentId="13_ncr:1_{0C1C86BE-4AE3-4E26-85C1-860CD8762E0C}" xr6:coauthVersionLast="47" xr6:coauthVersionMax="47" xr10:uidLastSave="{00000000-0000-0000-0000-000000000000}"/>
  <bookViews>
    <workbookView xWindow="-108" yWindow="-108" windowWidth="23256" windowHeight="12456" activeTab="2" xr2:uid="{D928C5B0-338D-4352-98E1-385344893498}"/>
  </bookViews>
  <sheets>
    <sheet name="Details" sheetId="3" r:id="rId1"/>
    <sheet name="Data &amp; Solution" sheetId="1" r:id="rId2"/>
    <sheet name="Extras" sheetId="4" r:id="rId3"/>
    <sheet name="Iranian Data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C16" i="5"/>
  <c r="C17" i="5"/>
  <c r="C18" i="5"/>
  <c r="C19" i="5"/>
  <c r="C20" i="5"/>
  <c r="C21" i="5"/>
  <c r="C22" i="5"/>
  <c r="C23" i="5"/>
  <c r="C24" i="5"/>
  <c r="C15" i="5"/>
  <c r="O8" i="5"/>
  <c r="P8" i="5"/>
  <c r="Q8" i="5"/>
  <c r="R8" i="5"/>
  <c r="N8" i="5"/>
  <c r="O7" i="5"/>
  <c r="P7" i="5"/>
  <c r="Q7" i="5"/>
  <c r="R7" i="5"/>
  <c r="N7" i="5"/>
  <c r="O6" i="5"/>
  <c r="P6" i="5"/>
  <c r="Q6" i="5"/>
  <c r="R6" i="5"/>
  <c r="N6" i="5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0" i="1"/>
  <c r="V4" i="4"/>
  <c r="W4" i="4"/>
  <c r="X4" i="4"/>
  <c r="Y4" i="4"/>
  <c r="V5" i="4"/>
  <c r="W5" i="4"/>
  <c r="X5" i="4"/>
  <c r="Y5" i="4"/>
  <c r="V6" i="4"/>
  <c r="W6" i="4"/>
  <c r="X6" i="4"/>
  <c r="Y6" i="4"/>
  <c r="V7" i="4"/>
  <c r="W7" i="4"/>
  <c r="X7" i="4"/>
  <c r="Y7" i="4"/>
  <c r="V8" i="4"/>
  <c r="W8" i="4"/>
  <c r="X8" i="4"/>
  <c r="Y8" i="4"/>
  <c r="V9" i="4"/>
  <c r="W9" i="4"/>
  <c r="X9" i="4"/>
  <c r="Y9" i="4"/>
  <c r="V10" i="4"/>
  <c r="W10" i="4"/>
  <c r="X10" i="4"/>
  <c r="Y10" i="4"/>
  <c r="V11" i="4"/>
  <c r="W11" i="4"/>
  <c r="X11" i="4"/>
  <c r="Y11" i="4"/>
  <c r="V12" i="4"/>
  <c r="W12" i="4"/>
  <c r="X12" i="4"/>
  <c r="Y12" i="4"/>
  <c r="V13" i="4"/>
  <c r="W13" i="4"/>
  <c r="X13" i="4"/>
  <c r="Y13" i="4"/>
  <c r="V14" i="4"/>
  <c r="W14" i="4"/>
  <c r="X14" i="4"/>
  <c r="Y14" i="4"/>
  <c r="V15" i="4"/>
  <c r="W15" i="4"/>
  <c r="X15" i="4"/>
  <c r="Y15" i="4"/>
  <c r="V16" i="4"/>
  <c r="W16" i="4"/>
  <c r="X16" i="4"/>
  <c r="Y16" i="4"/>
  <c r="V17" i="4"/>
  <c r="W17" i="4"/>
  <c r="X17" i="4"/>
  <c r="Y17" i="4"/>
  <c r="V18" i="4"/>
  <c r="AC36" i="4" s="1"/>
  <c r="W18" i="4"/>
  <c r="AD36" i="4" s="1"/>
  <c r="X18" i="4"/>
  <c r="AE36" i="4" s="1"/>
  <c r="Y18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4" i="4"/>
  <c r="D5" i="4"/>
  <c r="E5" i="4"/>
  <c r="F5" i="4"/>
  <c r="M22" i="4" s="1"/>
  <c r="G5" i="4"/>
  <c r="N22" i="4" s="1"/>
  <c r="D6" i="4"/>
  <c r="K23" i="4" s="1"/>
  <c r="E6" i="4"/>
  <c r="L23" i="4" s="1"/>
  <c r="F6" i="4"/>
  <c r="G6" i="4"/>
  <c r="D7" i="4"/>
  <c r="K24" i="4" s="1"/>
  <c r="E7" i="4"/>
  <c r="F7" i="4"/>
  <c r="M24" i="4" s="1"/>
  <c r="G7" i="4"/>
  <c r="N24" i="4" s="1"/>
  <c r="D8" i="4"/>
  <c r="K25" i="4" s="1"/>
  <c r="E8" i="4"/>
  <c r="L25" i="4" s="1"/>
  <c r="F8" i="4"/>
  <c r="G8" i="4"/>
  <c r="D9" i="4"/>
  <c r="E9" i="4"/>
  <c r="L26" i="4" s="1"/>
  <c r="F9" i="4"/>
  <c r="M26" i="4" s="1"/>
  <c r="G9" i="4"/>
  <c r="N26" i="4" s="1"/>
  <c r="D10" i="4"/>
  <c r="K27" i="4" s="1"/>
  <c r="E10" i="4"/>
  <c r="L27" i="4" s="1"/>
  <c r="F10" i="4"/>
  <c r="G10" i="4"/>
  <c r="D11" i="4"/>
  <c r="E11" i="4"/>
  <c r="F11" i="4"/>
  <c r="M28" i="4" s="1"/>
  <c r="G11" i="4"/>
  <c r="N28" i="4" s="1"/>
  <c r="D12" i="4"/>
  <c r="K29" i="4" s="1"/>
  <c r="E12" i="4"/>
  <c r="L29" i="4" s="1"/>
  <c r="F12" i="4"/>
  <c r="G12" i="4"/>
  <c r="D13" i="4"/>
  <c r="K30" i="4" s="1"/>
  <c r="E13" i="4"/>
  <c r="L30" i="4" s="1"/>
  <c r="F13" i="4"/>
  <c r="M30" i="4" s="1"/>
  <c r="G13" i="4"/>
  <c r="N30" i="4" s="1"/>
  <c r="D14" i="4"/>
  <c r="K31" i="4" s="1"/>
  <c r="E14" i="4"/>
  <c r="L31" i="4" s="1"/>
  <c r="F14" i="4"/>
  <c r="G14" i="4"/>
  <c r="D15" i="4"/>
  <c r="E15" i="4"/>
  <c r="F15" i="4"/>
  <c r="M32" i="4" s="1"/>
  <c r="G15" i="4"/>
  <c r="N32" i="4" s="1"/>
  <c r="D16" i="4"/>
  <c r="K33" i="4" s="1"/>
  <c r="E16" i="4"/>
  <c r="L33" i="4" s="1"/>
  <c r="F16" i="4"/>
  <c r="G16" i="4"/>
  <c r="D17" i="4"/>
  <c r="K34" i="4" s="1"/>
  <c r="E17" i="4"/>
  <c r="L34" i="4" s="1"/>
  <c r="F17" i="4"/>
  <c r="M34" i="4" s="1"/>
  <c r="G17" i="4"/>
  <c r="N34" i="4" s="1"/>
  <c r="D18" i="4"/>
  <c r="K35" i="4" s="1"/>
  <c r="E18" i="4"/>
  <c r="L35" i="4" s="1"/>
  <c r="F18" i="4"/>
  <c r="G18" i="4"/>
  <c r="D19" i="4"/>
  <c r="E19" i="4"/>
  <c r="L36" i="4" s="1"/>
  <c r="F19" i="4"/>
  <c r="M36" i="4" s="1"/>
  <c r="G19" i="4"/>
  <c r="N36" i="4" s="1"/>
  <c r="C6" i="4"/>
  <c r="J23" i="4" s="1"/>
  <c r="C7" i="4"/>
  <c r="J24" i="4" s="1"/>
  <c r="C8" i="4"/>
  <c r="C9" i="4"/>
  <c r="C10" i="4"/>
  <c r="C11" i="4"/>
  <c r="C12" i="4"/>
  <c r="J29" i="4" s="1"/>
  <c r="C13" i="4"/>
  <c r="J30" i="4" s="1"/>
  <c r="C14" i="4"/>
  <c r="J31" i="4" s="1"/>
  <c r="C15" i="4"/>
  <c r="J32" i="4" s="1"/>
  <c r="C16" i="4"/>
  <c r="C17" i="4"/>
  <c r="C18" i="4"/>
  <c r="J35" i="4" s="1"/>
  <c r="C19" i="4"/>
  <c r="C26" i="1"/>
  <c r="C28" i="1"/>
  <c r="C34" i="1"/>
  <c r="O8" i="1"/>
  <c r="P8" i="1"/>
  <c r="Q8" i="1"/>
  <c r="R8" i="1"/>
  <c r="N8" i="1"/>
  <c r="O7" i="1"/>
  <c r="P7" i="1"/>
  <c r="Q7" i="1"/>
  <c r="R7" i="1"/>
  <c r="N7" i="1"/>
  <c r="O6" i="1"/>
  <c r="D21" i="1" s="1"/>
  <c r="P6" i="1"/>
  <c r="E21" i="1" s="1"/>
  <c r="Q6" i="1"/>
  <c r="F20" i="1" s="1"/>
  <c r="R6" i="1"/>
  <c r="G26" i="1" s="1"/>
  <c r="N6" i="1"/>
  <c r="C27" i="1" s="1"/>
  <c r="P36" i="4" l="1"/>
  <c r="P34" i="4"/>
  <c r="P30" i="4"/>
  <c r="P26" i="4"/>
  <c r="AC34" i="4"/>
  <c r="AC32" i="4"/>
  <c r="AC22" i="4"/>
  <c r="AC26" i="4"/>
  <c r="AD35" i="4"/>
  <c r="AD33" i="4"/>
  <c r="AD31" i="4"/>
  <c r="AD29" i="4"/>
  <c r="AD27" i="4"/>
  <c r="AD25" i="4"/>
  <c r="AD23" i="4"/>
  <c r="AC28" i="4"/>
  <c r="AB31" i="4"/>
  <c r="AB23" i="4"/>
  <c r="AC35" i="4"/>
  <c r="AC33" i="4"/>
  <c r="AC31" i="4"/>
  <c r="AC29" i="4"/>
  <c r="AC27" i="4"/>
  <c r="AC25" i="4"/>
  <c r="AC23" i="4"/>
  <c r="AC30" i="4"/>
  <c r="AC24" i="4"/>
  <c r="AF36" i="4"/>
  <c r="AE34" i="4"/>
  <c r="AE32" i="4"/>
  <c r="AE30" i="4"/>
  <c r="AE28" i="4"/>
  <c r="AE26" i="4"/>
  <c r="AE24" i="4"/>
  <c r="AE29" i="4"/>
  <c r="F20" i="4"/>
  <c r="F21" i="4" s="1"/>
  <c r="AB36" i="4"/>
  <c r="AG36" i="4" s="1"/>
  <c r="AB28" i="4"/>
  <c r="AD34" i="4"/>
  <c r="AD32" i="4"/>
  <c r="AD30" i="4"/>
  <c r="AD28" i="4"/>
  <c r="AD26" i="4"/>
  <c r="AD24" i="4"/>
  <c r="AD22" i="4"/>
  <c r="L28" i="4"/>
  <c r="P28" i="4" s="1"/>
  <c r="AB27" i="4"/>
  <c r="J36" i="4"/>
  <c r="L24" i="4"/>
  <c r="P24" i="4" s="1"/>
  <c r="E20" i="4"/>
  <c r="E21" i="4" s="1"/>
  <c r="AB35" i="4"/>
  <c r="J28" i="4"/>
  <c r="L22" i="4"/>
  <c r="P22" i="4" s="1"/>
  <c r="AB32" i="4"/>
  <c r="AB24" i="4"/>
  <c r="AB30" i="4"/>
  <c r="AB26" i="4"/>
  <c r="AB34" i="4"/>
  <c r="AF34" i="4"/>
  <c r="AF32" i="4"/>
  <c r="AF30" i="4"/>
  <c r="AF28" i="4"/>
  <c r="AF26" i="4"/>
  <c r="AF24" i="4"/>
  <c r="AF23" i="4"/>
  <c r="AF35" i="4"/>
  <c r="AF22" i="4"/>
  <c r="AF29" i="4"/>
  <c r="AF31" i="4"/>
  <c r="AF25" i="4"/>
  <c r="AF27" i="4"/>
  <c r="AF33" i="4"/>
  <c r="O24" i="4"/>
  <c r="O30" i="4"/>
  <c r="L32" i="4"/>
  <c r="P32" i="4" s="1"/>
  <c r="AB22" i="4"/>
  <c r="AB29" i="4"/>
  <c r="AE33" i="4"/>
  <c r="AE31" i="4"/>
  <c r="C20" i="4"/>
  <c r="C21" i="4" s="1"/>
  <c r="J22" i="4"/>
  <c r="AE27" i="4"/>
  <c r="G20" i="4"/>
  <c r="G21" i="4" s="1"/>
  <c r="J34" i="4"/>
  <c r="O34" i="4" s="1"/>
  <c r="J26" i="4"/>
  <c r="N35" i="4"/>
  <c r="P35" i="4" s="1"/>
  <c r="N33" i="4"/>
  <c r="P33" i="4" s="1"/>
  <c r="N31" i="4"/>
  <c r="P31" i="4" s="1"/>
  <c r="N29" i="4"/>
  <c r="P29" i="4" s="1"/>
  <c r="N27" i="4"/>
  <c r="P27" i="4" s="1"/>
  <c r="N25" i="4"/>
  <c r="P25" i="4" s="1"/>
  <c r="N23" i="4"/>
  <c r="P23" i="4" s="1"/>
  <c r="D20" i="4"/>
  <c r="D21" i="4" s="1"/>
  <c r="K36" i="4"/>
  <c r="K32" i="4"/>
  <c r="O32" i="4" s="1"/>
  <c r="K26" i="4"/>
  <c r="K22" i="4"/>
  <c r="AB25" i="4"/>
  <c r="AE25" i="4"/>
  <c r="J33" i="4"/>
  <c r="J25" i="4"/>
  <c r="M35" i="4"/>
  <c r="O35" i="4" s="1"/>
  <c r="M33" i="4"/>
  <c r="M31" i="4"/>
  <c r="O31" i="4" s="1"/>
  <c r="M29" i="4"/>
  <c r="O29" i="4" s="1"/>
  <c r="M27" i="4"/>
  <c r="M25" i="4"/>
  <c r="M23" i="4"/>
  <c r="O23" i="4" s="1"/>
  <c r="J27" i="4"/>
  <c r="K28" i="4"/>
  <c r="AB33" i="4"/>
  <c r="AE23" i="4"/>
  <c r="AE22" i="4"/>
  <c r="AE35" i="4"/>
  <c r="G28" i="1"/>
  <c r="E32" i="1"/>
  <c r="C33" i="1"/>
  <c r="C25" i="1"/>
  <c r="D34" i="1"/>
  <c r="D32" i="1"/>
  <c r="D30" i="1"/>
  <c r="D28" i="1"/>
  <c r="D26" i="1"/>
  <c r="D24" i="1"/>
  <c r="D22" i="1"/>
  <c r="D20" i="1"/>
  <c r="G34" i="1"/>
  <c r="G22" i="1"/>
  <c r="E30" i="1"/>
  <c r="E26" i="1"/>
  <c r="E24" i="1"/>
  <c r="C32" i="1"/>
  <c r="I32" i="1" s="1"/>
  <c r="C24" i="1"/>
  <c r="G31" i="1"/>
  <c r="G27" i="1"/>
  <c r="G23" i="1"/>
  <c r="C31" i="1"/>
  <c r="H31" i="1" s="1"/>
  <c r="C23" i="1"/>
  <c r="F33" i="1"/>
  <c r="F31" i="1"/>
  <c r="F29" i="1"/>
  <c r="F27" i="1"/>
  <c r="F25" i="1"/>
  <c r="F23" i="1"/>
  <c r="F21" i="1"/>
  <c r="G24" i="1"/>
  <c r="E34" i="1"/>
  <c r="E28" i="1"/>
  <c r="E22" i="1"/>
  <c r="E20" i="1"/>
  <c r="G33" i="1"/>
  <c r="G29" i="1"/>
  <c r="G25" i="1"/>
  <c r="G21" i="1"/>
  <c r="C30" i="1"/>
  <c r="C22" i="1"/>
  <c r="E33" i="1"/>
  <c r="I33" i="1" s="1"/>
  <c r="E31" i="1"/>
  <c r="E29" i="1"/>
  <c r="E27" i="1"/>
  <c r="E25" i="1"/>
  <c r="E23" i="1"/>
  <c r="G30" i="1"/>
  <c r="G20" i="1"/>
  <c r="C29" i="1"/>
  <c r="I29" i="1" s="1"/>
  <c r="C21" i="1"/>
  <c r="D33" i="1"/>
  <c r="D31" i="1"/>
  <c r="D29" i="1"/>
  <c r="H29" i="1" s="1"/>
  <c r="D27" i="1"/>
  <c r="I27" i="1" s="1"/>
  <c r="D25" i="1"/>
  <c r="D23" i="1"/>
  <c r="I23" i="1" s="1"/>
  <c r="G32" i="1"/>
  <c r="C20" i="1"/>
  <c r="F34" i="1"/>
  <c r="F32" i="1"/>
  <c r="F30" i="1"/>
  <c r="F28" i="1"/>
  <c r="F26" i="1"/>
  <c r="F24" i="1"/>
  <c r="H24" i="1" s="1"/>
  <c r="F22" i="1"/>
  <c r="I22" i="1" s="1"/>
  <c r="H28" i="1"/>
  <c r="I30" i="1"/>
  <c r="H23" i="1"/>
  <c r="I20" i="1"/>
  <c r="H34" i="1"/>
  <c r="H26" i="1"/>
  <c r="H27" i="1"/>
  <c r="I34" i="1"/>
  <c r="I26" i="1"/>
  <c r="H20" i="1"/>
  <c r="H19" i="5" l="1"/>
  <c r="H18" i="5"/>
  <c r="H17" i="5"/>
  <c r="I17" i="5"/>
  <c r="I21" i="5"/>
  <c r="H20" i="5"/>
  <c r="H15" i="5"/>
  <c r="I15" i="5"/>
  <c r="I18" i="5"/>
  <c r="I16" i="5"/>
  <c r="H23" i="5"/>
  <c r="I23" i="5"/>
  <c r="H21" i="5"/>
  <c r="I24" i="5"/>
  <c r="H24" i="5"/>
  <c r="H22" i="5"/>
  <c r="I22" i="5"/>
  <c r="I19" i="5"/>
  <c r="I20" i="5"/>
  <c r="H16" i="5"/>
  <c r="AG33" i="4"/>
  <c r="O22" i="4"/>
  <c r="Q22" i="4" s="1"/>
  <c r="AG30" i="4"/>
  <c r="AG22" i="4"/>
  <c r="AG34" i="4"/>
  <c r="AG31" i="4"/>
  <c r="AG23" i="4"/>
  <c r="AG26" i="4"/>
  <c r="O27" i="4"/>
  <c r="Q27" i="4" s="1"/>
  <c r="O25" i="4"/>
  <c r="Q25" i="4" s="1"/>
  <c r="AG28" i="4"/>
  <c r="E22" i="4"/>
  <c r="AD12" i="4" s="1"/>
  <c r="C22" i="4"/>
  <c r="AB4" i="4" s="1"/>
  <c r="O26" i="4"/>
  <c r="AG24" i="4"/>
  <c r="AG32" i="4"/>
  <c r="G22" i="4"/>
  <c r="N16" i="4" s="1"/>
  <c r="O33" i="4"/>
  <c r="Q33" i="4" s="1"/>
  <c r="AG27" i="4"/>
  <c r="AG29" i="4"/>
  <c r="Q31" i="4"/>
  <c r="Q23" i="4"/>
  <c r="J4" i="4"/>
  <c r="J8" i="4"/>
  <c r="J10" i="4"/>
  <c r="Q29" i="4"/>
  <c r="Q32" i="4"/>
  <c r="AG25" i="4"/>
  <c r="O28" i="4"/>
  <c r="Q28" i="4" s="1"/>
  <c r="Q24" i="4"/>
  <c r="D22" i="4"/>
  <c r="Q30" i="4"/>
  <c r="Q35" i="4"/>
  <c r="F22" i="4"/>
  <c r="Q26" i="4"/>
  <c r="Q34" i="4"/>
  <c r="AG35" i="4"/>
  <c r="O36" i="4"/>
  <c r="Q36" i="4" s="1"/>
  <c r="I28" i="1"/>
  <c r="J28" i="1" s="1"/>
  <c r="I31" i="1"/>
  <c r="J31" i="1" s="1"/>
  <c r="H32" i="1"/>
  <c r="H33" i="1"/>
  <c r="I21" i="1"/>
  <c r="H21" i="1"/>
  <c r="J27" i="1" s="1"/>
  <c r="I25" i="1"/>
  <c r="H25" i="1"/>
  <c r="J25" i="1" s="1"/>
  <c r="H22" i="1"/>
  <c r="I24" i="1"/>
  <c r="H30" i="1"/>
  <c r="J19" i="5" l="1"/>
  <c r="J23" i="5"/>
  <c r="J22" i="5"/>
  <c r="J15" i="5"/>
  <c r="J17" i="5"/>
  <c r="J24" i="5"/>
  <c r="J18" i="5"/>
  <c r="J21" i="5"/>
  <c r="J16" i="5"/>
  <c r="J20" i="5"/>
  <c r="AB12" i="4"/>
  <c r="J15" i="4"/>
  <c r="J17" i="4"/>
  <c r="J16" i="4"/>
  <c r="AB10" i="4"/>
  <c r="J6" i="4"/>
  <c r="J13" i="4"/>
  <c r="J12" i="4"/>
  <c r="AB14" i="4"/>
  <c r="J9" i="4"/>
  <c r="J11" i="4"/>
  <c r="J14" i="4"/>
  <c r="AB15" i="4"/>
  <c r="J7" i="4"/>
  <c r="J18" i="4"/>
  <c r="AB11" i="4"/>
  <c r="AB17" i="4"/>
  <c r="AB13" i="4"/>
  <c r="L12" i="4"/>
  <c r="J5" i="4"/>
  <c r="AB18" i="4"/>
  <c r="AD7" i="4"/>
  <c r="AD10" i="4"/>
  <c r="AB5" i="4"/>
  <c r="AB7" i="4"/>
  <c r="N4" i="4"/>
  <c r="AB16" i="4"/>
  <c r="AB6" i="4"/>
  <c r="AB9" i="4"/>
  <c r="AB8" i="4"/>
  <c r="L10" i="4"/>
  <c r="N7" i="4"/>
  <c r="N6" i="4"/>
  <c r="AF6" i="4"/>
  <c r="N17" i="4"/>
  <c r="N10" i="4"/>
  <c r="AF7" i="4"/>
  <c r="AF9" i="4"/>
  <c r="N14" i="4"/>
  <c r="AF12" i="4"/>
  <c r="AF10" i="4"/>
  <c r="AD8" i="4"/>
  <c r="L17" i="4"/>
  <c r="P17" i="4" s="1"/>
  <c r="L18" i="4"/>
  <c r="AD15" i="4"/>
  <c r="N5" i="4"/>
  <c r="AF5" i="4"/>
  <c r="AF8" i="4"/>
  <c r="L16" i="4"/>
  <c r="P16" i="4" s="1"/>
  <c r="L6" i="4"/>
  <c r="AD13" i="4"/>
  <c r="AD6" i="4"/>
  <c r="L14" i="4"/>
  <c r="AD5" i="4"/>
  <c r="N9" i="4"/>
  <c r="N8" i="4"/>
  <c r="L11" i="4"/>
  <c r="P11" i="4" s="1"/>
  <c r="L7" i="4"/>
  <c r="AD18" i="4"/>
  <c r="AD17" i="4"/>
  <c r="L5" i="4"/>
  <c r="AF17" i="4"/>
  <c r="AF4" i="4"/>
  <c r="N11" i="4"/>
  <c r="AF15" i="4"/>
  <c r="AF18" i="4"/>
  <c r="N18" i="4"/>
  <c r="L13" i="4"/>
  <c r="L9" i="4"/>
  <c r="AD16" i="4"/>
  <c r="AD9" i="4"/>
  <c r="N13" i="4"/>
  <c r="AF13" i="4"/>
  <c r="AF16" i="4"/>
  <c r="N12" i="4"/>
  <c r="P12" i="4" s="1"/>
  <c r="L8" i="4"/>
  <c r="L4" i="4"/>
  <c r="AD14" i="4"/>
  <c r="AD4" i="4"/>
  <c r="N15" i="4"/>
  <c r="AF11" i="4"/>
  <c r="AF14" i="4"/>
  <c r="L15" i="4"/>
  <c r="AD11" i="4"/>
  <c r="AH35" i="4"/>
  <c r="R28" i="4"/>
  <c r="R23" i="4"/>
  <c r="AH27" i="4"/>
  <c r="AH28" i="4"/>
  <c r="AH25" i="4"/>
  <c r="AH33" i="4"/>
  <c r="AH36" i="4"/>
  <c r="AH22" i="4"/>
  <c r="AH23" i="4"/>
  <c r="AE7" i="4"/>
  <c r="AE13" i="4"/>
  <c r="AE4" i="4"/>
  <c r="AE6" i="4"/>
  <c r="AE8" i="4"/>
  <c r="AE10" i="4"/>
  <c r="AE12" i="4"/>
  <c r="AE14" i="4"/>
  <c r="AE16" i="4"/>
  <c r="AE18" i="4"/>
  <c r="AE11" i="4"/>
  <c r="AE17" i="4"/>
  <c r="AE5" i="4"/>
  <c r="AE9" i="4"/>
  <c r="AE15" i="4"/>
  <c r="M4" i="4"/>
  <c r="M6" i="4"/>
  <c r="M8" i="4"/>
  <c r="M10" i="4"/>
  <c r="M12" i="4"/>
  <c r="M14" i="4"/>
  <c r="M16" i="4"/>
  <c r="M18" i="4"/>
  <c r="M11" i="4"/>
  <c r="M15" i="4"/>
  <c r="M9" i="4"/>
  <c r="M7" i="4"/>
  <c r="M5" i="4"/>
  <c r="M17" i="4"/>
  <c r="M13" i="4"/>
  <c r="R35" i="4"/>
  <c r="AH26" i="4"/>
  <c r="R30" i="4"/>
  <c r="AH29" i="4"/>
  <c r="AH30" i="4"/>
  <c r="AH32" i="4"/>
  <c r="R33" i="4"/>
  <c r="AH24" i="4"/>
  <c r="AH31" i="4"/>
  <c r="R32" i="4"/>
  <c r="AC4" i="4"/>
  <c r="AC6" i="4"/>
  <c r="AC8" i="4"/>
  <c r="AC10" i="4"/>
  <c r="AC12" i="4"/>
  <c r="AC14" i="4"/>
  <c r="AC16" i="4"/>
  <c r="AC18" i="4"/>
  <c r="AC5" i="4"/>
  <c r="AC7" i="4"/>
  <c r="AC9" i="4"/>
  <c r="AC11" i="4"/>
  <c r="AC13" i="4"/>
  <c r="AC15" i="4"/>
  <c r="AC17" i="4"/>
  <c r="K13" i="4"/>
  <c r="K15" i="4"/>
  <c r="K17" i="4"/>
  <c r="K11" i="4"/>
  <c r="K5" i="4"/>
  <c r="K7" i="4"/>
  <c r="K9" i="4"/>
  <c r="K10" i="4"/>
  <c r="K6" i="4"/>
  <c r="K8" i="4"/>
  <c r="K18" i="4"/>
  <c r="K16" i="4"/>
  <c r="K14" i="4"/>
  <c r="K12" i="4"/>
  <c r="K4" i="4"/>
  <c r="R26" i="4"/>
  <c r="R22" i="4"/>
  <c r="R25" i="4"/>
  <c r="R34" i="4"/>
  <c r="R36" i="4"/>
  <c r="AH34" i="4"/>
  <c r="R27" i="4"/>
  <c r="R24" i="4"/>
  <c r="R29" i="4"/>
  <c r="R31" i="4"/>
  <c r="J22" i="1"/>
  <c r="J33" i="1"/>
  <c r="J24" i="1"/>
  <c r="J26" i="1"/>
  <c r="J34" i="1"/>
  <c r="J32" i="1"/>
  <c r="J30" i="1"/>
  <c r="J21" i="1"/>
  <c r="J20" i="1"/>
  <c r="J23" i="1"/>
  <c r="J29" i="1"/>
  <c r="P10" i="4" l="1"/>
  <c r="K18" i="5"/>
  <c r="K20" i="5"/>
  <c r="K24" i="5"/>
  <c r="K16" i="5"/>
  <c r="K17" i="5"/>
  <c r="K15" i="5"/>
  <c r="K21" i="5"/>
  <c r="K19" i="5"/>
  <c r="K23" i="5"/>
  <c r="K22" i="5"/>
  <c r="O4" i="4"/>
  <c r="O9" i="4"/>
  <c r="P18" i="4"/>
  <c r="P4" i="4"/>
  <c r="P5" i="4"/>
  <c r="AG10" i="4"/>
  <c r="P15" i="4"/>
  <c r="P7" i="4"/>
  <c r="P6" i="4"/>
  <c r="O10" i="4"/>
  <c r="O7" i="4"/>
  <c r="P14" i="4"/>
  <c r="AG7" i="4"/>
  <c r="P9" i="4"/>
  <c r="AG9" i="4"/>
  <c r="P13" i="4"/>
  <c r="P8" i="4"/>
  <c r="O17" i="4"/>
  <c r="O5" i="4"/>
  <c r="AG12" i="4"/>
  <c r="AG15" i="4"/>
  <c r="AG13" i="4"/>
  <c r="AG11" i="4"/>
  <c r="O12" i="4"/>
  <c r="O11" i="4"/>
  <c r="AG8" i="4"/>
  <c r="AG4" i="4"/>
  <c r="AG14" i="4"/>
  <c r="AG6" i="4"/>
  <c r="O14" i="4"/>
  <c r="O8" i="4"/>
  <c r="O15" i="4"/>
  <c r="AG5" i="4"/>
  <c r="O6" i="4"/>
  <c r="AG18" i="4"/>
  <c r="O18" i="4"/>
  <c r="AG17" i="4"/>
  <c r="AG16" i="4"/>
  <c r="O13" i="4"/>
  <c r="O16" i="4"/>
  <c r="Q18" i="4" l="1"/>
  <c r="Q17" i="4"/>
  <c r="Q4" i="4"/>
  <c r="Q11" i="4"/>
  <c r="Q14" i="4"/>
  <c r="Q12" i="4"/>
  <c r="Q5" i="4"/>
  <c r="Q9" i="4"/>
  <c r="Q7" i="4"/>
  <c r="Q16" i="4"/>
  <c r="Q13" i="4"/>
  <c r="Q15" i="4"/>
  <c r="Q8" i="4"/>
  <c r="Q10" i="4"/>
  <c r="Q6" i="4"/>
  <c r="AH18" i="4"/>
  <c r="AH7" i="4"/>
  <c r="AH12" i="4"/>
  <c r="AH10" i="4"/>
  <c r="AH15" i="4"/>
  <c r="AH16" i="4"/>
  <c r="AH8" i="4"/>
  <c r="AH4" i="4"/>
  <c r="AH17" i="4"/>
  <c r="AH13" i="4"/>
  <c r="AH5" i="4"/>
  <c r="AH6" i="4"/>
  <c r="AH11" i="4"/>
  <c r="AH14" i="4"/>
  <c r="AH9" i="4"/>
  <c r="R15" i="4" l="1"/>
  <c r="R9" i="4"/>
  <c r="R4" i="4"/>
  <c r="R16" i="4"/>
  <c r="R8" i="4"/>
  <c r="R13" i="4"/>
  <c r="R6" i="4"/>
  <c r="R7" i="4"/>
  <c r="R11" i="4"/>
  <c r="R18" i="4"/>
  <c r="R12" i="4"/>
  <c r="R17" i="4"/>
  <c r="R14" i="4"/>
  <c r="R5" i="4"/>
  <c r="R10" i="4"/>
</calcChain>
</file>

<file path=xl/sharedStrings.xml><?xml version="1.0" encoding="utf-8"?>
<sst xmlns="http://schemas.openxmlformats.org/spreadsheetml/2006/main" count="329" uniqueCount="95">
  <si>
    <t>Category</t>
  </si>
  <si>
    <t>Benefit</t>
  </si>
  <si>
    <t>Cost</t>
  </si>
  <si>
    <t>Marketplace</t>
  </si>
  <si>
    <t>Seller's Name</t>
  </si>
  <si>
    <t>Code</t>
  </si>
  <si>
    <t>Location</t>
  </si>
  <si>
    <t>C1</t>
  </si>
  <si>
    <t>C2</t>
  </si>
  <si>
    <t>C3</t>
  </si>
  <si>
    <t>C4</t>
  </si>
  <si>
    <t>C5</t>
  </si>
  <si>
    <t>Tokopedia</t>
  </si>
  <si>
    <t xml:space="preserve">one's_olshop </t>
  </si>
  <si>
    <t>A1</t>
  </si>
  <si>
    <t xml:space="preserve">Distributor Ponsel </t>
  </si>
  <si>
    <t>A2</t>
  </si>
  <si>
    <t xml:space="preserve">Jakarta barat </t>
  </si>
  <si>
    <t xml:space="preserve">varelie ponsel </t>
  </si>
  <si>
    <t>A3</t>
  </si>
  <si>
    <t xml:space="preserve">Barokah Online Abadi </t>
  </si>
  <si>
    <t>A4</t>
  </si>
  <si>
    <t xml:space="preserve">Demak </t>
  </si>
  <si>
    <t>HN Store 2003</t>
  </si>
  <si>
    <t>A5</t>
  </si>
  <si>
    <t xml:space="preserve">Jakarta Pusat </t>
  </si>
  <si>
    <t>Shopee</t>
  </si>
  <si>
    <t xml:space="preserve">quenzyqee </t>
  </si>
  <si>
    <t>A6</t>
  </si>
  <si>
    <t xml:space="preserve">murah2019 </t>
  </si>
  <si>
    <t>A7</t>
  </si>
  <si>
    <t xml:space="preserve">Tangerang Selatan </t>
  </si>
  <si>
    <t xml:space="preserve">nashop7979 </t>
  </si>
  <si>
    <t>A8</t>
  </si>
  <si>
    <t xml:space="preserve">Jakarta Selatan </t>
  </si>
  <si>
    <t xml:space="preserve">hnstore2003 </t>
  </si>
  <si>
    <t>A9</t>
  </si>
  <si>
    <t xml:space="preserve">shopeedia </t>
  </si>
  <si>
    <t>A10</t>
  </si>
  <si>
    <t>Bukalapak</t>
  </si>
  <si>
    <t xml:space="preserve">JAYA STORE </t>
  </si>
  <si>
    <t>A11</t>
  </si>
  <si>
    <t xml:space="preserve">Jakarta Utara </t>
  </si>
  <si>
    <t xml:space="preserve">Xiaomi Store </t>
  </si>
  <si>
    <t>A12</t>
  </si>
  <si>
    <t xml:space="preserve">Gojap </t>
  </si>
  <si>
    <t>A13</t>
  </si>
  <si>
    <t xml:space="preserve">Dsun Shop </t>
  </si>
  <si>
    <t>A14</t>
  </si>
  <si>
    <t xml:space="preserve">Metta Cell Bekasi </t>
  </si>
  <si>
    <t>A15</t>
  </si>
  <si>
    <t xml:space="preserve">Bekasi </t>
  </si>
  <si>
    <t>Priority Level</t>
  </si>
  <si>
    <t xml:space="preserve">Kab. Bogor </t>
  </si>
  <si>
    <t xml:space="preserve">Kab. Tangerang </t>
  </si>
  <si>
    <t>Seller Score Rating</t>
  </si>
  <si>
    <t>Number of Reviews with 5 Starts</t>
  </si>
  <si>
    <t>Product Price</t>
  </si>
  <si>
    <t>Number of Products Sold</t>
  </si>
  <si>
    <t>Location Distance</t>
  </si>
  <si>
    <t>Name</t>
  </si>
  <si>
    <t>Wj</t>
  </si>
  <si>
    <t>fj+</t>
  </si>
  <si>
    <t>fj-</t>
  </si>
  <si>
    <t>Si</t>
  </si>
  <si>
    <t>Ri</t>
  </si>
  <si>
    <t>Qi</t>
  </si>
  <si>
    <t>Rank</t>
  </si>
  <si>
    <t>v</t>
  </si>
  <si>
    <t>Student Name</t>
  </si>
  <si>
    <t>Student Number</t>
  </si>
  <si>
    <t>Hamed Aarab</t>
  </si>
  <si>
    <t>Ali Ghaderi</t>
  </si>
  <si>
    <t>Kiyanmehr Najafi</t>
  </si>
  <si>
    <t>Ej</t>
  </si>
  <si>
    <t>Dj</t>
  </si>
  <si>
    <t>S+i</t>
  </si>
  <si>
    <t>S-i</t>
  </si>
  <si>
    <t>Value</t>
  </si>
  <si>
    <t>Normalized Values with Ratio Method and Weights with Shannon Entropy Method</t>
  </si>
  <si>
    <t>Results Using Shannon Entropy and COPRAS Methods</t>
  </si>
  <si>
    <t>Results Using SMARTER and COPRAS Methods</t>
  </si>
  <si>
    <t>Normalized Values Using Euclidean Method</t>
  </si>
  <si>
    <t>Results Using Shannon Entropy and MOORA Methods</t>
  </si>
  <si>
    <t>Results Using SMARTER and MOORA Methods</t>
  </si>
  <si>
    <t>Digikala</t>
  </si>
  <si>
    <t>MeghdadIT</t>
  </si>
  <si>
    <t>TechnoLife</t>
  </si>
  <si>
    <t>Banino</t>
  </si>
  <si>
    <t>BartarDigital</t>
  </si>
  <si>
    <t>RyanMobile</t>
  </si>
  <si>
    <t>Nazdikeh</t>
  </si>
  <si>
    <t>AhwazKala</t>
  </si>
  <si>
    <t>Anarino</t>
  </si>
  <si>
    <t>DGLand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</si>
</sst>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Results Using The Original Methods (SMARTER and VIKOR)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&amp; Solution'!$B$20:$B$34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xVal>
          <c:yVal>
            <c:numRef>
              <c:f>'Data &amp; Solution'!$K$20:$K$34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10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15</c:v>
                </c:pt>
                <c:pt idx="12">
                  <c:v>8</c:v>
                </c:pt>
                <c:pt idx="13">
                  <c:v>9</c:v>
                </c:pt>
                <c:pt idx="1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9C-4001-B561-FC5ED227216E}"/>
            </c:ext>
          </c:extLst>
        </c:ser>
        <c:ser>
          <c:idx val="1"/>
          <c:order val="1"/>
          <c:tx>
            <c:strRef>
              <c:f>Extras!$I$2</c:f>
              <c:strCache>
                <c:ptCount val="1"/>
                <c:pt idx="0">
                  <c:v>Results Using Shannon Entropy and COPRAS Methods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Extras!$I$4:$I$18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xVal>
          <c:yVal>
            <c:numRef>
              <c:f>Extras!$R$4:$R$18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8</c:v>
                </c:pt>
                <c:pt idx="8">
                  <c:v>12</c:v>
                </c:pt>
                <c:pt idx="9">
                  <c:v>13</c:v>
                </c:pt>
                <c:pt idx="10">
                  <c:v>9</c:v>
                </c:pt>
                <c:pt idx="11">
                  <c:v>15</c:v>
                </c:pt>
                <c:pt idx="12">
                  <c:v>5</c:v>
                </c:pt>
                <c:pt idx="13">
                  <c:v>11</c:v>
                </c:pt>
                <c:pt idx="1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9C-4001-B561-FC5ED227216E}"/>
            </c:ext>
          </c:extLst>
        </c:ser>
        <c:ser>
          <c:idx val="2"/>
          <c:order val="2"/>
          <c:tx>
            <c:strRef>
              <c:f>Extras!$I$20</c:f>
              <c:strCache>
                <c:ptCount val="1"/>
                <c:pt idx="0">
                  <c:v>Results Using SMARTER and COPRAS Methods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Extras!$I$22:$I$36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xVal>
          <c:yVal>
            <c:numRef>
              <c:f>Extras!$R$22:$R$36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9</c:v>
                </c:pt>
                <c:pt idx="7">
                  <c:v>8</c:v>
                </c:pt>
                <c:pt idx="8">
                  <c:v>12</c:v>
                </c:pt>
                <c:pt idx="9">
                  <c:v>14</c:v>
                </c:pt>
                <c:pt idx="10">
                  <c:v>10</c:v>
                </c:pt>
                <c:pt idx="11">
                  <c:v>15</c:v>
                </c:pt>
                <c:pt idx="12">
                  <c:v>6</c:v>
                </c:pt>
                <c:pt idx="13">
                  <c:v>11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19C-4001-B561-FC5ED227216E}"/>
            </c:ext>
          </c:extLst>
        </c:ser>
        <c:ser>
          <c:idx val="3"/>
          <c:order val="3"/>
          <c:tx>
            <c:strRef>
              <c:f>Extras!$AA$2</c:f>
              <c:strCache>
                <c:ptCount val="1"/>
                <c:pt idx="0">
                  <c:v>Results Using Shannon Entropy and MOORA Methods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Extras!$AA$4:$AA$19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xVal>
          <c:yVal>
            <c:numRef>
              <c:f>Extras!$AH$4:$AH$18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8</c:v>
                </c:pt>
                <c:pt idx="8">
                  <c:v>13</c:v>
                </c:pt>
                <c:pt idx="9">
                  <c:v>11</c:v>
                </c:pt>
                <c:pt idx="10">
                  <c:v>10</c:v>
                </c:pt>
                <c:pt idx="11">
                  <c:v>15</c:v>
                </c:pt>
                <c:pt idx="12">
                  <c:v>6</c:v>
                </c:pt>
                <c:pt idx="13">
                  <c:v>13</c:v>
                </c:pt>
                <c:pt idx="14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19C-4001-B561-FC5ED227216E}"/>
            </c:ext>
          </c:extLst>
        </c:ser>
        <c:ser>
          <c:idx val="4"/>
          <c:order val="4"/>
          <c:tx>
            <c:strRef>
              <c:f>Extras!$AA$20</c:f>
              <c:strCache>
                <c:ptCount val="1"/>
                <c:pt idx="0">
                  <c:v>Results Using SMARTER and MOORA Methods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Extras!$AA$22:$AA$36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xVal>
          <c:yVal>
            <c:numRef>
              <c:f>Extras!$AH$22:$AH$36</c:f>
              <c:numCache>
                <c:formatCode>General</c:formatCode>
                <c:ptCount val="1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8</c:v>
                </c:pt>
                <c:pt idx="8">
                  <c:v>12</c:v>
                </c:pt>
                <c:pt idx="9">
                  <c:v>13</c:v>
                </c:pt>
                <c:pt idx="10">
                  <c:v>9</c:v>
                </c:pt>
                <c:pt idx="11">
                  <c:v>15</c:v>
                </c:pt>
                <c:pt idx="12">
                  <c:v>3</c:v>
                </c:pt>
                <c:pt idx="13">
                  <c:v>10</c:v>
                </c:pt>
                <c:pt idx="1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19C-4001-B561-FC5ED2272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890048"/>
        <c:axId val="1295902528"/>
      </c:scatterChart>
      <c:valAx>
        <c:axId val="129589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02528"/>
        <c:crosses val="autoZero"/>
        <c:crossBetween val="midCat"/>
      </c:valAx>
      <c:valAx>
        <c:axId val="12959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9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7445</xdr:colOff>
      <xdr:row>11</xdr:row>
      <xdr:rowOff>17463</xdr:rowOff>
    </xdr:from>
    <xdr:to>
      <xdr:col>16</xdr:col>
      <xdr:colOff>2612</xdr:colOff>
      <xdr:row>41</xdr:row>
      <xdr:rowOff>951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3EBDA2-E1A5-ADF9-60A7-B2F04D881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6662" y="2033888"/>
          <a:ext cx="4635459" cy="5481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2708</xdr:colOff>
      <xdr:row>1</xdr:row>
      <xdr:rowOff>2356</xdr:rowOff>
    </xdr:from>
    <xdr:to>
      <xdr:col>48</xdr:col>
      <xdr:colOff>0</xdr:colOff>
      <xdr:row>27</xdr:row>
      <xdr:rowOff>1204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31ABF-5860-47E4-C50E-00CBDE18A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11</xdr:row>
      <xdr:rowOff>0</xdr:rowOff>
    </xdr:from>
    <xdr:to>
      <xdr:col>15</xdr:col>
      <xdr:colOff>1096343</xdr:colOff>
      <xdr:row>38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648B28-5A35-4638-AD5D-019D8B355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9820" y="2011680"/>
          <a:ext cx="4197683" cy="495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53C82-790C-4D4F-AA49-344C4922DAD3}">
  <dimension ref="B2:C5"/>
  <sheetViews>
    <sheetView workbookViewId="0"/>
  </sheetViews>
  <sheetFormatPr defaultRowHeight="14.4" x14ac:dyDescent="0.3"/>
  <cols>
    <col min="2" max="2" width="15" bestFit="1" customWidth="1"/>
    <col min="3" max="3" width="15.109375" bestFit="1" customWidth="1"/>
  </cols>
  <sheetData>
    <row r="2" spans="2:3" x14ac:dyDescent="0.3">
      <c r="B2" s="1" t="s">
        <v>69</v>
      </c>
      <c r="C2" s="1" t="s">
        <v>70</v>
      </c>
    </row>
    <row r="3" spans="2:3" x14ac:dyDescent="0.3">
      <c r="B3" t="s">
        <v>71</v>
      </c>
      <c r="C3">
        <v>9925003</v>
      </c>
    </row>
    <row r="4" spans="2:3" x14ac:dyDescent="0.3">
      <c r="B4" t="s">
        <v>72</v>
      </c>
      <c r="C4">
        <v>9925035</v>
      </c>
    </row>
    <row r="5" spans="2:3" x14ac:dyDescent="0.3">
      <c r="B5" t="s">
        <v>73</v>
      </c>
      <c r="C5">
        <v>9925048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8E2F-9FBB-4E07-8328-BA10F053E1D5}">
  <dimension ref="B2:R34"/>
  <sheetViews>
    <sheetView topLeftCell="A2" zoomScaleNormal="100" workbookViewId="0"/>
  </sheetViews>
  <sheetFormatPr defaultRowHeight="14.4" x14ac:dyDescent="0.3"/>
  <cols>
    <col min="2" max="2" width="11.5546875" bestFit="1" customWidth="1"/>
    <col min="3" max="3" width="19.109375" bestFit="1" customWidth="1"/>
    <col min="4" max="4" width="6.5546875" bestFit="1" customWidth="1"/>
    <col min="5" max="5" width="16.44140625" bestFit="1" customWidth="1"/>
    <col min="6" max="7" width="6.5546875" bestFit="1" customWidth="1"/>
    <col min="8" max="8" width="8" bestFit="1" customWidth="1"/>
    <col min="9" max="10" width="6.5546875" bestFit="1" customWidth="1"/>
    <col min="11" max="11" width="5.21875" bestFit="1" customWidth="1"/>
    <col min="12" max="12" width="8.88671875" customWidth="1"/>
    <col min="13" max="13" width="11.88671875" bestFit="1" customWidth="1"/>
    <col min="14" max="14" width="16.109375" bestFit="1" customWidth="1"/>
    <col min="15" max="15" width="27.88671875" bestFit="1" customWidth="1"/>
    <col min="16" max="16" width="11.77734375" bestFit="1" customWidth="1"/>
    <col min="17" max="17" width="21.5546875" bestFit="1" customWidth="1"/>
    <col min="18" max="18" width="15.6640625" bestFit="1" customWidth="1"/>
  </cols>
  <sheetData>
    <row r="2" spans="2:18" x14ac:dyDescent="0.3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M2" s="1"/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</row>
    <row r="3" spans="2:18" x14ac:dyDescent="0.3">
      <c r="B3" t="s">
        <v>12</v>
      </c>
      <c r="C3" t="s">
        <v>13</v>
      </c>
      <c r="D3" t="s">
        <v>14</v>
      </c>
      <c r="E3" t="s">
        <v>53</v>
      </c>
      <c r="F3" s="3">
        <v>4.9000000000000004</v>
      </c>
      <c r="G3">
        <v>76</v>
      </c>
      <c r="H3">
        <v>1604000</v>
      </c>
      <c r="I3">
        <v>1093</v>
      </c>
      <c r="J3">
        <v>480</v>
      </c>
      <c r="M3" s="1" t="s">
        <v>60</v>
      </c>
      <c r="N3" t="s">
        <v>55</v>
      </c>
      <c r="O3" t="s">
        <v>56</v>
      </c>
      <c r="P3" t="s">
        <v>57</v>
      </c>
      <c r="Q3" t="s">
        <v>58</v>
      </c>
      <c r="R3" t="s">
        <v>59</v>
      </c>
    </row>
    <row r="4" spans="2:18" x14ac:dyDescent="0.3">
      <c r="B4" t="s">
        <v>12</v>
      </c>
      <c r="C4" t="s">
        <v>15</v>
      </c>
      <c r="D4" t="s">
        <v>16</v>
      </c>
      <c r="E4" t="s">
        <v>17</v>
      </c>
      <c r="F4" s="3">
        <v>4.7</v>
      </c>
      <c r="G4">
        <v>276</v>
      </c>
      <c r="H4">
        <v>1636000</v>
      </c>
      <c r="I4">
        <v>2207</v>
      </c>
      <c r="J4">
        <v>452</v>
      </c>
      <c r="M4" s="1" t="s">
        <v>0</v>
      </c>
      <c r="N4" t="s">
        <v>1</v>
      </c>
      <c r="O4" t="s">
        <v>1</v>
      </c>
      <c r="P4" t="s">
        <v>2</v>
      </c>
      <c r="Q4" t="s">
        <v>1</v>
      </c>
      <c r="R4" t="s">
        <v>2</v>
      </c>
    </row>
    <row r="5" spans="2:18" x14ac:dyDescent="0.3">
      <c r="B5" t="s">
        <v>12</v>
      </c>
      <c r="C5" t="s">
        <v>18</v>
      </c>
      <c r="D5" t="s">
        <v>19</v>
      </c>
      <c r="E5" t="s">
        <v>17</v>
      </c>
      <c r="F5" s="3">
        <v>5</v>
      </c>
      <c r="G5">
        <v>110</v>
      </c>
      <c r="H5">
        <v>1665000</v>
      </c>
      <c r="I5">
        <v>484</v>
      </c>
      <c r="J5">
        <v>452</v>
      </c>
      <c r="M5" s="1" t="s">
        <v>52</v>
      </c>
      <c r="N5">
        <v>1</v>
      </c>
      <c r="O5">
        <v>2</v>
      </c>
      <c r="P5">
        <v>3</v>
      </c>
      <c r="Q5">
        <v>4</v>
      </c>
      <c r="R5">
        <v>5</v>
      </c>
    </row>
    <row r="6" spans="2:18" x14ac:dyDescent="0.3">
      <c r="B6" t="s">
        <v>12</v>
      </c>
      <c r="C6" t="s">
        <v>20</v>
      </c>
      <c r="D6" t="s">
        <v>21</v>
      </c>
      <c r="E6" t="s">
        <v>22</v>
      </c>
      <c r="F6" s="3">
        <v>4.8</v>
      </c>
      <c r="G6">
        <v>64</v>
      </c>
      <c r="H6">
        <v>1625000</v>
      </c>
      <c r="I6">
        <v>207</v>
      </c>
      <c r="J6">
        <v>34</v>
      </c>
      <c r="M6" s="1" t="s">
        <v>61</v>
      </c>
      <c r="N6" s="2">
        <f>1/5*SUMPRODUCT(1/N$5:$R5)</f>
        <v>0.45666666666666667</v>
      </c>
      <c r="O6" s="2">
        <f>1/5*SUMPRODUCT(1/O$5:$R5)</f>
        <v>0.25666666666666665</v>
      </c>
      <c r="P6" s="2">
        <f>1/5*SUMPRODUCT(1/P$5:$R5)</f>
        <v>0.15666666666666665</v>
      </c>
      <c r="Q6" s="2">
        <f>1/5*SUMPRODUCT(1/Q$5:$R5)</f>
        <v>9.0000000000000011E-2</v>
      </c>
      <c r="R6" s="2">
        <f>1/5*SUMPRODUCT(1/R$5:$R5)</f>
        <v>4.0000000000000008E-2</v>
      </c>
    </row>
    <row r="7" spans="2:18" x14ac:dyDescent="0.3">
      <c r="B7" t="s">
        <v>12</v>
      </c>
      <c r="C7" t="s">
        <v>23</v>
      </c>
      <c r="D7" t="s">
        <v>24</v>
      </c>
      <c r="E7" t="s">
        <v>25</v>
      </c>
      <c r="F7" s="3">
        <v>5</v>
      </c>
      <c r="G7">
        <v>40</v>
      </c>
      <c r="H7">
        <v>1620000</v>
      </c>
      <c r="I7">
        <v>607</v>
      </c>
      <c r="J7">
        <v>446</v>
      </c>
      <c r="M7" s="1" t="s">
        <v>62</v>
      </c>
      <c r="N7">
        <f>IF(N$4="Benefit",MAX(F$3:F$17),MIN(F$3:F$17))</f>
        <v>5</v>
      </c>
      <c r="O7">
        <f>IF(O$4="Benefit",MAX(G$3:G$17),MIN(G$3:G$17))</f>
        <v>276</v>
      </c>
      <c r="P7">
        <f>IF(P$4="Benefit",MAX(H$3:H$17),MIN(H$3:H$17))</f>
        <v>1600000</v>
      </c>
      <c r="Q7">
        <f>IF(Q$4="Benefit",MAX(I$3:I$17),MIN(I$3:I$17))</f>
        <v>2207</v>
      </c>
      <c r="R7">
        <f>IF(R$4="Benefit",MAX(J$3:J$17),MIN(J$3:J$17))</f>
        <v>34</v>
      </c>
    </row>
    <row r="8" spans="2:18" x14ac:dyDescent="0.3">
      <c r="B8" t="s">
        <v>26</v>
      </c>
      <c r="C8" t="s">
        <v>27</v>
      </c>
      <c r="D8" t="s">
        <v>28</v>
      </c>
      <c r="E8" t="s">
        <v>54</v>
      </c>
      <c r="F8" s="3">
        <v>4.9000000000000004</v>
      </c>
      <c r="G8">
        <v>93</v>
      </c>
      <c r="H8">
        <v>1600000</v>
      </c>
      <c r="I8">
        <v>453</v>
      </c>
      <c r="J8">
        <v>485</v>
      </c>
      <c r="M8" s="1" t="s">
        <v>63</v>
      </c>
      <c r="N8">
        <f>IF(N$4="Cost",MAX(F$3:F$17),MIN(F$3:F$17))</f>
        <v>4.2</v>
      </c>
      <c r="O8">
        <f>IF(O$4="Cost",MAX(G$3:G$17),MIN(G$3:G$17))</f>
        <v>1</v>
      </c>
      <c r="P8">
        <f>IF(P$4="Cost",MAX(H$3:H$17),MIN(H$3:H$17))</f>
        <v>1675000</v>
      </c>
      <c r="Q8">
        <f>IF(Q$4="Cost",MAX(I$3:I$17),MIN(I$3:I$17))</f>
        <v>8</v>
      </c>
      <c r="R8">
        <f>IF(R$4="Cost",MAX(J$3:J$17),MIN(J$3:J$17))</f>
        <v>485</v>
      </c>
    </row>
    <row r="9" spans="2:18" x14ac:dyDescent="0.3">
      <c r="B9" t="s">
        <v>26</v>
      </c>
      <c r="C9" t="s">
        <v>29</v>
      </c>
      <c r="D9" t="s">
        <v>30</v>
      </c>
      <c r="E9" t="s">
        <v>31</v>
      </c>
      <c r="F9" s="3">
        <v>4.9000000000000004</v>
      </c>
      <c r="G9">
        <v>9</v>
      </c>
      <c r="H9">
        <v>1609999</v>
      </c>
      <c r="I9">
        <v>62</v>
      </c>
      <c r="J9">
        <v>463</v>
      </c>
    </row>
    <row r="10" spans="2:18" x14ac:dyDescent="0.3">
      <c r="B10" t="s">
        <v>26</v>
      </c>
      <c r="C10" t="s">
        <v>32</v>
      </c>
      <c r="D10" t="s">
        <v>33</v>
      </c>
      <c r="E10" t="s">
        <v>34</v>
      </c>
      <c r="F10" s="3">
        <v>4.9000000000000004</v>
      </c>
      <c r="G10">
        <v>39</v>
      </c>
      <c r="H10">
        <v>1610000</v>
      </c>
      <c r="I10">
        <v>70</v>
      </c>
      <c r="J10">
        <v>405</v>
      </c>
      <c r="M10" s="1" t="s">
        <v>68</v>
      </c>
      <c r="N10">
        <v>0.5</v>
      </c>
    </row>
    <row r="11" spans="2:18" x14ac:dyDescent="0.3">
      <c r="B11" t="s">
        <v>26</v>
      </c>
      <c r="C11" t="s">
        <v>35</v>
      </c>
      <c r="D11" t="s">
        <v>36</v>
      </c>
      <c r="E11" t="s">
        <v>25</v>
      </c>
      <c r="F11" s="3">
        <v>4.8</v>
      </c>
      <c r="G11">
        <v>8</v>
      </c>
      <c r="H11">
        <v>1620000</v>
      </c>
      <c r="I11">
        <v>13</v>
      </c>
      <c r="J11">
        <v>446</v>
      </c>
    </row>
    <row r="12" spans="2:18" x14ac:dyDescent="0.3">
      <c r="B12" t="s">
        <v>26</v>
      </c>
      <c r="C12" t="s">
        <v>37</v>
      </c>
      <c r="D12" t="s">
        <v>38</v>
      </c>
      <c r="E12" t="s">
        <v>17</v>
      </c>
      <c r="F12" s="3">
        <v>4.7</v>
      </c>
      <c r="G12">
        <v>6</v>
      </c>
      <c r="H12">
        <v>1675000</v>
      </c>
      <c r="I12">
        <v>20</v>
      </c>
      <c r="J12">
        <v>452</v>
      </c>
    </row>
    <row r="13" spans="2:18" x14ac:dyDescent="0.3">
      <c r="B13" t="s">
        <v>39</v>
      </c>
      <c r="C13" t="s">
        <v>40</v>
      </c>
      <c r="D13" t="s">
        <v>41</v>
      </c>
      <c r="E13" t="s">
        <v>42</v>
      </c>
      <c r="F13" s="3">
        <v>4.7</v>
      </c>
      <c r="G13">
        <v>16</v>
      </c>
      <c r="H13">
        <v>1674000</v>
      </c>
      <c r="I13">
        <v>41</v>
      </c>
      <c r="J13">
        <v>444</v>
      </c>
    </row>
    <row r="14" spans="2:18" x14ac:dyDescent="0.3">
      <c r="B14" t="s">
        <v>39</v>
      </c>
      <c r="C14" t="s">
        <v>43</v>
      </c>
      <c r="D14" t="s">
        <v>44</v>
      </c>
      <c r="E14" t="s">
        <v>25</v>
      </c>
      <c r="F14" s="3">
        <v>4.2</v>
      </c>
      <c r="G14">
        <v>1</v>
      </c>
      <c r="H14">
        <v>1673070</v>
      </c>
      <c r="I14">
        <v>8</v>
      </c>
      <c r="J14">
        <v>446</v>
      </c>
    </row>
    <row r="15" spans="2:18" x14ac:dyDescent="0.3">
      <c r="B15" t="s">
        <v>39</v>
      </c>
      <c r="C15" t="s">
        <v>45</v>
      </c>
      <c r="D15" t="s">
        <v>46</v>
      </c>
      <c r="E15" t="s">
        <v>17</v>
      </c>
      <c r="F15" s="3">
        <v>4.8</v>
      </c>
      <c r="G15">
        <v>95</v>
      </c>
      <c r="H15">
        <v>1675000</v>
      </c>
      <c r="I15">
        <v>438</v>
      </c>
      <c r="J15">
        <v>452</v>
      </c>
    </row>
    <row r="16" spans="2:18" x14ac:dyDescent="0.3">
      <c r="B16" t="s">
        <v>39</v>
      </c>
      <c r="C16" t="s">
        <v>47</v>
      </c>
      <c r="D16" t="s">
        <v>48</v>
      </c>
      <c r="E16" t="s">
        <v>53</v>
      </c>
      <c r="F16" s="3">
        <v>5</v>
      </c>
      <c r="G16">
        <v>9</v>
      </c>
      <c r="H16">
        <v>1625000</v>
      </c>
      <c r="I16">
        <v>13</v>
      </c>
      <c r="J16">
        <v>480</v>
      </c>
    </row>
    <row r="17" spans="2:11" x14ac:dyDescent="0.3">
      <c r="B17" t="s">
        <v>39</v>
      </c>
      <c r="C17" t="s">
        <v>49</v>
      </c>
      <c r="D17" t="s">
        <v>50</v>
      </c>
      <c r="E17" t="s">
        <v>51</v>
      </c>
      <c r="F17" s="3">
        <v>5</v>
      </c>
      <c r="G17">
        <v>5</v>
      </c>
      <c r="H17">
        <v>1670000</v>
      </c>
      <c r="I17">
        <v>14</v>
      </c>
      <c r="J17">
        <v>424</v>
      </c>
    </row>
    <row r="19" spans="2:11" x14ac:dyDescent="0.3">
      <c r="B19" s="1"/>
      <c r="C19" s="1" t="s">
        <v>7</v>
      </c>
      <c r="D19" s="1" t="s">
        <v>8</v>
      </c>
      <c r="E19" s="1" t="s">
        <v>9</v>
      </c>
      <c r="F19" s="1" t="s">
        <v>10</v>
      </c>
      <c r="G19" s="1" t="s">
        <v>11</v>
      </c>
      <c r="H19" s="1" t="s">
        <v>64</v>
      </c>
      <c r="I19" s="1" t="s">
        <v>65</v>
      </c>
      <c r="J19" s="1" t="s">
        <v>66</v>
      </c>
      <c r="K19" s="1" t="s">
        <v>67</v>
      </c>
    </row>
    <row r="20" spans="2:11" x14ac:dyDescent="0.3">
      <c r="B20" s="1" t="s">
        <v>14</v>
      </c>
      <c r="C20" s="2">
        <f t="shared" ref="C20:C34" si="0">N$6*(N$7-F3)/(N$7-N$8)</f>
        <v>5.7083333333333139E-2</v>
      </c>
      <c r="D20" s="2">
        <f t="shared" ref="D20:D34" si="1">O$6*(O$7-G3)/(O$7-O$8)</f>
        <v>0.18666666666666665</v>
      </c>
      <c r="E20" s="2">
        <f t="shared" ref="E20:E34" si="2">P$6*(P$7-H3)/(P$7-P$8)</f>
        <v>8.3555555555555553E-3</v>
      </c>
      <c r="F20" s="2">
        <f t="shared" ref="F20:F34" si="3">Q$6*(Q$7-I3)/(Q$7-Q$8)</f>
        <v>4.5593451568894952E-2</v>
      </c>
      <c r="G20" s="2">
        <f t="shared" ref="G20:G34" si="4">R$6*(R$7-J3)/(R$7-R$8)</f>
        <v>3.9556541019955663E-2</v>
      </c>
      <c r="H20" s="2">
        <f>SUM($C20:$G20)</f>
        <v>0.33725554814440595</v>
      </c>
      <c r="I20" s="2">
        <f>MAX($C20:$G20)</f>
        <v>0.18666666666666665</v>
      </c>
      <c r="J20" s="2">
        <f t="shared" ref="J20:J34" si="5">$N$10*($H20-MIN($H$20:$H$34))/(MAX($H$20:$H$34)-MIN($H$20:$H$34))+(1-$N$10)*($I20-MIN($I$20:$I$34))/(MAX($I$20:$I$34)-MIN($I$20:$I$34))</f>
        <v>9.047886956283191E-2</v>
      </c>
      <c r="K20">
        <f>_xlfn.RANK.EQ($J20,$J$20:$J$34,1)</f>
        <v>4</v>
      </c>
    </row>
    <row r="21" spans="2:11" x14ac:dyDescent="0.3">
      <c r="B21" s="1" t="s">
        <v>16</v>
      </c>
      <c r="C21" s="2">
        <f t="shared" si="0"/>
        <v>0.17124999999999996</v>
      </c>
      <c r="D21" s="2">
        <f t="shared" si="1"/>
        <v>0</v>
      </c>
      <c r="E21" s="2">
        <f t="shared" si="2"/>
        <v>7.5199999999999989E-2</v>
      </c>
      <c r="F21" s="2">
        <f t="shared" si="3"/>
        <v>0</v>
      </c>
      <c r="G21" s="2">
        <f t="shared" si="4"/>
        <v>3.7073170731707322E-2</v>
      </c>
      <c r="H21" s="2">
        <f t="shared" ref="H21:H34" si="6">SUM($C21:$G21)</f>
        <v>0.2835231707317073</v>
      </c>
      <c r="I21" s="2">
        <f t="shared" ref="I21:I34" si="7">MAX($C21:$G21)</f>
        <v>0.17124999999999996</v>
      </c>
      <c r="J21" s="2">
        <f t="shared" si="5"/>
        <v>2.7038223596995103E-2</v>
      </c>
      <c r="K21">
        <f t="shared" ref="K21:K34" si="8">_xlfn.RANK.EQ($J21,$J$20:$J$34,1)</f>
        <v>1</v>
      </c>
    </row>
    <row r="22" spans="2:11" x14ac:dyDescent="0.3">
      <c r="B22" s="1" t="s">
        <v>19</v>
      </c>
      <c r="C22" s="2">
        <f t="shared" si="0"/>
        <v>0</v>
      </c>
      <c r="D22" s="2">
        <f t="shared" si="1"/>
        <v>0.15493333333333331</v>
      </c>
      <c r="E22" s="2">
        <f t="shared" si="2"/>
        <v>0.13577777777777778</v>
      </c>
      <c r="F22" s="2">
        <f t="shared" si="3"/>
        <v>7.0518417462482955E-2</v>
      </c>
      <c r="G22" s="2">
        <f t="shared" si="4"/>
        <v>3.7073170731707322E-2</v>
      </c>
      <c r="H22" s="2">
        <f t="shared" si="6"/>
        <v>0.39830269930530138</v>
      </c>
      <c r="I22" s="2">
        <f t="shared" si="7"/>
        <v>0.15493333333333331</v>
      </c>
      <c r="J22" s="2">
        <f t="shared" si="5"/>
        <v>8.094622533512548E-2</v>
      </c>
      <c r="K22">
        <f t="shared" si="8"/>
        <v>3</v>
      </c>
    </row>
    <row r="23" spans="2:11" x14ac:dyDescent="0.3">
      <c r="B23" s="1" t="s">
        <v>21</v>
      </c>
      <c r="C23" s="2">
        <f t="shared" si="0"/>
        <v>0.11416666666666681</v>
      </c>
      <c r="D23" s="2">
        <f t="shared" si="1"/>
        <v>0.19786666666666666</v>
      </c>
      <c r="E23" s="2">
        <f t="shared" si="2"/>
        <v>5.2222222222222212E-2</v>
      </c>
      <c r="F23" s="2">
        <f t="shared" si="3"/>
        <v>8.1855388813096869E-2</v>
      </c>
      <c r="G23" s="2">
        <f t="shared" si="4"/>
        <v>0</v>
      </c>
      <c r="H23" s="2">
        <f t="shared" si="6"/>
        <v>0.44611094436865262</v>
      </c>
      <c r="I23" s="2">
        <f t="shared" si="7"/>
        <v>0.19786666666666666</v>
      </c>
      <c r="J23" s="2">
        <f t="shared" si="5"/>
        <v>0.18580664008357628</v>
      </c>
      <c r="K23">
        <f t="shared" si="8"/>
        <v>6</v>
      </c>
    </row>
    <row r="24" spans="2:11" x14ac:dyDescent="0.3">
      <c r="B24" s="1" t="s">
        <v>24</v>
      </c>
      <c r="C24" s="2">
        <f t="shared" si="0"/>
        <v>0</v>
      </c>
      <c r="D24" s="2">
        <f t="shared" si="1"/>
        <v>0.22026666666666667</v>
      </c>
      <c r="E24" s="2">
        <f t="shared" si="2"/>
        <v>4.1777777777777775E-2</v>
      </c>
      <c r="F24" s="2">
        <f t="shared" si="3"/>
        <v>6.5484311050477501E-2</v>
      </c>
      <c r="G24" s="2">
        <f t="shared" si="4"/>
        <v>3.6541019955654112E-2</v>
      </c>
      <c r="H24" s="2">
        <f t="shared" si="6"/>
        <v>0.36406977545057601</v>
      </c>
      <c r="I24" s="2">
        <f t="shared" si="7"/>
        <v>0.22026666666666667</v>
      </c>
      <c r="J24" s="2">
        <f t="shared" si="5"/>
        <v>0.16506743058932991</v>
      </c>
      <c r="K24">
        <f t="shared" si="8"/>
        <v>5</v>
      </c>
    </row>
    <row r="25" spans="2:11" x14ac:dyDescent="0.3">
      <c r="B25" s="1" t="s">
        <v>28</v>
      </c>
      <c r="C25" s="2">
        <f t="shared" si="0"/>
        <v>5.7083333333333139E-2</v>
      </c>
      <c r="D25" s="2">
        <f t="shared" si="1"/>
        <v>0.17080000000000001</v>
      </c>
      <c r="E25" s="2">
        <f t="shared" si="2"/>
        <v>0</v>
      </c>
      <c r="F25" s="2">
        <f t="shared" si="3"/>
        <v>7.1787175989085961E-2</v>
      </c>
      <c r="G25" s="2">
        <f t="shared" si="4"/>
        <v>4.0000000000000008E-2</v>
      </c>
      <c r="H25" s="2">
        <f t="shared" si="6"/>
        <v>0.33967050932241916</v>
      </c>
      <c r="I25" s="2">
        <f t="shared" si="7"/>
        <v>0.17080000000000001</v>
      </c>
      <c r="J25" s="2">
        <f t="shared" si="5"/>
        <v>6.5889446034001653E-2</v>
      </c>
      <c r="K25">
        <f t="shared" si="8"/>
        <v>2</v>
      </c>
    </row>
    <row r="26" spans="2:11" x14ac:dyDescent="0.3">
      <c r="B26" s="1" t="s">
        <v>30</v>
      </c>
      <c r="C26" s="2">
        <f t="shared" si="0"/>
        <v>5.7083333333333139E-2</v>
      </c>
      <c r="D26" s="2">
        <f t="shared" si="1"/>
        <v>0.2492</v>
      </c>
      <c r="E26" s="2">
        <f t="shared" si="2"/>
        <v>2.0886799999999997E-2</v>
      </c>
      <c r="F26" s="2">
        <f t="shared" si="3"/>
        <v>8.7789904502046393E-2</v>
      </c>
      <c r="G26" s="2">
        <f t="shared" si="4"/>
        <v>3.8048780487804884E-2</v>
      </c>
      <c r="H26" s="2">
        <f t="shared" si="6"/>
        <v>0.4530088183231844</v>
      </c>
      <c r="I26" s="2">
        <f t="shared" si="7"/>
        <v>0.2492</v>
      </c>
      <c r="J26" s="2">
        <f t="shared" si="5"/>
        <v>0.27573531749921254</v>
      </c>
      <c r="K26">
        <f t="shared" si="8"/>
        <v>10</v>
      </c>
    </row>
    <row r="27" spans="2:11" x14ac:dyDescent="0.3">
      <c r="B27" s="1" t="s">
        <v>33</v>
      </c>
      <c r="C27" s="2">
        <f t="shared" si="0"/>
        <v>5.7083333333333139E-2</v>
      </c>
      <c r="D27" s="2">
        <f t="shared" si="1"/>
        <v>0.22119999999999998</v>
      </c>
      <c r="E27" s="2">
        <f t="shared" si="2"/>
        <v>2.0888888888888887E-2</v>
      </c>
      <c r="F27" s="2">
        <f t="shared" si="3"/>
        <v>8.7462482946793998E-2</v>
      </c>
      <c r="G27" s="2">
        <f t="shared" si="4"/>
        <v>3.2904656319290473E-2</v>
      </c>
      <c r="H27" s="2">
        <f t="shared" si="6"/>
        <v>0.41953936148830645</v>
      </c>
      <c r="I27" s="2">
        <f t="shared" si="7"/>
        <v>0.22119999999999998</v>
      </c>
      <c r="J27" s="2">
        <f t="shared" si="5"/>
        <v>0.20573299115906796</v>
      </c>
      <c r="K27">
        <f t="shared" si="8"/>
        <v>7</v>
      </c>
    </row>
    <row r="28" spans="2:11" x14ac:dyDescent="0.3">
      <c r="B28" s="1" t="s">
        <v>36</v>
      </c>
      <c r="C28" s="2">
        <f t="shared" si="0"/>
        <v>0.11416666666666681</v>
      </c>
      <c r="D28" s="2">
        <f t="shared" si="1"/>
        <v>0.25013333333333332</v>
      </c>
      <c r="E28" s="2">
        <f t="shared" si="2"/>
        <v>4.1777777777777775E-2</v>
      </c>
      <c r="F28" s="2">
        <f t="shared" si="3"/>
        <v>8.9795361527967271E-2</v>
      </c>
      <c r="G28" s="2">
        <f t="shared" si="4"/>
        <v>3.6541019955654112E-2</v>
      </c>
      <c r="H28" s="2">
        <f t="shared" si="6"/>
        <v>0.53241415926139923</v>
      </c>
      <c r="I28" s="2">
        <f t="shared" si="7"/>
        <v>0.25013333333333332</v>
      </c>
      <c r="J28" s="2">
        <f t="shared" si="5"/>
        <v>0.33328114438315359</v>
      </c>
      <c r="K28">
        <f t="shared" si="8"/>
        <v>12</v>
      </c>
    </row>
    <row r="29" spans="2:11" x14ac:dyDescent="0.3">
      <c r="B29" s="1" t="s">
        <v>38</v>
      </c>
      <c r="C29" s="2">
        <f t="shared" si="0"/>
        <v>0.17124999999999996</v>
      </c>
      <c r="D29" s="2">
        <f t="shared" si="1"/>
        <v>0.252</v>
      </c>
      <c r="E29" s="2">
        <f t="shared" si="2"/>
        <v>0.15666666666666665</v>
      </c>
      <c r="F29" s="2">
        <f t="shared" si="3"/>
        <v>8.950886766712142E-2</v>
      </c>
      <c r="G29" s="2">
        <f t="shared" si="4"/>
        <v>3.7073170731707322E-2</v>
      </c>
      <c r="H29" s="2">
        <f t="shared" si="6"/>
        <v>0.70649870506549539</v>
      </c>
      <c r="I29" s="2">
        <f t="shared" si="7"/>
        <v>0.252</v>
      </c>
      <c r="J29" s="2">
        <f t="shared" si="5"/>
        <v>0.45914441959426389</v>
      </c>
      <c r="K29">
        <f t="shared" si="8"/>
        <v>14</v>
      </c>
    </row>
    <row r="30" spans="2:11" x14ac:dyDescent="0.3">
      <c r="B30" s="1" t="s">
        <v>41</v>
      </c>
      <c r="C30" s="2">
        <f t="shared" si="0"/>
        <v>0.17124999999999996</v>
      </c>
      <c r="D30" s="2">
        <f t="shared" si="1"/>
        <v>0.24266666666666667</v>
      </c>
      <c r="E30" s="2">
        <f t="shared" si="2"/>
        <v>0.15457777777777776</v>
      </c>
      <c r="F30" s="2">
        <f t="shared" si="3"/>
        <v>8.864938608458392E-2</v>
      </c>
      <c r="G30" s="2">
        <f t="shared" si="4"/>
        <v>3.6363636363636369E-2</v>
      </c>
      <c r="H30" s="2">
        <f t="shared" si="6"/>
        <v>0.69350746689266474</v>
      </c>
      <c r="I30" s="2">
        <f t="shared" si="7"/>
        <v>0.24266666666666667</v>
      </c>
      <c r="J30" s="2">
        <f t="shared" si="5"/>
        <v>0.43451638413496257</v>
      </c>
      <c r="K30">
        <f t="shared" si="8"/>
        <v>13</v>
      </c>
    </row>
    <row r="31" spans="2:11" x14ac:dyDescent="0.3">
      <c r="B31" s="1" t="s">
        <v>44</v>
      </c>
      <c r="C31" s="2">
        <f t="shared" si="0"/>
        <v>0.45666666666666667</v>
      </c>
      <c r="D31" s="2">
        <f t="shared" si="1"/>
        <v>0.25666666666666665</v>
      </c>
      <c r="E31" s="2">
        <f t="shared" si="2"/>
        <v>0.15263511111111108</v>
      </c>
      <c r="F31" s="2">
        <f t="shared" si="3"/>
        <v>9.0000000000000011E-2</v>
      </c>
      <c r="G31" s="2">
        <f t="shared" si="4"/>
        <v>3.6541019955654112E-2</v>
      </c>
      <c r="H31" s="2">
        <f t="shared" si="6"/>
        <v>0.99250946440009846</v>
      </c>
      <c r="I31" s="2">
        <f t="shared" si="7"/>
        <v>0.45666666666666667</v>
      </c>
      <c r="J31" s="2">
        <f t="shared" si="5"/>
        <v>1</v>
      </c>
      <c r="K31">
        <f t="shared" si="8"/>
        <v>15</v>
      </c>
    </row>
    <row r="32" spans="2:11" x14ac:dyDescent="0.3">
      <c r="B32" s="1" t="s">
        <v>46</v>
      </c>
      <c r="C32" s="2">
        <f t="shared" si="0"/>
        <v>0.11416666666666681</v>
      </c>
      <c r="D32" s="2">
        <f t="shared" si="1"/>
        <v>0.16893333333333332</v>
      </c>
      <c r="E32" s="2">
        <f t="shared" si="2"/>
        <v>0.15666666666666665</v>
      </c>
      <c r="F32" s="2">
        <f t="shared" si="3"/>
        <v>7.2401091405184179E-2</v>
      </c>
      <c r="G32" s="2">
        <f t="shared" si="4"/>
        <v>3.7073170731707322E-2</v>
      </c>
      <c r="H32" s="2">
        <f t="shared" si="6"/>
        <v>0.54924092880355824</v>
      </c>
      <c r="I32" s="2">
        <f t="shared" si="7"/>
        <v>0.16893333333333332</v>
      </c>
      <c r="J32" s="2">
        <f t="shared" si="5"/>
        <v>0.21059202570010799</v>
      </c>
      <c r="K32">
        <f t="shared" si="8"/>
        <v>8</v>
      </c>
    </row>
    <row r="33" spans="2:11" x14ac:dyDescent="0.3">
      <c r="B33" s="1" t="s">
        <v>48</v>
      </c>
      <c r="C33" s="2">
        <f t="shared" si="0"/>
        <v>0</v>
      </c>
      <c r="D33" s="2">
        <f t="shared" si="1"/>
        <v>0.2492</v>
      </c>
      <c r="E33" s="2">
        <f t="shared" si="2"/>
        <v>5.2222222222222212E-2</v>
      </c>
      <c r="F33" s="2">
        <f t="shared" si="3"/>
        <v>8.9795361527967271E-2</v>
      </c>
      <c r="G33" s="2">
        <f t="shared" si="4"/>
        <v>3.9556541019955663E-2</v>
      </c>
      <c r="H33" s="2">
        <f t="shared" si="6"/>
        <v>0.43077412477014509</v>
      </c>
      <c r="I33" s="2">
        <f t="shared" si="7"/>
        <v>0.2492</v>
      </c>
      <c r="J33" s="2">
        <f t="shared" si="5"/>
        <v>0.26005469450860857</v>
      </c>
      <c r="K33">
        <f t="shared" si="8"/>
        <v>9</v>
      </c>
    </row>
    <row r="34" spans="2:11" x14ac:dyDescent="0.3">
      <c r="B34" s="1" t="s">
        <v>50</v>
      </c>
      <c r="C34" s="2">
        <f t="shared" si="0"/>
        <v>0</v>
      </c>
      <c r="D34" s="2">
        <f t="shared" si="1"/>
        <v>0.25293333333333329</v>
      </c>
      <c r="E34" s="2">
        <f t="shared" si="2"/>
        <v>0.14622222222222223</v>
      </c>
      <c r="F34" s="2">
        <f t="shared" si="3"/>
        <v>8.9754433833560729E-2</v>
      </c>
      <c r="G34" s="2">
        <f t="shared" si="4"/>
        <v>3.4589800443458989E-2</v>
      </c>
      <c r="H34" s="2">
        <f t="shared" si="6"/>
        <v>0.52349978983257517</v>
      </c>
      <c r="I34" s="2">
        <f t="shared" si="7"/>
        <v>0.25293333333333329</v>
      </c>
      <c r="J34" s="2">
        <f t="shared" si="5"/>
        <v>0.33163430215703904</v>
      </c>
      <c r="K34">
        <f t="shared" si="8"/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552E-8A2A-4A25-8C89-701A0D53C53C}">
  <dimension ref="B2:AH36"/>
  <sheetViews>
    <sheetView tabSelected="1" zoomScaleNormal="100" workbookViewId="0">
      <selection activeCell="C20" sqref="C20"/>
    </sheetView>
  </sheetViews>
  <sheetFormatPr defaultRowHeight="14.4" x14ac:dyDescent="0.3"/>
  <cols>
    <col min="2" max="2" width="4.21875" bestFit="1" customWidth="1"/>
    <col min="3" max="7" width="6.5546875" bestFit="1" customWidth="1"/>
    <col min="9" max="9" width="4.21875" bestFit="1" customWidth="1"/>
    <col min="10" max="16" width="6.5546875" bestFit="1" customWidth="1"/>
    <col min="17" max="17" width="9.5546875" bestFit="1" customWidth="1"/>
    <col min="18" max="18" width="5.21875" bestFit="1" customWidth="1"/>
  </cols>
  <sheetData>
    <row r="2" spans="2:34" x14ac:dyDescent="0.3">
      <c r="B2" s="7" t="s">
        <v>79</v>
      </c>
      <c r="C2" s="7"/>
      <c r="D2" s="7"/>
      <c r="E2" s="7"/>
      <c r="F2" s="7"/>
      <c r="G2" s="7"/>
      <c r="I2" s="6" t="s">
        <v>80</v>
      </c>
      <c r="J2" s="6"/>
      <c r="K2" s="6"/>
      <c r="L2" s="6"/>
      <c r="M2" s="6"/>
      <c r="N2" s="6"/>
      <c r="O2" s="6"/>
      <c r="P2" s="6"/>
      <c r="Q2" s="6"/>
      <c r="R2" s="6"/>
      <c r="T2" s="6" t="s">
        <v>82</v>
      </c>
      <c r="U2" s="6"/>
      <c r="V2" s="6"/>
      <c r="W2" s="6"/>
      <c r="X2" s="6"/>
      <c r="Y2" s="6"/>
      <c r="AA2" s="6" t="s">
        <v>83</v>
      </c>
      <c r="AB2" s="6"/>
      <c r="AC2" s="6"/>
      <c r="AD2" s="6"/>
      <c r="AE2" s="6"/>
      <c r="AF2" s="6"/>
      <c r="AG2" s="6"/>
      <c r="AH2" s="6"/>
    </row>
    <row r="3" spans="2:34" x14ac:dyDescent="0.3">
      <c r="B3" s="7"/>
      <c r="C3" s="7"/>
      <c r="D3" s="7"/>
      <c r="E3" s="7"/>
      <c r="F3" s="7"/>
      <c r="G3" s="7"/>
      <c r="I3" s="5"/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76</v>
      </c>
      <c r="P3" s="1" t="s">
        <v>77</v>
      </c>
      <c r="Q3" s="1" t="s">
        <v>66</v>
      </c>
      <c r="R3" s="1" t="s">
        <v>67</v>
      </c>
      <c r="T3" s="5"/>
      <c r="U3" s="1" t="s">
        <v>7</v>
      </c>
      <c r="V3" s="1" t="s">
        <v>8</v>
      </c>
      <c r="W3" s="1" t="s">
        <v>9</v>
      </c>
      <c r="X3" s="1" t="s">
        <v>10</v>
      </c>
      <c r="Y3" s="1" t="s">
        <v>11</v>
      </c>
      <c r="AA3" s="5"/>
      <c r="AB3" s="1" t="s">
        <v>7</v>
      </c>
      <c r="AC3" s="1" t="s">
        <v>8</v>
      </c>
      <c r="AD3" s="1" t="s">
        <v>9</v>
      </c>
      <c r="AE3" s="1" t="s">
        <v>10</v>
      </c>
      <c r="AF3" s="1" t="s">
        <v>11</v>
      </c>
      <c r="AG3" s="1" t="s">
        <v>78</v>
      </c>
      <c r="AH3" s="1" t="s">
        <v>67</v>
      </c>
    </row>
    <row r="4" spans="2:34" x14ac:dyDescent="0.3">
      <c r="B4" s="5"/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I4" s="1" t="s">
        <v>14</v>
      </c>
      <c r="J4" s="2">
        <f t="shared" ref="J4:J18" si="0">C5*C$22</f>
        <v>3.8741850832652211E-5</v>
      </c>
      <c r="K4" s="2">
        <f t="shared" ref="K4:K18" si="1">D5*D$22</f>
        <v>3.5931060138319752E-2</v>
      </c>
      <c r="L4" s="2">
        <f t="shared" ref="L4:L18" si="2">E5*E$22</f>
        <v>6.5330263937681431E-6</v>
      </c>
      <c r="M4" s="2">
        <f t="shared" ref="M4:M18" si="3">F5*F$22</f>
        <v>0.10780041982769892</v>
      </c>
      <c r="N4" s="2">
        <f t="shared" ref="N4:N18" si="4">G5*G$22</f>
        <v>2.5465811489318569E-3</v>
      </c>
      <c r="O4" s="2">
        <f>$J4+$K4+$M4</f>
        <v>0.14377022181685131</v>
      </c>
      <c r="P4" s="2">
        <f>$L4+$N4</f>
        <v>2.5531141753256251E-3</v>
      </c>
      <c r="Q4" s="4">
        <f>$O4*SUM($P$4:$P$18)/$P4/SUMPRODUCT(1/$P$4:$P$18)</f>
        <v>1.7044358108036494E-4</v>
      </c>
      <c r="R4">
        <f>_xlfn.RANK.EQ($Q4, $Q$4:$Q$18, 0)</f>
        <v>3</v>
      </c>
      <c r="T4" s="1" t="s">
        <v>14</v>
      </c>
      <c r="U4" s="2">
        <f>'Data &amp; Solution'!F3/SQRT(SUMPRODUCT(POWER('Data &amp; Solution'!F$3:F$17,2)))</f>
        <v>0.26226468621299359</v>
      </c>
      <c r="V4" s="2">
        <f>'Data &amp; Solution'!G3/SQRT(SUMPRODUCT(POWER('Data &amp; Solution'!G$3:G$17,2)))</f>
        <v>0.2198635640045985</v>
      </c>
      <c r="W4" s="2">
        <f>'Data &amp; Solution'!H3/SQRT(SUMPRODUCT(POWER('Data &amp; Solution'!H$3:H$17,2)))</f>
        <v>0.25267716544491087</v>
      </c>
      <c r="X4" s="2">
        <f>'Data &amp; Solution'!I3/SQRT(SUMPRODUCT(POWER('Data &amp; Solution'!I$3:I$17,2)))</f>
        <v>0.40963264597256871</v>
      </c>
      <c r="Y4" s="2">
        <f>'Data &amp; Solution'!J3/SQRT(SUMPRODUCT(POWER('Data &amp; Solution'!J$3:J$17,2)))</f>
        <v>0.2835103879513981</v>
      </c>
      <c r="AA4" s="1" t="s">
        <v>14</v>
      </c>
      <c r="AB4" s="2">
        <f>C$22*ABS(U4-IF('Data &amp; Solution'!N$4="Benefit", MAX(Extras!U$4:U$18), MIN(Extras!U$4:U$18)))</f>
        <v>3.059611741545106E-6</v>
      </c>
      <c r="AC4" s="2">
        <f>D$22*ABS(V4-IF('Data &amp; Solution'!O$4="Benefit", MAX(Extras!V$4:V$18), MIN(Extras!V$4:V$18)))</f>
        <v>0.2316911879010366</v>
      </c>
      <c r="AD4" s="2">
        <f>E$22*ABS(W4-IF('Data &amp; Solution'!P$4="Benefit", MAX(Extras!W$4:W$18), MIN(Extras!W$4:W$18)))</f>
        <v>6.3088486079611043E-8</v>
      </c>
      <c r="AE4" s="2">
        <f>F$22*ABS(X4-IF('Data &amp; Solution'!Q$4="Benefit", MAX(Extras!X$4:X$18), MIN(Extras!X$4:X$18)))</f>
        <v>0.23594702287057867</v>
      </c>
      <c r="AF4" s="2">
        <f>G$22*ABS(Y4-IF('Data &amp; Solution'!R$4="Benefit", MAX(Extras!Y$4:Y$18), MIN(Extras!Y$4:Y$18)))</f>
        <v>8.8900514765522069E-3</v>
      </c>
      <c r="AG4" s="2">
        <f>MAX($AB4:$AF4)</f>
        <v>0.23594702287057867</v>
      </c>
      <c r="AH4">
        <f>_xlfn.RANK.EQ(AG4,$AG$4:$AG$18, 1)</f>
        <v>2</v>
      </c>
    </row>
    <row r="5" spans="2:34" x14ac:dyDescent="0.3">
      <c r="B5" s="1" t="s">
        <v>14</v>
      </c>
      <c r="C5" s="2">
        <f>'Data &amp; Solution'!F3/SUM('Data &amp; Solution'!F$3:F$17)</f>
        <v>6.7773167358229594E-2</v>
      </c>
      <c r="D5" s="2">
        <f>'Data &amp; Solution'!G3/SUM('Data &amp; Solution'!G$3:G$17)</f>
        <v>8.9728453364816996E-2</v>
      </c>
      <c r="E5" s="2">
        <f>'Data &amp; Solution'!H3/SUM('Data &amp; Solution'!H$3:H$17)</f>
        <v>6.5250813509635824E-2</v>
      </c>
      <c r="F5" s="2">
        <f>'Data &amp; Solution'!I3/SUM('Data &amp; Solution'!I$3:I$17)</f>
        <v>0.19075043630017452</v>
      </c>
      <c r="G5" s="2">
        <f>'Data &amp; Solution'!J3/SUM('Data &amp; Solution'!J$3:J$17)</f>
        <v>7.545983335953467E-2</v>
      </c>
      <c r="I5" s="1" t="s">
        <v>16</v>
      </c>
      <c r="J5" s="2">
        <f t="shared" si="0"/>
        <v>3.7160550798666405E-5</v>
      </c>
      <c r="K5" s="2">
        <f t="shared" si="1"/>
        <v>0.13048648155495068</v>
      </c>
      <c r="L5" s="2">
        <f t="shared" si="2"/>
        <v>6.663361084915637E-6</v>
      </c>
      <c r="M5" s="2">
        <f t="shared" si="3"/>
        <v>0.21767202795949819</v>
      </c>
      <c r="N5" s="2">
        <f t="shared" si="4"/>
        <v>2.3980305819108322E-3</v>
      </c>
      <c r="O5" s="2">
        <f t="shared" ref="O5:O18" si="5">$J5+$K5+$M5</f>
        <v>0.34819567006524754</v>
      </c>
      <c r="P5" s="2">
        <f t="shared" ref="P5:P18" si="6">$L5+$N5</f>
        <v>2.4046939429957477E-3</v>
      </c>
      <c r="Q5" s="4">
        <f t="shared" ref="Q5:Q18" si="7">$O5*SUM($P$4:$P$18)/$P5/SUMPRODUCT(1/$P$4:$P$18)</f>
        <v>4.3827379176130646E-4</v>
      </c>
      <c r="R5">
        <f t="shared" ref="R5:R18" si="8">_xlfn.RANK.EQ($Q5, $Q$4:$Q$18, 0)</f>
        <v>2</v>
      </c>
      <c r="T5" s="1" t="s">
        <v>16</v>
      </c>
      <c r="U5" s="2">
        <f>'Data &amp; Solution'!F4/SQRT(SUMPRODUCT(POWER('Data &amp; Solution'!F$3:F$17,2)))</f>
        <v>0.25156000514307547</v>
      </c>
      <c r="V5" s="2">
        <f>'Data &amp; Solution'!G4/SQRT(SUMPRODUCT(POWER('Data &amp; Solution'!G$3:G$17,2)))</f>
        <v>0.7984518903324892</v>
      </c>
      <c r="W5" s="2">
        <f>'Data &amp; Solution'!H4/SQRT(SUMPRODUCT(POWER('Data &amp; Solution'!H$3:H$17,2)))</f>
        <v>0.25771810640141785</v>
      </c>
      <c r="X5" s="2">
        <f>'Data &amp; Solution'!I4/SQRT(SUMPRODUCT(POWER('Data &amp; Solution'!I$3:I$17,2)))</f>
        <v>0.82713563555485747</v>
      </c>
      <c r="Y5" s="2">
        <f>'Data &amp; Solution'!J4/SQRT(SUMPRODUCT(POWER('Data &amp; Solution'!J$3:J$17,2)))</f>
        <v>0.26697228198756656</v>
      </c>
      <c r="AA5" s="1" t="s">
        <v>16</v>
      </c>
      <c r="AB5" s="2">
        <f>C$22*ABS(U5-IF('Data &amp; Solution'!N$4="Benefit", MAX(Extras!U$4:U$18), MIN(Extras!U$4:U$18)))</f>
        <v>9.1788352246353501E-6</v>
      </c>
      <c r="AC5" s="2">
        <f>D$22*ABS(V5-IF('Data &amp; Solution'!O$4="Benefit", MAX(Extras!V$4:V$18), MIN(Extras!V$4:V$18)))</f>
        <v>0</v>
      </c>
      <c r="AD5" s="2">
        <f>E$22*ABS(W5-IF('Data &amp; Solution'!P$4="Benefit", MAX(Extras!W$4:W$18), MIN(Extras!W$4:W$18)))</f>
        <v>5.6779637471648819E-7</v>
      </c>
      <c r="AE5" s="2">
        <f>F$22*ABS(X5-IF('Data &amp; Solution'!Q$4="Benefit", MAX(Extras!X$4:X$18), MIN(Extras!X$4:X$18)))</f>
        <v>0</v>
      </c>
      <c r="AF5" s="2">
        <f>G$22*ABS(Y5-IF('Data &amp; Solution'!R$4="Benefit", MAX(Extras!Y$4:Y$18), MIN(Extras!Y$4:Y$18)))</f>
        <v>8.3319316529121574E-3</v>
      </c>
      <c r="AG5" s="2">
        <f t="shared" ref="AG5:AG18" si="9">MAX($AB5:$AF5)</f>
        <v>8.3319316529121574E-3</v>
      </c>
      <c r="AH5">
        <f t="shared" ref="AH5:AH18" si="10">_xlfn.RANK.EQ(AG5,$AG$4:$AG$18, 1)</f>
        <v>1</v>
      </c>
    </row>
    <row r="6" spans="2:34" x14ac:dyDescent="0.3">
      <c r="B6" s="1" t="s">
        <v>16</v>
      </c>
      <c r="C6" s="2">
        <f>'Data &amp; Solution'!F4/SUM('Data &amp; Solution'!F$3:F$17)</f>
        <v>6.5006915629322259E-2</v>
      </c>
      <c r="D6" s="2">
        <f>'Data &amp; Solution'!G4/SUM('Data &amp; Solution'!G$3:G$17)</f>
        <v>0.32585596221959856</v>
      </c>
      <c r="E6" s="2">
        <f>'Data &amp; Solution'!H4/SUM('Data &amp; Solution'!H$3:H$17)</f>
        <v>6.6552575375164721E-2</v>
      </c>
      <c r="F6" s="2">
        <f>'Data &amp; Solution'!I4/SUM('Data &amp; Solution'!I$3:I$17)</f>
        <v>0.38516579406631762</v>
      </c>
      <c r="G6" s="2">
        <f>'Data &amp; Solution'!J4/SUM('Data &amp; Solution'!J$3:J$17)</f>
        <v>7.1058009746895148E-2</v>
      </c>
      <c r="I6" s="1" t="s">
        <v>19</v>
      </c>
      <c r="J6" s="2">
        <f t="shared" si="0"/>
        <v>3.953250084964511E-5</v>
      </c>
      <c r="K6" s="2">
        <f t="shared" si="1"/>
        <v>5.200548177914701E-2</v>
      </c>
      <c r="L6" s="2">
        <f t="shared" si="2"/>
        <v>6.781476898768054E-6</v>
      </c>
      <c r="M6" s="2">
        <f t="shared" si="3"/>
        <v>4.7735959008788915E-2</v>
      </c>
      <c r="N6" s="2">
        <f t="shared" si="4"/>
        <v>2.3980305819108322E-3</v>
      </c>
      <c r="O6" s="2">
        <f t="shared" si="5"/>
        <v>9.9780973288785574E-2</v>
      </c>
      <c r="P6" s="2">
        <f t="shared" si="6"/>
        <v>2.4048120588096001E-3</v>
      </c>
      <c r="Q6" s="4">
        <f t="shared" si="7"/>
        <v>1.255881142078013E-4</v>
      </c>
      <c r="R6">
        <f t="shared" si="8"/>
        <v>4</v>
      </c>
      <c r="T6" s="1" t="s">
        <v>19</v>
      </c>
      <c r="U6" s="2">
        <f>'Data &amp; Solution'!F5/SQRT(SUMPRODUCT(POWER('Data &amp; Solution'!F$3:F$17,2)))</f>
        <v>0.26761702674795262</v>
      </c>
      <c r="V6" s="2">
        <f>'Data &amp; Solution'!G5/SQRT(SUMPRODUCT(POWER('Data &amp; Solution'!G$3:G$17,2)))</f>
        <v>0.31822357948033991</v>
      </c>
      <c r="W6" s="2">
        <f>'Data &amp; Solution'!H5/SQRT(SUMPRODUCT(POWER('Data &amp; Solution'!H$3:H$17,2)))</f>
        <v>0.26228645914325227</v>
      </c>
      <c r="X6" s="2">
        <f>'Data &amp; Solution'!I5/SQRT(SUMPRODUCT(POWER('Data &amp; Solution'!I$3:I$17,2)))</f>
        <v>0.18139268129068917</v>
      </c>
      <c r="Y6" s="2">
        <f>'Data &amp; Solution'!J5/SQRT(SUMPRODUCT(POWER('Data &amp; Solution'!J$3:J$17,2)))</f>
        <v>0.26697228198756656</v>
      </c>
      <c r="AA6" s="1" t="s">
        <v>19</v>
      </c>
      <c r="AB6" s="2">
        <f>C$22*ABS(U6-IF('Data &amp; Solution'!N$4="Benefit", MAX(Extras!U$4:U$18), MIN(Extras!U$4:U$18)))</f>
        <v>0</v>
      </c>
      <c r="AC6" s="2">
        <f>D$22*ABS(V6-IF('Data &amp; Solution'!O$4="Benefit", MAX(Extras!V$4:V$18), MIN(Extras!V$4:V$18)))</f>
        <v>0.19230368595786038</v>
      </c>
      <c r="AD6" s="2">
        <f>E$22*ABS(W6-IF('Data &amp; Solution'!P$4="Benefit", MAX(Extras!W$4:W$18), MIN(Extras!W$4:W$18)))</f>
        <v>1.0251878987936558E-6</v>
      </c>
      <c r="AE6" s="2">
        <f>F$22*ABS(X6-IF('Data &amp; Solution'!Q$4="Benefit", MAX(Extras!X$4:X$18), MIN(Extras!X$4:X$18)))</f>
        <v>0.36493421939497939</v>
      </c>
      <c r="AF6" s="2">
        <f>G$22*ABS(Y6-IF('Data &amp; Solution'!R$4="Benefit", MAX(Extras!Y$4:Y$18), MIN(Extras!Y$4:Y$18)))</f>
        <v>8.3319316529121574E-3</v>
      </c>
      <c r="AG6" s="2">
        <f t="shared" si="9"/>
        <v>0.36493421939497939</v>
      </c>
      <c r="AH6">
        <f t="shared" si="10"/>
        <v>4</v>
      </c>
    </row>
    <row r="7" spans="2:34" x14ac:dyDescent="0.3">
      <c r="B7" s="1" t="s">
        <v>19</v>
      </c>
      <c r="C7" s="2">
        <f>'Data &amp; Solution'!F5/SUM('Data &amp; Solution'!F$3:F$17)</f>
        <v>6.9156293222683254E-2</v>
      </c>
      <c r="D7" s="2">
        <f>'Data &amp; Solution'!G5/SUM('Data &amp; Solution'!G$3:G$17)</f>
        <v>0.12987012987012986</v>
      </c>
      <c r="E7" s="2">
        <f>'Data &amp; Solution'!H5/SUM('Data &amp; Solution'!H$3:H$17)</f>
        <v>6.7732297065800279E-2</v>
      </c>
      <c r="F7" s="2">
        <f>'Data &amp; Solution'!I5/SUM('Data &amp; Solution'!I$3:I$17)</f>
        <v>8.4467713787085522E-2</v>
      </c>
      <c r="G7" s="2">
        <f>'Data &amp; Solution'!J5/SUM('Data &amp; Solution'!J$3:J$17)</f>
        <v>7.1058009746895148E-2</v>
      </c>
      <c r="I7" s="1" t="s">
        <v>21</v>
      </c>
      <c r="J7" s="2">
        <f t="shared" si="0"/>
        <v>3.7951200815659304E-5</v>
      </c>
      <c r="K7" s="2">
        <f t="shared" si="1"/>
        <v>3.0257734853321897E-2</v>
      </c>
      <c r="L7" s="2">
        <f t="shared" si="2"/>
        <v>6.6185585348336856E-6</v>
      </c>
      <c r="M7" s="2">
        <f t="shared" si="3"/>
        <v>2.0415998997560546E-2</v>
      </c>
      <c r="N7" s="2">
        <f t="shared" si="4"/>
        <v>1.8038283138267319E-4</v>
      </c>
      <c r="O7" s="2">
        <f t="shared" si="5"/>
        <v>5.0711685051698104E-2</v>
      </c>
      <c r="P7" s="2">
        <f t="shared" si="6"/>
        <v>1.8700138991750687E-4</v>
      </c>
      <c r="Q7" s="4">
        <f t="shared" si="7"/>
        <v>8.208147488071645E-4</v>
      </c>
      <c r="R7">
        <f t="shared" si="8"/>
        <v>1</v>
      </c>
      <c r="T7" s="1" t="s">
        <v>21</v>
      </c>
      <c r="U7" s="2">
        <f>'Data &amp; Solution'!F6/SQRT(SUMPRODUCT(POWER('Data &amp; Solution'!F$3:F$17,2)))</f>
        <v>0.2569123456780345</v>
      </c>
      <c r="V7" s="2">
        <f>'Data &amp; Solution'!G6/SQRT(SUMPRODUCT(POWER('Data &amp; Solution'!G$3:G$17,2)))</f>
        <v>0.18514826442492505</v>
      </c>
      <c r="W7" s="2">
        <f>'Data &amp; Solution'!H6/SQRT(SUMPRODUCT(POWER('Data &amp; Solution'!H$3:H$17,2)))</f>
        <v>0.25598528294761858</v>
      </c>
      <c r="X7" s="2">
        <f>'Data &amp; Solution'!I6/SQRT(SUMPRODUCT(POWER('Data &amp; Solution'!I$3:I$17,2)))</f>
        <v>7.7579101295811276E-2</v>
      </c>
      <c r="Y7" s="2">
        <f>'Data &amp; Solution'!J6/SQRT(SUMPRODUCT(POWER('Data &amp; Solution'!J$3:J$17,2)))</f>
        <v>2.0081985813224033E-2</v>
      </c>
      <c r="AA7" s="1" t="s">
        <v>21</v>
      </c>
      <c r="AB7" s="2">
        <f>C$22*ABS(U7-IF('Data &amp; Solution'!N$4="Benefit", MAX(Extras!U$4:U$18), MIN(Extras!U$4:U$18)))</f>
        <v>6.1192234830902433E-6</v>
      </c>
      <c r="AC7" s="2">
        <f>D$22*ABS(V7-IF('Data &amp; Solution'!O$4="Benefit", MAX(Extras!V$4:V$18), MIN(Extras!V$4:V$18)))</f>
        <v>0.24559265917509882</v>
      </c>
      <c r="AD7" s="2">
        <f>E$22*ABS(W7-IF('Data &amp; Solution'!P$4="Benefit", MAX(Extras!W$4:W$18), MIN(Extras!W$4:W$18)))</f>
        <v>3.9430303799756201E-7</v>
      </c>
      <c r="AE7" s="2">
        <f>F$22*ABS(X7-IF('Data &amp; Solution'!Q$4="Benefit", MAX(Extras!X$4:X$18), MIN(Extras!X$4:X$18)))</f>
        <v>0.42360327265813047</v>
      </c>
      <c r="AF7" s="2">
        <f>G$22*ABS(Y7-IF('Data &amp; Solution'!R$4="Benefit", MAX(Extras!Y$4:Y$18), MIN(Extras!Y$4:Y$18)))</f>
        <v>0</v>
      </c>
      <c r="AG7" s="2">
        <f t="shared" si="9"/>
        <v>0.42360327265813047</v>
      </c>
      <c r="AH7">
        <f t="shared" si="10"/>
        <v>7</v>
      </c>
    </row>
    <row r="8" spans="2:34" x14ac:dyDescent="0.3">
      <c r="B8" s="1" t="s">
        <v>21</v>
      </c>
      <c r="C8" s="2">
        <f>'Data &amp; Solution'!F6/SUM('Data &amp; Solution'!F$3:F$17)</f>
        <v>6.639004149377592E-2</v>
      </c>
      <c r="D8" s="2">
        <f>'Data &amp; Solution'!G6/SUM('Data &amp; Solution'!G$3:G$17)</f>
        <v>7.5560802833530102E-2</v>
      </c>
      <c r="E8" s="2">
        <f>'Data &amp; Solution'!H6/SUM('Data &amp; Solution'!H$3:H$17)</f>
        <v>6.6105094733889161E-2</v>
      </c>
      <c r="F8" s="2">
        <f>'Data &amp; Solution'!I6/SUM('Data &amp; Solution'!I$3:I$17)</f>
        <v>3.6125654450261779E-2</v>
      </c>
      <c r="G8" s="2">
        <f>'Data &amp; Solution'!J6/SUM('Data &amp; Solution'!J$3:J$17)</f>
        <v>5.3450715296337057E-3</v>
      </c>
      <c r="I8" s="1" t="s">
        <v>24</v>
      </c>
      <c r="J8" s="2">
        <f t="shared" si="0"/>
        <v>3.953250084964511E-5</v>
      </c>
      <c r="K8" s="2">
        <f t="shared" si="1"/>
        <v>1.8911084283326187E-2</v>
      </c>
      <c r="L8" s="2">
        <f t="shared" si="2"/>
        <v>6.5981937393418896E-6</v>
      </c>
      <c r="M8" s="2">
        <f t="shared" si="3"/>
        <v>5.9867204789948072E-2</v>
      </c>
      <c r="N8" s="2">
        <f t="shared" si="4"/>
        <v>2.3661983175491839E-3</v>
      </c>
      <c r="O8" s="2">
        <f t="shared" si="5"/>
        <v>7.8817821574123897E-2</v>
      </c>
      <c r="P8" s="2">
        <f t="shared" si="6"/>
        <v>2.3727965112885258E-3</v>
      </c>
      <c r="Q8" s="4">
        <f t="shared" si="7"/>
        <v>1.005416195343325E-4</v>
      </c>
      <c r="R8">
        <f t="shared" si="8"/>
        <v>7</v>
      </c>
      <c r="T8" s="1" t="s">
        <v>24</v>
      </c>
      <c r="U8" s="2">
        <f>'Data &amp; Solution'!F7/SQRT(SUMPRODUCT(POWER('Data &amp; Solution'!F$3:F$17,2)))</f>
        <v>0.26761702674795262</v>
      </c>
      <c r="V8" s="2">
        <f>'Data &amp; Solution'!G7/SQRT(SUMPRODUCT(POWER('Data &amp; Solution'!G$3:G$17,2)))</f>
        <v>0.11571766526557815</v>
      </c>
      <c r="W8" s="2">
        <f>'Data &amp; Solution'!H7/SQRT(SUMPRODUCT(POWER('Data &amp; Solution'!H$3:H$17,2)))</f>
        <v>0.25519763592316436</v>
      </c>
      <c r="X8" s="2">
        <f>'Data &amp; Solution'!I7/SQRT(SUMPRODUCT(POWER('Data &amp; Solution'!I$3:I$17,2)))</f>
        <v>0.2274904081476205</v>
      </c>
      <c r="Y8" s="2">
        <f>'Data &amp; Solution'!J7/SQRT(SUMPRODUCT(POWER('Data &amp; Solution'!J$3:J$17,2)))</f>
        <v>0.26342840213817409</v>
      </c>
      <c r="AA8" s="1" t="s">
        <v>24</v>
      </c>
      <c r="AB8" s="2">
        <f>C$22*ABS(U8-IF('Data &amp; Solution'!N$4="Benefit", MAX(Extras!U$4:U$18), MIN(Extras!U$4:U$18)))</f>
        <v>0</v>
      </c>
      <c r="AC8" s="2">
        <f>D$22*ABS(V8-IF('Data &amp; Solution'!O$4="Benefit", MAX(Extras!V$4:V$18), MIN(Extras!V$4:V$18)))</f>
        <v>0.27339560172322319</v>
      </c>
      <c r="AD8" s="2">
        <f>E$22*ABS(W8-IF('Data &amp; Solution'!P$4="Benefit", MAX(Extras!W$4:W$18), MIN(Extras!W$4:W$18)))</f>
        <v>3.1544243039804963E-7</v>
      </c>
      <c r="AE8" s="2">
        <f>F$22*ABS(X8-IF('Data &amp; Solution'!Q$4="Benefit", MAX(Extras!X$4:X$18), MIN(Extras!X$4:X$18)))</f>
        <v>0.33888261812650439</v>
      </c>
      <c r="AF8" s="2">
        <f>G$22*ABS(Y8-IF('Data &amp; Solution'!R$4="Benefit", MAX(Extras!Y$4:Y$18), MIN(Extras!Y$4:Y$18)))</f>
        <v>8.2123345478464331E-3</v>
      </c>
      <c r="AG8" s="2">
        <f t="shared" si="9"/>
        <v>0.33888261812650439</v>
      </c>
      <c r="AH8">
        <f t="shared" si="10"/>
        <v>3</v>
      </c>
    </row>
    <row r="9" spans="2:34" x14ac:dyDescent="0.3">
      <c r="B9" s="1" t="s">
        <v>24</v>
      </c>
      <c r="C9" s="2">
        <f>'Data &amp; Solution'!F7/SUM('Data &amp; Solution'!F$3:F$17)</f>
        <v>6.9156293222683254E-2</v>
      </c>
      <c r="D9" s="2">
        <f>'Data &amp; Solution'!G7/SUM('Data &amp; Solution'!G$3:G$17)</f>
        <v>4.7225501770956316E-2</v>
      </c>
      <c r="E9" s="2">
        <f>'Data &amp; Solution'!H7/SUM('Data &amp; Solution'!H$3:H$17)</f>
        <v>6.5901694442400266E-2</v>
      </c>
      <c r="F9" s="2">
        <f>'Data &amp; Solution'!I7/SUM('Data &amp; Solution'!I$3:I$17)</f>
        <v>0.10593368237347295</v>
      </c>
      <c r="G9" s="2">
        <f>'Data &amp; Solution'!J7/SUM('Data &amp; Solution'!J$3:J$17)</f>
        <v>7.0114761829900965E-2</v>
      </c>
      <c r="I9" s="1" t="s">
        <v>28</v>
      </c>
      <c r="J9" s="2">
        <f t="shared" si="0"/>
        <v>3.8741850832652211E-5</v>
      </c>
      <c r="K9" s="2">
        <f t="shared" si="1"/>
        <v>4.3968270958733388E-2</v>
      </c>
      <c r="L9" s="2">
        <f t="shared" si="2"/>
        <v>6.5167345573747067E-6</v>
      </c>
      <c r="M9" s="2">
        <f t="shared" si="3"/>
        <v>4.4678490559878874E-2</v>
      </c>
      <c r="N9" s="2">
        <f t="shared" si="4"/>
        <v>2.5731080358998974E-3</v>
      </c>
      <c r="O9" s="2">
        <f t="shared" si="5"/>
        <v>8.8685503369444918E-2</v>
      </c>
      <c r="P9" s="2">
        <f t="shared" si="6"/>
        <v>2.5796247704572722E-3</v>
      </c>
      <c r="Q9" s="4">
        <f t="shared" si="7"/>
        <v>1.0405861500751113E-4</v>
      </c>
      <c r="R9">
        <f t="shared" si="8"/>
        <v>6</v>
      </c>
      <c r="T9" s="1" t="s">
        <v>28</v>
      </c>
      <c r="U9" s="2">
        <f>'Data &amp; Solution'!F8/SQRT(SUMPRODUCT(POWER('Data &amp; Solution'!F$3:F$17,2)))</f>
        <v>0.26226468621299359</v>
      </c>
      <c r="V9" s="2">
        <f>'Data &amp; Solution'!G8/SQRT(SUMPRODUCT(POWER('Data &amp; Solution'!G$3:G$17,2)))</f>
        <v>0.26904357174246918</v>
      </c>
      <c r="W9" s="2">
        <f>'Data &amp; Solution'!H8/SQRT(SUMPRODUCT(POWER('Data &amp; Solution'!H$3:H$17,2)))</f>
        <v>0.25204704782534748</v>
      </c>
      <c r="X9" s="2">
        <f>'Data &amp; Solution'!I8/SQRT(SUMPRODUCT(POWER('Data &amp; Solution'!I$3:I$17,2)))</f>
        <v>0.16977455500967395</v>
      </c>
      <c r="Y9" s="2">
        <f>'Data &amp; Solution'!J8/SQRT(SUMPRODUCT(POWER('Data &amp; Solution'!J$3:J$17,2)))</f>
        <v>0.28646362115922519</v>
      </c>
      <c r="AA9" s="1" t="s">
        <v>28</v>
      </c>
      <c r="AB9" s="2">
        <f>C$22*ABS(U9-IF('Data &amp; Solution'!N$4="Benefit", MAX(Extras!U$4:U$18), MIN(Extras!U$4:U$18)))</f>
        <v>3.059611741545106E-6</v>
      </c>
      <c r="AC9" s="2">
        <f>D$22*ABS(V9-IF('Data &amp; Solution'!O$4="Benefit", MAX(Extras!V$4:V$18), MIN(Extras!V$4:V$18)))</f>
        <v>0.2119974369294485</v>
      </c>
      <c r="AD9" s="2">
        <f>E$22*ABS(W9-IF('Data &amp; Solution'!P$4="Benefit", MAX(Extras!W$4:W$18), MIN(Extras!W$4:W$18)))</f>
        <v>0</v>
      </c>
      <c r="AE9" s="2">
        <f>F$22*ABS(X9-IF('Data &amp; Solution'!Q$4="Benefit", MAX(Extras!X$4:X$18), MIN(Extras!X$4:X$18)))</f>
        <v>0.37150007012118041</v>
      </c>
      <c r="AF9" s="2">
        <f>G$22*ABS(Y9-IF('Data &amp; Solution'!R$4="Benefit", MAX(Extras!Y$4:Y$18), MIN(Extras!Y$4:Y$18)))</f>
        <v>8.9897157307736453E-3</v>
      </c>
      <c r="AG9" s="2">
        <f t="shared" si="9"/>
        <v>0.37150007012118041</v>
      </c>
      <c r="AH9">
        <f t="shared" si="10"/>
        <v>5</v>
      </c>
    </row>
    <row r="10" spans="2:34" x14ac:dyDescent="0.3">
      <c r="B10" s="1" t="s">
        <v>28</v>
      </c>
      <c r="C10" s="2">
        <f>'Data &amp; Solution'!F8/SUM('Data &amp; Solution'!F$3:F$17)</f>
        <v>6.7773167358229594E-2</v>
      </c>
      <c r="D10" s="2">
        <f>'Data &amp; Solution'!G8/SUM('Data &amp; Solution'!G$3:G$17)</f>
        <v>0.10979929161747344</v>
      </c>
      <c r="E10" s="2">
        <f>'Data &amp; Solution'!H8/SUM('Data &amp; Solution'!H$3:H$17)</f>
        <v>6.5088093276444714E-2</v>
      </c>
      <c r="F10" s="2">
        <f>'Data &amp; Solution'!I8/SUM('Data &amp; Solution'!I$3:I$17)</f>
        <v>7.9057591623036647E-2</v>
      </c>
      <c r="G10" s="2">
        <f>'Data &amp; Solution'!J8/SUM('Data &amp; Solution'!J$3:J$17)</f>
        <v>7.6245873290363156E-2</v>
      </c>
      <c r="I10" s="1" t="s">
        <v>30</v>
      </c>
      <c r="J10" s="2">
        <f t="shared" si="0"/>
        <v>3.8741850832652211E-5</v>
      </c>
      <c r="K10" s="2">
        <f t="shared" si="1"/>
        <v>4.2549939637483922E-3</v>
      </c>
      <c r="L10" s="2">
        <f t="shared" si="2"/>
        <v>6.5574600753992003E-6</v>
      </c>
      <c r="M10" s="2">
        <f t="shared" si="3"/>
        <v>6.1149368978200671E-3</v>
      </c>
      <c r="N10" s="2">
        <f t="shared" si="4"/>
        <v>2.4563897332405206E-3</v>
      </c>
      <c r="O10" s="2">
        <f t="shared" si="5"/>
        <v>1.0408672712401111E-2</v>
      </c>
      <c r="P10" s="2">
        <f t="shared" si="6"/>
        <v>2.4629471933159197E-3</v>
      </c>
      <c r="Q10" s="4">
        <f t="shared" si="7"/>
        <v>1.2791521255974329E-5</v>
      </c>
      <c r="R10">
        <f t="shared" si="8"/>
        <v>10</v>
      </c>
      <c r="T10" s="1" t="s">
        <v>30</v>
      </c>
      <c r="U10" s="2">
        <f>'Data &amp; Solution'!F9/SQRT(SUMPRODUCT(POWER('Data &amp; Solution'!F$3:F$17,2)))</f>
        <v>0.26226468621299359</v>
      </c>
      <c r="V10" s="2">
        <f>'Data &amp; Solution'!G9/SQRT(SUMPRODUCT(POWER('Data &amp; Solution'!G$3:G$17,2)))</f>
        <v>2.6036474684755083E-2</v>
      </c>
      <c r="W10" s="2">
        <f>'Data &amp; Solution'!H9/SQRT(SUMPRODUCT(POWER('Data &amp; Solution'!H$3:H$17,2)))</f>
        <v>0.25362218434485106</v>
      </c>
      <c r="X10" s="2">
        <f>'Data &amp; Solution'!I9/SQRT(SUMPRODUCT(POWER('Data &amp; Solution'!I$3:I$17,2)))</f>
        <v>2.3236252562030432E-2</v>
      </c>
      <c r="Y10" s="2">
        <f>'Data &amp; Solution'!J9/SQRT(SUMPRODUCT(POWER('Data &amp; Solution'!J$3:J$17,2)))</f>
        <v>0.27346939504478612</v>
      </c>
      <c r="AA10" s="1" t="s">
        <v>30</v>
      </c>
      <c r="AB10" s="2">
        <f>C$22*ABS(U10-IF('Data &amp; Solution'!N$4="Benefit", MAX(Extras!U$4:U$18), MIN(Extras!U$4:U$18)))</f>
        <v>3.059611741545106E-6</v>
      </c>
      <c r="AC10" s="2">
        <f>D$22*ABS(V10-IF('Data &amp; Solution'!O$4="Benefit", MAX(Extras!V$4:V$18), MIN(Extras!V$4:V$18)))</f>
        <v>0.30930773584788385</v>
      </c>
      <c r="AD10" s="2">
        <f>E$22*ABS(W10-IF('Data &amp; Solution'!P$4="Benefit", MAX(Extras!W$4:W$18), MIN(Extras!W$4:W$18)))</f>
        <v>1.5770544307750861E-7</v>
      </c>
      <c r="AE10" s="2">
        <f>F$22*ABS(X10-IF('Data &amp; Solution'!Q$4="Benefit", MAX(Extras!X$4:X$18), MIN(Extras!X$4:X$18)))</f>
        <v>0.45431450992584488</v>
      </c>
      <c r="AF10" s="2">
        <f>G$22*ABS(Y10-IF('Data &amp; Solution'!R$4="Benefit", MAX(Extras!Y$4:Y$18), MIN(Extras!Y$4:Y$18)))</f>
        <v>8.5511930121993217E-3</v>
      </c>
      <c r="AG10" s="2">
        <f t="shared" si="9"/>
        <v>0.45431450992584488</v>
      </c>
      <c r="AH10">
        <f t="shared" si="10"/>
        <v>9</v>
      </c>
    </row>
    <row r="11" spans="2:34" x14ac:dyDescent="0.3">
      <c r="B11" s="1" t="s">
        <v>30</v>
      </c>
      <c r="C11" s="2">
        <f>'Data &amp; Solution'!F9/SUM('Data &amp; Solution'!F$3:F$17)</f>
        <v>6.7773167358229594E-2</v>
      </c>
      <c r="D11" s="2">
        <f>'Data &amp; Solution'!G9/SUM('Data &amp; Solution'!G$3:G$17)</f>
        <v>1.0625737898465172E-2</v>
      </c>
      <c r="E11" s="2">
        <f>'Data &amp; Solution'!H9/SUM('Data &amp; Solution'!H$3:H$17)</f>
        <v>6.5494853179364196E-2</v>
      </c>
      <c r="F11" s="2">
        <f>'Data &amp; Solution'!I9/SUM('Data &amp; Solution'!I$3:I$17)</f>
        <v>1.0820244328097731E-2</v>
      </c>
      <c r="G11" s="2">
        <f>'Data &amp; Solution'!J9/SUM('Data &amp; Solution'!J$3:J$17)</f>
        <v>7.2787297594717817E-2</v>
      </c>
      <c r="I11" s="1" t="s">
        <v>33</v>
      </c>
      <c r="J11" s="2">
        <f t="shared" si="0"/>
        <v>3.8741850832652211E-5</v>
      </c>
      <c r="K11" s="2">
        <f t="shared" si="1"/>
        <v>1.8438307176243032E-2</v>
      </c>
      <c r="L11" s="2">
        <f t="shared" si="2"/>
        <v>6.5574641483582978E-6</v>
      </c>
      <c r="M11" s="2">
        <f t="shared" si="3"/>
        <v>6.903961013667817E-3</v>
      </c>
      <c r="N11" s="2">
        <f t="shared" si="4"/>
        <v>2.1486778444112543E-3</v>
      </c>
      <c r="O11" s="2">
        <f t="shared" si="5"/>
        <v>2.5381010040743501E-2</v>
      </c>
      <c r="P11" s="2">
        <f t="shared" si="6"/>
        <v>2.1552353085596125E-3</v>
      </c>
      <c r="Q11" s="4">
        <f t="shared" si="7"/>
        <v>3.5644797513509313E-5</v>
      </c>
      <c r="R11">
        <f t="shared" si="8"/>
        <v>8</v>
      </c>
      <c r="T11" s="1" t="s">
        <v>33</v>
      </c>
      <c r="U11" s="2">
        <f>'Data &amp; Solution'!F10/SQRT(SUMPRODUCT(POWER('Data &amp; Solution'!F$3:F$17,2)))</f>
        <v>0.26226468621299359</v>
      </c>
      <c r="V11" s="2">
        <f>'Data &amp; Solution'!G10/SQRT(SUMPRODUCT(POWER('Data &amp; Solution'!G$3:G$17,2)))</f>
        <v>0.11282472363393869</v>
      </c>
      <c r="W11" s="2">
        <f>'Data &amp; Solution'!H10/SQRT(SUMPRODUCT(POWER('Data &amp; Solution'!H$3:H$17,2)))</f>
        <v>0.25362234187425592</v>
      </c>
      <c r="X11" s="2">
        <f>'Data &amp; Solution'!I10/SQRT(SUMPRODUCT(POWER('Data &amp; Solution'!I$3:I$17,2)))</f>
        <v>2.6234478699066616E-2</v>
      </c>
      <c r="Y11" s="2">
        <f>'Data &amp; Solution'!J10/SQRT(SUMPRODUCT(POWER('Data &amp; Solution'!J$3:J$17,2)))</f>
        <v>0.23921188983399216</v>
      </c>
      <c r="AA11" s="1" t="s">
        <v>33</v>
      </c>
      <c r="AB11" s="2">
        <f>C$22*ABS(U11-IF('Data &amp; Solution'!N$4="Benefit", MAX(Extras!U$4:U$18), MIN(Extras!U$4:U$18)))</f>
        <v>3.059611741545106E-6</v>
      </c>
      <c r="AC11" s="2">
        <f>D$22*ABS(V11-IF('Data &amp; Solution'!O$4="Benefit", MAX(Extras!V$4:V$18), MIN(Extras!V$4:V$18)))</f>
        <v>0.27455405766272839</v>
      </c>
      <c r="AD11" s="2">
        <f>E$22*ABS(W11-IF('Data &amp; Solution'!P$4="Benefit", MAX(Extras!W$4:W$18), MIN(Extras!W$4:W$18)))</f>
        <v>1.5772121519902482E-7</v>
      </c>
      <c r="AE11" s="2">
        <f>F$22*ABS(X11-IF('Data &amp; Solution'!Q$4="Benefit", MAX(Extras!X$4:X$18), MIN(Extras!X$4:X$18)))</f>
        <v>0.45262009683521237</v>
      </c>
      <c r="AF11" s="2">
        <f>G$22*ABS(Y11-IF('Data &amp; Solution'!R$4="Benefit", MAX(Extras!Y$4:Y$18), MIN(Extras!Y$4:Y$18)))</f>
        <v>7.3950876632306465E-3</v>
      </c>
      <c r="AG11" s="2">
        <f t="shared" si="9"/>
        <v>0.45262009683521237</v>
      </c>
      <c r="AH11">
        <f t="shared" si="10"/>
        <v>8</v>
      </c>
    </row>
    <row r="12" spans="2:34" x14ac:dyDescent="0.3">
      <c r="B12" s="1" t="s">
        <v>33</v>
      </c>
      <c r="C12" s="2">
        <f>'Data &amp; Solution'!F10/SUM('Data &amp; Solution'!F$3:F$17)</f>
        <v>6.7773167358229594E-2</v>
      </c>
      <c r="D12" s="2">
        <f>'Data &amp; Solution'!G10/SUM('Data &amp; Solution'!G$3:G$17)</f>
        <v>4.6044864226682407E-2</v>
      </c>
      <c r="E12" s="2">
        <f>'Data &amp; Solution'!H10/SUM('Data &amp; Solution'!H$3:H$17)</f>
        <v>6.549489385942249E-2</v>
      </c>
      <c r="F12" s="2">
        <f>'Data &amp; Solution'!I10/SUM('Data &amp; Solution'!I$3:I$17)</f>
        <v>1.2216404886561954E-2</v>
      </c>
      <c r="G12" s="2">
        <f>'Data &amp; Solution'!J10/SUM('Data &amp; Solution'!J$3:J$17)</f>
        <v>6.366923439710738E-2</v>
      </c>
      <c r="I12" s="1" t="s">
        <v>36</v>
      </c>
      <c r="J12" s="2">
        <f t="shared" si="0"/>
        <v>3.7951200815659304E-5</v>
      </c>
      <c r="K12" s="2">
        <f t="shared" si="1"/>
        <v>3.7822168566652371E-3</v>
      </c>
      <c r="L12" s="2">
        <f t="shared" si="2"/>
        <v>6.5981937393418896E-6</v>
      </c>
      <c r="M12" s="2">
        <f t="shared" si="3"/>
        <v>1.2821641882525949E-3</v>
      </c>
      <c r="N12" s="2">
        <f t="shared" si="4"/>
        <v>2.3661983175491839E-3</v>
      </c>
      <c r="O12" s="2">
        <f t="shared" si="5"/>
        <v>5.1023322457334911E-3</v>
      </c>
      <c r="P12" s="2">
        <f t="shared" si="6"/>
        <v>2.3727965112885258E-3</v>
      </c>
      <c r="Q12" s="4">
        <f t="shared" si="7"/>
        <v>6.5086389999480911E-6</v>
      </c>
      <c r="R12">
        <f t="shared" si="8"/>
        <v>12</v>
      </c>
      <c r="T12" s="1" t="s">
        <v>36</v>
      </c>
      <c r="U12" s="2">
        <f>'Data &amp; Solution'!F11/SQRT(SUMPRODUCT(POWER('Data &amp; Solution'!F$3:F$17,2)))</f>
        <v>0.2569123456780345</v>
      </c>
      <c r="V12" s="2">
        <f>'Data &amp; Solution'!G11/SQRT(SUMPRODUCT(POWER('Data &amp; Solution'!G$3:G$17,2)))</f>
        <v>2.3143533053115631E-2</v>
      </c>
      <c r="W12" s="2">
        <f>'Data &amp; Solution'!H11/SQRT(SUMPRODUCT(POWER('Data &amp; Solution'!H$3:H$17,2)))</f>
        <v>0.25519763592316436</v>
      </c>
      <c r="X12" s="2">
        <f>'Data &amp; Solution'!I11/SQRT(SUMPRODUCT(POWER('Data &amp; Solution'!I$3:I$17,2)))</f>
        <v>4.8721174726837997E-3</v>
      </c>
      <c r="Y12" s="2">
        <f>'Data &amp; Solution'!J11/SQRT(SUMPRODUCT(POWER('Data &amp; Solution'!J$3:J$17,2)))</f>
        <v>0.26342840213817409</v>
      </c>
      <c r="AA12" s="1" t="s">
        <v>36</v>
      </c>
      <c r="AB12" s="2">
        <f>C$22*ABS(U12-IF('Data &amp; Solution'!N$4="Benefit", MAX(Extras!U$4:U$18), MIN(Extras!U$4:U$18)))</f>
        <v>6.1192234830902433E-6</v>
      </c>
      <c r="AC12" s="2">
        <f>D$22*ABS(V12-IF('Data &amp; Solution'!O$4="Benefit", MAX(Extras!V$4:V$18), MIN(Extras!V$4:V$18)))</f>
        <v>0.31046619178738905</v>
      </c>
      <c r="AD12" s="2">
        <f>E$22*ABS(W12-IF('Data &amp; Solution'!P$4="Benefit", MAX(Extras!W$4:W$18), MIN(Extras!W$4:W$18)))</f>
        <v>3.1544243039804963E-7</v>
      </c>
      <c r="AE12" s="2">
        <f>F$22*ABS(X12-IF('Data &amp; Solution'!Q$4="Benefit", MAX(Extras!X$4:X$18), MIN(Extras!X$4:X$18)))</f>
        <v>0.46469279010596909</v>
      </c>
      <c r="AF12" s="2">
        <f>G$22*ABS(Y12-IF('Data &amp; Solution'!R$4="Benefit", MAX(Extras!Y$4:Y$18), MIN(Extras!Y$4:Y$18)))</f>
        <v>8.2123345478464331E-3</v>
      </c>
      <c r="AG12" s="2">
        <f t="shared" si="9"/>
        <v>0.46469279010596909</v>
      </c>
      <c r="AH12">
        <f t="shared" si="10"/>
        <v>13</v>
      </c>
    </row>
    <row r="13" spans="2:34" x14ac:dyDescent="0.3">
      <c r="B13" s="1" t="s">
        <v>36</v>
      </c>
      <c r="C13" s="2">
        <f>'Data &amp; Solution'!F11/SUM('Data &amp; Solution'!F$3:F$17)</f>
        <v>6.639004149377592E-2</v>
      </c>
      <c r="D13" s="2">
        <f>'Data &amp; Solution'!G11/SUM('Data &amp; Solution'!G$3:G$17)</f>
        <v>9.4451003541912628E-3</v>
      </c>
      <c r="E13" s="2">
        <f>'Data &amp; Solution'!H11/SUM('Data &amp; Solution'!H$3:H$17)</f>
        <v>6.5901694442400266E-2</v>
      </c>
      <c r="F13" s="2">
        <f>'Data &amp; Solution'!I11/SUM('Data &amp; Solution'!I$3:I$17)</f>
        <v>2.2687609075043632E-3</v>
      </c>
      <c r="G13" s="2">
        <f>'Data &amp; Solution'!J11/SUM('Data &amp; Solution'!J$3:J$17)</f>
        <v>7.0114761829900965E-2</v>
      </c>
      <c r="I13" s="1" t="s">
        <v>38</v>
      </c>
      <c r="J13" s="2">
        <f t="shared" si="0"/>
        <v>3.7160550798666405E-5</v>
      </c>
      <c r="K13" s="2">
        <f t="shared" si="1"/>
        <v>2.836662642498928E-3</v>
      </c>
      <c r="L13" s="2">
        <f t="shared" si="2"/>
        <v>6.822206489751645E-6</v>
      </c>
      <c r="M13" s="2">
        <f t="shared" si="3"/>
        <v>1.9725602896193766E-3</v>
      </c>
      <c r="N13" s="2">
        <f t="shared" si="4"/>
        <v>2.3980305819108322E-3</v>
      </c>
      <c r="O13" s="2">
        <f t="shared" si="5"/>
        <v>4.8463834829169713E-3</v>
      </c>
      <c r="P13" s="2">
        <f t="shared" si="6"/>
        <v>2.4048527884005838E-3</v>
      </c>
      <c r="Q13" s="4">
        <f t="shared" si="7"/>
        <v>6.0997385971215183E-6</v>
      </c>
      <c r="R13">
        <f t="shared" si="8"/>
        <v>13</v>
      </c>
      <c r="T13" s="1" t="s">
        <v>38</v>
      </c>
      <c r="U13" s="2">
        <f>'Data &amp; Solution'!F12/SQRT(SUMPRODUCT(POWER('Data &amp; Solution'!F$3:F$17,2)))</f>
        <v>0.25156000514307547</v>
      </c>
      <c r="V13" s="2">
        <f>'Data &amp; Solution'!G12/SQRT(SUMPRODUCT(POWER('Data &amp; Solution'!G$3:G$17,2)))</f>
        <v>1.7357649789836723E-2</v>
      </c>
      <c r="W13" s="2">
        <f>'Data &amp; Solution'!H12/SQRT(SUMPRODUCT(POWER('Data &amp; Solution'!H$3:H$17,2)))</f>
        <v>0.26386175319216065</v>
      </c>
      <c r="X13" s="2">
        <f>'Data &amp; Solution'!I12/SQRT(SUMPRODUCT(POWER('Data &amp; Solution'!I$3:I$17,2)))</f>
        <v>7.4955653425904612E-3</v>
      </c>
      <c r="Y13" s="2">
        <f>'Data &amp; Solution'!J12/SQRT(SUMPRODUCT(POWER('Data &amp; Solution'!J$3:J$17,2)))</f>
        <v>0.26697228198756656</v>
      </c>
      <c r="AA13" s="1" t="s">
        <v>38</v>
      </c>
      <c r="AB13" s="2">
        <f>C$22*ABS(U13-IF('Data &amp; Solution'!N$4="Benefit", MAX(Extras!U$4:U$18), MIN(Extras!U$4:U$18)))</f>
        <v>9.1788352246353501E-6</v>
      </c>
      <c r="AC13" s="2">
        <f>D$22*ABS(V13-IF('Data &amp; Solution'!O$4="Benefit", MAX(Extras!V$4:V$18), MIN(Extras!V$4:V$18)))</f>
        <v>0.31278310366639944</v>
      </c>
      <c r="AD13" s="2">
        <f>E$22*ABS(W13-IF('Data &amp; Solution'!P$4="Benefit", MAX(Extras!W$4:W$18), MIN(Extras!W$4:W$18)))</f>
        <v>1.182909113992675E-6</v>
      </c>
      <c r="AE13" s="2">
        <f>F$22*ABS(X13-IF('Data &amp; Solution'!Q$4="Benefit", MAX(Extras!X$4:X$18), MIN(Extras!X$4:X$18)))</f>
        <v>0.46321017865166564</v>
      </c>
      <c r="AF13" s="2">
        <f>G$22*ABS(Y13-IF('Data &amp; Solution'!R$4="Benefit", MAX(Extras!Y$4:Y$18), MIN(Extras!Y$4:Y$18)))</f>
        <v>8.3319316529121574E-3</v>
      </c>
      <c r="AG13" s="2">
        <f t="shared" si="9"/>
        <v>0.46321017865166564</v>
      </c>
      <c r="AH13">
        <f t="shared" si="10"/>
        <v>11</v>
      </c>
    </row>
    <row r="14" spans="2:34" x14ac:dyDescent="0.3">
      <c r="B14" s="1" t="s">
        <v>38</v>
      </c>
      <c r="C14" s="2">
        <f>'Data &amp; Solution'!F12/SUM('Data &amp; Solution'!F$3:F$17)</f>
        <v>6.5006915629322259E-2</v>
      </c>
      <c r="D14" s="2">
        <f>'Data &amp; Solution'!G12/SUM('Data &amp; Solution'!G$3:G$17)</f>
        <v>7.0838252656434475E-3</v>
      </c>
      <c r="E14" s="2">
        <f>'Data &amp; Solution'!H12/SUM('Data &amp; Solution'!H$3:H$17)</f>
        <v>6.8139097648778055E-2</v>
      </c>
      <c r="F14" s="2">
        <f>'Data &amp; Solution'!I12/SUM('Data &amp; Solution'!I$3:I$17)</f>
        <v>3.4904013961605585E-3</v>
      </c>
      <c r="G14" s="2">
        <f>'Data &amp; Solution'!J12/SUM('Data &amp; Solution'!J$3:J$17)</f>
        <v>7.1058009746895148E-2</v>
      </c>
      <c r="I14" s="1" t="s">
        <v>41</v>
      </c>
      <c r="J14" s="2">
        <f t="shared" si="0"/>
        <v>3.7160550798666405E-5</v>
      </c>
      <c r="K14" s="2">
        <f t="shared" si="1"/>
        <v>7.5644337133304743E-3</v>
      </c>
      <c r="L14" s="2">
        <f t="shared" si="2"/>
        <v>6.8181335306532872E-6</v>
      </c>
      <c r="M14" s="2">
        <f t="shared" si="3"/>
        <v>4.0437485937197216E-3</v>
      </c>
      <c r="N14" s="2">
        <f t="shared" si="4"/>
        <v>2.3555875627619678E-3</v>
      </c>
      <c r="O14" s="2">
        <f t="shared" si="5"/>
        <v>1.1645342857848863E-2</v>
      </c>
      <c r="P14" s="2">
        <f t="shared" si="6"/>
        <v>2.3624056962926209E-3</v>
      </c>
      <c r="Q14" s="4">
        <f t="shared" si="7"/>
        <v>1.4920375140438556E-5</v>
      </c>
      <c r="R14">
        <f t="shared" si="8"/>
        <v>9</v>
      </c>
      <c r="T14" s="1" t="s">
        <v>41</v>
      </c>
      <c r="U14" s="2">
        <f>'Data &amp; Solution'!F13/SQRT(SUMPRODUCT(POWER('Data &amp; Solution'!F$3:F$17,2)))</f>
        <v>0.25156000514307547</v>
      </c>
      <c r="V14" s="2">
        <f>'Data &amp; Solution'!G13/SQRT(SUMPRODUCT(POWER('Data &amp; Solution'!G$3:G$17,2)))</f>
        <v>4.6287066106231262E-2</v>
      </c>
      <c r="W14" s="2">
        <f>'Data &amp; Solution'!H13/SQRT(SUMPRODUCT(POWER('Data &amp; Solution'!H$3:H$17,2)))</f>
        <v>0.26370422378726982</v>
      </c>
      <c r="X14" s="2">
        <f>'Data &amp; Solution'!I13/SQRT(SUMPRODUCT(POWER('Data &amp; Solution'!I$3:I$17,2)))</f>
        <v>1.5365908952310447E-2</v>
      </c>
      <c r="Y14" s="2">
        <f>'Data &amp; Solution'!J13/SQRT(SUMPRODUCT(POWER('Data &amp; Solution'!J$3:J$17,2)))</f>
        <v>0.26224710885504326</v>
      </c>
      <c r="AA14" s="1" t="s">
        <v>41</v>
      </c>
      <c r="AB14" s="2">
        <f>C$22*ABS(U14-IF('Data &amp; Solution'!N$4="Benefit", MAX(Extras!U$4:U$18), MIN(Extras!U$4:U$18)))</f>
        <v>9.1788352246353501E-6</v>
      </c>
      <c r="AC14" s="2">
        <f>D$22*ABS(V14-IF('Data &amp; Solution'!O$4="Benefit", MAX(Extras!V$4:V$18), MIN(Extras!V$4:V$18)))</f>
        <v>0.30119854427134762</v>
      </c>
      <c r="AD14" s="2">
        <f>E$22*ABS(W14-IF('Data &amp; Solution'!P$4="Benefit", MAX(Extras!W$4:W$18), MIN(Extras!W$4:W$18)))</f>
        <v>1.1671369924727737E-6</v>
      </c>
      <c r="AE14" s="2">
        <f>F$22*ABS(X14-IF('Data &amp; Solution'!Q$4="Benefit", MAX(Extras!X$4:X$18), MIN(Extras!X$4:X$18)))</f>
        <v>0.45876234428875523</v>
      </c>
      <c r="AF14" s="2">
        <f>G$22*ABS(Y14-IF('Data &amp; Solution'!R$4="Benefit", MAX(Extras!Y$4:Y$18), MIN(Extras!Y$4:Y$18)))</f>
        <v>8.1724688461578578E-3</v>
      </c>
      <c r="AG14" s="2">
        <f t="shared" si="9"/>
        <v>0.45876234428875523</v>
      </c>
      <c r="AH14">
        <f t="shared" si="10"/>
        <v>10</v>
      </c>
    </row>
    <row r="15" spans="2:34" x14ac:dyDescent="0.3">
      <c r="B15" s="1" t="s">
        <v>41</v>
      </c>
      <c r="C15" s="2">
        <f>'Data &amp; Solution'!F13/SUM('Data &amp; Solution'!F$3:F$17)</f>
        <v>6.5006915629322259E-2</v>
      </c>
      <c r="D15" s="2">
        <f>'Data &amp; Solution'!G13/SUM('Data &amp; Solution'!G$3:G$17)</f>
        <v>1.8890200708382526E-2</v>
      </c>
      <c r="E15" s="2">
        <f>'Data &amp; Solution'!H13/SUM('Data &amp; Solution'!H$3:H$17)</f>
        <v>6.8098417590480284E-2</v>
      </c>
      <c r="F15" s="2">
        <f>'Data &amp; Solution'!I13/SUM('Data &amp; Solution'!I$3:I$17)</f>
        <v>7.1553228621291445E-3</v>
      </c>
      <c r="G15" s="2">
        <f>'Data &amp; Solution'!J13/SUM('Data &amp; Solution'!J$3:J$17)</f>
        <v>6.9800345857569571E-2</v>
      </c>
      <c r="I15" s="1" t="s">
        <v>44</v>
      </c>
      <c r="J15" s="2">
        <f t="shared" si="0"/>
        <v>3.3207300713701894E-5</v>
      </c>
      <c r="K15" s="2">
        <f t="shared" si="1"/>
        <v>4.7277710708315464E-4</v>
      </c>
      <c r="L15" s="2">
        <f t="shared" si="2"/>
        <v>6.8143456786918116E-6</v>
      </c>
      <c r="M15" s="2">
        <f t="shared" si="3"/>
        <v>7.890241158477506E-4</v>
      </c>
      <c r="N15" s="2">
        <f t="shared" si="4"/>
        <v>2.3661983175491839E-3</v>
      </c>
      <c r="O15" s="2">
        <f t="shared" si="5"/>
        <v>1.2950085236446071E-3</v>
      </c>
      <c r="P15" s="2">
        <f t="shared" si="6"/>
        <v>2.3730126632278757E-3</v>
      </c>
      <c r="Q15" s="4">
        <f t="shared" si="7"/>
        <v>1.6517887943601483E-6</v>
      </c>
      <c r="R15">
        <f t="shared" si="8"/>
        <v>15</v>
      </c>
      <c r="T15" s="1" t="s">
        <v>44</v>
      </c>
      <c r="U15" s="2">
        <f>'Data &amp; Solution'!F14/SQRT(SUMPRODUCT(POWER('Data &amp; Solution'!F$3:F$17,2)))</f>
        <v>0.22479830246828023</v>
      </c>
      <c r="V15" s="2">
        <f>'Data &amp; Solution'!G14/SQRT(SUMPRODUCT(POWER('Data &amp; Solution'!G$3:G$17,2)))</f>
        <v>2.8929416316394539E-3</v>
      </c>
      <c r="W15" s="2">
        <f>'Data &amp; Solution'!H14/SQRT(SUMPRODUCT(POWER('Data &amp; Solution'!H$3:H$17,2)))</f>
        <v>0.26355772144072137</v>
      </c>
      <c r="X15" s="2">
        <f>'Data &amp; Solution'!I14/SQRT(SUMPRODUCT(POWER('Data &amp; Solution'!I$3:I$17,2)))</f>
        <v>2.9982261370361846E-3</v>
      </c>
      <c r="Y15" s="2">
        <f>'Data &amp; Solution'!J14/SQRT(SUMPRODUCT(POWER('Data &amp; Solution'!J$3:J$17,2)))</f>
        <v>0.26342840213817409</v>
      </c>
      <c r="AA15" s="1" t="s">
        <v>44</v>
      </c>
      <c r="AB15" s="2">
        <f>C$22*ABS(U15-IF('Data &amp; Solution'!N$4="Benefit", MAX(Extras!U$4:U$18), MIN(Extras!U$4:U$18)))</f>
        <v>2.4476893932360926E-5</v>
      </c>
      <c r="AC15" s="2">
        <f>D$22*ABS(V15-IF('Data &amp; Solution'!O$4="Benefit", MAX(Extras!V$4:V$18), MIN(Extras!V$4:V$18)))</f>
        <v>0.31857538336392532</v>
      </c>
      <c r="AD15" s="2">
        <f>E$22*ABS(W15-IF('Data &amp; Solution'!P$4="Benefit", MAX(Extras!W$4:W$18), MIN(Extras!W$4:W$18)))</f>
        <v>1.1524689194592678E-6</v>
      </c>
      <c r="AE15" s="2">
        <f>F$22*ABS(X15-IF('Data &amp; Solution'!Q$4="Benefit", MAX(Extras!X$4:X$18), MIN(Extras!X$4:X$18)))</f>
        <v>0.46575179828761443</v>
      </c>
      <c r="AF15" s="2">
        <f>G$22*ABS(Y15-IF('Data &amp; Solution'!R$4="Benefit", MAX(Extras!Y$4:Y$18), MIN(Extras!Y$4:Y$18)))</f>
        <v>8.2123345478464331E-3</v>
      </c>
      <c r="AG15" s="2">
        <f t="shared" si="9"/>
        <v>0.46575179828761443</v>
      </c>
      <c r="AH15">
        <f t="shared" si="10"/>
        <v>15</v>
      </c>
    </row>
    <row r="16" spans="2:34" x14ac:dyDescent="0.3">
      <c r="B16" s="1" t="s">
        <v>44</v>
      </c>
      <c r="C16" s="2">
        <f>'Data &amp; Solution'!F14/SUM('Data &amp; Solution'!F$3:F$17)</f>
        <v>5.8091286307053937E-2</v>
      </c>
      <c r="D16" s="2">
        <f>'Data &amp; Solution'!G14/SUM('Data &amp; Solution'!G$3:G$17)</f>
        <v>1.1806375442739079E-3</v>
      </c>
      <c r="E16" s="2">
        <f>'Data &amp; Solution'!H14/SUM('Data &amp; Solution'!H$3:H$17)</f>
        <v>6.8060585136263341E-2</v>
      </c>
      <c r="F16" s="2">
        <f>'Data &amp; Solution'!I14/SUM('Data &amp; Solution'!I$3:I$17)</f>
        <v>1.3961605584642235E-3</v>
      </c>
      <c r="G16" s="2">
        <f>'Data &amp; Solution'!J14/SUM('Data &amp; Solution'!J$3:J$17)</f>
        <v>7.0114761829900965E-2</v>
      </c>
      <c r="I16" s="1" t="s">
        <v>46</v>
      </c>
      <c r="J16" s="2">
        <f t="shared" si="0"/>
        <v>3.7951200815659304E-5</v>
      </c>
      <c r="K16" s="2">
        <f t="shared" si="1"/>
        <v>4.4913825172899692E-2</v>
      </c>
      <c r="L16" s="2">
        <f t="shared" si="2"/>
        <v>6.822206489751645E-6</v>
      </c>
      <c r="M16" s="2">
        <f t="shared" si="3"/>
        <v>4.319907034266434E-2</v>
      </c>
      <c r="N16" s="2">
        <f t="shared" si="4"/>
        <v>2.3980305819108322E-3</v>
      </c>
      <c r="O16" s="2">
        <f t="shared" si="5"/>
        <v>8.8150846716379683E-2</v>
      </c>
      <c r="P16" s="2">
        <f t="shared" si="6"/>
        <v>2.4048527884005838E-3</v>
      </c>
      <c r="Q16" s="4">
        <f t="shared" si="7"/>
        <v>1.1094811708156684E-4</v>
      </c>
      <c r="R16">
        <f t="shared" si="8"/>
        <v>5</v>
      </c>
      <c r="T16" s="1" t="s">
        <v>46</v>
      </c>
      <c r="U16" s="2">
        <f>'Data &amp; Solution'!F15/SQRT(SUMPRODUCT(POWER('Data &amp; Solution'!F$3:F$17,2)))</f>
        <v>0.2569123456780345</v>
      </c>
      <c r="V16" s="2">
        <f>'Data &amp; Solution'!G15/SQRT(SUMPRODUCT(POWER('Data &amp; Solution'!G$3:G$17,2)))</f>
        <v>0.27482945500574812</v>
      </c>
      <c r="W16" s="2">
        <f>'Data &amp; Solution'!H15/SQRT(SUMPRODUCT(POWER('Data &amp; Solution'!H$3:H$17,2)))</f>
        <v>0.26386175319216065</v>
      </c>
      <c r="X16" s="2">
        <f>'Data &amp; Solution'!I15/SQRT(SUMPRODUCT(POWER('Data &amp; Solution'!I$3:I$17,2)))</f>
        <v>0.16415288100273109</v>
      </c>
      <c r="Y16" s="2">
        <f>'Data &amp; Solution'!J15/SQRT(SUMPRODUCT(POWER('Data &amp; Solution'!J$3:J$17,2)))</f>
        <v>0.26697228198756656</v>
      </c>
      <c r="AA16" s="1" t="s">
        <v>46</v>
      </c>
      <c r="AB16" s="2">
        <f>C$22*ABS(U16-IF('Data &amp; Solution'!N$4="Benefit", MAX(Extras!U$4:U$18), MIN(Extras!U$4:U$18)))</f>
        <v>6.1192234830902433E-6</v>
      </c>
      <c r="AC16" s="2">
        <f>D$22*ABS(V16-IF('Data &amp; Solution'!O$4="Benefit", MAX(Extras!V$4:V$18), MIN(Extras!V$4:V$18)))</f>
        <v>0.20968052505043813</v>
      </c>
      <c r="AD16" s="2">
        <f>E$22*ABS(W16-IF('Data &amp; Solution'!P$4="Benefit", MAX(Extras!W$4:W$18), MIN(Extras!W$4:W$18)))</f>
        <v>1.182909113992675E-6</v>
      </c>
      <c r="AE16" s="2">
        <f>F$22*ABS(X16-IF('Data &amp; Solution'!Q$4="Benefit", MAX(Extras!X$4:X$18), MIN(Extras!X$4:X$18)))</f>
        <v>0.37467709466611643</v>
      </c>
      <c r="AF16" s="2">
        <f>G$22*ABS(Y16-IF('Data &amp; Solution'!R$4="Benefit", MAX(Extras!Y$4:Y$18), MIN(Extras!Y$4:Y$18)))</f>
        <v>8.3319316529121574E-3</v>
      </c>
      <c r="AG16" s="2">
        <f t="shared" si="9"/>
        <v>0.37467709466611643</v>
      </c>
      <c r="AH16">
        <f t="shared" si="10"/>
        <v>6</v>
      </c>
    </row>
    <row r="17" spans="2:34" x14ac:dyDescent="0.3">
      <c r="B17" s="1" t="s">
        <v>46</v>
      </c>
      <c r="C17" s="2">
        <f>'Data &amp; Solution'!F15/SUM('Data &amp; Solution'!F$3:F$17)</f>
        <v>6.639004149377592E-2</v>
      </c>
      <c r="D17" s="2">
        <f>'Data &amp; Solution'!G15/SUM('Data &amp; Solution'!G$3:G$17)</f>
        <v>0.11216056670602124</v>
      </c>
      <c r="E17" s="2">
        <f>'Data &amp; Solution'!H15/SUM('Data &amp; Solution'!H$3:H$17)</f>
        <v>6.8139097648778055E-2</v>
      </c>
      <c r="F17" s="2">
        <f>'Data &amp; Solution'!I15/SUM('Data &amp; Solution'!I$3:I$17)</f>
        <v>7.6439790575916225E-2</v>
      </c>
      <c r="G17" s="2">
        <f>'Data &amp; Solution'!J15/SUM('Data &amp; Solution'!J$3:J$17)</f>
        <v>7.1058009746895148E-2</v>
      </c>
      <c r="I17" s="1" t="s">
        <v>48</v>
      </c>
      <c r="J17" s="2">
        <f t="shared" si="0"/>
        <v>3.953250084964511E-5</v>
      </c>
      <c r="K17" s="2">
        <f t="shared" si="1"/>
        <v>4.2549939637483922E-3</v>
      </c>
      <c r="L17" s="2">
        <f t="shared" si="2"/>
        <v>6.6185585348336856E-6</v>
      </c>
      <c r="M17" s="2">
        <f t="shared" si="3"/>
        <v>1.2821641882525949E-3</v>
      </c>
      <c r="N17" s="2">
        <f t="shared" si="4"/>
        <v>2.5465811489318569E-3</v>
      </c>
      <c r="O17" s="2">
        <f t="shared" si="5"/>
        <v>5.5766906528506317E-3</v>
      </c>
      <c r="P17" s="2">
        <f t="shared" si="6"/>
        <v>2.5531997074666906E-3</v>
      </c>
      <c r="Q17" s="4">
        <f t="shared" si="7"/>
        <v>6.6110997905787729E-6</v>
      </c>
      <c r="R17">
        <f t="shared" si="8"/>
        <v>11</v>
      </c>
      <c r="T17" s="1" t="s">
        <v>48</v>
      </c>
      <c r="U17" s="2">
        <f>'Data &amp; Solution'!F16/SQRT(SUMPRODUCT(POWER('Data &amp; Solution'!F$3:F$17,2)))</f>
        <v>0.26761702674795262</v>
      </c>
      <c r="V17" s="2">
        <f>'Data &amp; Solution'!G16/SQRT(SUMPRODUCT(POWER('Data &amp; Solution'!G$3:G$17,2)))</f>
        <v>2.6036474684755083E-2</v>
      </c>
      <c r="W17" s="2">
        <f>'Data &amp; Solution'!H16/SQRT(SUMPRODUCT(POWER('Data &amp; Solution'!H$3:H$17,2)))</f>
        <v>0.25598528294761858</v>
      </c>
      <c r="X17" s="2">
        <f>'Data &amp; Solution'!I16/SQRT(SUMPRODUCT(POWER('Data &amp; Solution'!I$3:I$17,2)))</f>
        <v>4.8721174726837997E-3</v>
      </c>
      <c r="Y17" s="2">
        <f>'Data &amp; Solution'!J16/SQRT(SUMPRODUCT(POWER('Data &amp; Solution'!J$3:J$17,2)))</f>
        <v>0.2835103879513981</v>
      </c>
      <c r="AA17" s="1" t="s">
        <v>48</v>
      </c>
      <c r="AB17" s="2">
        <f>C$22*ABS(U17-IF('Data &amp; Solution'!N$4="Benefit", MAX(Extras!U$4:U$18), MIN(Extras!U$4:U$18)))</f>
        <v>0</v>
      </c>
      <c r="AC17" s="2">
        <f>D$22*ABS(V17-IF('Data &amp; Solution'!O$4="Benefit", MAX(Extras!V$4:V$18), MIN(Extras!V$4:V$18)))</f>
        <v>0.30930773584788385</v>
      </c>
      <c r="AD17" s="2">
        <f>E$22*ABS(W17-IF('Data &amp; Solution'!P$4="Benefit", MAX(Extras!W$4:W$18), MIN(Extras!W$4:W$18)))</f>
        <v>3.9430303799756201E-7</v>
      </c>
      <c r="AE17" s="2">
        <f>F$22*ABS(X17-IF('Data &amp; Solution'!Q$4="Benefit", MAX(Extras!X$4:X$18), MIN(Extras!X$4:X$18)))</f>
        <v>0.46469279010596909</v>
      </c>
      <c r="AF17" s="2">
        <f>G$22*ABS(Y17-IF('Data &amp; Solution'!R$4="Benefit", MAX(Extras!Y$4:Y$18), MIN(Extras!Y$4:Y$18)))</f>
        <v>8.8900514765522069E-3</v>
      </c>
      <c r="AG17" s="2">
        <f t="shared" si="9"/>
        <v>0.46469279010596909</v>
      </c>
      <c r="AH17">
        <f t="shared" si="10"/>
        <v>13</v>
      </c>
    </row>
    <row r="18" spans="2:34" x14ac:dyDescent="0.3">
      <c r="B18" s="1" t="s">
        <v>48</v>
      </c>
      <c r="C18" s="2">
        <f>'Data &amp; Solution'!F16/SUM('Data &amp; Solution'!F$3:F$17)</f>
        <v>6.9156293222683254E-2</v>
      </c>
      <c r="D18" s="2">
        <f>'Data &amp; Solution'!G16/SUM('Data &amp; Solution'!G$3:G$17)</f>
        <v>1.0625737898465172E-2</v>
      </c>
      <c r="E18" s="2">
        <f>'Data &amp; Solution'!H16/SUM('Data &amp; Solution'!H$3:H$17)</f>
        <v>6.6105094733889161E-2</v>
      </c>
      <c r="F18" s="2">
        <f>'Data &amp; Solution'!I16/SUM('Data &amp; Solution'!I$3:I$17)</f>
        <v>2.2687609075043632E-3</v>
      </c>
      <c r="G18" s="2">
        <f>'Data &amp; Solution'!J16/SUM('Data &amp; Solution'!J$3:J$17)</f>
        <v>7.545983335953467E-2</v>
      </c>
      <c r="I18" s="1" t="s">
        <v>50</v>
      </c>
      <c r="J18" s="2">
        <f t="shared" si="0"/>
        <v>3.953250084964511E-5</v>
      </c>
      <c r="K18" s="2">
        <f t="shared" si="1"/>
        <v>2.3638855354157734E-3</v>
      </c>
      <c r="L18" s="2">
        <f t="shared" si="2"/>
        <v>6.8018416942598499E-6</v>
      </c>
      <c r="M18" s="2">
        <f t="shared" si="3"/>
        <v>1.3807922027335637E-3</v>
      </c>
      <c r="N18" s="2">
        <f t="shared" si="4"/>
        <v>2.2494800148898072E-3</v>
      </c>
      <c r="O18" s="2">
        <f t="shared" si="5"/>
        <v>3.7842102389989826E-3</v>
      </c>
      <c r="P18" s="2">
        <f t="shared" si="6"/>
        <v>2.2562818565840669E-3</v>
      </c>
      <c r="Q18" s="4">
        <f t="shared" si="7"/>
        <v>5.076493678818508E-6</v>
      </c>
      <c r="R18">
        <f t="shared" si="8"/>
        <v>14</v>
      </c>
      <c r="T18" s="1" t="s">
        <v>50</v>
      </c>
      <c r="U18" s="2">
        <f>'Data &amp; Solution'!F17/SQRT(SUMPRODUCT(POWER('Data &amp; Solution'!F$3:F$17,2)))</f>
        <v>0.26761702674795262</v>
      </c>
      <c r="V18" s="2">
        <f>'Data &amp; Solution'!G17/SQRT(SUMPRODUCT(POWER('Data &amp; Solution'!G$3:G$17,2)))</f>
        <v>1.4464708158197269E-2</v>
      </c>
      <c r="W18" s="2">
        <f>'Data &amp; Solution'!H17/SQRT(SUMPRODUCT(POWER('Data &amp; Solution'!H$3:H$17,2)))</f>
        <v>0.26307410616770649</v>
      </c>
      <c r="X18" s="2">
        <f>'Data &amp; Solution'!I17/SQRT(SUMPRODUCT(POWER('Data &amp; Solution'!I$3:I$17,2)))</f>
        <v>5.2468957398133231E-3</v>
      </c>
      <c r="Y18" s="2">
        <f>'Data &amp; Solution'!J17/SQRT(SUMPRODUCT(POWER('Data &amp; Solution'!J$3:J$17,2)))</f>
        <v>0.25043417602373502</v>
      </c>
      <c r="AA18" s="1" t="s">
        <v>50</v>
      </c>
      <c r="AB18" s="2">
        <f>C$22*ABS(U18-IF('Data &amp; Solution'!N$4="Benefit", MAX(Extras!U$4:U$18), MIN(Extras!U$4:U$18)))</f>
        <v>0</v>
      </c>
      <c r="AC18" s="2">
        <f>D$22*ABS(V18-IF('Data &amp; Solution'!O$4="Benefit", MAX(Extras!V$4:V$18), MIN(Extras!V$4:V$18)))</f>
        <v>0.31394155960590464</v>
      </c>
      <c r="AD18" s="2">
        <f>E$22*ABS(W18-IF('Data &amp; Solution'!P$4="Benefit", MAX(Extras!W$4:W$18), MIN(Extras!W$4:W$18)))</f>
        <v>1.104048506393168E-6</v>
      </c>
      <c r="AE18" s="2">
        <f>F$22*ABS(X18-IF('Data &amp; Solution'!Q$4="Benefit", MAX(Extras!X$4:X$18), MIN(Extras!X$4:X$18)))</f>
        <v>0.46448098846964003</v>
      </c>
      <c r="AF18" s="2">
        <f>G$22*ABS(Y18-IF('Data &amp; Solution'!R$4="Benefit", MAX(Extras!Y$4:Y$18), MIN(Extras!Y$4:Y$18)))</f>
        <v>7.7738118292721087E-3</v>
      </c>
      <c r="AG18" s="2">
        <f t="shared" si="9"/>
        <v>0.46448098846964003</v>
      </c>
      <c r="AH18">
        <f t="shared" si="10"/>
        <v>12</v>
      </c>
    </row>
    <row r="19" spans="2:34" x14ac:dyDescent="0.3">
      <c r="B19" s="1" t="s">
        <v>50</v>
      </c>
      <c r="C19" s="2">
        <f>'Data &amp; Solution'!F17/SUM('Data &amp; Solution'!F$3:F$17)</f>
        <v>6.9156293222683254E-2</v>
      </c>
      <c r="D19" s="2">
        <f>'Data &amp; Solution'!G17/SUM('Data &amp; Solution'!G$3:G$17)</f>
        <v>5.9031877213695395E-3</v>
      </c>
      <c r="E19" s="2">
        <f>'Data &amp; Solution'!H17/SUM('Data &amp; Solution'!H$3:H$17)</f>
        <v>6.7935697357289174E-2</v>
      </c>
      <c r="F19" s="2">
        <f>'Data &amp; Solution'!I17/SUM('Data &amp; Solution'!I$3:I$17)</f>
        <v>2.4432809773123911E-3</v>
      </c>
      <c r="G19" s="2">
        <f>'Data &amp; Solution'!J17/SUM('Data &amp; Solution'!J$3:J$17)</f>
        <v>6.6656186134255627E-2</v>
      </c>
    </row>
    <row r="20" spans="2:34" x14ac:dyDescent="0.3">
      <c r="B20" s="1" t="s">
        <v>74</v>
      </c>
      <c r="C20" s="2">
        <f>-1/LN(15)*SUMPRODUCT(C$5:C$19*LN(C$5:C$19))</f>
        <v>0.99968196423897149</v>
      </c>
      <c r="D20" s="2">
        <f>-1/LN(15)*SUMPRODUCT(D$5:D$19*LN(D$5:D$19))</f>
        <v>0.77721126703522925</v>
      </c>
      <c r="E20" s="2">
        <f>-1/LN(15)*SUMPRODUCT(E$5:E$19*LN(E$5:E$19))</f>
        <v>0.99994429658046391</v>
      </c>
      <c r="F20" s="2">
        <f>-1/LN(15)*SUMPRODUCT(F$5:F$19*LN(F$5:F$19))</f>
        <v>0.68558135872365111</v>
      </c>
      <c r="G20" s="2">
        <f>-1/LN(15)*SUMPRODUCT(G$5:G$19*LN(G$5:G$19))</f>
        <v>0.98122434690600202</v>
      </c>
      <c r="I20" s="6" t="s">
        <v>81</v>
      </c>
      <c r="J20" s="6"/>
      <c r="K20" s="6"/>
      <c r="L20" s="6"/>
      <c r="M20" s="6"/>
      <c r="N20" s="6"/>
      <c r="O20" s="6"/>
      <c r="P20" s="6"/>
      <c r="Q20" s="6"/>
      <c r="R20" s="6"/>
      <c r="AA20" s="6" t="s">
        <v>84</v>
      </c>
      <c r="AB20" s="6"/>
      <c r="AC20" s="6"/>
      <c r="AD20" s="6"/>
      <c r="AE20" s="6"/>
      <c r="AF20" s="6"/>
      <c r="AG20" s="6"/>
      <c r="AH20" s="6"/>
    </row>
    <row r="21" spans="2:34" x14ac:dyDescent="0.3">
      <c r="B21" s="1" t="s">
        <v>75</v>
      </c>
      <c r="C21" s="2">
        <f>1-C$20</f>
        <v>3.1803576102851228E-4</v>
      </c>
      <c r="D21" s="2">
        <f>1-D$20</f>
        <v>0.22278873296477075</v>
      </c>
      <c r="E21" s="2">
        <f>1-E$20</f>
        <v>5.5703419536090593E-5</v>
      </c>
      <c r="F21" s="2">
        <f>1-F$20</f>
        <v>0.31441864127634889</v>
      </c>
      <c r="G21" s="2">
        <f>1-G$20</f>
        <v>1.8775653093997979E-2</v>
      </c>
      <c r="I21" s="5"/>
      <c r="J21" s="1" t="s">
        <v>7</v>
      </c>
      <c r="K21" s="1" t="s">
        <v>8</v>
      </c>
      <c r="L21" s="1" t="s">
        <v>9</v>
      </c>
      <c r="M21" s="1" t="s">
        <v>10</v>
      </c>
      <c r="N21" s="1" t="s">
        <v>11</v>
      </c>
      <c r="O21" s="1" t="s">
        <v>76</v>
      </c>
      <c r="P21" s="1" t="s">
        <v>77</v>
      </c>
      <c r="Q21" s="1" t="s">
        <v>66</v>
      </c>
      <c r="R21" s="1" t="s">
        <v>67</v>
      </c>
      <c r="AA21" s="5"/>
      <c r="AB21" s="1" t="s">
        <v>7</v>
      </c>
      <c r="AC21" s="1" t="s">
        <v>8</v>
      </c>
      <c r="AD21" s="1" t="s">
        <v>9</v>
      </c>
      <c r="AE21" s="1" t="s">
        <v>10</v>
      </c>
      <c r="AF21" s="1" t="s">
        <v>11</v>
      </c>
      <c r="AG21" s="1" t="s">
        <v>78</v>
      </c>
      <c r="AH21" s="1" t="s">
        <v>67</v>
      </c>
    </row>
    <row r="22" spans="2:34" x14ac:dyDescent="0.3">
      <c r="B22" s="1" t="s">
        <v>61</v>
      </c>
      <c r="C22" s="2">
        <f>C$21/SUM($C$21:$G$21)</f>
        <v>5.7163996228586837E-4</v>
      </c>
      <c r="D22" s="2">
        <f>D$21/SUM($C$21:$G$21)</f>
        <v>0.40044220969943201</v>
      </c>
      <c r="E22" s="2">
        <f>E$21/SUM($C$21:$G$21)</f>
        <v>1.0012176159004343E-4</v>
      </c>
      <c r="F22" s="2">
        <f>F$21/SUM($C$21:$G$21)</f>
        <v>0.56513852297595135</v>
      </c>
      <c r="G22" s="2">
        <f>G$21/SUM($C$21:$G$21)</f>
        <v>3.3747505600740711E-2</v>
      </c>
      <c r="I22" s="1" t="s">
        <v>14</v>
      </c>
      <c r="J22" s="2">
        <f>C5*'Data &amp; Solution'!N$6</f>
        <v>3.0949746426924846E-2</v>
      </c>
      <c r="K22" s="2">
        <f>D5*'Data &amp; Solution'!O$6</f>
        <v>2.3030303030303029E-2</v>
      </c>
      <c r="L22" s="2">
        <f>E5*'Data &amp; Solution'!P$6</f>
        <v>1.0222627449842944E-2</v>
      </c>
      <c r="M22" s="2">
        <f>F5*'Data &amp; Solution'!Q$6</f>
        <v>1.7167539267015707E-2</v>
      </c>
      <c r="N22" s="2">
        <f>G5*'Data &amp; Solution'!R$6</f>
        <v>3.0183933343813875E-3</v>
      </c>
      <c r="O22" s="2">
        <f>$J22+$K22+$M22</f>
        <v>7.1147588724243579E-2</v>
      </c>
      <c r="P22" s="2">
        <f>$L22+$N22</f>
        <v>1.324102078422433E-2</v>
      </c>
      <c r="Q22" s="4">
        <f>$O22*SUM($P$22:$P$36)/$P22/SUMPRODUCT(1/$P$22:$P$36)</f>
        <v>9.2047679856317732E-4</v>
      </c>
      <c r="R22">
        <f>_xlfn.RANK.EQ($Q22, $Q$22:$Q$36, 0)</f>
        <v>3</v>
      </c>
      <c r="AA22" s="1" t="s">
        <v>14</v>
      </c>
      <c r="AB22" s="2">
        <f>'Data &amp; Solution'!N$6*ABS(U4-IF('Data &amp; Solution'!N$4="Benefit", MAX(Extras!U$4:U$18), MIN(Extras!U$4:U$18)))</f>
        <v>2.4442355109646247E-3</v>
      </c>
      <c r="AC22" s="2">
        <f>'Data &amp; Solution'!O$6*ABS(V4-IF('Data &amp; Solution'!O$4="Benefit", MAX(Extras!V$4:V$18), MIN(Extras!V$4:V$18)))</f>
        <v>0.14850433709082528</v>
      </c>
      <c r="AD22" s="2">
        <f>'Data &amp; Solution'!P$6*ABS(W4-IF('Data &amp; Solution'!P$4="Benefit", MAX(Extras!W$4:W$18), MIN(Extras!W$4:W$18)))</f>
        <v>9.8718427064930497E-5</v>
      </c>
      <c r="AE22" s="2">
        <f>'Data &amp; Solution'!Q$6*ABS(X4-IF('Data &amp; Solution'!Q$4="Benefit", MAX(Extras!X$4:X$18), MIN(Extras!X$4:X$18)))</f>
        <v>3.7575269062405992E-2</v>
      </c>
      <c r="AF22" s="2">
        <f>'Data &amp; Solution'!R$6*ABS(Y4-IF('Data &amp; Solution'!R$4="Benefit", MAX(Extras!Y$4:Y$18), MIN(Extras!Y$4:Y$18)))</f>
        <v>1.0537136085526966E-2</v>
      </c>
      <c r="AG22" s="2">
        <f>MAX($AB22:$AF22)</f>
        <v>0.14850433709082528</v>
      </c>
      <c r="AH22">
        <f>_xlfn.RANK.EQ(AG22,$AG$22:$AG$36, 1)</f>
        <v>5</v>
      </c>
    </row>
    <row r="23" spans="2:34" x14ac:dyDescent="0.3">
      <c r="I23" s="1" t="s">
        <v>16</v>
      </c>
      <c r="J23" s="2">
        <f>C6*'Data &amp; Solution'!N$6</f>
        <v>2.968649147072383E-2</v>
      </c>
      <c r="K23" s="2">
        <f>D6*'Data &amp; Solution'!O$6</f>
        <v>8.363636363636362E-2</v>
      </c>
      <c r="L23" s="2">
        <f>E6*'Data &amp; Solution'!P$6</f>
        <v>1.0426570142109138E-2</v>
      </c>
      <c r="M23" s="2">
        <f>F6*'Data &amp; Solution'!Q$6</f>
        <v>3.4664921465968591E-2</v>
      </c>
      <c r="N23" s="2">
        <f>G6*'Data &amp; Solution'!R$6</f>
        <v>2.8423203898758063E-3</v>
      </c>
      <c r="O23" s="2">
        <f t="shared" ref="O23:O36" si="11">$J23+$K23+$M23</f>
        <v>0.14798777657305603</v>
      </c>
      <c r="P23" s="2">
        <f t="shared" ref="P23:P36" si="12">$L23+$N23</f>
        <v>1.3268890531984944E-2</v>
      </c>
      <c r="Q23" s="4">
        <f t="shared" ref="Q23:Q36" si="13">$O23*SUM($P$22:$P$36)/$P23/SUMPRODUCT(1/$P$22:$P$36)</f>
        <v>1.9105805910694261E-3</v>
      </c>
      <c r="R23">
        <f t="shared" ref="R23:R36" si="14">_xlfn.RANK.EQ($Q23, $Q$22:$Q$36, 0)</f>
        <v>1</v>
      </c>
      <c r="AA23" s="1" t="s">
        <v>16</v>
      </c>
      <c r="AB23" s="2">
        <f>'Data &amp; Solution'!N$6*ABS(U5-IF('Data &amp; Solution'!N$4="Benefit", MAX(Extras!U$4:U$18), MIN(Extras!U$4:U$18)))</f>
        <v>7.3327065328938996E-3</v>
      </c>
      <c r="AC23" s="2">
        <f>'Data &amp; Solution'!O$6*ABS(V5-IF('Data &amp; Solution'!O$4="Benefit", MAX(Extras!V$4:V$18), MIN(Extras!V$4:V$18)))</f>
        <v>0</v>
      </c>
      <c r="AD23" s="2">
        <f>'Data &amp; Solution'!P$6*ABS(W5-IF('Data &amp; Solution'!P$4="Benefit", MAX(Extras!W$4:W$18), MIN(Extras!W$4:W$18)))</f>
        <v>8.8846584358435706E-4</v>
      </c>
      <c r="AE23" s="2">
        <f>'Data &amp; Solution'!Q$6*ABS(X5-IF('Data &amp; Solution'!Q$4="Benefit", MAX(Extras!X$4:X$18), MIN(Extras!X$4:X$18)))</f>
        <v>0</v>
      </c>
      <c r="AF23" s="2">
        <f>'Data &amp; Solution'!R$6*ABS(Y5-IF('Data &amp; Solution'!R$4="Benefit", MAX(Extras!Y$4:Y$18), MIN(Extras!Y$4:Y$18)))</f>
        <v>9.8756118469737024E-3</v>
      </c>
      <c r="AG23" s="2">
        <f t="shared" ref="AG23:AG36" si="15">MAX($AB23:$AF23)</f>
        <v>9.8756118469737024E-3</v>
      </c>
      <c r="AH23">
        <f t="shared" ref="AH23:AH36" si="16">_xlfn.RANK.EQ(AG23,$AG$22:$AG$36, 1)</f>
        <v>1</v>
      </c>
    </row>
    <row r="24" spans="2:34" x14ac:dyDescent="0.3">
      <c r="I24" s="1" t="s">
        <v>19</v>
      </c>
      <c r="J24" s="2">
        <f>C7*'Data &amp; Solution'!N$6</f>
        <v>3.1581373905025356E-2</v>
      </c>
      <c r="K24" s="2">
        <f>D7*'Data &amp; Solution'!O$6</f>
        <v>3.3333333333333326E-2</v>
      </c>
      <c r="L24" s="2">
        <f>E7*'Data &amp; Solution'!P$6</f>
        <v>1.0611393206975376E-2</v>
      </c>
      <c r="M24" s="2">
        <f>F7*'Data &amp; Solution'!Q$6</f>
        <v>7.6020942408376981E-3</v>
      </c>
      <c r="N24" s="2">
        <f>G7*'Data &amp; Solution'!R$6</f>
        <v>2.8423203898758063E-3</v>
      </c>
      <c r="O24" s="2">
        <f t="shared" si="11"/>
        <v>7.2516801479196383E-2</v>
      </c>
      <c r="P24" s="2">
        <f t="shared" si="12"/>
        <v>1.3453713596851182E-2</v>
      </c>
      <c r="Q24" s="4">
        <f t="shared" si="13"/>
        <v>9.2335900647536452E-4</v>
      </c>
      <c r="R24">
        <f t="shared" si="14"/>
        <v>2</v>
      </c>
      <c r="AA24" s="1" t="s">
        <v>19</v>
      </c>
      <c r="AB24" s="2">
        <f>'Data &amp; Solution'!N$6*ABS(U6-IF('Data &amp; Solution'!N$4="Benefit", MAX(Extras!U$4:U$18), MIN(Extras!U$4:U$18)))</f>
        <v>0</v>
      </c>
      <c r="AC24" s="2">
        <f>'Data &amp; Solution'!O$6*ABS(V6-IF('Data &amp; Solution'!O$4="Benefit", MAX(Extras!V$4:V$18), MIN(Extras!V$4:V$18)))</f>
        <v>0.12325859978538498</v>
      </c>
      <c r="AD24" s="2">
        <f>'Data &amp; Solution'!P$6*ABS(W6-IF('Data &amp; Solution'!P$4="Benefit", MAX(Extras!W$4:W$18), MIN(Extras!W$4:W$18)))</f>
        <v>1.6041744398050835E-3</v>
      </c>
      <c r="AE24" s="2">
        <f>'Data &amp; Solution'!Q$6*ABS(X6-IF('Data &amp; Solution'!Q$4="Benefit", MAX(Extras!X$4:X$18), MIN(Extras!X$4:X$18)))</f>
        <v>5.8116865883775154E-2</v>
      </c>
      <c r="AF24" s="2">
        <f>'Data &amp; Solution'!R$6*ABS(Y6-IF('Data &amp; Solution'!R$4="Benefit", MAX(Extras!Y$4:Y$18), MIN(Extras!Y$4:Y$18)))</f>
        <v>9.8756118469737024E-3</v>
      </c>
      <c r="AG24" s="2">
        <f t="shared" si="15"/>
        <v>0.12325859978538498</v>
      </c>
      <c r="AH24">
        <f t="shared" si="16"/>
        <v>2</v>
      </c>
    </row>
    <row r="25" spans="2:34" x14ac:dyDescent="0.3">
      <c r="I25" s="1" t="s">
        <v>21</v>
      </c>
      <c r="J25" s="2">
        <f>C8*'Data &amp; Solution'!N$6</f>
        <v>3.0318118948824337E-2</v>
      </c>
      <c r="K25" s="2">
        <f>D8*'Data &amp; Solution'!O$6</f>
        <v>1.939393939393939E-2</v>
      </c>
      <c r="L25" s="2">
        <f>E8*'Data &amp; Solution'!P$6</f>
        <v>1.0356464841642633E-2</v>
      </c>
      <c r="M25" s="2">
        <f>F8*'Data &amp; Solution'!Q$6</f>
        <v>3.2513089005235607E-3</v>
      </c>
      <c r="N25" s="2">
        <f>G8*'Data &amp; Solution'!R$6</f>
        <v>2.1380286118534826E-4</v>
      </c>
      <c r="O25" s="2">
        <f t="shared" si="11"/>
        <v>5.2963367243287283E-2</v>
      </c>
      <c r="P25" s="2">
        <f t="shared" si="12"/>
        <v>1.0570267702827981E-2</v>
      </c>
      <c r="Q25" s="4">
        <f t="shared" si="13"/>
        <v>8.5834865218411215E-4</v>
      </c>
      <c r="R25">
        <f t="shared" si="14"/>
        <v>4</v>
      </c>
      <c r="AA25" s="1" t="s">
        <v>21</v>
      </c>
      <c r="AB25" s="2">
        <f>'Data &amp; Solution'!N$6*ABS(U7-IF('Data &amp; Solution'!N$4="Benefit", MAX(Extras!U$4:U$18), MIN(Extras!U$4:U$18)))</f>
        <v>4.8884710219292754E-3</v>
      </c>
      <c r="AC25" s="2">
        <f>'Data &amp; Solution'!O$6*ABS(V7-IF('Data &amp; Solution'!O$4="Benefit", MAX(Extras!V$4:V$18), MIN(Extras!V$4:V$18)))</f>
        <v>0.1574145973162748</v>
      </c>
      <c r="AD25" s="2">
        <f>'Data &amp; Solution'!P$6*ABS(W7-IF('Data &amp; Solution'!P$4="Benefit", MAX(Extras!W$4:W$18), MIN(Extras!W$4:W$18)))</f>
        <v>6.1699016915580469E-4</v>
      </c>
      <c r="AE25" s="2">
        <f>'Data &amp; Solution'!Q$6*ABS(X7-IF('Data &amp; Solution'!Q$4="Benefit", MAX(Extras!X$4:X$18), MIN(Extras!X$4:X$18)))</f>
        <v>6.7460088083314163E-2</v>
      </c>
      <c r="AF25" s="2">
        <f>'Data &amp; Solution'!R$6*ABS(Y7-IF('Data &amp; Solution'!R$4="Benefit", MAX(Extras!Y$4:Y$18), MIN(Extras!Y$4:Y$18)))</f>
        <v>0</v>
      </c>
      <c r="AG25" s="2">
        <f t="shared" si="15"/>
        <v>0.1574145973162748</v>
      </c>
      <c r="AH25">
        <f t="shared" si="16"/>
        <v>6</v>
      </c>
    </row>
    <row r="26" spans="2:34" x14ac:dyDescent="0.3">
      <c r="I26" s="1" t="s">
        <v>24</v>
      </c>
      <c r="J26" s="2">
        <f>C9*'Data &amp; Solution'!N$6</f>
        <v>3.1581373905025356E-2</v>
      </c>
      <c r="K26" s="2">
        <f>D9*'Data &amp; Solution'!O$6</f>
        <v>1.2121212121212121E-2</v>
      </c>
      <c r="L26" s="2">
        <f>E9*'Data &amp; Solution'!P$6</f>
        <v>1.0324598795976041E-2</v>
      </c>
      <c r="M26" s="2">
        <f>F9*'Data &amp; Solution'!Q$6</f>
        <v>9.5340314136125662E-3</v>
      </c>
      <c r="N26" s="2">
        <f>G9*'Data &amp; Solution'!R$6</f>
        <v>2.8045904731960392E-3</v>
      </c>
      <c r="O26" s="2">
        <f t="shared" si="11"/>
        <v>5.3236617439850045E-2</v>
      </c>
      <c r="P26" s="2">
        <f t="shared" si="12"/>
        <v>1.312918926917208E-2</v>
      </c>
      <c r="Q26" s="4">
        <f t="shared" si="13"/>
        <v>6.9461902136905491E-4</v>
      </c>
      <c r="R26">
        <f t="shared" si="14"/>
        <v>7</v>
      </c>
      <c r="AA26" s="1" t="s">
        <v>24</v>
      </c>
      <c r="AB26" s="2">
        <f>'Data &amp; Solution'!N$6*ABS(U8-IF('Data &amp; Solution'!N$4="Benefit", MAX(Extras!U$4:U$18), MIN(Extras!U$4:U$18)))</f>
        <v>0</v>
      </c>
      <c r="AC26" s="2">
        <f>'Data &amp; Solution'!O$6*ABS(V8-IF('Data &amp; Solution'!O$4="Benefit", MAX(Extras!V$4:V$18), MIN(Extras!V$4:V$18)))</f>
        <v>0.17523511776717382</v>
      </c>
      <c r="AD26" s="2">
        <f>'Data &amp; Solution'!P$6*ABS(W8-IF('Data &amp; Solution'!P$4="Benefit", MAX(Extras!W$4:W$18), MIN(Extras!W$4:W$18)))</f>
        <v>4.935921353246438E-4</v>
      </c>
      <c r="AE26" s="2">
        <f>'Data &amp; Solution'!Q$6*ABS(X8-IF('Data &amp; Solution'!Q$4="Benefit", MAX(Extras!X$4:X$18), MIN(Extras!X$4:X$18)))</f>
        <v>5.3968070466651336E-2</v>
      </c>
      <c r="AF26" s="2">
        <f>'Data &amp; Solution'!R$6*ABS(Y8-IF('Data &amp; Solution'!R$4="Benefit", MAX(Extras!Y$4:Y$18), MIN(Extras!Y$4:Y$18)))</f>
        <v>9.7338566529980037E-3</v>
      </c>
      <c r="AG26" s="2">
        <f t="shared" si="15"/>
        <v>0.17523511776717382</v>
      </c>
      <c r="AH26">
        <f t="shared" si="16"/>
        <v>7</v>
      </c>
    </row>
    <row r="27" spans="2:34" x14ac:dyDescent="0.3">
      <c r="I27" s="1" t="s">
        <v>28</v>
      </c>
      <c r="J27" s="2">
        <f>C10*'Data &amp; Solution'!N$6</f>
        <v>3.0949746426924846E-2</v>
      </c>
      <c r="K27" s="2">
        <f>D10*'Data &amp; Solution'!O$6</f>
        <v>2.8181818181818183E-2</v>
      </c>
      <c r="L27" s="2">
        <f>E10*'Data &amp; Solution'!P$6</f>
        <v>1.019713461330967E-2</v>
      </c>
      <c r="M27" s="2">
        <f>F10*'Data &amp; Solution'!Q$6</f>
        <v>7.1151832460732986E-3</v>
      </c>
      <c r="N27" s="2">
        <f>G10*'Data &amp; Solution'!R$6</f>
        <v>3.0498349316145268E-3</v>
      </c>
      <c r="O27" s="2">
        <f t="shared" si="11"/>
        <v>6.6246747854816324E-2</v>
      </c>
      <c r="P27" s="2">
        <f t="shared" si="12"/>
        <v>1.3246969544924197E-2</v>
      </c>
      <c r="Q27" s="4">
        <f t="shared" si="13"/>
        <v>8.5668695276327935E-4</v>
      </c>
      <c r="R27">
        <f t="shared" si="14"/>
        <v>5</v>
      </c>
      <c r="AA27" s="1" t="s">
        <v>28</v>
      </c>
      <c r="AB27" s="2">
        <f>'Data &amp; Solution'!N$6*ABS(U9-IF('Data &amp; Solution'!N$4="Benefit", MAX(Extras!U$4:U$18), MIN(Extras!U$4:U$18)))</f>
        <v>2.4442355109646247E-3</v>
      </c>
      <c r="AC27" s="2">
        <f>'Data &amp; Solution'!O$6*ABS(V9-IF('Data &amp; Solution'!O$4="Benefit", MAX(Extras!V$4:V$18), MIN(Extras!V$4:V$18)))</f>
        <v>0.13588146843810514</v>
      </c>
      <c r="AD27" s="2">
        <f>'Data &amp; Solution'!P$6*ABS(W9-IF('Data &amp; Solution'!P$4="Benefit", MAX(Extras!W$4:W$18), MIN(Extras!W$4:W$18)))</f>
        <v>0</v>
      </c>
      <c r="AE27" s="2">
        <f>'Data &amp; Solution'!Q$6*ABS(X9-IF('Data &amp; Solution'!Q$4="Benefit", MAX(Extras!X$4:X$18), MIN(Extras!X$4:X$18)))</f>
        <v>5.9162497249066519E-2</v>
      </c>
      <c r="AF27" s="2">
        <f>'Data &amp; Solution'!R$6*ABS(Y9-IF('Data &amp; Solution'!R$4="Benefit", MAX(Extras!Y$4:Y$18), MIN(Extras!Y$4:Y$18)))</f>
        <v>1.065526541384005E-2</v>
      </c>
      <c r="AG27" s="2">
        <f t="shared" si="15"/>
        <v>0.13588146843810514</v>
      </c>
      <c r="AH27">
        <f t="shared" si="16"/>
        <v>4</v>
      </c>
    </row>
    <row r="28" spans="2:34" x14ac:dyDescent="0.3">
      <c r="I28" s="1" t="s">
        <v>30</v>
      </c>
      <c r="J28" s="2">
        <f>C11*'Data &amp; Solution'!N$6</f>
        <v>3.0949746426924846E-2</v>
      </c>
      <c r="K28" s="2">
        <f>D11*'Data &amp; Solution'!O$6</f>
        <v>2.7272727272727275E-3</v>
      </c>
      <c r="L28" s="2">
        <f>E11*'Data &amp; Solution'!P$6</f>
        <v>1.0260860331433723E-2</v>
      </c>
      <c r="M28" s="2">
        <f>F11*'Data &amp; Solution'!Q$6</f>
        <v>9.7382198952879586E-4</v>
      </c>
      <c r="N28" s="2">
        <f>G11*'Data &amp; Solution'!R$6</f>
        <v>2.9114919037887131E-3</v>
      </c>
      <c r="O28" s="2">
        <f t="shared" si="11"/>
        <v>3.4650841143726373E-2</v>
      </c>
      <c r="P28" s="2">
        <f t="shared" si="12"/>
        <v>1.3172352235222435E-2</v>
      </c>
      <c r="Q28" s="4">
        <f t="shared" si="13"/>
        <v>4.5063464103651537E-4</v>
      </c>
      <c r="R28">
        <f t="shared" si="14"/>
        <v>9</v>
      </c>
      <c r="AA28" s="1" t="s">
        <v>30</v>
      </c>
      <c r="AB28" s="2">
        <f>'Data &amp; Solution'!N$6*ABS(U10-IF('Data &amp; Solution'!N$4="Benefit", MAX(Extras!U$4:U$18), MIN(Extras!U$4:U$18)))</f>
        <v>2.4442355109646247E-3</v>
      </c>
      <c r="AC28" s="2">
        <f>'Data &amp; Solution'!O$6*ABS(V10-IF('Data &amp; Solution'!O$4="Benefit", MAX(Extras!V$4:V$18), MIN(Extras!V$4:V$18)))</f>
        <v>0.19825329001625175</v>
      </c>
      <c r="AD28" s="2">
        <f>'Data &amp; Solution'!P$6*ABS(W10-IF('Data &amp; Solution'!P$4="Benefit", MAX(Extras!W$4:W$18), MIN(Extras!W$4:W$18)))</f>
        <v>2.4677138805556144E-4</v>
      </c>
      <c r="AE28" s="2">
        <f>'Data &amp; Solution'!Q$6*ABS(X10-IF('Data &amp; Solution'!Q$4="Benefit", MAX(Extras!X$4:X$18), MIN(Extras!X$4:X$18)))</f>
        <v>7.2350944469354445E-2</v>
      </c>
      <c r="AF28" s="2">
        <f>'Data &amp; Solution'!R$6*ABS(Y10-IF('Data &amp; Solution'!R$4="Benefit", MAX(Extras!Y$4:Y$18), MIN(Extras!Y$4:Y$18)))</f>
        <v>1.0135496369262486E-2</v>
      </c>
      <c r="AG28" s="2">
        <f t="shared" si="15"/>
        <v>0.19825329001625175</v>
      </c>
      <c r="AH28">
        <f t="shared" si="16"/>
        <v>10</v>
      </c>
    </row>
    <row r="29" spans="2:34" x14ac:dyDescent="0.3">
      <c r="I29" s="1" t="s">
        <v>33</v>
      </c>
      <c r="J29" s="2">
        <f>C12*'Data &amp; Solution'!N$6</f>
        <v>3.0949746426924846E-2</v>
      </c>
      <c r="K29" s="2">
        <f>D12*'Data &amp; Solution'!O$6</f>
        <v>1.1818181818181818E-2</v>
      </c>
      <c r="L29" s="2">
        <f>E12*'Data &amp; Solution'!P$6</f>
        <v>1.0260866704642855E-2</v>
      </c>
      <c r="M29" s="2">
        <f>F12*'Data &amp; Solution'!Q$6</f>
        <v>1.099476439790576E-3</v>
      </c>
      <c r="N29" s="2">
        <f>G12*'Data &amp; Solution'!R$6</f>
        <v>2.5467693758842959E-3</v>
      </c>
      <c r="O29" s="2">
        <f t="shared" si="11"/>
        <v>4.3867404684897242E-2</v>
      </c>
      <c r="P29" s="2">
        <f t="shared" si="12"/>
        <v>1.2807636080527152E-2</v>
      </c>
      <c r="Q29" s="4">
        <f t="shared" si="13"/>
        <v>5.8674188228086859E-4</v>
      </c>
      <c r="R29">
        <f t="shared" si="14"/>
        <v>8</v>
      </c>
      <c r="AA29" s="1" t="s">
        <v>33</v>
      </c>
      <c r="AB29" s="2">
        <f>'Data &amp; Solution'!N$6*ABS(U11-IF('Data &amp; Solution'!N$4="Benefit", MAX(Extras!U$4:U$18), MIN(Extras!U$4:U$18)))</f>
        <v>2.4442355109646247E-3</v>
      </c>
      <c r="AC29" s="2">
        <f>'Data &amp; Solution'!O$6*ABS(V11-IF('Data &amp; Solution'!O$4="Benefit", MAX(Extras!V$4:V$18), MIN(Extras!V$4:V$18)))</f>
        <v>0.17597763945262795</v>
      </c>
      <c r="AD29" s="2">
        <f>'Data &amp; Solution'!P$6*ABS(W11-IF('Data &amp; Solution'!P$4="Benefit", MAX(Extras!W$4:W$18), MIN(Extras!W$4:W$18)))</f>
        <v>2.467960676623219E-4</v>
      </c>
      <c r="AE29" s="2">
        <f>'Data &amp; Solution'!Q$6*ABS(X11-IF('Data &amp; Solution'!Q$4="Benefit", MAX(Extras!X$4:X$18), MIN(Extras!X$4:X$18)))</f>
        <v>7.2081104117021191E-2</v>
      </c>
      <c r="AF29" s="2">
        <f>'Data &amp; Solution'!R$6*ABS(Y11-IF('Data &amp; Solution'!R$4="Benefit", MAX(Extras!Y$4:Y$18), MIN(Extras!Y$4:Y$18)))</f>
        <v>8.7651961608307266E-3</v>
      </c>
      <c r="AG29" s="2">
        <f t="shared" si="15"/>
        <v>0.17597763945262795</v>
      </c>
      <c r="AH29">
        <f t="shared" si="16"/>
        <v>8</v>
      </c>
    </row>
    <row r="30" spans="2:34" x14ac:dyDescent="0.3">
      <c r="I30" s="1" t="s">
        <v>36</v>
      </c>
      <c r="J30" s="2">
        <f>C13*'Data &amp; Solution'!N$6</f>
        <v>3.0318118948824337E-2</v>
      </c>
      <c r="K30" s="2">
        <f>D13*'Data &amp; Solution'!O$6</f>
        <v>2.4242424242424238E-3</v>
      </c>
      <c r="L30" s="2">
        <f>E13*'Data &amp; Solution'!P$6</f>
        <v>1.0324598795976041E-2</v>
      </c>
      <c r="M30" s="2">
        <f>F13*'Data &amp; Solution'!Q$6</f>
        <v>2.0418848167539272E-4</v>
      </c>
      <c r="N30" s="2">
        <f>G13*'Data &amp; Solution'!R$6</f>
        <v>2.8045904731960392E-3</v>
      </c>
      <c r="O30" s="2">
        <f t="shared" si="11"/>
        <v>3.2946549854742158E-2</v>
      </c>
      <c r="P30" s="2">
        <f t="shared" si="12"/>
        <v>1.312918926917208E-2</v>
      </c>
      <c r="Q30" s="4">
        <f t="shared" si="13"/>
        <v>4.2987893142243643E-4</v>
      </c>
      <c r="R30">
        <f t="shared" si="14"/>
        <v>12</v>
      </c>
      <c r="AA30" s="1" t="s">
        <v>36</v>
      </c>
      <c r="AB30" s="2">
        <f>'Data &amp; Solution'!N$6*ABS(U12-IF('Data &amp; Solution'!N$4="Benefit", MAX(Extras!U$4:U$18), MIN(Extras!U$4:U$18)))</f>
        <v>4.8884710219292754E-3</v>
      </c>
      <c r="AC30" s="2">
        <f>'Data &amp; Solution'!O$6*ABS(V12-IF('Data &amp; Solution'!O$4="Benefit", MAX(Extras!V$4:V$18), MIN(Extras!V$4:V$18)))</f>
        <v>0.19899581170170585</v>
      </c>
      <c r="AD30" s="2">
        <f>'Data &amp; Solution'!P$6*ABS(W12-IF('Data &amp; Solution'!P$4="Benefit", MAX(Extras!W$4:W$18), MIN(Extras!W$4:W$18)))</f>
        <v>4.935921353246438E-4</v>
      </c>
      <c r="AE30" s="2">
        <f>'Data &amp; Solution'!Q$6*ABS(X12-IF('Data &amp; Solution'!Q$4="Benefit", MAX(Extras!X$4:X$18), MIN(Extras!X$4:X$18)))</f>
        <v>7.4003716627395646E-2</v>
      </c>
      <c r="AF30" s="2">
        <f>'Data &amp; Solution'!R$6*ABS(Y12-IF('Data &amp; Solution'!R$4="Benefit", MAX(Extras!Y$4:Y$18), MIN(Extras!Y$4:Y$18)))</f>
        <v>9.7338566529980037E-3</v>
      </c>
      <c r="AG30" s="2">
        <f t="shared" si="15"/>
        <v>0.19899581170170585</v>
      </c>
      <c r="AH30">
        <f t="shared" si="16"/>
        <v>12</v>
      </c>
    </row>
    <row r="31" spans="2:34" x14ac:dyDescent="0.3">
      <c r="I31" s="1" t="s">
        <v>38</v>
      </c>
      <c r="J31" s="2">
        <f>C14*'Data &amp; Solution'!N$6</f>
        <v>2.968649147072383E-2</v>
      </c>
      <c r="K31" s="2">
        <f>D14*'Data &amp; Solution'!O$6</f>
        <v>1.8181818181818182E-3</v>
      </c>
      <c r="L31" s="2">
        <f>E14*'Data &amp; Solution'!P$6</f>
        <v>1.0675125298308561E-2</v>
      </c>
      <c r="M31" s="2">
        <f>F14*'Data &amp; Solution'!Q$6</f>
        <v>3.1413612565445029E-4</v>
      </c>
      <c r="N31" s="2">
        <f>G14*'Data &amp; Solution'!R$6</f>
        <v>2.8423203898758063E-3</v>
      </c>
      <c r="O31" s="2">
        <f t="shared" si="11"/>
        <v>3.1818809414560098E-2</v>
      </c>
      <c r="P31" s="2">
        <f t="shared" si="12"/>
        <v>1.3517445688184367E-2</v>
      </c>
      <c r="Q31" s="4">
        <f t="shared" si="13"/>
        <v>4.0323982684873939E-4</v>
      </c>
      <c r="R31">
        <f t="shared" si="14"/>
        <v>14</v>
      </c>
      <c r="AA31" s="1" t="s">
        <v>38</v>
      </c>
      <c r="AB31" s="2">
        <f>'Data &amp; Solution'!N$6*ABS(U13-IF('Data &amp; Solution'!N$4="Benefit", MAX(Extras!U$4:U$18), MIN(Extras!U$4:U$18)))</f>
        <v>7.3327065328938996E-3</v>
      </c>
      <c r="AC31" s="2">
        <f>'Data &amp; Solution'!O$6*ABS(V13-IF('Data &amp; Solution'!O$4="Benefit", MAX(Extras!V$4:V$18), MIN(Extras!V$4:V$18)))</f>
        <v>0.20048085507261415</v>
      </c>
      <c r="AD31" s="2">
        <f>'Data &amp; Solution'!P$6*ABS(W13-IF('Data &amp; Solution'!P$4="Benefit", MAX(Extras!W$4:W$18), MIN(Extras!W$4:W$18)))</f>
        <v>1.8509705074673966E-3</v>
      </c>
      <c r="AE31" s="2">
        <f>'Data &amp; Solution'!Q$6*ABS(X13-IF('Data &amp; Solution'!Q$4="Benefit", MAX(Extras!X$4:X$18), MIN(Extras!X$4:X$18)))</f>
        <v>7.3767606319104048E-2</v>
      </c>
      <c r="AF31" s="2">
        <f>'Data &amp; Solution'!R$6*ABS(Y13-IF('Data &amp; Solution'!R$4="Benefit", MAX(Extras!Y$4:Y$18), MIN(Extras!Y$4:Y$18)))</f>
        <v>9.8756118469737024E-3</v>
      </c>
      <c r="AG31" s="2">
        <f t="shared" si="15"/>
        <v>0.20048085507261415</v>
      </c>
      <c r="AH31">
        <f t="shared" si="16"/>
        <v>13</v>
      </c>
    </row>
    <row r="32" spans="2:34" x14ac:dyDescent="0.3">
      <c r="I32" s="1" t="s">
        <v>41</v>
      </c>
      <c r="J32" s="2">
        <f>C15*'Data &amp; Solution'!N$6</f>
        <v>2.968649147072383E-2</v>
      </c>
      <c r="K32" s="2">
        <f>D15*'Data &amp; Solution'!O$6</f>
        <v>4.8484848484848476E-3</v>
      </c>
      <c r="L32" s="2">
        <f>E15*'Data &amp; Solution'!P$6</f>
        <v>1.0668752089175244E-2</v>
      </c>
      <c r="M32" s="2">
        <f>F15*'Data &amp; Solution'!Q$6</f>
        <v>6.4397905759162313E-4</v>
      </c>
      <c r="N32" s="2">
        <f>G15*'Data &amp; Solution'!R$6</f>
        <v>2.7920138343027834E-3</v>
      </c>
      <c r="O32" s="2">
        <f t="shared" si="11"/>
        <v>3.5178955376800297E-2</v>
      </c>
      <c r="P32" s="2">
        <f t="shared" si="12"/>
        <v>1.3460765923478026E-2</v>
      </c>
      <c r="Q32" s="4">
        <f t="shared" si="13"/>
        <v>4.4770020634298999E-4</v>
      </c>
      <c r="R32">
        <f t="shared" si="14"/>
        <v>10</v>
      </c>
      <c r="AA32" s="1" t="s">
        <v>41</v>
      </c>
      <c r="AB32" s="2">
        <f>'Data &amp; Solution'!N$6*ABS(U14-IF('Data &amp; Solution'!N$4="Benefit", MAX(Extras!U$4:U$18), MIN(Extras!U$4:U$18)))</f>
        <v>7.3327065328938996E-3</v>
      </c>
      <c r="AC32" s="2">
        <f>'Data &amp; Solution'!O$6*ABS(V14-IF('Data &amp; Solution'!O$4="Benefit", MAX(Extras!V$4:V$18), MIN(Extras!V$4:V$18)))</f>
        <v>0.19305563821807287</v>
      </c>
      <c r="AD32" s="2">
        <f>'Data &amp; Solution'!P$6*ABS(W14-IF('Data &amp; Solution'!P$4="Benefit", MAX(Extras!W$4:W$18), MIN(Extras!W$4:W$18)))</f>
        <v>1.8262909007011662E-3</v>
      </c>
      <c r="AE32" s="2">
        <f>'Data &amp; Solution'!Q$6*ABS(X14-IF('Data &amp; Solution'!Q$4="Benefit", MAX(Extras!X$4:X$18), MIN(Extras!X$4:X$18)))</f>
        <v>7.3059275394229239E-2</v>
      </c>
      <c r="AF32" s="2">
        <f>'Data &amp; Solution'!R$6*ABS(Y14-IF('Data &amp; Solution'!R$4="Benefit", MAX(Extras!Y$4:Y$18), MIN(Extras!Y$4:Y$18)))</f>
        <v>9.6866049216727708E-3</v>
      </c>
      <c r="AG32" s="2">
        <f t="shared" si="15"/>
        <v>0.19305563821807287</v>
      </c>
      <c r="AH32">
        <f t="shared" si="16"/>
        <v>9</v>
      </c>
    </row>
    <row r="33" spans="9:34" x14ac:dyDescent="0.3">
      <c r="I33" s="1" t="s">
        <v>44</v>
      </c>
      <c r="J33" s="2">
        <f>C16*'Data &amp; Solution'!N$6</f>
        <v>2.6528354080221299E-2</v>
      </c>
      <c r="K33" s="2">
        <f>D16*'Data &amp; Solution'!O$6</f>
        <v>3.0303030303030298E-4</v>
      </c>
      <c r="L33" s="2">
        <f>E16*'Data &amp; Solution'!P$6</f>
        <v>1.0662825004681256E-2</v>
      </c>
      <c r="M33" s="2">
        <f>F16*'Data &amp; Solution'!Q$6</f>
        <v>1.2565445026178012E-4</v>
      </c>
      <c r="N33" s="2">
        <f>G16*'Data &amp; Solution'!R$6</f>
        <v>2.8045904731960392E-3</v>
      </c>
      <c r="O33" s="2">
        <f t="shared" si="11"/>
        <v>2.6957038833513379E-2</v>
      </c>
      <c r="P33" s="2">
        <f t="shared" si="12"/>
        <v>1.3467415477877295E-2</v>
      </c>
      <c r="Q33" s="4">
        <f t="shared" si="13"/>
        <v>3.4289571125961161E-4</v>
      </c>
      <c r="R33">
        <f t="shared" si="14"/>
        <v>15</v>
      </c>
      <c r="AA33" s="1" t="s">
        <v>44</v>
      </c>
      <c r="AB33" s="2">
        <f>'Data &amp; Solution'!N$6*ABS(U15-IF('Data &amp; Solution'!N$4="Benefit", MAX(Extras!U$4:U$18), MIN(Extras!U$4:U$18)))</f>
        <v>1.9553884087717063E-2</v>
      </c>
      <c r="AC33" s="2">
        <f>'Data &amp; Solution'!O$6*ABS(V15-IF('Data &amp; Solution'!O$4="Benefit", MAX(Extras!V$4:V$18), MIN(Extras!V$4:V$18)))</f>
        <v>0.20419346349988476</v>
      </c>
      <c r="AD33" s="2">
        <f>'Data &amp; Solution'!P$6*ABS(W15-IF('Data &amp; Solution'!P$4="Benefit", MAX(Extras!W$4:W$18), MIN(Extras!W$4:W$18)))</f>
        <v>1.8033388664085758E-3</v>
      </c>
      <c r="AE33" s="2">
        <f>'Data &amp; Solution'!Q$6*ABS(X15-IF('Data &amp; Solution'!Q$4="Benefit", MAX(Extras!X$4:X$18), MIN(Extras!X$4:X$18)))</f>
        <v>7.4172366847603921E-2</v>
      </c>
      <c r="AF33" s="2">
        <f>'Data &amp; Solution'!R$6*ABS(Y15-IF('Data &amp; Solution'!R$4="Benefit", MAX(Extras!Y$4:Y$18), MIN(Extras!Y$4:Y$18)))</f>
        <v>9.7338566529980037E-3</v>
      </c>
      <c r="AG33" s="2">
        <f t="shared" si="15"/>
        <v>0.20419346349988476</v>
      </c>
      <c r="AH33">
        <f t="shared" si="16"/>
        <v>15</v>
      </c>
    </row>
    <row r="34" spans="9:34" x14ac:dyDescent="0.3">
      <c r="I34" s="1" t="s">
        <v>46</v>
      </c>
      <c r="J34" s="2">
        <f>C17*'Data &amp; Solution'!N$6</f>
        <v>3.0318118948824337E-2</v>
      </c>
      <c r="K34" s="2">
        <f>D17*'Data &amp; Solution'!O$6</f>
        <v>2.8787878787878786E-2</v>
      </c>
      <c r="L34" s="2">
        <f>E17*'Data &amp; Solution'!P$6</f>
        <v>1.0675125298308561E-2</v>
      </c>
      <c r="M34" s="2">
        <f>F17*'Data &amp; Solution'!Q$6</f>
        <v>6.8795811518324607E-3</v>
      </c>
      <c r="N34" s="2">
        <f>G17*'Data &amp; Solution'!R$6</f>
        <v>2.8423203898758063E-3</v>
      </c>
      <c r="O34" s="2">
        <f t="shared" si="11"/>
        <v>6.5985578888535582E-2</v>
      </c>
      <c r="P34" s="2">
        <f t="shared" si="12"/>
        <v>1.3517445688184367E-2</v>
      </c>
      <c r="Q34" s="4">
        <f t="shared" si="13"/>
        <v>8.3623535559917126E-4</v>
      </c>
      <c r="R34">
        <f t="shared" si="14"/>
        <v>6</v>
      </c>
      <c r="AA34" s="1" t="s">
        <v>46</v>
      </c>
      <c r="AB34" s="2">
        <f>'Data &amp; Solution'!N$6*ABS(U16-IF('Data &amp; Solution'!N$4="Benefit", MAX(Extras!U$4:U$18), MIN(Extras!U$4:U$18)))</f>
        <v>4.8884710219292754E-3</v>
      </c>
      <c r="AC34" s="2">
        <f>'Data &amp; Solution'!O$6*ABS(V16-IF('Data &amp; Solution'!O$4="Benefit", MAX(Extras!V$4:V$18), MIN(Extras!V$4:V$18)))</f>
        <v>0.13439642506719687</v>
      </c>
      <c r="AD34" s="2">
        <f>'Data &amp; Solution'!P$6*ABS(W16-IF('Data &amp; Solution'!P$4="Benefit", MAX(Extras!W$4:W$18), MIN(Extras!W$4:W$18)))</f>
        <v>1.8509705074673966E-3</v>
      </c>
      <c r="AE34" s="2">
        <f>'Data &amp; Solution'!Q$6*ABS(X16-IF('Data &amp; Solution'!Q$4="Benefit", MAX(Extras!X$4:X$18), MIN(Extras!X$4:X$18)))</f>
        <v>5.9668447909691384E-2</v>
      </c>
      <c r="AF34" s="2">
        <f>'Data &amp; Solution'!R$6*ABS(Y16-IF('Data &amp; Solution'!R$4="Benefit", MAX(Extras!Y$4:Y$18), MIN(Extras!Y$4:Y$18)))</f>
        <v>9.8756118469737024E-3</v>
      </c>
      <c r="AG34" s="2">
        <f t="shared" si="15"/>
        <v>0.13439642506719687</v>
      </c>
      <c r="AH34">
        <f t="shared" si="16"/>
        <v>3</v>
      </c>
    </row>
    <row r="35" spans="9:34" x14ac:dyDescent="0.3">
      <c r="I35" s="1" t="s">
        <v>48</v>
      </c>
      <c r="J35" s="2">
        <f>C18*'Data &amp; Solution'!N$6</f>
        <v>3.1581373905025356E-2</v>
      </c>
      <c r="K35" s="2">
        <f>D18*'Data &amp; Solution'!O$6</f>
        <v>2.7272727272727275E-3</v>
      </c>
      <c r="L35" s="2">
        <f>E18*'Data &amp; Solution'!P$6</f>
        <v>1.0356464841642633E-2</v>
      </c>
      <c r="M35" s="2">
        <f>F18*'Data &amp; Solution'!Q$6</f>
        <v>2.0418848167539272E-4</v>
      </c>
      <c r="N35" s="2">
        <f>G18*'Data &amp; Solution'!R$6</f>
        <v>3.0183933343813875E-3</v>
      </c>
      <c r="O35" s="2">
        <f t="shared" si="11"/>
        <v>3.4512835113973482E-2</v>
      </c>
      <c r="P35" s="2">
        <f t="shared" si="12"/>
        <v>1.3374858176024022E-2</v>
      </c>
      <c r="Q35" s="4">
        <f t="shared" si="13"/>
        <v>4.4204407985760214E-4</v>
      </c>
      <c r="R35">
        <f t="shared" si="14"/>
        <v>11</v>
      </c>
      <c r="AA35" s="1" t="s">
        <v>48</v>
      </c>
      <c r="AB35" s="2">
        <f>'Data &amp; Solution'!N$6*ABS(U17-IF('Data &amp; Solution'!N$4="Benefit", MAX(Extras!U$4:U$18), MIN(Extras!U$4:U$18)))</f>
        <v>0</v>
      </c>
      <c r="AC35" s="2">
        <f>'Data &amp; Solution'!O$6*ABS(V17-IF('Data &amp; Solution'!O$4="Benefit", MAX(Extras!V$4:V$18), MIN(Extras!V$4:V$18)))</f>
        <v>0.19825329001625175</v>
      </c>
      <c r="AD35" s="2">
        <f>'Data &amp; Solution'!P$6*ABS(W17-IF('Data &amp; Solution'!P$4="Benefit", MAX(Extras!W$4:W$18), MIN(Extras!W$4:W$18)))</f>
        <v>6.1699016915580469E-4</v>
      </c>
      <c r="AE35" s="2">
        <f>'Data &amp; Solution'!Q$6*ABS(X17-IF('Data &amp; Solution'!Q$4="Benefit", MAX(Extras!X$4:X$18), MIN(Extras!X$4:X$18)))</f>
        <v>7.4003716627395646E-2</v>
      </c>
      <c r="AF35" s="2">
        <f>'Data &amp; Solution'!R$6*ABS(Y17-IF('Data &amp; Solution'!R$4="Benefit", MAX(Extras!Y$4:Y$18), MIN(Extras!Y$4:Y$18)))</f>
        <v>1.0537136085526966E-2</v>
      </c>
      <c r="AG35" s="2">
        <f t="shared" si="15"/>
        <v>0.19825329001625175</v>
      </c>
      <c r="AH35">
        <f t="shared" si="16"/>
        <v>10</v>
      </c>
    </row>
    <row r="36" spans="9:34" x14ac:dyDescent="0.3">
      <c r="I36" s="1" t="s">
        <v>50</v>
      </c>
      <c r="J36" s="2">
        <f>C19*'Data &amp; Solution'!N$6</f>
        <v>3.1581373905025356E-2</v>
      </c>
      <c r="K36" s="2">
        <f>D19*'Data &amp; Solution'!O$6</f>
        <v>1.5151515151515152E-3</v>
      </c>
      <c r="L36" s="2">
        <f>E19*'Data &amp; Solution'!P$6</f>
        <v>1.0643259252641969E-2</v>
      </c>
      <c r="M36" s="2">
        <f>F19*'Data &amp; Solution'!Q$6</f>
        <v>2.1989528795811523E-4</v>
      </c>
      <c r="N36" s="2">
        <f>G19*'Data &amp; Solution'!R$6</f>
        <v>2.6662474453702256E-3</v>
      </c>
      <c r="O36" s="2">
        <f t="shared" si="11"/>
        <v>3.3316420708134988E-2</v>
      </c>
      <c r="P36" s="2">
        <f t="shared" si="12"/>
        <v>1.3309506698012194E-2</v>
      </c>
      <c r="Q36" s="4">
        <f t="shared" si="13"/>
        <v>4.2881553058104376E-4</v>
      </c>
      <c r="R36">
        <f t="shared" si="14"/>
        <v>13</v>
      </c>
      <c r="AA36" s="1" t="s">
        <v>50</v>
      </c>
      <c r="AB36" s="2">
        <f>'Data &amp; Solution'!N$6*ABS(U18-IF('Data &amp; Solution'!N$4="Benefit", MAX(Extras!U$4:U$18), MIN(Extras!U$4:U$18)))</f>
        <v>0</v>
      </c>
      <c r="AC36" s="2">
        <f>'Data &amp; Solution'!O$6*ABS(V18-IF('Data &amp; Solution'!O$4="Benefit", MAX(Extras!V$4:V$18), MIN(Extras!V$4:V$18)))</f>
        <v>0.20122337675806826</v>
      </c>
      <c r="AD36" s="2">
        <f>'Data &amp; Solution'!P$6*ABS(W18-IF('Data &amp; Solution'!P$4="Benefit", MAX(Extras!W$4:W$18), MIN(Extras!W$4:W$18)))</f>
        <v>1.7275724736362445E-3</v>
      </c>
      <c r="AE36" s="2">
        <f>'Data &amp; Solution'!Q$6*ABS(X18-IF('Data &amp; Solution'!Q$4="Benefit", MAX(Extras!X$4:X$18), MIN(Extras!X$4:X$18)))</f>
        <v>7.3969986583353992E-2</v>
      </c>
      <c r="AF36" s="2">
        <f>'Data &amp; Solution'!R$6*ABS(Y18-IF('Data &amp; Solution'!R$4="Benefit", MAX(Extras!Y$4:Y$18), MIN(Extras!Y$4:Y$18)))</f>
        <v>9.2140876084204418E-3</v>
      </c>
      <c r="AG36" s="2">
        <f t="shared" si="15"/>
        <v>0.20122337675806826</v>
      </c>
      <c r="AH36">
        <f t="shared" si="16"/>
        <v>14</v>
      </c>
    </row>
  </sheetData>
  <mergeCells count="6">
    <mergeCell ref="AA2:AH2"/>
    <mergeCell ref="AA20:AH20"/>
    <mergeCell ref="B2:G3"/>
    <mergeCell ref="I2:R2"/>
    <mergeCell ref="I20:R20"/>
    <mergeCell ref="T2:Y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AD9B5-1456-4451-98AE-B206BFF0DEA0}">
  <dimension ref="B2:R24"/>
  <sheetViews>
    <sheetView workbookViewId="0"/>
  </sheetViews>
  <sheetFormatPr defaultRowHeight="14.4" x14ac:dyDescent="0.3"/>
  <cols>
    <col min="2" max="2" width="12.21875" bestFit="1" customWidth="1"/>
    <col min="3" max="3" width="6.5546875" bestFit="1" customWidth="1"/>
    <col min="4" max="4" width="9" bestFit="1" customWidth="1"/>
    <col min="5" max="10" width="6.5546875" bestFit="1" customWidth="1"/>
    <col min="11" max="11" width="5.21875" bestFit="1" customWidth="1"/>
    <col min="13" max="13" width="11.88671875" bestFit="1" customWidth="1"/>
    <col min="14" max="14" width="11.77734375" bestFit="1" customWidth="1"/>
    <col min="15" max="15" width="21.5546875" bestFit="1" customWidth="1"/>
    <col min="16" max="16" width="16.109375" bestFit="1" customWidth="1"/>
    <col min="17" max="17" width="27.88671875" bestFit="1" customWidth="1"/>
    <col min="18" max="18" width="15.6640625" bestFit="1" customWidth="1"/>
  </cols>
  <sheetData>
    <row r="2" spans="2:18" x14ac:dyDescent="0.3">
      <c r="B2" s="1" t="s">
        <v>4</v>
      </c>
      <c r="C2" s="1" t="s">
        <v>5</v>
      </c>
      <c r="D2" s="1" t="s">
        <v>9</v>
      </c>
      <c r="E2" s="1" t="s">
        <v>10</v>
      </c>
      <c r="F2" s="1" t="s">
        <v>7</v>
      </c>
      <c r="G2" s="1" t="s">
        <v>8</v>
      </c>
      <c r="H2" s="1" t="s">
        <v>11</v>
      </c>
      <c r="M2" s="1"/>
      <c r="N2" s="1" t="s">
        <v>9</v>
      </c>
      <c r="O2" s="1" t="s">
        <v>10</v>
      </c>
      <c r="P2" s="1" t="s">
        <v>7</v>
      </c>
      <c r="Q2" s="1" t="s">
        <v>8</v>
      </c>
      <c r="R2" s="1" t="s">
        <v>11</v>
      </c>
    </row>
    <row r="3" spans="2:18" x14ac:dyDescent="0.3">
      <c r="B3" t="s">
        <v>85</v>
      </c>
      <c r="C3" t="s">
        <v>14</v>
      </c>
      <c r="D3">
        <v>15840000</v>
      </c>
      <c r="E3">
        <v>63</v>
      </c>
      <c r="F3" s="3">
        <v>4.8</v>
      </c>
      <c r="G3">
        <v>5</v>
      </c>
      <c r="H3">
        <v>1</v>
      </c>
      <c r="M3" s="1" t="s">
        <v>60</v>
      </c>
      <c r="N3" t="s">
        <v>57</v>
      </c>
      <c r="O3" t="s">
        <v>58</v>
      </c>
      <c r="P3" t="s">
        <v>55</v>
      </c>
      <c r="Q3" t="s">
        <v>56</v>
      </c>
      <c r="R3" t="s">
        <v>59</v>
      </c>
    </row>
    <row r="4" spans="2:18" x14ac:dyDescent="0.3">
      <c r="B4" t="s">
        <v>86</v>
      </c>
      <c r="C4" t="s">
        <v>16</v>
      </c>
      <c r="D4">
        <v>15699000</v>
      </c>
      <c r="E4">
        <v>25</v>
      </c>
      <c r="F4" s="3">
        <v>5</v>
      </c>
      <c r="G4">
        <v>0</v>
      </c>
      <c r="H4">
        <v>1</v>
      </c>
      <c r="M4" s="1" t="s">
        <v>0</v>
      </c>
      <c r="N4" t="s">
        <v>2</v>
      </c>
      <c r="O4" t="s">
        <v>1</v>
      </c>
      <c r="P4" t="s">
        <v>1</v>
      </c>
      <c r="Q4" t="s">
        <v>1</v>
      </c>
      <c r="R4" t="s">
        <v>2</v>
      </c>
    </row>
    <row r="5" spans="2:18" x14ac:dyDescent="0.3">
      <c r="B5" t="s">
        <v>87</v>
      </c>
      <c r="C5" t="s">
        <v>19</v>
      </c>
      <c r="D5">
        <v>16699000</v>
      </c>
      <c r="E5">
        <v>26</v>
      </c>
      <c r="F5" s="3">
        <v>5</v>
      </c>
      <c r="G5">
        <v>3</v>
      </c>
      <c r="H5">
        <v>1</v>
      </c>
      <c r="M5" s="1" t="s">
        <v>52</v>
      </c>
      <c r="N5">
        <v>1</v>
      </c>
      <c r="O5">
        <v>2</v>
      </c>
      <c r="P5">
        <v>3</v>
      </c>
      <c r="Q5">
        <v>4</v>
      </c>
      <c r="R5">
        <v>5</v>
      </c>
    </row>
    <row r="6" spans="2:18" x14ac:dyDescent="0.3">
      <c r="B6" t="s">
        <v>88</v>
      </c>
      <c r="C6" t="s">
        <v>21</v>
      </c>
      <c r="D6">
        <v>15045000</v>
      </c>
      <c r="E6">
        <v>5</v>
      </c>
      <c r="F6" s="3">
        <v>5</v>
      </c>
      <c r="G6">
        <v>0</v>
      </c>
      <c r="H6">
        <v>1</v>
      </c>
      <c r="M6" s="1" t="s">
        <v>61</v>
      </c>
      <c r="N6" s="2">
        <f>1/5*SUMPRODUCT(1/N$5:$R5)</f>
        <v>0.45666666666666667</v>
      </c>
      <c r="O6" s="2">
        <f>1/5*SUMPRODUCT(1/O$5:$R5)</f>
        <v>0.25666666666666665</v>
      </c>
      <c r="P6" s="2">
        <f>1/5*SUMPRODUCT(1/P$5:$R5)</f>
        <v>0.15666666666666665</v>
      </c>
      <c r="Q6" s="2">
        <f>1/5*SUMPRODUCT(1/Q$5:$R5)</f>
        <v>9.0000000000000011E-2</v>
      </c>
      <c r="R6" s="2">
        <f>1/5*SUMPRODUCT(1/R$5:$R5)</f>
        <v>4.0000000000000008E-2</v>
      </c>
    </row>
    <row r="7" spans="2:18" x14ac:dyDescent="0.3">
      <c r="B7" t="s">
        <v>89</v>
      </c>
      <c r="C7" t="s">
        <v>24</v>
      </c>
      <c r="D7">
        <v>15100000</v>
      </c>
      <c r="E7">
        <v>12</v>
      </c>
      <c r="F7" s="3">
        <v>5</v>
      </c>
      <c r="G7">
        <v>1</v>
      </c>
      <c r="H7">
        <v>3</v>
      </c>
      <c r="M7" s="1" t="s">
        <v>62</v>
      </c>
      <c r="N7">
        <f>IF(N$4="Benefit",MAX(D$3:D$12),MIN(D$3:D$12))</f>
        <v>15045000</v>
      </c>
      <c r="O7">
        <f t="shared" ref="O7:R7" si="0">IF(O$4="Benefit",MAX(E$3:E$12),MIN(E$3:E$12))</f>
        <v>63</v>
      </c>
      <c r="P7">
        <f t="shared" si="0"/>
        <v>5</v>
      </c>
      <c r="Q7">
        <f t="shared" si="0"/>
        <v>5</v>
      </c>
      <c r="R7">
        <f t="shared" si="0"/>
        <v>1</v>
      </c>
    </row>
    <row r="8" spans="2:18" x14ac:dyDescent="0.3">
      <c r="B8" t="s">
        <v>90</v>
      </c>
      <c r="C8" t="s">
        <v>28</v>
      </c>
      <c r="D8">
        <v>15150000</v>
      </c>
      <c r="E8">
        <v>10</v>
      </c>
      <c r="F8" s="3">
        <v>5</v>
      </c>
      <c r="G8">
        <v>0</v>
      </c>
      <c r="H8">
        <v>2</v>
      </c>
      <c r="M8" s="1" t="s">
        <v>63</v>
      </c>
      <c r="N8">
        <f>IF(N$4="Cost",MAX(D$3:D$12),MIN(D$3:D$12))</f>
        <v>16699000</v>
      </c>
      <c r="O8">
        <f t="shared" ref="O8:R8" si="1">IF(O$4="Cost",MAX(E$3:E$12),MIN(E$3:E$12))</f>
        <v>5</v>
      </c>
      <c r="P8">
        <f t="shared" si="1"/>
        <v>4.8</v>
      </c>
      <c r="Q8">
        <f t="shared" si="1"/>
        <v>0</v>
      </c>
      <c r="R8">
        <f t="shared" si="1"/>
        <v>3</v>
      </c>
    </row>
    <row r="9" spans="2:18" x14ac:dyDescent="0.3">
      <c r="B9" t="s">
        <v>91</v>
      </c>
      <c r="C9" t="s">
        <v>30</v>
      </c>
      <c r="D9">
        <v>15150000</v>
      </c>
      <c r="E9">
        <v>17</v>
      </c>
      <c r="F9" s="3">
        <v>4.9000000000000004</v>
      </c>
      <c r="G9">
        <v>0</v>
      </c>
      <c r="H9">
        <v>1</v>
      </c>
    </row>
    <row r="10" spans="2:18" x14ac:dyDescent="0.3">
      <c r="B10" t="s">
        <v>92</v>
      </c>
      <c r="C10" t="s">
        <v>33</v>
      </c>
      <c r="D10">
        <v>15490000</v>
      </c>
      <c r="E10">
        <v>15</v>
      </c>
      <c r="F10" s="3">
        <v>5</v>
      </c>
      <c r="G10">
        <v>0</v>
      </c>
      <c r="H10">
        <v>3</v>
      </c>
      <c r="M10" s="1" t="s">
        <v>68</v>
      </c>
      <c r="N10">
        <v>0.5</v>
      </c>
    </row>
    <row r="11" spans="2:18" x14ac:dyDescent="0.3">
      <c r="B11" t="s">
        <v>93</v>
      </c>
      <c r="C11" t="s">
        <v>36</v>
      </c>
      <c r="D11">
        <v>15200000</v>
      </c>
      <c r="E11">
        <v>13</v>
      </c>
      <c r="F11" s="3">
        <v>4.8</v>
      </c>
      <c r="G11">
        <v>0</v>
      </c>
      <c r="H11">
        <v>2</v>
      </c>
    </row>
    <row r="12" spans="2:18" x14ac:dyDescent="0.3">
      <c r="B12" t="s">
        <v>94</v>
      </c>
      <c r="C12" t="s">
        <v>38</v>
      </c>
      <c r="D12">
        <v>15292000</v>
      </c>
      <c r="E12">
        <v>8</v>
      </c>
      <c r="F12" s="3">
        <v>4.9000000000000004</v>
      </c>
      <c r="G12">
        <v>1</v>
      </c>
      <c r="H12">
        <v>1</v>
      </c>
    </row>
    <row r="13" spans="2:18" x14ac:dyDescent="0.3">
      <c r="D13" s="3"/>
    </row>
    <row r="14" spans="2:18" x14ac:dyDescent="0.3">
      <c r="B14" s="1"/>
      <c r="C14" s="1" t="s">
        <v>9</v>
      </c>
      <c r="D14" s="1" t="s">
        <v>10</v>
      </c>
      <c r="E14" s="1" t="s">
        <v>7</v>
      </c>
      <c r="F14" s="1" t="s">
        <v>8</v>
      </c>
      <c r="G14" s="1" t="s">
        <v>11</v>
      </c>
      <c r="H14" s="1" t="s">
        <v>64</v>
      </c>
      <c r="I14" s="1" t="s">
        <v>65</v>
      </c>
      <c r="J14" s="1" t="s">
        <v>66</v>
      </c>
      <c r="K14" s="1" t="s">
        <v>67</v>
      </c>
    </row>
    <row r="15" spans="2:18" x14ac:dyDescent="0.3">
      <c r="B15" s="1" t="s">
        <v>14</v>
      </c>
      <c r="C15" s="2">
        <f>N$6*(N$7-D3)/(N$7-N$8)</f>
        <v>0.21949818621523579</v>
      </c>
      <c r="D15" s="2">
        <f t="shared" ref="D15:G24" si="2">O$6*(O$7-E3)/(O$7-O$8)</f>
        <v>0</v>
      </c>
      <c r="E15" s="2">
        <f t="shared" si="2"/>
        <v>0.15666666666666665</v>
      </c>
      <c r="F15" s="2">
        <f t="shared" si="2"/>
        <v>0</v>
      </c>
      <c r="G15" s="2">
        <f t="shared" si="2"/>
        <v>0</v>
      </c>
      <c r="H15" s="2">
        <f t="shared" ref="H15:H24" si="3">SUM($C15:$G15)</f>
        <v>0.37616485288190243</v>
      </c>
      <c r="I15" s="2">
        <f t="shared" ref="I15:I24" si="4">MAX($C15:$G15)</f>
        <v>0.21949818621523579</v>
      </c>
      <c r="J15" s="2">
        <f t="shared" ref="J15:J24" si="5">$N$10*($H15-MIN($H$15:$H$29))/(MAX($H$15:$H$29)-MIN($H$15:$H$29))+(1-$N$10)*($I15-MIN($I$15:$I$29))/(MAX($I$15:$I$29)-MIN($I$15:$I$29))</f>
        <v>0.11811832858436024</v>
      </c>
      <c r="K15">
        <f t="shared" ref="K15:K24" si="6">_xlfn.RANK.EQ($J15,$J$15:$J$29,1)</f>
        <v>2</v>
      </c>
    </row>
    <row r="16" spans="2:18" x14ac:dyDescent="0.3">
      <c r="B16" s="1" t="s">
        <v>16</v>
      </c>
      <c r="C16" s="2">
        <f t="shared" ref="C16:C24" si="7">N$6*(N$7-D4)/(N$7-N$8)</f>
        <v>0.18056831922611849</v>
      </c>
      <c r="D16" s="2">
        <f t="shared" si="2"/>
        <v>0.16816091954022985</v>
      </c>
      <c r="E16" s="2">
        <f t="shared" si="2"/>
        <v>0</v>
      </c>
      <c r="F16" s="2">
        <f t="shared" si="2"/>
        <v>9.0000000000000011E-2</v>
      </c>
      <c r="G16" s="2">
        <f t="shared" si="2"/>
        <v>0</v>
      </c>
      <c r="H16" s="2">
        <f t="shared" si="3"/>
        <v>0.43872923876634834</v>
      </c>
      <c r="I16" s="2">
        <f t="shared" si="4"/>
        <v>0.18056831922611849</v>
      </c>
      <c r="J16" s="2">
        <f t="shared" si="5"/>
        <v>0.14861475809315144</v>
      </c>
      <c r="K16">
        <f t="shared" si="6"/>
        <v>6</v>
      </c>
    </row>
    <row r="17" spans="2:11" x14ac:dyDescent="0.3">
      <c r="B17" s="1" t="s">
        <v>19</v>
      </c>
      <c r="C17" s="2">
        <f t="shared" si="7"/>
        <v>0.45666666666666667</v>
      </c>
      <c r="D17" s="2">
        <f t="shared" si="2"/>
        <v>0.16373563218390805</v>
      </c>
      <c r="E17" s="2">
        <f t="shared" si="2"/>
        <v>0</v>
      </c>
      <c r="F17" s="2">
        <f t="shared" si="2"/>
        <v>3.6000000000000004E-2</v>
      </c>
      <c r="G17" s="2">
        <f t="shared" si="2"/>
        <v>0</v>
      </c>
      <c r="H17" s="2">
        <f t="shared" si="3"/>
        <v>0.65640229885057477</v>
      </c>
      <c r="I17" s="2">
        <f t="shared" si="4"/>
        <v>0.45666666666666667</v>
      </c>
      <c r="J17" s="2">
        <f t="shared" si="5"/>
        <v>1</v>
      </c>
      <c r="K17">
        <f t="shared" si="6"/>
        <v>10</v>
      </c>
    </row>
    <row r="18" spans="2:11" x14ac:dyDescent="0.3">
      <c r="B18" s="1" t="s">
        <v>21</v>
      </c>
      <c r="C18" s="2">
        <f t="shared" si="7"/>
        <v>0</v>
      </c>
      <c r="D18" s="2">
        <f t="shared" si="2"/>
        <v>0.25666666666666665</v>
      </c>
      <c r="E18" s="2">
        <f t="shared" si="2"/>
        <v>0</v>
      </c>
      <c r="F18" s="2">
        <f t="shared" si="2"/>
        <v>9.0000000000000011E-2</v>
      </c>
      <c r="G18" s="2">
        <f t="shared" si="2"/>
        <v>0</v>
      </c>
      <c r="H18" s="2">
        <f t="shared" si="3"/>
        <v>0.34666666666666668</v>
      </c>
      <c r="I18" s="2">
        <f t="shared" si="4"/>
        <v>0.25666666666666665</v>
      </c>
      <c r="J18" s="2">
        <f t="shared" si="5"/>
        <v>0.13781021897810219</v>
      </c>
      <c r="K18">
        <f t="shared" si="6"/>
        <v>4</v>
      </c>
    </row>
    <row r="19" spans="2:11" x14ac:dyDescent="0.3">
      <c r="B19" s="1" t="s">
        <v>24</v>
      </c>
      <c r="C19" s="2">
        <f t="shared" si="7"/>
        <v>1.518540910923015E-2</v>
      </c>
      <c r="D19" s="2">
        <f t="shared" si="2"/>
        <v>0.22568965517241379</v>
      </c>
      <c r="E19" s="2">
        <f t="shared" si="2"/>
        <v>0</v>
      </c>
      <c r="F19" s="2">
        <f t="shared" si="2"/>
        <v>7.2000000000000008E-2</v>
      </c>
      <c r="G19" s="2">
        <f t="shared" si="2"/>
        <v>4.0000000000000008E-2</v>
      </c>
      <c r="H19" s="2">
        <f t="shared" si="3"/>
        <v>0.35287506428164395</v>
      </c>
      <c r="I19" s="2">
        <f t="shared" si="4"/>
        <v>0.22568965517241379</v>
      </c>
      <c r="J19" s="2">
        <f t="shared" si="5"/>
        <v>9.173452530288484E-2</v>
      </c>
      <c r="K19">
        <f t="shared" si="6"/>
        <v>1</v>
      </c>
    </row>
    <row r="20" spans="2:11" x14ac:dyDescent="0.3">
      <c r="B20" s="1" t="s">
        <v>28</v>
      </c>
      <c r="C20" s="2">
        <f t="shared" si="7"/>
        <v>2.8990326481257558E-2</v>
      </c>
      <c r="D20" s="2">
        <f t="shared" si="2"/>
        <v>0.23454022988505746</v>
      </c>
      <c r="E20" s="2">
        <f t="shared" si="2"/>
        <v>0</v>
      </c>
      <c r="F20" s="2">
        <f t="shared" si="2"/>
        <v>9.0000000000000011E-2</v>
      </c>
      <c r="G20" s="2">
        <f t="shared" si="2"/>
        <v>2.0000000000000004E-2</v>
      </c>
      <c r="H20" s="2">
        <f t="shared" si="3"/>
        <v>0.37353055636631505</v>
      </c>
      <c r="I20" s="2">
        <f t="shared" si="4"/>
        <v>0.23454022988505746</v>
      </c>
      <c r="J20" s="2">
        <f t="shared" si="5"/>
        <v>0.14110620922856718</v>
      </c>
      <c r="K20">
        <f t="shared" si="6"/>
        <v>5</v>
      </c>
    </row>
    <row r="21" spans="2:11" x14ac:dyDescent="0.3">
      <c r="B21" s="1" t="s">
        <v>30</v>
      </c>
      <c r="C21" s="2">
        <f t="shared" si="7"/>
        <v>2.8990326481257558E-2</v>
      </c>
      <c r="D21" s="2">
        <f t="shared" si="2"/>
        <v>0.2035632183908046</v>
      </c>
      <c r="E21" s="2">
        <f t="shared" si="2"/>
        <v>7.8333333333332977E-2</v>
      </c>
      <c r="F21" s="2">
        <f t="shared" si="2"/>
        <v>9.0000000000000011E-2</v>
      </c>
      <c r="G21" s="2">
        <f t="shared" si="2"/>
        <v>0</v>
      </c>
      <c r="H21" s="2">
        <f t="shared" si="3"/>
        <v>0.40088687820539515</v>
      </c>
      <c r="I21" s="2">
        <f t="shared" si="4"/>
        <v>0.2035632183908046</v>
      </c>
      <c r="J21" s="2">
        <f t="shared" si="5"/>
        <v>0.12916918418987605</v>
      </c>
      <c r="K21">
        <f t="shared" si="6"/>
        <v>3</v>
      </c>
    </row>
    <row r="22" spans="2:11" x14ac:dyDescent="0.3">
      <c r="B22" s="1" t="s">
        <v>33</v>
      </c>
      <c r="C22" s="2">
        <f t="shared" si="7"/>
        <v>0.12286376461104392</v>
      </c>
      <c r="D22" s="2">
        <f t="shared" si="2"/>
        <v>0.21241379310344827</v>
      </c>
      <c r="E22" s="2">
        <f t="shared" si="2"/>
        <v>0</v>
      </c>
      <c r="F22" s="2">
        <f t="shared" si="2"/>
        <v>9.0000000000000011E-2</v>
      </c>
      <c r="G22" s="2">
        <f t="shared" si="2"/>
        <v>4.0000000000000008E-2</v>
      </c>
      <c r="H22" s="2">
        <f t="shared" si="3"/>
        <v>0.4652775577144922</v>
      </c>
      <c r="I22" s="2">
        <f t="shared" si="4"/>
        <v>0.21241379310344827</v>
      </c>
      <c r="J22" s="2">
        <f t="shared" si="5"/>
        <v>0.2491417013423565</v>
      </c>
      <c r="K22">
        <f t="shared" si="6"/>
        <v>7</v>
      </c>
    </row>
    <row r="23" spans="2:11" x14ac:dyDescent="0.3">
      <c r="B23" s="1" t="s">
        <v>36</v>
      </c>
      <c r="C23" s="2">
        <f t="shared" si="7"/>
        <v>4.279524385328496E-2</v>
      </c>
      <c r="D23" s="2">
        <f t="shared" si="2"/>
        <v>0.22126436781609193</v>
      </c>
      <c r="E23" s="2">
        <f t="shared" si="2"/>
        <v>0.15666666666666665</v>
      </c>
      <c r="F23" s="2">
        <f t="shared" si="2"/>
        <v>9.0000000000000011E-2</v>
      </c>
      <c r="G23" s="2">
        <f t="shared" si="2"/>
        <v>2.0000000000000004E-2</v>
      </c>
      <c r="H23" s="2">
        <f t="shared" si="3"/>
        <v>0.53072627833604358</v>
      </c>
      <c r="I23" s="2">
        <f t="shared" si="4"/>
        <v>0.22126436781609193</v>
      </c>
      <c r="J23" s="2">
        <f t="shared" si="5"/>
        <v>0.37082219297777619</v>
      </c>
      <c r="K23">
        <f t="shared" si="6"/>
        <v>9</v>
      </c>
    </row>
    <row r="24" spans="2:11" x14ac:dyDescent="0.3">
      <c r="B24" s="1" t="s">
        <v>38</v>
      </c>
      <c r="C24" s="2">
        <f t="shared" si="7"/>
        <v>6.8196291817815405E-2</v>
      </c>
      <c r="D24" s="2">
        <f t="shared" si="2"/>
        <v>0.24339080459770113</v>
      </c>
      <c r="E24" s="2">
        <f t="shared" si="2"/>
        <v>7.8333333333332977E-2</v>
      </c>
      <c r="F24" s="2">
        <f t="shared" si="2"/>
        <v>7.2000000000000008E-2</v>
      </c>
      <c r="G24" s="2">
        <f t="shared" si="2"/>
        <v>0</v>
      </c>
      <c r="H24" s="2">
        <f t="shared" si="3"/>
        <v>0.4619204297488495</v>
      </c>
      <c r="I24" s="2">
        <f t="shared" si="4"/>
        <v>0.24339080459770113</v>
      </c>
      <c r="J24" s="2">
        <f t="shared" si="5"/>
        <v>0.29982014225274123</v>
      </c>
      <c r="K24">
        <f t="shared" si="6"/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Data &amp; Solution</vt:lpstr>
      <vt:lpstr>Extras</vt:lpstr>
      <vt:lpstr>Iranian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HAMAHANG</dc:creator>
  <cp:lastModifiedBy>Hamed Araab</cp:lastModifiedBy>
  <dcterms:created xsi:type="dcterms:W3CDTF">2023-05-25T21:26:50Z</dcterms:created>
  <dcterms:modified xsi:type="dcterms:W3CDTF">2023-10-21T11:01:08Z</dcterms:modified>
</cp:coreProperties>
</file>