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50" activeTab="7"/>
  </bookViews>
  <sheets>
    <sheet name="名称生成" sheetId="8" r:id="rId1"/>
    <sheet name="物料清单" sheetId="6" r:id="rId2"/>
    <sheet name="库存表" sheetId="1" r:id="rId3"/>
    <sheet name="采购MC" sheetId="5" r:id="rId4"/>
    <sheet name="到货" sheetId="9" r:id="rId5"/>
    <sheet name="IQC放行记录" sheetId="10" r:id="rId6"/>
    <sheet name="外购入库" sheetId="11" r:id="rId7"/>
    <sheet name="生产指令单" sheetId="4" r:id="rId8"/>
    <sheet name="乳化PC" sheetId="17" r:id="rId9"/>
    <sheet name="生产领料" sheetId="12" r:id="rId10"/>
    <sheet name="成品进仓" sheetId="13" r:id="rId11"/>
    <sheet name="OQC放行记录" sheetId="18" r:id="rId12"/>
    <sheet name="销售出库" sheetId="14" r:id="rId13"/>
    <sheet name="其他出库" sheetId="15" r:id="rId14"/>
    <sheet name="期初库存" sheetId="16" r:id="rId15"/>
  </sheets>
  <definedNames>
    <definedName name="_xlnm.Print_Titles" localSheetId="5">IQC放行记录!$1:$2</definedName>
    <definedName name="_xlnm.Print_Titles" localSheetId="11">OQC放行记录!$1:$2</definedName>
    <definedName name="_xlnm.Print_Titles" localSheetId="3">采购MC!$1:$2</definedName>
    <definedName name="_xlnm.Print_Titles" localSheetId="10">成品进仓!$1:$2</definedName>
    <definedName name="_xlnm.Print_Titles" localSheetId="4">到货!$1:$2</definedName>
    <definedName name="_xlnm.Print_Titles" localSheetId="2">库存表!$1:$2</definedName>
    <definedName name="_xlnm.Print_Titles" localSheetId="14">期初库存!$1:$2</definedName>
    <definedName name="_xlnm.Print_Titles" localSheetId="13">其他出库!$1:$2</definedName>
    <definedName name="_xlnm.Print_Titles" localSheetId="8">乳化PC!$1:$2</definedName>
    <definedName name="_xlnm.Print_Titles" localSheetId="9">生产领料!$1:$2</definedName>
    <definedName name="_xlnm.Print_Titles" localSheetId="7">生产指令单!$1:$2</definedName>
    <definedName name="_xlnm.Print_Titles" localSheetId="6">外购入库!$1:$2</definedName>
    <definedName name="_xlnm.Print_Titles" localSheetId="1">物料清单!$1:$2</definedName>
    <definedName name="_xlnm.Print_Titles" localSheetId="12">销售出库!$1:$2</definedName>
    <definedName name="包材种类">名称生成!$F$2:$AB$2</definedName>
  </definedNames>
  <calcPr calcId="145621"/>
</workbook>
</file>

<file path=xl/calcChain.xml><?xml version="1.0" encoding="utf-8"?>
<calcChain xmlns="http://schemas.openxmlformats.org/spreadsheetml/2006/main">
  <c r="N4" i="6" l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3" i="6"/>
  <c r="M3" i="1"/>
  <c r="L3" i="1"/>
  <c r="C7" i="17" l="1"/>
  <c r="C8" i="17"/>
  <c r="C9" i="17"/>
  <c r="L12" i="6"/>
  <c r="L13" i="6"/>
  <c r="L14" i="6"/>
  <c r="L15" i="6"/>
  <c r="L16" i="6"/>
  <c r="L17" i="6"/>
  <c r="L18" i="6"/>
  <c r="L19" i="6"/>
  <c r="O7" i="1" l="1"/>
  <c r="O8" i="1"/>
  <c r="O9" i="1"/>
  <c r="O10" i="1"/>
  <c r="O11" i="1"/>
  <c r="O12" i="1"/>
  <c r="O13" i="1"/>
  <c r="O15" i="1"/>
  <c r="O16" i="1"/>
  <c r="O21" i="1"/>
  <c r="O22" i="1"/>
  <c r="O23" i="1"/>
  <c r="O24" i="1"/>
  <c r="O25" i="1"/>
  <c r="O26" i="1"/>
  <c r="O27" i="1"/>
  <c r="O28" i="1"/>
  <c r="J12" i="6" l="1"/>
  <c r="J13" i="6"/>
  <c r="J14" i="6"/>
  <c r="J15" i="6"/>
  <c r="J16" i="6"/>
  <c r="J17" i="6"/>
  <c r="J18" i="6"/>
  <c r="J19" i="6"/>
  <c r="L4" i="13" l="1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H6" i="15"/>
  <c r="H7" i="15"/>
  <c r="H8" i="15"/>
  <c r="H9" i="15"/>
  <c r="H10" i="15"/>
  <c r="H11" i="15"/>
  <c r="H12" i="15"/>
  <c r="C4" i="15"/>
  <c r="C6" i="15"/>
  <c r="C7" i="15"/>
  <c r="C8" i="15"/>
  <c r="C9" i="15"/>
  <c r="C10" i="15"/>
  <c r="C11" i="15"/>
  <c r="C12" i="15"/>
  <c r="D6" i="15"/>
  <c r="D7" i="15"/>
  <c r="D8" i="15"/>
  <c r="D9" i="15"/>
  <c r="D10" i="15"/>
  <c r="D11" i="15"/>
  <c r="D12" i="15"/>
  <c r="H4" i="11" l="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I4" i="14" l="1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3" i="14"/>
  <c r="H4" i="14"/>
  <c r="C5" i="14"/>
  <c r="D5" i="14"/>
  <c r="E5" i="14"/>
  <c r="F5" i="14"/>
  <c r="G5" i="14"/>
  <c r="I5" i="14" s="1"/>
  <c r="C6" i="14"/>
  <c r="D6" i="14"/>
  <c r="E6" i="14"/>
  <c r="F6" i="14"/>
  <c r="G6" i="14"/>
  <c r="H6" i="14" s="1"/>
  <c r="C7" i="14"/>
  <c r="D7" i="14"/>
  <c r="E7" i="14"/>
  <c r="F7" i="14"/>
  <c r="G7" i="14"/>
  <c r="H7" i="14" s="1"/>
  <c r="C8" i="14"/>
  <c r="D8" i="14"/>
  <c r="E8" i="14"/>
  <c r="F8" i="14"/>
  <c r="G8" i="14"/>
  <c r="H8" i="14" s="1"/>
  <c r="C9" i="14"/>
  <c r="D9" i="14"/>
  <c r="E9" i="14"/>
  <c r="F9" i="14"/>
  <c r="G9" i="14"/>
  <c r="H9" i="14" s="1"/>
  <c r="C10" i="14"/>
  <c r="D10" i="14"/>
  <c r="E10" i="14"/>
  <c r="F10" i="14"/>
  <c r="G10" i="14"/>
  <c r="I10" i="14" s="1"/>
  <c r="C11" i="14"/>
  <c r="D11" i="14"/>
  <c r="E11" i="14"/>
  <c r="F11" i="14"/>
  <c r="G11" i="14"/>
  <c r="I11" i="14" s="1"/>
  <c r="C12" i="14"/>
  <c r="D12" i="14"/>
  <c r="E12" i="14"/>
  <c r="F12" i="14"/>
  <c r="G12" i="14"/>
  <c r="H12" i="14" s="1"/>
  <c r="C13" i="14"/>
  <c r="D13" i="14"/>
  <c r="E13" i="14"/>
  <c r="F13" i="14"/>
  <c r="G13" i="14"/>
  <c r="H13" i="14" s="1"/>
  <c r="C14" i="14"/>
  <c r="D14" i="14"/>
  <c r="E14" i="14"/>
  <c r="F14" i="14"/>
  <c r="G14" i="14"/>
  <c r="H14" i="14" s="1"/>
  <c r="C15" i="14"/>
  <c r="D15" i="14"/>
  <c r="E15" i="14"/>
  <c r="F15" i="14"/>
  <c r="G15" i="14"/>
  <c r="H15" i="14" s="1"/>
  <c r="C16" i="14"/>
  <c r="D16" i="14"/>
  <c r="E16" i="14"/>
  <c r="F16" i="14"/>
  <c r="G16" i="14"/>
  <c r="I16" i="14" s="1"/>
  <c r="C17" i="14"/>
  <c r="D17" i="14"/>
  <c r="E17" i="14"/>
  <c r="F17" i="14"/>
  <c r="G17" i="14"/>
  <c r="I17" i="14" s="1"/>
  <c r="C18" i="14"/>
  <c r="D18" i="14"/>
  <c r="E18" i="14"/>
  <c r="F18" i="14"/>
  <c r="G18" i="14"/>
  <c r="H18" i="14" s="1"/>
  <c r="C19" i="14"/>
  <c r="D19" i="14"/>
  <c r="E19" i="14"/>
  <c r="F19" i="14"/>
  <c r="G19" i="14"/>
  <c r="H19" i="14" s="1"/>
  <c r="G3" i="14"/>
  <c r="L3" i="13" s="1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3" i="13"/>
  <c r="T5" i="4" l="1"/>
  <c r="U5" i="4" s="1"/>
  <c r="T11" i="4"/>
  <c r="U11" i="4" s="1"/>
  <c r="T17" i="4"/>
  <c r="U17" i="4" s="1"/>
  <c r="T6" i="4"/>
  <c r="U6" i="4" s="1"/>
  <c r="T12" i="4"/>
  <c r="U12" i="4" s="1"/>
  <c r="T18" i="4"/>
  <c r="U18" i="4" s="1"/>
  <c r="T7" i="4"/>
  <c r="U7" i="4" s="1"/>
  <c r="T13" i="4"/>
  <c r="U13" i="4" s="1"/>
  <c r="T19" i="4"/>
  <c r="U19" i="4" s="1"/>
  <c r="T4" i="4"/>
  <c r="U4" i="4" s="1"/>
  <c r="T8" i="4"/>
  <c r="U8" i="4" s="1"/>
  <c r="T14" i="4"/>
  <c r="U14" i="4" s="1"/>
  <c r="T20" i="4"/>
  <c r="U20" i="4" s="1"/>
  <c r="T16" i="4"/>
  <c r="U16" i="4" s="1"/>
  <c r="T9" i="4"/>
  <c r="U9" i="4" s="1"/>
  <c r="T15" i="4"/>
  <c r="U15" i="4" s="1"/>
  <c r="T3" i="4"/>
  <c r="U3" i="4" s="1"/>
  <c r="T10" i="4"/>
  <c r="U10" i="4" s="1"/>
  <c r="H17" i="14"/>
  <c r="H11" i="14"/>
  <c r="H5" i="14"/>
  <c r="I15" i="14"/>
  <c r="I9" i="14"/>
  <c r="H16" i="14"/>
  <c r="H10" i="14"/>
  <c r="I3" i="14"/>
  <c r="I14" i="14"/>
  <c r="I8" i="14"/>
  <c r="I19" i="14"/>
  <c r="I13" i="14"/>
  <c r="I7" i="14"/>
  <c r="H3" i="14"/>
  <c r="I18" i="14"/>
  <c r="I12" i="14"/>
  <c r="I6" i="14"/>
  <c r="C4" i="6"/>
  <c r="C5" i="6"/>
  <c r="C6" i="6"/>
  <c r="C7" i="6"/>
  <c r="C9" i="6"/>
  <c r="C10" i="6"/>
  <c r="C11" i="6"/>
  <c r="C12" i="6"/>
  <c r="C13" i="6"/>
  <c r="C14" i="6"/>
  <c r="C15" i="6"/>
  <c r="C16" i="6"/>
  <c r="C17" i="6"/>
  <c r="C18" i="6"/>
  <c r="C19" i="6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3" i="4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B4" i="18"/>
  <c r="C4" i="18"/>
  <c r="D4" i="18"/>
  <c r="E4" i="18"/>
  <c r="B5" i="18"/>
  <c r="C5" i="18"/>
  <c r="D5" i="18"/>
  <c r="E5" i="18"/>
  <c r="B6" i="18"/>
  <c r="C6" i="18"/>
  <c r="D6" i="18"/>
  <c r="E6" i="18"/>
  <c r="B7" i="18"/>
  <c r="C7" i="18"/>
  <c r="D7" i="18"/>
  <c r="E7" i="18"/>
  <c r="B8" i="18"/>
  <c r="C8" i="18"/>
  <c r="D8" i="18"/>
  <c r="E8" i="18"/>
  <c r="B9" i="18"/>
  <c r="C9" i="18"/>
  <c r="D9" i="18"/>
  <c r="E9" i="18"/>
  <c r="B10" i="18"/>
  <c r="C10" i="18"/>
  <c r="D10" i="18"/>
  <c r="E10" i="18"/>
  <c r="B11" i="18"/>
  <c r="C11" i="18"/>
  <c r="D11" i="18"/>
  <c r="E11" i="18"/>
  <c r="B12" i="18"/>
  <c r="C12" i="18"/>
  <c r="D12" i="18"/>
  <c r="E12" i="18"/>
  <c r="B13" i="18"/>
  <c r="C13" i="18"/>
  <c r="D13" i="18"/>
  <c r="E13" i="18"/>
  <c r="B14" i="18"/>
  <c r="C14" i="18"/>
  <c r="D14" i="18"/>
  <c r="E14" i="18"/>
  <c r="B15" i="18"/>
  <c r="C15" i="18"/>
  <c r="D15" i="18"/>
  <c r="E15" i="18"/>
  <c r="B16" i="18"/>
  <c r="C16" i="18"/>
  <c r="D16" i="18"/>
  <c r="E16" i="18"/>
  <c r="B17" i="18"/>
  <c r="C17" i="18"/>
  <c r="D17" i="18"/>
  <c r="E17" i="18"/>
  <c r="B18" i="18"/>
  <c r="C18" i="18"/>
  <c r="D18" i="18"/>
  <c r="E18" i="18"/>
  <c r="B19" i="18"/>
  <c r="C19" i="18"/>
  <c r="D19" i="18"/>
  <c r="E19" i="18"/>
  <c r="H3" i="18"/>
  <c r="B3" i="18"/>
  <c r="O4" i="1" l="1"/>
  <c r="O19" i="1"/>
  <c r="O5" i="1"/>
  <c r="O20" i="1"/>
  <c r="O6" i="1"/>
  <c r="O3" i="1"/>
  <c r="O14" i="1"/>
  <c r="O17" i="1"/>
  <c r="O18" i="1"/>
  <c r="O6" i="4"/>
  <c r="P6" i="4"/>
  <c r="Q6" i="4"/>
  <c r="O7" i="4"/>
  <c r="P7" i="4"/>
  <c r="Q7" i="4"/>
  <c r="O8" i="4"/>
  <c r="P8" i="4"/>
  <c r="Q8" i="4"/>
  <c r="O9" i="4"/>
  <c r="P9" i="4"/>
  <c r="Q9" i="4"/>
  <c r="O10" i="4"/>
  <c r="P10" i="4"/>
  <c r="Q10" i="4"/>
  <c r="O11" i="4"/>
  <c r="P11" i="4"/>
  <c r="Q11" i="4"/>
  <c r="O12" i="4"/>
  <c r="P12" i="4"/>
  <c r="Q12" i="4"/>
  <c r="O13" i="4"/>
  <c r="P13" i="4"/>
  <c r="Q13" i="4"/>
  <c r="O14" i="4"/>
  <c r="P14" i="4"/>
  <c r="Q14" i="4"/>
  <c r="O15" i="4"/>
  <c r="P15" i="4"/>
  <c r="Q15" i="4"/>
  <c r="O16" i="4"/>
  <c r="P16" i="4"/>
  <c r="Q16" i="4"/>
  <c r="O17" i="4"/>
  <c r="P17" i="4"/>
  <c r="Q17" i="4"/>
  <c r="O18" i="4"/>
  <c r="P18" i="4"/>
  <c r="Q18" i="4"/>
  <c r="O19" i="4"/>
  <c r="P19" i="4"/>
  <c r="Q19" i="4"/>
  <c r="O20" i="4"/>
  <c r="P20" i="4"/>
  <c r="Q20" i="4"/>
  <c r="N4" i="12"/>
  <c r="N5" i="12"/>
  <c r="N6" i="12"/>
  <c r="N11" i="12"/>
  <c r="N12" i="12"/>
  <c r="N13" i="12"/>
  <c r="N14" i="12"/>
  <c r="N15" i="12"/>
  <c r="N16" i="12"/>
  <c r="N17" i="12"/>
  <c r="N18" i="12"/>
  <c r="N19" i="12"/>
  <c r="N20" i="12"/>
  <c r="N3" i="12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3" i="17"/>
  <c r="C4" i="13"/>
  <c r="D4" i="13"/>
  <c r="E4" i="13"/>
  <c r="F4" i="13"/>
  <c r="C5" i="13"/>
  <c r="D5" i="13"/>
  <c r="E5" i="13"/>
  <c r="F5" i="13"/>
  <c r="C6" i="13"/>
  <c r="D6" i="13"/>
  <c r="E6" i="13"/>
  <c r="F6" i="13"/>
  <c r="C7" i="13"/>
  <c r="D7" i="13"/>
  <c r="E7" i="13"/>
  <c r="F7" i="13"/>
  <c r="C8" i="13"/>
  <c r="D8" i="13"/>
  <c r="E8" i="13"/>
  <c r="F8" i="13"/>
  <c r="C9" i="13"/>
  <c r="D9" i="13"/>
  <c r="E9" i="13"/>
  <c r="F9" i="13"/>
  <c r="C10" i="13"/>
  <c r="D10" i="13"/>
  <c r="E10" i="13"/>
  <c r="F10" i="13"/>
  <c r="C11" i="13"/>
  <c r="D11" i="13"/>
  <c r="E11" i="13"/>
  <c r="F11" i="13"/>
  <c r="C12" i="13"/>
  <c r="D12" i="13"/>
  <c r="E12" i="13"/>
  <c r="F12" i="13"/>
  <c r="C13" i="13"/>
  <c r="D13" i="13"/>
  <c r="E13" i="13"/>
  <c r="F13" i="13"/>
  <c r="C14" i="13"/>
  <c r="D14" i="13"/>
  <c r="E14" i="13"/>
  <c r="F14" i="13"/>
  <c r="C15" i="13"/>
  <c r="D15" i="13"/>
  <c r="E15" i="13"/>
  <c r="F15" i="13"/>
  <c r="C16" i="13"/>
  <c r="D16" i="13"/>
  <c r="E16" i="13"/>
  <c r="F16" i="13"/>
  <c r="C17" i="13"/>
  <c r="D17" i="13"/>
  <c r="E17" i="13"/>
  <c r="F17" i="13"/>
  <c r="C18" i="13"/>
  <c r="D18" i="13"/>
  <c r="E18" i="13"/>
  <c r="F18" i="13"/>
  <c r="C19" i="13"/>
  <c r="D19" i="13"/>
  <c r="E19" i="13"/>
  <c r="F19" i="13"/>
  <c r="E3" i="13"/>
  <c r="F3" i="13"/>
  <c r="D3" i="13"/>
  <c r="C3" i="13"/>
  <c r="C4" i="17"/>
  <c r="D4" i="17"/>
  <c r="C5" i="17"/>
  <c r="D5" i="17"/>
  <c r="C6" i="17"/>
  <c r="D6" i="17"/>
  <c r="D7" i="17"/>
  <c r="D8" i="17"/>
  <c r="D9" i="17"/>
  <c r="C10" i="17"/>
  <c r="D10" i="17"/>
  <c r="C11" i="17"/>
  <c r="D11" i="17"/>
  <c r="C12" i="17"/>
  <c r="D12" i="17"/>
  <c r="C13" i="17"/>
  <c r="D13" i="17"/>
  <c r="C14" i="17"/>
  <c r="D14" i="17"/>
  <c r="C15" i="17"/>
  <c r="D15" i="17"/>
  <c r="C16" i="17"/>
  <c r="D16" i="17"/>
  <c r="C17" i="17"/>
  <c r="D17" i="17"/>
  <c r="C18" i="17"/>
  <c r="D18" i="17"/>
  <c r="C19" i="17"/>
  <c r="D19" i="17"/>
  <c r="C3" i="17"/>
  <c r="H4" i="15" s="1"/>
  <c r="F7" i="6"/>
  <c r="E7" i="6"/>
  <c r="C13" i="11"/>
  <c r="D13" i="11"/>
  <c r="E13" i="11"/>
  <c r="F13" i="11" s="1"/>
  <c r="I13" i="11"/>
  <c r="J13" i="11"/>
  <c r="K13" i="11"/>
  <c r="C14" i="11"/>
  <c r="D14" i="11"/>
  <c r="E14" i="11"/>
  <c r="F14" i="11" s="1"/>
  <c r="I14" i="11"/>
  <c r="J14" i="11"/>
  <c r="K14" i="11"/>
  <c r="C15" i="11"/>
  <c r="D15" i="11"/>
  <c r="E15" i="11"/>
  <c r="F15" i="11" s="1"/>
  <c r="I15" i="11"/>
  <c r="J15" i="11"/>
  <c r="K15" i="11"/>
  <c r="C16" i="11"/>
  <c r="D16" i="11"/>
  <c r="E16" i="11"/>
  <c r="F16" i="11" s="1"/>
  <c r="I16" i="11"/>
  <c r="J16" i="11"/>
  <c r="K16" i="11"/>
  <c r="C17" i="11"/>
  <c r="D17" i="11"/>
  <c r="E17" i="11"/>
  <c r="F17" i="11" s="1"/>
  <c r="I17" i="11"/>
  <c r="J17" i="11"/>
  <c r="K17" i="11"/>
  <c r="C18" i="11"/>
  <c r="D18" i="11"/>
  <c r="E18" i="11"/>
  <c r="F18" i="11" s="1"/>
  <c r="I18" i="11"/>
  <c r="J18" i="11"/>
  <c r="K18" i="11"/>
  <c r="C19" i="11"/>
  <c r="D19" i="11"/>
  <c r="E19" i="11"/>
  <c r="F19" i="11" s="1"/>
  <c r="I19" i="11"/>
  <c r="J19" i="11"/>
  <c r="K19" i="11"/>
  <c r="C20" i="11"/>
  <c r="D20" i="11"/>
  <c r="E20" i="11"/>
  <c r="F20" i="11" s="1"/>
  <c r="I20" i="11"/>
  <c r="J20" i="11"/>
  <c r="K20" i="11"/>
  <c r="C21" i="11"/>
  <c r="D21" i="11"/>
  <c r="E21" i="11"/>
  <c r="F21" i="11" s="1"/>
  <c r="I21" i="11"/>
  <c r="J21" i="11"/>
  <c r="K21" i="11"/>
  <c r="H5" i="15" l="1"/>
  <c r="C3" i="14"/>
  <c r="C4" i="14"/>
  <c r="C3" i="18"/>
  <c r="C5" i="15"/>
  <c r="D3" i="14"/>
  <c r="D4" i="14"/>
  <c r="E3" i="18"/>
  <c r="F3" i="14"/>
  <c r="F4" i="14"/>
  <c r="D3" i="18"/>
  <c r="D5" i="15"/>
  <c r="E3" i="14"/>
  <c r="E4" i="14"/>
  <c r="C8" i="6"/>
  <c r="C3" i="6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3" i="17"/>
  <c r="G12" i="6"/>
  <c r="G13" i="6"/>
  <c r="G14" i="6"/>
  <c r="G15" i="6"/>
  <c r="G16" i="6"/>
  <c r="G17" i="6"/>
  <c r="G18" i="6"/>
  <c r="G19" i="6"/>
  <c r="G8" i="6" l="1"/>
  <c r="B4" i="16"/>
  <c r="C4" i="16"/>
  <c r="B5" i="16"/>
  <c r="C5" i="16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51" i="16"/>
  <c r="C51" i="16"/>
  <c r="B52" i="16"/>
  <c r="C52" i="16"/>
  <c r="B53" i="16"/>
  <c r="C53" i="16"/>
  <c r="B54" i="16"/>
  <c r="C54" i="16"/>
  <c r="B55" i="16"/>
  <c r="C55" i="16"/>
  <c r="B56" i="16"/>
  <c r="C56" i="16"/>
  <c r="B57" i="16"/>
  <c r="C57" i="16"/>
  <c r="B58" i="16"/>
  <c r="C58" i="16"/>
  <c r="B59" i="16"/>
  <c r="C59" i="16"/>
  <c r="B60" i="16"/>
  <c r="C60" i="16"/>
  <c r="B61" i="16"/>
  <c r="C61" i="16"/>
  <c r="B62" i="16"/>
  <c r="C62" i="16"/>
  <c r="B63" i="16"/>
  <c r="C63" i="16"/>
  <c r="K12" i="6"/>
  <c r="K13" i="6"/>
  <c r="K14" i="6"/>
  <c r="K15" i="6"/>
  <c r="K16" i="6"/>
  <c r="K17" i="6"/>
  <c r="K18" i="6"/>
  <c r="K19" i="6"/>
  <c r="G11" i="6" l="1"/>
  <c r="G9" i="6"/>
  <c r="G10" i="6"/>
  <c r="C3" i="16"/>
  <c r="B3" i="16"/>
  <c r="L21" i="1"/>
  <c r="L22" i="1"/>
  <c r="L23" i="1"/>
  <c r="L24" i="1"/>
  <c r="L25" i="1"/>
  <c r="L26" i="1"/>
  <c r="L27" i="1"/>
  <c r="L28" i="1"/>
  <c r="L7" i="1"/>
  <c r="L8" i="1"/>
  <c r="L11" i="1"/>
  <c r="L12" i="1"/>
  <c r="L13" i="1"/>
  <c r="L14" i="1"/>
  <c r="L15" i="1"/>
  <c r="L16" i="1"/>
  <c r="L17" i="1"/>
  <c r="L18" i="1"/>
  <c r="L19" i="1"/>
  <c r="L20" i="1"/>
  <c r="G7" i="6" l="1"/>
  <c r="G6" i="6"/>
  <c r="G3" i="6"/>
  <c r="G4" i="6"/>
  <c r="G5" i="6"/>
  <c r="D21" i="1"/>
  <c r="D22" i="1"/>
  <c r="D23" i="1"/>
  <c r="D24" i="1"/>
  <c r="D25" i="1"/>
  <c r="D26" i="1"/>
  <c r="D27" i="1"/>
  <c r="D2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3" i="4"/>
  <c r="D3" i="17" s="1"/>
  <c r="D4" i="15" s="1"/>
  <c r="M8" i="5" l="1"/>
  <c r="N8" i="5" s="1"/>
  <c r="M9" i="5"/>
  <c r="N9" i="5" s="1"/>
  <c r="M10" i="5"/>
  <c r="N10" i="5" s="1"/>
  <c r="M11" i="5"/>
  <c r="N11" i="5" s="1"/>
  <c r="M12" i="5"/>
  <c r="N12" i="5" s="1"/>
  <c r="M13" i="5"/>
  <c r="N13" i="5" s="1"/>
  <c r="M14" i="5"/>
  <c r="N14" i="5" s="1"/>
  <c r="M15" i="5"/>
  <c r="N15" i="5" s="1"/>
  <c r="M16" i="5"/>
  <c r="N16" i="5" s="1"/>
  <c r="M17" i="5"/>
  <c r="N17" i="5" s="1"/>
  <c r="M18" i="5"/>
  <c r="N18" i="5" s="1"/>
  <c r="E4" i="11"/>
  <c r="F4" i="11" s="1"/>
  <c r="E5" i="11"/>
  <c r="F5" i="11" s="1"/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3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3" i="5"/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3" i="5"/>
  <c r="E4" i="6" l="1"/>
  <c r="E5" i="6"/>
  <c r="E6" i="6"/>
  <c r="E8" i="6"/>
  <c r="E9" i="6"/>
  <c r="E10" i="6"/>
  <c r="E11" i="6"/>
  <c r="E12" i="6"/>
  <c r="E13" i="6"/>
  <c r="E14" i="6"/>
  <c r="E15" i="6"/>
  <c r="E16" i="6"/>
  <c r="E17" i="6"/>
  <c r="E18" i="6"/>
  <c r="E19" i="6"/>
  <c r="E3" i="6"/>
  <c r="F6" i="6"/>
  <c r="F8" i="6"/>
  <c r="F9" i="6"/>
  <c r="F10" i="6"/>
  <c r="F11" i="6"/>
  <c r="F12" i="6"/>
  <c r="F13" i="6"/>
  <c r="F14" i="6"/>
  <c r="F15" i="6"/>
  <c r="F16" i="6"/>
  <c r="F17" i="6"/>
  <c r="F18" i="6"/>
  <c r="F19" i="6"/>
  <c r="F4" i="6"/>
  <c r="F5" i="6"/>
  <c r="F3" i="6"/>
  <c r="J5" i="9"/>
  <c r="J7" i="9"/>
  <c r="J8" i="9"/>
  <c r="K8" i="9" s="1"/>
  <c r="J9" i="9"/>
  <c r="K9" i="9" s="1"/>
  <c r="J10" i="9"/>
  <c r="K10" i="9" s="1"/>
  <c r="J11" i="9"/>
  <c r="K11" i="9" s="1"/>
  <c r="J12" i="9"/>
  <c r="K12" i="9" s="1"/>
  <c r="J13" i="9"/>
  <c r="K13" i="9" s="1"/>
  <c r="J14" i="9"/>
  <c r="K14" i="9" s="1"/>
  <c r="J15" i="9"/>
  <c r="K15" i="9" s="1"/>
  <c r="J16" i="9"/>
  <c r="K16" i="9" s="1"/>
  <c r="J17" i="9"/>
  <c r="K17" i="9" s="1"/>
  <c r="J18" i="9"/>
  <c r="K18" i="9" s="1"/>
  <c r="H3" i="11"/>
  <c r="K4" i="11"/>
  <c r="K5" i="11"/>
  <c r="I6" i="11"/>
  <c r="J6" i="11"/>
  <c r="N10" i="12" s="1"/>
  <c r="K6" i="11"/>
  <c r="I7" i="11"/>
  <c r="J7" i="11"/>
  <c r="K7" i="11"/>
  <c r="I8" i="11"/>
  <c r="J8" i="11"/>
  <c r="K8" i="11"/>
  <c r="I9" i="11"/>
  <c r="J9" i="11"/>
  <c r="K9" i="11"/>
  <c r="I10" i="11"/>
  <c r="J10" i="11"/>
  <c r="K10" i="11"/>
  <c r="I11" i="11"/>
  <c r="J11" i="11"/>
  <c r="K11" i="11"/>
  <c r="I12" i="11"/>
  <c r="J12" i="11"/>
  <c r="K12" i="11"/>
  <c r="K3" i="11"/>
  <c r="J4" i="9"/>
  <c r="D6" i="11"/>
  <c r="E6" i="11"/>
  <c r="F6" i="11" s="1"/>
  <c r="D7" i="11"/>
  <c r="E7" i="11"/>
  <c r="F7" i="11" s="1"/>
  <c r="D8" i="11"/>
  <c r="E8" i="11"/>
  <c r="F8" i="11" s="1"/>
  <c r="D9" i="11"/>
  <c r="E9" i="11"/>
  <c r="F9" i="11" s="1"/>
  <c r="D10" i="11"/>
  <c r="E10" i="11"/>
  <c r="F10" i="11" s="1"/>
  <c r="D11" i="11"/>
  <c r="E11" i="11"/>
  <c r="F11" i="11" s="1"/>
  <c r="D12" i="11"/>
  <c r="E12" i="11"/>
  <c r="F12" i="11" s="1"/>
  <c r="E3" i="11"/>
  <c r="F3" i="11" s="1"/>
  <c r="C6" i="11"/>
  <c r="C7" i="11"/>
  <c r="C8" i="11"/>
  <c r="C9" i="11"/>
  <c r="C10" i="11"/>
  <c r="C11" i="11"/>
  <c r="C12" i="11"/>
  <c r="J6" i="9" l="1"/>
  <c r="K6" i="9" s="1"/>
  <c r="K7" i="9"/>
  <c r="M7" i="5"/>
  <c r="N7" i="5" s="1"/>
  <c r="L10" i="1" s="1"/>
  <c r="K4" i="9"/>
  <c r="M4" i="5"/>
  <c r="N4" i="5" s="1"/>
  <c r="L4" i="1" s="1"/>
  <c r="K5" i="9"/>
  <c r="M5" i="5"/>
  <c r="N5" i="5" s="1"/>
  <c r="J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3" i="9"/>
  <c r="B4" i="10"/>
  <c r="E4" i="10"/>
  <c r="F4" i="10"/>
  <c r="G4" i="10"/>
  <c r="B5" i="10"/>
  <c r="E5" i="10"/>
  <c r="F5" i="10"/>
  <c r="G5" i="10"/>
  <c r="B6" i="10"/>
  <c r="E6" i="10"/>
  <c r="F6" i="10"/>
  <c r="G6" i="10"/>
  <c r="B7" i="10"/>
  <c r="E7" i="10"/>
  <c r="F7" i="10"/>
  <c r="G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B15" i="10"/>
  <c r="C15" i="10"/>
  <c r="D15" i="10"/>
  <c r="E15" i="10"/>
  <c r="F15" i="10"/>
  <c r="G15" i="10"/>
  <c r="H15" i="10"/>
  <c r="B16" i="10"/>
  <c r="C16" i="10"/>
  <c r="D16" i="10"/>
  <c r="E16" i="10"/>
  <c r="F16" i="10"/>
  <c r="G16" i="10"/>
  <c r="H16" i="10"/>
  <c r="B17" i="10"/>
  <c r="C17" i="10"/>
  <c r="D17" i="10"/>
  <c r="E17" i="10"/>
  <c r="F17" i="10"/>
  <c r="G17" i="10"/>
  <c r="H17" i="10"/>
  <c r="B18" i="10"/>
  <c r="C18" i="10"/>
  <c r="D18" i="10"/>
  <c r="E18" i="10"/>
  <c r="F18" i="10"/>
  <c r="G18" i="10"/>
  <c r="H18" i="10"/>
  <c r="B19" i="10"/>
  <c r="C19" i="10"/>
  <c r="D19" i="10"/>
  <c r="E19" i="10"/>
  <c r="F19" i="10"/>
  <c r="G19" i="10"/>
  <c r="H19" i="10"/>
  <c r="G3" i="10"/>
  <c r="F3" i="10"/>
  <c r="E3" i="10"/>
  <c r="B3" i="10"/>
  <c r="E4" i="9"/>
  <c r="E3" i="9"/>
  <c r="M6" i="5" l="1"/>
  <c r="N6" i="5" s="1"/>
  <c r="L9" i="1" s="1"/>
  <c r="L5" i="1"/>
  <c r="K3" i="9"/>
  <c r="M3" i="5"/>
  <c r="N3" i="5" s="1"/>
  <c r="H4" i="9"/>
  <c r="H5" i="9"/>
  <c r="H6" i="9"/>
  <c r="H6" i="10" s="1"/>
  <c r="H7" i="9"/>
  <c r="H7" i="10" s="1"/>
  <c r="H8" i="9"/>
  <c r="H9" i="9"/>
  <c r="H10" i="9"/>
  <c r="H11" i="9"/>
  <c r="H12" i="9"/>
  <c r="H13" i="9"/>
  <c r="H14" i="9"/>
  <c r="H15" i="9"/>
  <c r="H16" i="9"/>
  <c r="H17" i="9"/>
  <c r="H18" i="9"/>
  <c r="H3" i="9"/>
  <c r="C5" i="9"/>
  <c r="C6" i="9"/>
  <c r="C6" i="10" s="1"/>
  <c r="C7" i="9"/>
  <c r="C7" i="10" s="1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M5" i="9"/>
  <c r="I5" i="11" s="1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4" i="9"/>
  <c r="M3" i="9"/>
  <c r="H3" i="15" s="1"/>
  <c r="M7" i="1" l="1"/>
  <c r="M20" i="1"/>
  <c r="M28" i="1"/>
  <c r="M8" i="1"/>
  <c r="M15" i="1"/>
  <c r="M21" i="1"/>
  <c r="M9" i="1"/>
  <c r="M16" i="1"/>
  <c r="M11" i="1"/>
  <c r="M17" i="1"/>
  <c r="M23" i="1"/>
  <c r="M24" i="1"/>
  <c r="M22" i="1"/>
  <c r="M12" i="1"/>
  <c r="M18" i="1"/>
  <c r="M26" i="1"/>
  <c r="M13" i="1"/>
  <c r="M19" i="1"/>
  <c r="M25" i="1"/>
  <c r="M14" i="1"/>
  <c r="M27" i="1"/>
  <c r="H5" i="10"/>
  <c r="J5" i="11"/>
  <c r="N9" i="12" s="1"/>
  <c r="M6" i="1"/>
  <c r="M10" i="1"/>
  <c r="M4" i="1"/>
  <c r="C5" i="10"/>
  <c r="C5" i="11"/>
  <c r="M5" i="1"/>
  <c r="L6" i="1"/>
  <c r="J4" i="11"/>
  <c r="N8" i="12" s="1"/>
  <c r="H4" i="10"/>
  <c r="J3" i="11"/>
  <c r="N7" i="12" s="1"/>
  <c r="H3" i="10"/>
  <c r="I3" i="11"/>
  <c r="I4" i="11"/>
  <c r="C4" i="9"/>
  <c r="D4" i="5"/>
  <c r="D4" i="9" s="1"/>
  <c r="D5" i="5"/>
  <c r="D5" i="9" s="1"/>
  <c r="D6" i="5"/>
  <c r="D6" i="9" s="1"/>
  <c r="D6" i="10" s="1"/>
  <c r="D7" i="5"/>
  <c r="D7" i="9" s="1"/>
  <c r="D7" i="10" s="1"/>
  <c r="D8" i="5"/>
  <c r="D9" i="5"/>
  <c r="D10" i="5"/>
  <c r="D11" i="5"/>
  <c r="D12" i="5"/>
  <c r="D13" i="5"/>
  <c r="D14" i="5"/>
  <c r="D15" i="5"/>
  <c r="D16" i="5"/>
  <c r="D17" i="5"/>
  <c r="D18" i="5"/>
  <c r="C3" i="9"/>
  <c r="C3" i="15" s="1"/>
  <c r="D5" i="10" l="1"/>
  <c r="D5" i="11"/>
  <c r="F4" i="1"/>
  <c r="F17" i="1"/>
  <c r="F20" i="1"/>
  <c r="F6" i="1"/>
  <c r="F14" i="1"/>
  <c r="F22" i="1"/>
  <c r="F11" i="1"/>
  <c r="F24" i="1"/>
  <c r="F19" i="1"/>
  <c r="F9" i="1"/>
  <c r="F18" i="1"/>
  <c r="F27" i="1"/>
  <c r="F3" i="1"/>
  <c r="F5" i="1"/>
  <c r="F25" i="1"/>
  <c r="F8" i="1"/>
  <c r="F16" i="1"/>
  <c r="F13" i="1"/>
  <c r="F12" i="1"/>
  <c r="F23" i="1"/>
  <c r="F21" i="1"/>
  <c r="F26" i="1"/>
  <c r="F10" i="1"/>
  <c r="F7" i="1"/>
  <c r="G7" i="1" s="1"/>
  <c r="N7" i="1" s="1"/>
  <c r="F28" i="1"/>
  <c r="F15" i="1"/>
  <c r="E3" i="1"/>
  <c r="E12" i="1"/>
  <c r="E8" i="1"/>
  <c r="E15" i="1"/>
  <c r="E5" i="1"/>
  <c r="E18" i="1"/>
  <c r="G18" i="1" s="1"/>
  <c r="N18" i="1" s="1"/>
  <c r="L9" i="6" s="1"/>
  <c r="E14" i="1"/>
  <c r="E21" i="1"/>
  <c r="E4" i="1"/>
  <c r="E11" i="1"/>
  <c r="E24" i="1"/>
  <c r="E20" i="1"/>
  <c r="E27" i="1"/>
  <c r="E10" i="1"/>
  <c r="G10" i="1" s="1"/>
  <c r="N10" i="1" s="1"/>
  <c r="E17" i="1"/>
  <c r="E19" i="1"/>
  <c r="E26" i="1"/>
  <c r="E28" i="1"/>
  <c r="E16" i="1"/>
  <c r="E23" i="1"/>
  <c r="E7" i="1"/>
  <c r="E25" i="1"/>
  <c r="E22" i="1"/>
  <c r="G22" i="1" s="1"/>
  <c r="N22" i="1" s="1"/>
  <c r="E6" i="1"/>
  <c r="E13" i="1"/>
  <c r="E9" i="1"/>
  <c r="G9" i="1" s="1"/>
  <c r="N9" i="1" s="1"/>
  <c r="D3" i="9"/>
  <c r="D3" i="15" s="1"/>
  <c r="C3" i="11"/>
  <c r="C3" i="10"/>
  <c r="D4" i="11"/>
  <c r="D4" i="10"/>
  <c r="C4" i="11"/>
  <c r="C4" i="10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6" i="8"/>
  <c r="P10" i="1" l="1"/>
  <c r="P18" i="1"/>
  <c r="J9" i="6"/>
  <c r="K9" i="6" s="1"/>
  <c r="P22" i="1"/>
  <c r="P9" i="1"/>
  <c r="P7" i="1"/>
  <c r="G4" i="1"/>
  <c r="N4" i="1" s="1"/>
  <c r="L4" i="6" s="1"/>
  <c r="G12" i="1"/>
  <c r="N12" i="1" s="1"/>
  <c r="G13" i="1"/>
  <c r="N13" i="1" s="1"/>
  <c r="G16" i="1"/>
  <c r="N16" i="1" s="1"/>
  <c r="G14" i="1"/>
  <c r="G3" i="1"/>
  <c r="N3" i="1" s="1"/>
  <c r="L3" i="6" s="1"/>
  <c r="G11" i="1"/>
  <c r="N11" i="1" s="1"/>
  <c r="G8" i="1"/>
  <c r="N8" i="1" s="1"/>
  <c r="G19" i="1"/>
  <c r="N19" i="1" s="1"/>
  <c r="L10" i="6" s="1"/>
  <c r="G17" i="1"/>
  <c r="N17" i="1" s="1"/>
  <c r="L8" i="6" s="1"/>
  <c r="G20" i="1"/>
  <c r="N20" i="1" s="1"/>
  <c r="L11" i="6" s="1"/>
  <c r="G24" i="1"/>
  <c r="N24" i="1" s="1"/>
  <c r="G6" i="1"/>
  <c r="N6" i="1" s="1"/>
  <c r="L6" i="6" s="1"/>
  <c r="G28" i="1"/>
  <c r="N28" i="1" s="1"/>
  <c r="G5" i="1"/>
  <c r="N5" i="1" s="1"/>
  <c r="L5" i="6" s="1"/>
  <c r="G27" i="1"/>
  <c r="N27" i="1" s="1"/>
  <c r="G23" i="1"/>
  <c r="N23" i="1" s="1"/>
  <c r="G26" i="1"/>
  <c r="N26" i="1" s="1"/>
  <c r="G25" i="1"/>
  <c r="N25" i="1" s="1"/>
  <c r="G21" i="1"/>
  <c r="N21" i="1" s="1"/>
  <c r="G15" i="1"/>
  <c r="N15" i="1" s="1"/>
  <c r="D3" i="11"/>
  <c r="D3" i="10"/>
  <c r="P3" i="4" l="1"/>
  <c r="N14" i="1"/>
  <c r="L7" i="6" s="1"/>
  <c r="P5" i="4"/>
  <c r="P4" i="4"/>
  <c r="P26" i="1"/>
  <c r="P3" i="1"/>
  <c r="J3" i="6"/>
  <c r="K3" i="6" s="1"/>
  <c r="P20" i="1"/>
  <c r="J11" i="6"/>
  <c r="K11" i="6" s="1"/>
  <c r="P17" i="1"/>
  <c r="J8" i="6"/>
  <c r="K8" i="6" s="1"/>
  <c r="P16" i="1"/>
  <c r="P24" i="1"/>
  <c r="P23" i="1"/>
  <c r="P5" i="1"/>
  <c r="J5" i="6"/>
  <c r="K5" i="6" s="1"/>
  <c r="P15" i="1"/>
  <c r="P28" i="1"/>
  <c r="P12" i="1"/>
  <c r="P14" i="1"/>
  <c r="J7" i="6"/>
  <c r="K7" i="6" s="1"/>
  <c r="P27" i="1"/>
  <c r="P19" i="1"/>
  <c r="J10" i="6"/>
  <c r="K10" i="6" s="1"/>
  <c r="P13" i="1"/>
  <c r="P21" i="1"/>
  <c r="P8" i="1"/>
  <c r="P25" i="1"/>
  <c r="P6" i="1"/>
  <c r="J6" i="6"/>
  <c r="K6" i="6" s="1"/>
  <c r="P11" i="1"/>
  <c r="P4" i="1"/>
  <c r="J4" i="6"/>
  <c r="K4" i="6" s="1"/>
  <c r="O3" i="4" l="1"/>
  <c r="O5" i="4"/>
  <c r="O4" i="4"/>
  <c r="Q3" i="4"/>
  <c r="Q5" i="4"/>
  <c r="Q4" i="4"/>
</calcChain>
</file>

<file path=xl/comments1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注意:</t>
        </r>
        <r>
          <rPr>
            <sz val="9"/>
            <color indexed="81"/>
            <rFont val="宋体"/>
            <family val="3"/>
            <charset val="134"/>
          </rPr>
          <t xml:space="preserve">
未考虑自产乳化料体的检验放行，需自行跟进结果</t>
        </r>
      </text>
    </comment>
  </commentList>
</comments>
</file>

<file path=xl/sharedStrings.xml><?xml version="1.0" encoding="utf-8"?>
<sst xmlns="http://schemas.openxmlformats.org/spreadsheetml/2006/main" count="548" uniqueCount="309">
  <si>
    <t>物料编码</t>
    <phoneticPr fontId="1" type="noConversion"/>
  </si>
  <si>
    <t>物料名称及规格</t>
    <phoneticPr fontId="1" type="noConversion"/>
  </si>
  <si>
    <t>所属品牌</t>
    <phoneticPr fontId="1" type="noConversion"/>
  </si>
  <si>
    <t>期初库存</t>
    <phoneticPr fontId="1" type="noConversion"/>
  </si>
  <si>
    <t>本期收入</t>
    <phoneticPr fontId="1" type="noConversion"/>
  </si>
  <si>
    <t>本期发出</t>
    <phoneticPr fontId="1" type="noConversion"/>
  </si>
  <si>
    <t>期末结存</t>
    <phoneticPr fontId="1" type="noConversion"/>
  </si>
  <si>
    <t>说明</t>
    <phoneticPr fontId="1" type="noConversion"/>
  </si>
  <si>
    <t>组别</t>
    <phoneticPr fontId="1" type="noConversion"/>
  </si>
  <si>
    <t>备注</t>
    <phoneticPr fontId="1" type="noConversion"/>
  </si>
  <si>
    <t>采购在途</t>
    <phoneticPr fontId="1" type="noConversion"/>
  </si>
  <si>
    <t>到货待检</t>
    <phoneticPr fontId="1" type="noConversion"/>
  </si>
  <si>
    <t>订单占用</t>
    <phoneticPr fontId="1" type="noConversion"/>
  </si>
  <si>
    <t>订单编码</t>
    <phoneticPr fontId="1" type="noConversion"/>
  </si>
  <si>
    <t>品牌名称</t>
    <phoneticPr fontId="1" type="noConversion"/>
  </si>
  <si>
    <t>产品规格</t>
    <phoneticPr fontId="1" type="noConversion"/>
  </si>
  <si>
    <t>产品名称</t>
    <phoneticPr fontId="1" type="noConversion"/>
  </si>
  <si>
    <t>订单数量</t>
    <phoneticPr fontId="1" type="noConversion"/>
  </si>
  <si>
    <t>订单说明</t>
    <phoneticPr fontId="1" type="noConversion"/>
  </si>
  <si>
    <t>订单状态</t>
    <phoneticPr fontId="1" type="noConversion"/>
  </si>
  <si>
    <t>下单日期</t>
    <phoneticPr fontId="1" type="noConversion"/>
  </si>
  <si>
    <t>业务代表</t>
    <phoneticPr fontId="1" type="noConversion"/>
  </si>
  <si>
    <t>客户名称</t>
    <phoneticPr fontId="1" type="noConversion"/>
  </si>
  <si>
    <t>实灌量g</t>
    <phoneticPr fontId="1" type="noConversion"/>
  </si>
  <si>
    <t>物料清单号</t>
    <phoneticPr fontId="1" type="noConversion"/>
  </si>
  <si>
    <t>B0001</t>
    <phoneticPr fontId="1" type="noConversion"/>
  </si>
  <si>
    <t>B0002</t>
  </si>
  <si>
    <t>B0003</t>
  </si>
  <si>
    <t>B0004</t>
  </si>
  <si>
    <t>B0005</t>
  </si>
  <si>
    <t>B0006</t>
  </si>
  <si>
    <t>B0007</t>
  </si>
  <si>
    <t>B0008</t>
  </si>
  <si>
    <t>采购订单跟进记录</t>
    <phoneticPr fontId="1" type="noConversion"/>
  </si>
  <si>
    <t>彩盒</t>
    <phoneticPr fontId="1" type="noConversion"/>
  </si>
  <si>
    <t>供应属性</t>
    <phoneticPr fontId="1" type="noConversion"/>
  </si>
  <si>
    <t>B0009</t>
  </si>
  <si>
    <t>订单编号</t>
    <phoneticPr fontId="1" type="noConversion"/>
  </si>
  <si>
    <t>物料清单</t>
    <phoneticPr fontId="1" type="noConversion"/>
  </si>
  <si>
    <t>BOM编码</t>
    <phoneticPr fontId="1" type="noConversion"/>
  </si>
  <si>
    <t>产品名称及规格</t>
    <phoneticPr fontId="1" type="noConversion"/>
  </si>
  <si>
    <t>标配数量</t>
    <phoneticPr fontId="1" type="noConversion"/>
  </si>
  <si>
    <t>损耗系数</t>
    <phoneticPr fontId="1" type="noConversion"/>
  </si>
  <si>
    <t>B0001</t>
  </si>
  <si>
    <t>仓位</t>
    <phoneticPr fontId="1" type="noConversion"/>
  </si>
  <si>
    <t>包材仓</t>
    <phoneticPr fontId="1" type="noConversion"/>
  </si>
  <si>
    <t>产成品信息</t>
    <phoneticPr fontId="1" type="noConversion"/>
  </si>
  <si>
    <t>彩盒</t>
  </si>
  <si>
    <t>内托</t>
  </si>
  <si>
    <t>内托</t>
    <phoneticPr fontId="1" type="noConversion"/>
  </si>
  <si>
    <t>玻璃瓶</t>
  </si>
  <si>
    <t>玻璃瓶</t>
    <phoneticPr fontId="1" type="noConversion"/>
  </si>
  <si>
    <t>亚克力瓶</t>
    <phoneticPr fontId="1" type="noConversion"/>
  </si>
  <si>
    <t>包材信息</t>
    <phoneticPr fontId="1" type="noConversion"/>
  </si>
  <si>
    <t>包材名称及规格</t>
    <phoneticPr fontId="1" type="noConversion"/>
  </si>
  <si>
    <t>后缀（类别）</t>
    <phoneticPr fontId="1" type="noConversion"/>
  </si>
  <si>
    <t>盖子</t>
    <phoneticPr fontId="1" type="noConversion"/>
  </si>
  <si>
    <t>手拉垫</t>
    <phoneticPr fontId="1" type="noConversion"/>
  </si>
  <si>
    <t>泵头</t>
  </si>
  <si>
    <t>泵头</t>
    <phoneticPr fontId="1" type="noConversion"/>
  </si>
  <si>
    <t>外罩</t>
    <phoneticPr fontId="1" type="noConversion"/>
  </si>
  <si>
    <t>肩套</t>
    <phoneticPr fontId="1" type="noConversion"/>
  </si>
  <si>
    <t>内胆</t>
    <phoneticPr fontId="1" type="noConversion"/>
  </si>
  <si>
    <t>内塞</t>
    <phoneticPr fontId="1" type="noConversion"/>
  </si>
  <si>
    <t>软管</t>
    <phoneticPr fontId="1" type="noConversion"/>
  </si>
  <si>
    <t>软管盖</t>
    <phoneticPr fontId="1" type="noConversion"/>
  </si>
  <si>
    <t>封口片</t>
    <phoneticPr fontId="1" type="noConversion"/>
  </si>
  <si>
    <t>滴管</t>
    <phoneticPr fontId="1" type="noConversion"/>
  </si>
  <si>
    <t>胶头</t>
    <phoneticPr fontId="1" type="noConversion"/>
  </si>
  <si>
    <t>圈圈</t>
    <phoneticPr fontId="1" type="noConversion"/>
  </si>
  <si>
    <t>膜袋</t>
    <phoneticPr fontId="1" type="noConversion"/>
  </si>
  <si>
    <t>膜布</t>
    <phoneticPr fontId="1" type="noConversion"/>
  </si>
  <si>
    <t>收缩膜</t>
  </si>
  <si>
    <t>收缩膜</t>
    <phoneticPr fontId="1" type="noConversion"/>
  </si>
  <si>
    <t>防伪标</t>
  </si>
  <si>
    <t>防伪标</t>
    <phoneticPr fontId="1" type="noConversion"/>
  </si>
  <si>
    <t>专用纸箱</t>
    <phoneticPr fontId="1" type="noConversion"/>
  </si>
  <si>
    <t>喇叭头</t>
    <phoneticPr fontId="1" type="noConversion"/>
  </si>
  <si>
    <t>型号规格</t>
    <phoneticPr fontId="1" type="noConversion"/>
  </si>
  <si>
    <t>供应商</t>
    <phoneticPr fontId="1" type="noConversion"/>
  </si>
  <si>
    <t>到货数量</t>
    <phoneticPr fontId="1" type="noConversion"/>
  </si>
  <si>
    <t>入库数量</t>
    <phoneticPr fontId="1" type="noConversion"/>
  </si>
  <si>
    <t>物料编码</t>
    <phoneticPr fontId="1" type="noConversion"/>
  </si>
  <si>
    <t>到货日期</t>
    <phoneticPr fontId="1" type="noConversion"/>
  </si>
  <si>
    <t>到货数量</t>
    <phoneticPr fontId="1" type="noConversion"/>
  </si>
  <si>
    <t>装箱明细</t>
    <phoneticPr fontId="1" type="noConversion"/>
  </si>
  <si>
    <t>处理状态</t>
    <phoneticPr fontId="1" type="noConversion"/>
  </si>
  <si>
    <t>品牌名称</t>
    <phoneticPr fontId="1" type="noConversion"/>
  </si>
  <si>
    <t>供应商</t>
    <phoneticPr fontId="1" type="noConversion"/>
  </si>
  <si>
    <t>IQC结果</t>
    <phoneticPr fontId="1" type="noConversion"/>
  </si>
  <si>
    <t>入库数量</t>
    <phoneticPr fontId="1" type="noConversion"/>
  </si>
  <si>
    <t>所属采购单号</t>
    <phoneticPr fontId="1" type="noConversion"/>
  </si>
  <si>
    <t>IQC日期</t>
    <phoneticPr fontId="1" type="noConversion"/>
  </si>
  <si>
    <t>入库单号</t>
    <phoneticPr fontId="1" type="noConversion"/>
  </si>
  <si>
    <t>入库日期</t>
    <phoneticPr fontId="1" type="noConversion"/>
  </si>
  <si>
    <t>负数为采购退货</t>
    <phoneticPr fontId="1" type="noConversion"/>
  </si>
  <si>
    <t>说明</t>
    <phoneticPr fontId="1" type="noConversion"/>
  </si>
  <si>
    <t>订单进度说明</t>
    <phoneticPr fontId="1" type="noConversion"/>
  </si>
  <si>
    <t>IQC说明</t>
    <phoneticPr fontId="1" type="noConversion"/>
  </si>
  <si>
    <t>生产领/补/退料记录</t>
    <phoneticPr fontId="1" type="noConversion"/>
  </si>
  <si>
    <t>所属品牌</t>
    <phoneticPr fontId="1" type="noConversion"/>
  </si>
  <si>
    <t>领料数量</t>
    <phoneticPr fontId="1" type="noConversion"/>
  </si>
  <si>
    <t>补料数量</t>
    <phoneticPr fontId="1" type="noConversion"/>
  </si>
  <si>
    <t>退回良品</t>
    <phoneticPr fontId="1" type="noConversion"/>
  </si>
  <si>
    <t>退回不良品</t>
    <phoneticPr fontId="1" type="noConversion"/>
  </si>
  <si>
    <t>不良原因</t>
    <phoneticPr fontId="1" type="noConversion"/>
  </si>
  <si>
    <t>所属客户</t>
    <phoneticPr fontId="1" type="noConversion"/>
  </si>
  <si>
    <t>日期</t>
    <phoneticPr fontId="1" type="noConversion"/>
  </si>
  <si>
    <t>销售出库记录</t>
    <phoneticPr fontId="1" type="noConversion"/>
  </si>
  <si>
    <t>出库日期</t>
    <phoneticPr fontId="1" type="noConversion"/>
  </si>
  <si>
    <t>数量</t>
    <phoneticPr fontId="1" type="noConversion"/>
  </si>
  <si>
    <t>负数为销售退货</t>
    <phoneticPr fontId="1" type="noConversion"/>
  </si>
  <si>
    <t>客供</t>
    <phoneticPr fontId="1" type="noConversion"/>
  </si>
  <si>
    <t>半成品仓</t>
    <phoneticPr fontId="1" type="noConversion"/>
  </si>
  <si>
    <t>创亿</t>
    <phoneticPr fontId="1" type="noConversion"/>
  </si>
  <si>
    <t>文稿问设计</t>
    <phoneticPr fontId="1" type="noConversion"/>
  </si>
  <si>
    <t>9/25送货</t>
    <phoneticPr fontId="1" type="noConversion"/>
  </si>
  <si>
    <t>FI2401</t>
    <phoneticPr fontId="1" type="noConversion"/>
  </si>
  <si>
    <t>FI2402</t>
  </si>
  <si>
    <t>FI2401</t>
  </si>
  <si>
    <t>说明</t>
    <phoneticPr fontId="1" type="noConversion"/>
  </si>
  <si>
    <t>合格</t>
    <phoneticPr fontId="1" type="noConversion"/>
  </si>
  <si>
    <t>1030*3</t>
    <phoneticPr fontId="1" type="noConversion"/>
  </si>
  <si>
    <t>2050+1010</t>
    <phoneticPr fontId="1" type="noConversion"/>
  </si>
  <si>
    <t>新版</t>
    <phoneticPr fontId="1" type="noConversion"/>
  </si>
  <si>
    <t>其他出库记录</t>
    <phoneticPr fontId="1" type="noConversion"/>
  </si>
  <si>
    <t>负数为其他入库</t>
    <phoneticPr fontId="1" type="noConversion"/>
  </si>
  <si>
    <t>出库数量</t>
    <phoneticPr fontId="1" type="noConversion"/>
  </si>
  <si>
    <t>批号</t>
    <phoneticPr fontId="1" type="noConversion"/>
  </si>
  <si>
    <t>100g</t>
    <phoneticPr fontId="1" type="noConversion"/>
  </si>
  <si>
    <t>尽快出货</t>
    <phoneticPr fontId="1" type="noConversion"/>
  </si>
  <si>
    <t>所属品牌</t>
    <phoneticPr fontId="1" type="noConversion"/>
  </si>
  <si>
    <t>拟定交期</t>
    <phoneticPr fontId="1" type="noConversion"/>
  </si>
  <si>
    <t>生产挑选</t>
  </si>
  <si>
    <t>尺寸偏小</t>
    <phoneticPr fontId="1" type="noConversion"/>
  </si>
  <si>
    <t>客供</t>
    <phoneticPr fontId="1" type="noConversion"/>
  </si>
  <si>
    <t>FK2501</t>
  </si>
  <si>
    <t>FK2501</t>
    <phoneticPr fontId="1" type="noConversion"/>
  </si>
  <si>
    <t>FK2502</t>
  </si>
  <si>
    <t>FK2503</t>
  </si>
  <si>
    <t>特采放行</t>
  </si>
  <si>
    <t>有黑点</t>
    <phoneticPr fontId="1" type="noConversion"/>
  </si>
  <si>
    <t>到货批号异常显示时，表示重复结果</t>
    <phoneticPr fontId="1" type="noConversion"/>
  </si>
  <si>
    <t>申请数量</t>
    <phoneticPr fontId="1" type="noConversion"/>
  </si>
  <si>
    <t>下单数量</t>
    <phoneticPr fontId="1" type="noConversion"/>
  </si>
  <si>
    <t>下单时间</t>
    <phoneticPr fontId="1" type="noConversion"/>
  </si>
  <si>
    <t>料体编号</t>
    <phoneticPr fontId="1" type="noConversion"/>
  </si>
  <si>
    <t>料体名称</t>
    <phoneticPr fontId="1" type="noConversion"/>
  </si>
  <si>
    <t>品牌A</t>
  </si>
  <si>
    <t>品牌A</t>
    <phoneticPr fontId="1" type="noConversion"/>
  </si>
  <si>
    <t>100g 洁面乳 彩盒</t>
    <phoneticPr fontId="1" type="noConversion"/>
  </si>
  <si>
    <t>100g 洁面乳 内托</t>
    <phoneticPr fontId="1" type="noConversion"/>
  </si>
  <si>
    <t>100g 洁面乳 软管</t>
    <phoneticPr fontId="1" type="noConversion"/>
  </si>
  <si>
    <t>25ml*8 保湿面膜 彩盒</t>
    <phoneticPr fontId="1" type="noConversion"/>
  </si>
  <si>
    <t>品牌B</t>
    <phoneticPr fontId="1" type="noConversion"/>
  </si>
  <si>
    <t>25ml*8 保湿面膜 内托</t>
    <phoneticPr fontId="1" type="noConversion"/>
  </si>
  <si>
    <t>100g 洁面乳 软管盖</t>
    <phoneticPr fontId="1" type="noConversion"/>
  </si>
  <si>
    <t>25ml 保湿面膜 膜袋</t>
    <phoneticPr fontId="1" type="noConversion"/>
  </si>
  <si>
    <t>面膜布</t>
    <phoneticPr fontId="1" type="noConversion"/>
  </si>
  <si>
    <t>品牌C</t>
    <phoneticPr fontId="1" type="noConversion"/>
  </si>
  <si>
    <t>120ml 保湿乳 瓶子+泵头</t>
    <phoneticPr fontId="1" type="noConversion"/>
  </si>
  <si>
    <t>B0010</t>
  </si>
  <si>
    <t>外包</t>
    <phoneticPr fontId="1" type="noConversion"/>
  </si>
  <si>
    <t>内包</t>
    <phoneticPr fontId="1" type="noConversion"/>
  </si>
  <si>
    <t>精致美肤套 套盒</t>
    <phoneticPr fontId="1" type="noConversion"/>
  </si>
  <si>
    <t>25ml 养肤面膜</t>
    <phoneticPr fontId="1" type="noConversion"/>
  </si>
  <si>
    <t>期初库存统计</t>
    <phoneticPr fontId="1" type="noConversion"/>
  </si>
  <si>
    <t>物料编码</t>
  </si>
  <si>
    <t>所属品牌</t>
  </si>
  <si>
    <t>物料名称及规格</t>
  </si>
  <si>
    <t>期初库存</t>
  </si>
  <si>
    <t xml:space="preserve"> </t>
    <phoneticPr fontId="1" type="noConversion"/>
  </si>
  <si>
    <t>乳化料体</t>
    <phoneticPr fontId="1" type="noConversion"/>
  </si>
  <si>
    <t>3号洁面乳</t>
    <phoneticPr fontId="1" type="noConversion"/>
  </si>
  <si>
    <t>锁水面膜加强</t>
    <phoneticPr fontId="1" type="noConversion"/>
  </si>
  <si>
    <t>玫瑰保湿乳</t>
    <phoneticPr fontId="1" type="noConversion"/>
  </si>
  <si>
    <t>P0001</t>
  </si>
  <si>
    <t>P0002</t>
  </si>
  <si>
    <t>P0003</t>
  </si>
  <si>
    <t>R01</t>
  </si>
  <si>
    <t>R01</t>
    <phoneticPr fontId="1" type="noConversion"/>
  </si>
  <si>
    <t>料体</t>
    <phoneticPr fontId="1" type="noConversion"/>
  </si>
  <si>
    <t>自产</t>
    <phoneticPr fontId="1" type="noConversion"/>
  </si>
  <si>
    <t>外购</t>
  </si>
  <si>
    <t>原料</t>
    <phoneticPr fontId="1" type="noConversion"/>
  </si>
  <si>
    <t>R02</t>
  </si>
  <si>
    <t>R03</t>
  </si>
  <si>
    <t>R04</t>
  </si>
  <si>
    <t>功能原料</t>
    <phoneticPr fontId="1" type="noConversion"/>
  </si>
  <si>
    <t>油相原料</t>
    <phoneticPr fontId="1" type="noConversion"/>
  </si>
  <si>
    <t>水相原料</t>
    <phoneticPr fontId="1" type="noConversion"/>
  </si>
  <si>
    <t>洁面乳</t>
    <phoneticPr fontId="1" type="noConversion"/>
  </si>
  <si>
    <t>生产指令跟进表</t>
    <phoneticPr fontId="1" type="noConversion"/>
  </si>
  <si>
    <t>品牌A 100g 洁面乳</t>
  </si>
  <si>
    <t>计量单位kg</t>
    <phoneticPr fontId="1" type="noConversion"/>
  </si>
  <si>
    <t>物料库存表</t>
    <phoneticPr fontId="1" type="noConversion"/>
  </si>
  <si>
    <t>3号洁面乳(料体)</t>
    <phoneticPr fontId="1" type="noConversion"/>
  </si>
  <si>
    <t>编码</t>
    <phoneticPr fontId="1" type="noConversion"/>
  </si>
  <si>
    <t>PC数量</t>
    <phoneticPr fontId="1" type="noConversion"/>
  </si>
  <si>
    <t>完工数量</t>
    <phoneticPr fontId="1" type="noConversion"/>
  </si>
  <si>
    <t>名称及规格</t>
    <phoneticPr fontId="1" type="noConversion"/>
  </si>
  <si>
    <t>C001</t>
  </si>
  <si>
    <t>料体可投产</t>
  </si>
  <si>
    <t>包材可投产</t>
  </si>
  <si>
    <t>原料可投产</t>
    <phoneticPr fontId="1" type="noConversion"/>
  </si>
  <si>
    <t>如花</t>
    <phoneticPr fontId="1" type="noConversion"/>
  </si>
  <si>
    <t>甘油（原料名可用代码保密）</t>
    <phoneticPr fontId="1" type="noConversion"/>
  </si>
  <si>
    <t>精油（原料名可用代码保密）</t>
    <phoneticPr fontId="1" type="noConversion"/>
  </si>
  <si>
    <t>香精（原料名可用代码保密）</t>
    <phoneticPr fontId="1" type="noConversion"/>
  </si>
  <si>
    <t>兑水0.12%海蓝色素（原料名可用代码保密）</t>
    <phoneticPr fontId="1" type="noConversion"/>
  </si>
  <si>
    <t>计划数量</t>
    <phoneticPr fontId="1" type="noConversion"/>
  </si>
  <si>
    <t>需求数量</t>
    <phoneticPr fontId="1" type="noConversion"/>
  </si>
  <si>
    <t>注意非自产料的采购安排</t>
    <phoneticPr fontId="1" type="noConversion"/>
  </si>
  <si>
    <t>张三亿</t>
    <phoneticPr fontId="1" type="noConversion"/>
  </si>
  <si>
    <t>处理状态</t>
    <phoneticPr fontId="1" type="noConversion"/>
  </si>
  <si>
    <t>3号洁面乳(料体)</t>
  </si>
  <si>
    <t>原料</t>
  </si>
  <si>
    <t>甘油（原料名可用代码保密）</t>
  </si>
  <si>
    <t/>
  </si>
  <si>
    <t>精油（原料名可用代码保密）</t>
  </si>
  <si>
    <t>香精（原料名可用代码保密）</t>
  </si>
  <si>
    <t>兑水0.12%海蓝色素（原料名可用代码保密）</t>
  </si>
  <si>
    <t>物料编码</t>
    <phoneticPr fontId="1" type="noConversion"/>
  </si>
  <si>
    <t>100g 洁面乳 彩盒</t>
  </si>
  <si>
    <t>100g 洁面乳 内托</t>
  </si>
  <si>
    <t>100g 洁面乳 软管</t>
  </si>
  <si>
    <t>100g 洁面乳 软管盖</t>
  </si>
  <si>
    <t>乳化料体</t>
  </si>
  <si>
    <t>3号洁面乳</t>
  </si>
  <si>
    <t>物料批号</t>
    <phoneticPr fontId="1" type="noConversion"/>
  </si>
  <si>
    <t>完成数量</t>
    <phoneticPr fontId="1" type="noConversion"/>
  </si>
  <si>
    <t>交货数量</t>
    <phoneticPr fontId="1" type="noConversion"/>
  </si>
  <si>
    <t>对应订单号</t>
    <phoneticPr fontId="1" type="noConversion"/>
  </si>
  <si>
    <t>批号</t>
    <phoneticPr fontId="1" type="noConversion"/>
  </si>
  <si>
    <t>PC单号</t>
    <phoneticPr fontId="1" type="noConversion"/>
  </si>
  <si>
    <t>PC001</t>
    <phoneticPr fontId="1" type="noConversion"/>
  </si>
  <si>
    <t>划痕</t>
    <phoneticPr fontId="1" type="noConversion"/>
  </si>
  <si>
    <t>缺角</t>
    <phoneticPr fontId="1" type="noConversion"/>
  </si>
  <si>
    <t>黑点</t>
    <phoneticPr fontId="1" type="noConversion"/>
  </si>
  <si>
    <t>100*10+12</t>
    <phoneticPr fontId="1" type="noConversion"/>
  </si>
  <si>
    <t>K001</t>
  </si>
  <si>
    <t>K001</t>
    <phoneticPr fontId="1" type="noConversion"/>
  </si>
  <si>
    <t>S001</t>
    <phoneticPr fontId="1" type="noConversion"/>
  </si>
  <si>
    <t>S001</t>
    <phoneticPr fontId="1" type="noConversion"/>
  </si>
  <si>
    <t>本批号库存</t>
    <phoneticPr fontId="1" type="noConversion"/>
  </si>
  <si>
    <t>生产PC 跟进表</t>
    <phoneticPr fontId="1" type="noConversion"/>
  </si>
  <si>
    <t>放行指令</t>
    <phoneticPr fontId="1" type="noConversion"/>
  </si>
  <si>
    <t>批号不能重复</t>
    <phoneticPr fontId="1" type="noConversion"/>
  </si>
  <si>
    <t>进仓数量</t>
    <phoneticPr fontId="1" type="noConversion"/>
  </si>
  <si>
    <t>成品放行记录</t>
    <phoneticPr fontId="1" type="noConversion"/>
  </si>
  <si>
    <t>进仓日期</t>
    <phoneticPr fontId="1" type="noConversion"/>
  </si>
  <si>
    <t>限用日期</t>
    <phoneticPr fontId="1" type="noConversion"/>
  </si>
  <si>
    <t>批数量</t>
    <phoneticPr fontId="1" type="noConversion"/>
  </si>
  <si>
    <t>放行编号</t>
    <phoneticPr fontId="1" type="noConversion"/>
  </si>
  <si>
    <t>放行日期</t>
    <phoneticPr fontId="1" type="noConversion"/>
  </si>
  <si>
    <t>放行结论</t>
    <phoneticPr fontId="1" type="noConversion"/>
  </si>
  <si>
    <t>准予放行</t>
    <phoneticPr fontId="1" type="noConversion"/>
  </si>
  <si>
    <t>进仓说明</t>
    <phoneticPr fontId="1" type="noConversion"/>
  </si>
  <si>
    <t>附3支样板</t>
    <phoneticPr fontId="1" type="noConversion"/>
  </si>
  <si>
    <t>出库单号</t>
    <phoneticPr fontId="1" type="noConversion"/>
  </si>
  <si>
    <t>说明</t>
    <phoneticPr fontId="1" type="noConversion"/>
  </si>
  <si>
    <t>所属订单号</t>
    <phoneticPr fontId="1" type="noConversion"/>
  </si>
  <si>
    <t>成品进仓记录/成品库存表</t>
    <phoneticPr fontId="1" type="noConversion"/>
  </si>
  <si>
    <t>其他业务类型</t>
    <phoneticPr fontId="1" type="noConversion"/>
  </si>
  <si>
    <t>新到货跟进记录</t>
    <phoneticPr fontId="1" type="noConversion"/>
  </si>
  <si>
    <t>S001</t>
  </si>
  <si>
    <t>新到货IQC放行记录</t>
    <phoneticPr fontId="1" type="noConversion"/>
  </si>
  <si>
    <t>批号</t>
    <phoneticPr fontId="1" type="noConversion"/>
  </si>
  <si>
    <t>批号</t>
    <phoneticPr fontId="1" type="noConversion"/>
  </si>
  <si>
    <t>不合格</t>
  </si>
  <si>
    <t>退货</t>
  </si>
  <si>
    <t>对不齐</t>
    <phoneticPr fontId="1" type="noConversion"/>
  </si>
  <si>
    <t>外购入库记录</t>
    <phoneticPr fontId="1" type="noConversion"/>
  </si>
  <si>
    <t>留样+客户带走</t>
    <phoneticPr fontId="1" type="noConversion"/>
  </si>
  <si>
    <t>料体去皮</t>
    <phoneticPr fontId="1" type="noConversion"/>
  </si>
  <si>
    <t>成品留样</t>
    <phoneticPr fontId="1" type="noConversion"/>
  </si>
  <si>
    <t>物料名称/基础资料生成</t>
    <phoneticPr fontId="1" type="noConversion"/>
  </si>
  <si>
    <t>SK3</t>
    <phoneticPr fontId="1" type="noConversion"/>
  </si>
  <si>
    <t>洁面美白深层乳</t>
    <phoneticPr fontId="1" type="noConversion"/>
  </si>
  <si>
    <t>80ml</t>
    <phoneticPr fontId="1" type="noConversion"/>
  </si>
  <si>
    <t>PI001</t>
  </si>
  <si>
    <t>PI001</t>
    <phoneticPr fontId="1" type="noConversion"/>
  </si>
  <si>
    <t>PO210001</t>
  </si>
  <si>
    <t>PO210001</t>
    <phoneticPr fontId="1" type="noConversion"/>
  </si>
  <si>
    <t>PO210002</t>
  </si>
  <si>
    <t>PO210003</t>
  </si>
  <si>
    <t>PO210004</t>
  </si>
  <si>
    <t>PO210005</t>
  </si>
  <si>
    <t>BOM0001</t>
  </si>
  <si>
    <t>BOM0001</t>
    <phoneticPr fontId="1" type="noConversion"/>
  </si>
  <si>
    <t>祼瓶</t>
    <phoneticPr fontId="1" type="noConversion"/>
  </si>
  <si>
    <t>CX001</t>
    <phoneticPr fontId="1" type="noConversion"/>
  </si>
  <si>
    <t>P001</t>
    <phoneticPr fontId="1" type="noConversion"/>
  </si>
  <si>
    <t>P002</t>
  </si>
  <si>
    <t>P003</t>
  </si>
  <si>
    <t>W210001</t>
    <phoneticPr fontId="1" type="noConversion"/>
  </si>
  <si>
    <t>W210002</t>
  </si>
  <si>
    <t>P001</t>
    <phoneticPr fontId="1" type="noConversion"/>
  </si>
  <si>
    <t>P001</t>
    <phoneticPr fontId="1" type="noConversion"/>
  </si>
  <si>
    <t>所属订单编号</t>
    <phoneticPr fontId="1" type="noConversion"/>
  </si>
  <si>
    <t>库存数量</t>
    <phoneticPr fontId="1" type="noConversion"/>
  </si>
  <si>
    <t>可投产量</t>
    <phoneticPr fontId="1" type="noConversion"/>
  </si>
  <si>
    <t>订单占用</t>
    <phoneticPr fontId="1" type="noConversion"/>
  </si>
  <si>
    <t>订单欠数</t>
    <phoneticPr fontId="1" type="noConversion"/>
  </si>
  <si>
    <t>PI002</t>
  </si>
  <si>
    <t>PI003</t>
  </si>
  <si>
    <t>PC可用</t>
    <phoneticPr fontId="1" type="noConversion"/>
  </si>
  <si>
    <t>PC可用</t>
    <phoneticPr fontId="1" type="noConversion"/>
  </si>
  <si>
    <t>物料说明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</si>
</sst>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20"/>
      <color theme="1"/>
      <name val="新宋体"/>
      <family val="3"/>
      <charset val="134"/>
    </font>
    <font>
      <b/>
      <sz val="11"/>
      <color rgb="FF006100"/>
      <name val="新宋体"/>
      <family val="3"/>
      <charset val="134"/>
    </font>
    <font>
      <sz val="11"/>
      <color theme="1"/>
      <name val="新宋体"/>
      <family val="3"/>
      <charset val="134"/>
    </font>
    <font>
      <b/>
      <sz val="11"/>
      <color rgb="FFFF0000"/>
      <name val="新宋体"/>
      <family val="3"/>
      <charset val="134"/>
    </font>
    <font>
      <b/>
      <sz val="11"/>
      <color theme="9" tint="-0.249977111117893"/>
      <name val="新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7">
    <xf numFmtId="0" fontId="0" fillId="0" borderId="0" xfId="0"/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1" applyFont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6" fillId="0" borderId="0" xfId="0" applyFont="1" applyAlignment="1"/>
    <xf numFmtId="0" fontId="7" fillId="2" borderId="0" xfId="1" applyFont="1" applyAlignment="1">
      <alignment horizontal="center" vertical="center"/>
    </xf>
    <xf numFmtId="176" fontId="4" fillId="2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76" fontId="3" fillId="0" borderId="0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6" fillId="0" borderId="0" xfId="0" applyFont="1" applyBorder="1" applyAlignment="1"/>
    <xf numFmtId="0" fontId="4" fillId="2" borderId="1" xfId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shrinkToFit="1"/>
    </xf>
    <xf numFmtId="0" fontId="4" fillId="2" borderId="1" xfId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</cellXfs>
  <cellStyles count="2">
    <cellStyle name="常规" xfId="0" builtinId="0"/>
    <cellStyle name="好" xfId="1" builtinId="26"/>
  </cellStyles>
  <dxfs count="17">
    <dxf>
      <border>
        <top style="dashDotDot">
          <color rgb="FF00B050"/>
        </top>
        <vertical/>
        <horizontal/>
      </border>
    </dxf>
    <dxf>
      <border>
        <top style="dashDotDot">
          <color rgb="FF00B050"/>
        </top>
        <vertical/>
        <horizontal/>
      </border>
    </dxf>
    <dxf>
      <border>
        <top style="dashDotDot">
          <color rgb="FF00B050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border>
        <top style="dashDotDot">
          <color rgb="FF00B050"/>
        </top>
        <vertical/>
        <horizontal/>
      </border>
    </dxf>
  </dxfs>
  <tableStyles count="0" defaultTableStyle="TableStyleMedium9" defaultPivotStyle="PivotStyleLight16"/>
  <colors>
    <mruColors>
      <color rgb="FFFFFFCC"/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OQC&#25918;&#34892;&#35760;&#24405;!A1"/><Relationship Id="rId3" Type="http://schemas.openxmlformats.org/officeDocument/2006/relationships/hyperlink" Target="#IQC&#25918;&#34892;&#35760;&#24405;!A1"/><Relationship Id="rId7" Type="http://schemas.openxmlformats.org/officeDocument/2006/relationships/hyperlink" Target="#&#25104;&#21697;&#36827;&#20179;!A1"/><Relationship Id="rId2" Type="http://schemas.openxmlformats.org/officeDocument/2006/relationships/hyperlink" Target="#&#21040;&#36135;!A1"/><Relationship Id="rId1" Type="http://schemas.openxmlformats.org/officeDocument/2006/relationships/hyperlink" Target="#&#37319;&#36141;MC!A1"/><Relationship Id="rId6" Type="http://schemas.openxmlformats.org/officeDocument/2006/relationships/hyperlink" Target="#&#29983;&#20135;&#39046;&#26009;!A1"/><Relationship Id="rId11" Type="http://schemas.openxmlformats.org/officeDocument/2006/relationships/hyperlink" Target="#&#20083;&#21270;PC!A1"/><Relationship Id="rId5" Type="http://schemas.openxmlformats.org/officeDocument/2006/relationships/hyperlink" Target="#&#29983;&#20135;&#25351;&#20196;&#21333;!A1"/><Relationship Id="rId10" Type="http://schemas.openxmlformats.org/officeDocument/2006/relationships/hyperlink" Target="#&#20854;&#20182;&#20986;&#24211;!A1"/><Relationship Id="rId4" Type="http://schemas.openxmlformats.org/officeDocument/2006/relationships/hyperlink" Target="#&#22806;&#36141;&#20837;&#24211;!A1"/><Relationship Id="rId9" Type="http://schemas.openxmlformats.org/officeDocument/2006/relationships/hyperlink" Target="#&#38144;&#21806;&#20986;&#24211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24211;&#23384;&#3492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1076325</xdr:colOff>
      <xdr:row>0</xdr:row>
      <xdr:rowOff>95250</xdr:rowOff>
    </xdr:from>
    <xdr:to>
      <xdr:col>2</xdr:col>
      <xdr:colOff>1976325</xdr:colOff>
      <xdr:row>0</xdr:row>
      <xdr:rowOff>347250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590800" y="95250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采购记录</a:t>
          </a:r>
        </a:p>
      </xdr:txBody>
    </xdr:sp>
    <xdr:clientData fPrintsWithSheet="0"/>
  </xdr:twoCellAnchor>
  <xdr:twoCellAnchor editAs="absolute">
    <xdr:from>
      <xdr:col>2</xdr:col>
      <xdr:colOff>2128837</xdr:colOff>
      <xdr:row>0</xdr:row>
      <xdr:rowOff>95250</xdr:rowOff>
    </xdr:from>
    <xdr:to>
      <xdr:col>2</xdr:col>
      <xdr:colOff>3028837</xdr:colOff>
      <xdr:row>0</xdr:row>
      <xdr:rowOff>347250</xdr:rowOff>
    </xdr:to>
    <xdr:sp macro="" textlink="">
      <xdr:nvSpPr>
        <xdr:cNvPr id="3" name="圆角矩形 2">
          <a:hlinkClick xmlns:r="http://schemas.openxmlformats.org/officeDocument/2006/relationships" r:id="rId2"/>
        </xdr:cNvPr>
        <xdr:cNvSpPr/>
      </xdr:nvSpPr>
      <xdr:spPr>
        <a:xfrm>
          <a:off x="3643312" y="95250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到货记录</a:t>
          </a:r>
        </a:p>
      </xdr:txBody>
    </xdr:sp>
    <xdr:clientData fPrintsWithSheet="0"/>
  </xdr:twoCellAnchor>
  <xdr:twoCellAnchor editAs="absolute">
    <xdr:from>
      <xdr:col>3</xdr:col>
      <xdr:colOff>66674</xdr:colOff>
      <xdr:row>0</xdr:row>
      <xdr:rowOff>95250</xdr:rowOff>
    </xdr:from>
    <xdr:to>
      <xdr:col>4</xdr:col>
      <xdr:colOff>204674</xdr:colOff>
      <xdr:row>0</xdr:row>
      <xdr:rowOff>347250</xdr:rowOff>
    </xdr:to>
    <xdr:sp macro="" textlink="">
      <xdr:nvSpPr>
        <xdr:cNvPr id="5" name="圆角矩形 4">
          <a:hlinkClick xmlns:r="http://schemas.openxmlformats.org/officeDocument/2006/relationships" r:id="rId3"/>
        </xdr:cNvPr>
        <xdr:cNvSpPr/>
      </xdr:nvSpPr>
      <xdr:spPr>
        <a:xfrm>
          <a:off x="4695824" y="95250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en-US" altLang="zh-CN" sz="1100"/>
            <a:t>IQC</a:t>
          </a:r>
          <a:r>
            <a:rPr lang="zh-CN" altLang="en-US" sz="1100"/>
            <a:t>记录</a:t>
          </a:r>
        </a:p>
      </xdr:txBody>
    </xdr:sp>
    <xdr:clientData fPrintsWithSheet="0"/>
  </xdr:twoCellAnchor>
  <xdr:twoCellAnchor editAs="absolute">
    <xdr:from>
      <xdr:col>4</xdr:col>
      <xdr:colOff>357186</xdr:colOff>
      <xdr:row>0</xdr:row>
      <xdr:rowOff>95250</xdr:rowOff>
    </xdr:from>
    <xdr:to>
      <xdr:col>5</xdr:col>
      <xdr:colOff>495186</xdr:colOff>
      <xdr:row>0</xdr:row>
      <xdr:rowOff>347250</xdr:rowOff>
    </xdr:to>
    <xdr:sp macro="" textlink="">
      <xdr:nvSpPr>
        <xdr:cNvPr id="6" name="圆角矩形 5">
          <a:hlinkClick xmlns:r="http://schemas.openxmlformats.org/officeDocument/2006/relationships" r:id="rId4"/>
        </xdr:cNvPr>
        <xdr:cNvSpPr/>
      </xdr:nvSpPr>
      <xdr:spPr>
        <a:xfrm>
          <a:off x="5748336" y="95250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入库记录</a:t>
          </a:r>
        </a:p>
      </xdr:txBody>
    </xdr:sp>
    <xdr:clientData fPrintsWithSheet="0"/>
  </xdr:twoCellAnchor>
  <xdr:twoCellAnchor editAs="absolute">
    <xdr:from>
      <xdr:col>5</xdr:col>
      <xdr:colOff>647698</xdr:colOff>
      <xdr:row>0</xdr:row>
      <xdr:rowOff>95250</xdr:rowOff>
    </xdr:from>
    <xdr:to>
      <xdr:col>7</xdr:col>
      <xdr:colOff>23698</xdr:colOff>
      <xdr:row>0</xdr:row>
      <xdr:rowOff>347250</xdr:rowOff>
    </xdr:to>
    <xdr:sp macro="" textlink="">
      <xdr:nvSpPr>
        <xdr:cNvPr id="7" name="圆角矩形 6">
          <a:hlinkClick xmlns:r="http://schemas.openxmlformats.org/officeDocument/2006/relationships" r:id="rId5"/>
        </xdr:cNvPr>
        <xdr:cNvSpPr/>
      </xdr:nvSpPr>
      <xdr:spPr>
        <a:xfrm>
          <a:off x="6800848" y="95250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生产跟单</a:t>
          </a:r>
        </a:p>
      </xdr:txBody>
    </xdr:sp>
    <xdr:clientData fPrintsWithSheet="0"/>
  </xdr:twoCellAnchor>
  <xdr:twoCellAnchor editAs="absolute">
    <xdr:from>
      <xdr:col>7</xdr:col>
      <xdr:colOff>1228724</xdr:colOff>
      <xdr:row>0</xdr:row>
      <xdr:rowOff>95250</xdr:rowOff>
    </xdr:from>
    <xdr:to>
      <xdr:col>9</xdr:col>
      <xdr:colOff>214199</xdr:colOff>
      <xdr:row>0</xdr:row>
      <xdr:rowOff>347250</xdr:rowOff>
    </xdr:to>
    <xdr:sp macro="" textlink="">
      <xdr:nvSpPr>
        <xdr:cNvPr id="8" name="圆角矩形 7">
          <a:hlinkClick xmlns:r="http://schemas.openxmlformats.org/officeDocument/2006/relationships" r:id="rId6"/>
        </xdr:cNvPr>
        <xdr:cNvSpPr/>
      </xdr:nvSpPr>
      <xdr:spPr>
        <a:xfrm>
          <a:off x="8905874" y="95250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生产领料</a:t>
          </a:r>
        </a:p>
      </xdr:txBody>
    </xdr:sp>
    <xdr:clientData fPrintsWithSheet="0"/>
  </xdr:twoCellAnchor>
  <xdr:twoCellAnchor editAs="absolute">
    <xdr:from>
      <xdr:col>9</xdr:col>
      <xdr:colOff>366712</xdr:colOff>
      <xdr:row>0</xdr:row>
      <xdr:rowOff>95250</xdr:rowOff>
    </xdr:from>
    <xdr:to>
      <xdr:col>10</xdr:col>
      <xdr:colOff>580912</xdr:colOff>
      <xdr:row>0</xdr:row>
      <xdr:rowOff>347250</xdr:rowOff>
    </xdr:to>
    <xdr:sp macro="" textlink="">
      <xdr:nvSpPr>
        <xdr:cNvPr id="9" name="圆角矩形 8">
          <a:hlinkClick xmlns:r="http://schemas.openxmlformats.org/officeDocument/2006/relationships" r:id="rId7"/>
        </xdr:cNvPr>
        <xdr:cNvSpPr/>
      </xdr:nvSpPr>
      <xdr:spPr>
        <a:xfrm>
          <a:off x="9958387" y="95250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成品进仓</a:t>
          </a:r>
        </a:p>
      </xdr:txBody>
    </xdr:sp>
    <xdr:clientData fPrintsWithSheet="0"/>
  </xdr:twoCellAnchor>
  <xdr:twoCellAnchor editAs="absolute">
    <xdr:from>
      <xdr:col>11</xdr:col>
      <xdr:colOff>47625</xdr:colOff>
      <xdr:row>0</xdr:row>
      <xdr:rowOff>95250</xdr:rowOff>
    </xdr:from>
    <xdr:to>
      <xdr:col>12</xdr:col>
      <xdr:colOff>261825</xdr:colOff>
      <xdr:row>0</xdr:row>
      <xdr:rowOff>347250</xdr:rowOff>
    </xdr:to>
    <xdr:sp macro="" textlink="">
      <xdr:nvSpPr>
        <xdr:cNvPr id="10" name="圆角矩形 9">
          <a:hlinkClick xmlns:r="http://schemas.openxmlformats.org/officeDocument/2006/relationships" r:id="rId8"/>
        </xdr:cNvPr>
        <xdr:cNvSpPr/>
      </xdr:nvSpPr>
      <xdr:spPr>
        <a:xfrm>
          <a:off x="11010900" y="95250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en-US" altLang="zh-CN" sz="1100"/>
            <a:t>OQC</a:t>
          </a:r>
          <a:r>
            <a:rPr lang="zh-CN" altLang="en-US" sz="1100"/>
            <a:t>记录</a:t>
          </a:r>
          <a:endParaRPr lang="en-US" altLang="zh-CN" sz="1100"/>
        </a:p>
      </xdr:txBody>
    </xdr:sp>
    <xdr:clientData fPrintsWithSheet="0"/>
  </xdr:twoCellAnchor>
  <xdr:twoCellAnchor editAs="absolute">
    <xdr:from>
      <xdr:col>12</xdr:col>
      <xdr:colOff>414338</xdr:colOff>
      <xdr:row>0</xdr:row>
      <xdr:rowOff>95250</xdr:rowOff>
    </xdr:from>
    <xdr:to>
      <xdr:col>13</xdr:col>
      <xdr:colOff>628538</xdr:colOff>
      <xdr:row>0</xdr:row>
      <xdr:rowOff>347250</xdr:rowOff>
    </xdr:to>
    <xdr:sp macro="" textlink="">
      <xdr:nvSpPr>
        <xdr:cNvPr id="11" name="圆角矩形 10">
          <a:hlinkClick xmlns:r="http://schemas.openxmlformats.org/officeDocument/2006/relationships" r:id="rId9"/>
        </xdr:cNvPr>
        <xdr:cNvSpPr/>
      </xdr:nvSpPr>
      <xdr:spPr>
        <a:xfrm>
          <a:off x="12063413" y="95250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销售出库</a:t>
          </a:r>
        </a:p>
      </xdr:txBody>
    </xdr:sp>
    <xdr:clientData fPrintsWithSheet="0"/>
  </xdr:twoCellAnchor>
  <xdr:twoCellAnchor editAs="absolute">
    <xdr:from>
      <xdr:col>14</xdr:col>
      <xdr:colOff>95250</xdr:colOff>
      <xdr:row>0</xdr:row>
      <xdr:rowOff>95250</xdr:rowOff>
    </xdr:from>
    <xdr:to>
      <xdr:col>15</xdr:col>
      <xdr:colOff>309450</xdr:colOff>
      <xdr:row>0</xdr:row>
      <xdr:rowOff>347250</xdr:rowOff>
    </xdr:to>
    <xdr:sp macro="" textlink="">
      <xdr:nvSpPr>
        <xdr:cNvPr id="12" name="圆角矩形 11">
          <a:hlinkClick xmlns:r="http://schemas.openxmlformats.org/officeDocument/2006/relationships" r:id="rId10"/>
        </xdr:cNvPr>
        <xdr:cNvSpPr/>
      </xdr:nvSpPr>
      <xdr:spPr>
        <a:xfrm>
          <a:off x="13115925" y="95250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其他出库</a:t>
          </a:r>
        </a:p>
      </xdr:txBody>
    </xdr:sp>
    <xdr:clientData fPrintsWithSheet="0"/>
  </xdr:twoCellAnchor>
  <xdr:twoCellAnchor editAs="absolute">
    <xdr:from>
      <xdr:col>7</xdr:col>
      <xdr:colOff>176211</xdr:colOff>
      <xdr:row>0</xdr:row>
      <xdr:rowOff>95250</xdr:rowOff>
    </xdr:from>
    <xdr:to>
      <xdr:col>7</xdr:col>
      <xdr:colOff>1076211</xdr:colOff>
      <xdr:row>0</xdr:row>
      <xdr:rowOff>347250</xdr:rowOff>
    </xdr:to>
    <xdr:sp macro="" textlink="">
      <xdr:nvSpPr>
        <xdr:cNvPr id="13" name="圆角矩形 12">
          <a:hlinkClick xmlns:r="http://schemas.openxmlformats.org/officeDocument/2006/relationships" r:id="rId11"/>
        </xdr:cNvPr>
        <xdr:cNvSpPr/>
      </xdr:nvSpPr>
      <xdr:spPr>
        <a:xfrm>
          <a:off x="7853361" y="95250"/>
          <a:ext cx="900000" cy="252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ctr"/>
          <a:r>
            <a:rPr lang="zh-CN" altLang="en-US" sz="1100"/>
            <a:t>乳化</a:t>
          </a:r>
          <a:r>
            <a:rPr lang="en-US" altLang="zh-CN" sz="1100"/>
            <a:t>PC</a:t>
          </a:r>
          <a:endParaRPr lang="zh-CN" altLang="en-US" sz="1100"/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266699</xdr:colOff>
      <xdr:row>0</xdr:row>
      <xdr:rowOff>85725</xdr:rowOff>
    </xdr:from>
    <xdr:to>
      <xdr:col>0</xdr:col>
      <xdr:colOff>923924</xdr:colOff>
      <xdr:row>0</xdr:row>
      <xdr:rowOff>352425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266699" y="85725"/>
          <a:ext cx="657225" cy="2667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lIns="144000" tIns="36000" bIns="0" rtlCol="0" anchor="t"/>
        <a:lstStyle/>
        <a:p>
          <a:pPr algn="l"/>
          <a:r>
            <a:rPr lang="en-US" altLang="zh-CN" sz="1100"/>
            <a:t>HOME</a:t>
          </a:r>
          <a:endParaRPr lang="zh-CN" altLang="en-US" sz="1100"/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>
      <pane ySplit="5" topLeftCell="A6" activePane="bottomLeft" state="frozen"/>
      <selection pane="bottomLeft" activeCell="I11" sqref="I11"/>
    </sheetView>
  </sheetViews>
  <sheetFormatPr defaultRowHeight="27" customHeight="1" x14ac:dyDescent="0.15"/>
  <cols>
    <col min="1" max="1" width="15.5" style="6" customWidth="1"/>
    <col min="2" max="2" width="11.875" style="6" customWidth="1"/>
    <col min="3" max="3" width="40.625" style="6" customWidth="1"/>
    <col min="4" max="4" width="14.375" style="8" customWidth="1"/>
    <col min="5" max="16384" width="9" style="8"/>
  </cols>
  <sheetData>
    <row r="1" spans="1:28" s="3" customFormat="1" ht="35.1" customHeight="1" x14ac:dyDescent="0.15">
      <c r="A1" s="1"/>
      <c r="B1" s="2" t="s">
        <v>276</v>
      </c>
      <c r="C1" s="2"/>
    </row>
    <row r="2" spans="1:28" s="4" customFormat="1" ht="27" customHeight="1" x14ac:dyDescent="0.15">
      <c r="A2" s="13" t="s">
        <v>46</v>
      </c>
      <c r="B2" s="4" t="s">
        <v>14</v>
      </c>
      <c r="C2" s="4" t="s">
        <v>16</v>
      </c>
      <c r="D2" s="4" t="s">
        <v>78</v>
      </c>
      <c r="F2" s="5" t="s">
        <v>34</v>
      </c>
      <c r="G2" s="5" t="s">
        <v>49</v>
      </c>
      <c r="H2" s="5" t="s">
        <v>51</v>
      </c>
      <c r="I2" s="5" t="s">
        <v>52</v>
      </c>
      <c r="J2" s="5" t="s">
        <v>62</v>
      </c>
      <c r="K2" s="5" t="s">
        <v>56</v>
      </c>
      <c r="L2" s="5" t="s">
        <v>57</v>
      </c>
      <c r="M2" s="5" t="s">
        <v>59</v>
      </c>
      <c r="N2" s="5" t="s">
        <v>60</v>
      </c>
      <c r="O2" s="5" t="s">
        <v>61</v>
      </c>
      <c r="P2" s="5" t="s">
        <v>67</v>
      </c>
      <c r="Q2" s="5" t="s">
        <v>68</v>
      </c>
      <c r="R2" s="5" t="s">
        <v>69</v>
      </c>
      <c r="S2" s="5" t="s">
        <v>63</v>
      </c>
      <c r="T2" s="5" t="s">
        <v>64</v>
      </c>
      <c r="U2" s="5" t="s">
        <v>65</v>
      </c>
      <c r="V2" s="5" t="s">
        <v>66</v>
      </c>
      <c r="W2" s="5" t="s">
        <v>70</v>
      </c>
      <c r="X2" s="5" t="s">
        <v>71</v>
      </c>
      <c r="Y2" s="5" t="s">
        <v>77</v>
      </c>
      <c r="Z2" s="5" t="s">
        <v>76</v>
      </c>
      <c r="AA2" s="5" t="s">
        <v>75</v>
      </c>
      <c r="AB2" s="5" t="s">
        <v>73</v>
      </c>
    </row>
    <row r="3" spans="1:28" ht="27" customHeight="1" x14ac:dyDescent="0.15">
      <c r="B3" s="6" t="s">
        <v>277</v>
      </c>
      <c r="C3" s="7" t="s">
        <v>278</v>
      </c>
      <c r="D3" s="6" t="s">
        <v>279</v>
      </c>
    </row>
    <row r="5" spans="1:28" s="4" customFormat="1" ht="27" customHeight="1" x14ac:dyDescent="0.15">
      <c r="A5" s="13" t="s">
        <v>53</v>
      </c>
      <c r="B5" s="4" t="s">
        <v>14</v>
      </c>
      <c r="C5" s="4" t="s">
        <v>54</v>
      </c>
      <c r="D5" s="4" t="s">
        <v>55</v>
      </c>
    </row>
    <row r="6" spans="1:28" s="11" customFormat="1" ht="27" customHeight="1" x14ac:dyDescent="0.15">
      <c r="A6" s="9"/>
      <c r="B6" s="9" t="str">
        <f>$B$3</f>
        <v>SK3</v>
      </c>
      <c r="C6" s="10" t="str">
        <f>$D$3&amp;" "&amp;$C$3&amp;" "&amp;D6</f>
        <v>80ml 洁面美白深层乳 彩盒</v>
      </c>
      <c r="D6" s="11" t="s">
        <v>47</v>
      </c>
    </row>
    <row r="7" spans="1:28" s="11" customFormat="1" ht="27" customHeight="1" x14ac:dyDescent="0.15">
      <c r="A7" s="9"/>
      <c r="B7" s="9" t="str">
        <f t="shared" ref="B7:B21" si="0">$B$3</f>
        <v>SK3</v>
      </c>
      <c r="C7" s="10" t="str">
        <f t="shared" ref="C7:C21" si="1">$D$3&amp;" "&amp;$C$3&amp;" "&amp;D7</f>
        <v>80ml 洁面美白深层乳 内托</v>
      </c>
      <c r="D7" s="11" t="s">
        <v>48</v>
      </c>
    </row>
    <row r="8" spans="1:28" s="11" customFormat="1" ht="27" customHeight="1" x14ac:dyDescent="0.15">
      <c r="A8" s="9"/>
      <c r="B8" s="9" t="str">
        <f t="shared" si="0"/>
        <v>SK3</v>
      </c>
      <c r="C8" s="10" t="str">
        <f t="shared" si="1"/>
        <v>80ml 洁面美白深层乳 玻璃瓶</v>
      </c>
      <c r="D8" s="11" t="s">
        <v>50</v>
      </c>
    </row>
    <row r="9" spans="1:28" s="11" customFormat="1" ht="27" customHeight="1" x14ac:dyDescent="0.15">
      <c r="A9" s="9"/>
      <c r="B9" s="9" t="str">
        <f t="shared" si="0"/>
        <v>SK3</v>
      </c>
      <c r="C9" s="10" t="str">
        <f t="shared" si="1"/>
        <v>80ml 洁面美白深层乳 泵头</v>
      </c>
      <c r="D9" s="11" t="s">
        <v>58</v>
      </c>
    </row>
    <row r="10" spans="1:28" s="11" customFormat="1" ht="27" customHeight="1" x14ac:dyDescent="0.15">
      <c r="A10" s="9"/>
      <c r="B10" s="9" t="str">
        <f t="shared" si="0"/>
        <v>SK3</v>
      </c>
      <c r="C10" s="10" t="str">
        <f t="shared" si="1"/>
        <v>80ml 洁面美白深层乳 防伪标</v>
      </c>
      <c r="D10" s="11" t="s">
        <v>74</v>
      </c>
    </row>
    <row r="11" spans="1:28" s="11" customFormat="1" ht="27" customHeight="1" x14ac:dyDescent="0.15">
      <c r="A11" s="9"/>
      <c r="B11" s="9" t="str">
        <f t="shared" si="0"/>
        <v>SK3</v>
      </c>
      <c r="C11" s="10" t="str">
        <f t="shared" si="1"/>
        <v>80ml 洁面美白深层乳 收缩膜</v>
      </c>
      <c r="D11" s="11" t="s">
        <v>72</v>
      </c>
    </row>
    <row r="12" spans="1:28" s="11" customFormat="1" ht="27" customHeight="1" x14ac:dyDescent="0.15">
      <c r="A12" s="9"/>
      <c r="B12" s="9" t="str">
        <f t="shared" si="0"/>
        <v>SK3</v>
      </c>
      <c r="C12" s="10" t="str">
        <f t="shared" si="1"/>
        <v>80ml 洁面美白深层乳 玻璃瓶</v>
      </c>
      <c r="D12" s="11" t="s">
        <v>50</v>
      </c>
    </row>
    <row r="13" spans="1:28" s="11" customFormat="1" ht="27" customHeight="1" x14ac:dyDescent="0.15">
      <c r="A13" s="9"/>
      <c r="B13" s="9" t="str">
        <f t="shared" si="0"/>
        <v>SK3</v>
      </c>
      <c r="C13" s="10" t="str">
        <f t="shared" si="1"/>
        <v xml:space="preserve">80ml 洁面美白深层乳 </v>
      </c>
    </row>
    <row r="14" spans="1:28" s="11" customFormat="1" ht="27" customHeight="1" x14ac:dyDescent="0.15">
      <c r="A14" s="9"/>
      <c r="B14" s="9" t="str">
        <f t="shared" si="0"/>
        <v>SK3</v>
      </c>
      <c r="C14" s="10" t="str">
        <f t="shared" si="1"/>
        <v xml:space="preserve">80ml 洁面美白深层乳 </v>
      </c>
    </row>
    <row r="15" spans="1:28" s="11" customFormat="1" ht="27" customHeight="1" x14ac:dyDescent="0.15">
      <c r="A15" s="9"/>
      <c r="B15" s="9" t="str">
        <f t="shared" si="0"/>
        <v>SK3</v>
      </c>
      <c r="C15" s="10" t="str">
        <f t="shared" si="1"/>
        <v xml:space="preserve">80ml 洁面美白深层乳 </v>
      </c>
    </row>
    <row r="16" spans="1:28" s="11" customFormat="1" ht="27" customHeight="1" x14ac:dyDescent="0.15">
      <c r="A16" s="9"/>
      <c r="B16" s="9" t="str">
        <f t="shared" si="0"/>
        <v>SK3</v>
      </c>
      <c r="C16" s="10" t="str">
        <f t="shared" si="1"/>
        <v xml:space="preserve">80ml 洁面美白深层乳 </v>
      </c>
    </row>
    <row r="17" spans="1:3" s="11" customFormat="1" ht="27" customHeight="1" x14ac:dyDescent="0.15">
      <c r="A17" s="9"/>
      <c r="B17" s="9" t="str">
        <f t="shared" si="0"/>
        <v>SK3</v>
      </c>
      <c r="C17" s="10" t="str">
        <f t="shared" si="1"/>
        <v xml:space="preserve">80ml 洁面美白深层乳 </v>
      </c>
    </row>
    <row r="18" spans="1:3" s="11" customFormat="1" ht="27" customHeight="1" x14ac:dyDescent="0.15">
      <c r="A18" s="9"/>
      <c r="B18" s="9" t="str">
        <f t="shared" si="0"/>
        <v>SK3</v>
      </c>
      <c r="C18" s="10" t="str">
        <f t="shared" si="1"/>
        <v xml:space="preserve">80ml 洁面美白深层乳 </v>
      </c>
    </row>
    <row r="19" spans="1:3" s="11" customFormat="1" ht="27" customHeight="1" x14ac:dyDescent="0.15">
      <c r="A19" s="9"/>
      <c r="B19" s="9" t="str">
        <f t="shared" si="0"/>
        <v>SK3</v>
      </c>
      <c r="C19" s="10" t="str">
        <f t="shared" si="1"/>
        <v xml:space="preserve">80ml 洁面美白深层乳 </v>
      </c>
    </row>
    <row r="20" spans="1:3" s="11" customFormat="1" ht="27" customHeight="1" x14ac:dyDescent="0.15">
      <c r="A20" s="9"/>
      <c r="B20" s="9" t="str">
        <f t="shared" si="0"/>
        <v>SK3</v>
      </c>
      <c r="C20" s="10" t="str">
        <f t="shared" si="1"/>
        <v xml:space="preserve">80ml 洁面美白深层乳 </v>
      </c>
    </row>
    <row r="21" spans="1:3" s="11" customFormat="1" ht="27" customHeight="1" x14ac:dyDescent="0.15">
      <c r="A21" s="9"/>
      <c r="B21" s="9" t="str">
        <f t="shared" si="0"/>
        <v>SK3</v>
      </c>
      <c r="C21" s="10" t="str">
        <f t="shared" si="1"/>
        <v xml:space="preserve">80ml 洁面美白深层乳 </v>
      </c>
    </row>
  </sheetData>
  <phoneticPr fontId="1" type="noConversion"/>
  <dataValidations count="1">
    <dataValidation type="list" allowBlank="1" showInputMessage="1" showErrorMessage="1" sqref="D6:D21">
      <formula1>包材种类</formula1>
    </dataValidation>
  </dataValidations>
  <pageMargins left="0.7" right="0.7" top="0.75" bottom="0.75" header="0.3" footer="0.3"/>
  <pageSetup paperSize="9" orientation="portrait" horizontalDpi="180" verticalDpi="18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"/>
  <sheetViews>
    <sheetView workbookViewId="0">
      <pane ySplit="2" topLeftCell="A3" activePane="bottomLeft" state="frozen"/>
      <selection pane="bottomLeft" activeCell="F16" sqref="F16"/>
    </sheetView>
  </sheetViews>
  <sheetFormatPr defaultRowHeight="27" customHeight="1" x14ac:dyDescent="0.15"/>
  <cols>
    <col min="1" max="1" width="15.5" style="15" customWidth="1"/>
    <col min="2" max="2" width="12" style="16" customWidth="1"/>
    <col min="3" max="3" width="22.75" style="15" customWidth="1"/>
    <col min="4" max="4" width="9.625" style="15" customWidth="1"/>
    <col min="5" max="5" width="10.25" style="15" customWidth="1"/>
    <col min="6" max="6" width="13.5" style="15" customWidth="1"/>
    <col min="7" max="7" width="31.875" style="18" customWidth="1"/>
    <col min="8" max="8" width="10.25" style="15" customWidth="1"/>
    <col min="9" max="9" width="9.375" style="15" customWidth="1"/>
    <col min="10" max="12" width="10.25" style="15" customWidth="1"/>
    <col min="13" max="15" width="10.25" style="18" customWidth="1"/>
    <col min="16" max="16" width="10.25" style="8" customWidth="1"/>
    <col min="17" max="16384" width="9" style="8"/>
  </cols>
  <sheetData>
    <row r="1" spans="1:15" s="23" customFormat="1" ht="35.1" customHeight="1" x14ac:dyDescent="0.15">
      <c r="A1" s="19"/>
      <c r="B1" s="20" t="s">
        <v>99</v>
      </c>
      <c r="C1" s="19"/>
      <c r="D1" s="19"/>
      <c r="E1" s="19"/>
      <c r="F1" s="19"/>
      <c r="H1" s="19"/>
      <c r="I1" s="19"/>
      <c r="J1" s="19"/>
      <c r="K1" s="19"/>
      <c r="L1" s="19"/>
    </row>
    <row r="2" spans="1:15" s="4" customFormat="1" ht="27" customHeight="1" x14ac:dyDescent="0.15">
      <c r="A2" s="5" t="s">
        <v>299</v>
      </c>
      <c r="B2" s="5" t="s">
        <v>107</v>
      </c>
      <c r="C2" s="5" t="s">
        <v>40</v>
      </c>
      <c r="D2" s="5" t="s">
        <v>210</v>
      </c>
      <c r="E2" s="5" t="s">
        <v>222</v>
      </c>
      <c r="F2" s="5" t="s">
        <v>100</v>
      </c>
      <c r="G2" s="5" t="s">
        <v>1</v>
      </c>
      <c r="H2" s="5" t="s">
        <v>101</v>
      </c>
      <c r="I2" s="5" t="s">
        <v>229</v>
      </c>
      <c r="J2" s="5" t="s">
        <v>102</v>
      </c>
      <c r="K2" s="5" t="s">
        <v>103</v>
      </c>
      <c r="L2" s="5" t="s">
        <v>104</v>
      </c>
      <c r="M2" s="5" t="s">
        <v>105</v>
      </c>
      <c r="N2" s="5" t="s">
        <v>79</v>
      </c>
      <c r="O2" s="5" t="s">
        <v>9</v>
      </c>
    </row>
    <row r="3" spans="1:15" ht="27" customHeight="1" x14ac:dyDescent="0.15">
      <c r="A3" s="15" t="s">
        <v>280</v>
      </c>
      <c r="B3" s="16">
        <v>44464</v>
      </c>
      <c r="C3" s="15" t="s">
        <v>215</v>
      </c>
      <c r="D3" s="15">
        <v>530</v>
      </c>
      <c r="E3" s="15" t="s">
        <v>179</v>
      </c>
      <c r="F3" s="15" t="s">
        <v>216</v>
      </c>
      <c r="G3" s="18" t="s">
        <v>217</v>
      </c>
      <c r="H3" s="15">
        <v>79.5</v>
      </c>
      <c r="N3" s="18" t="e">
        <f>VLOOKUP(I3,外购入库!G:J,4,0)</f>
        <v>#N/A</v>
      </c>
    </row>
    <row r="4" spans="1:15" ht="27" customHeight="1" x14ac:dyDescent="0.15">
      <c r="A4" s="15" t="s">
        <v>280</v>
      </c>
      <c r="B4" s="16">
        <v>44464</v>
      </c>
      <c r="D4" s="15" t="s">
        <v>218</v>
      </c>
      <c r="E4" s="15" t="s">
        <v>185</v>
      </c>
      <c r="F4" s="15" t="s">
        <v>216</v>
      </c>
      <c r="G4" s="18" t="s">
        <v>219</v>
      </c>
      <c r="H4" s="15">
        <v>1.06</v>
      </c>
      <c r="N4" s="18" t="e">
        <f>VLOOKUP(I4,外购入库!G:J,4,0)</f>
        <v>#N/A</v>
      </c>
    </row>
    <row r="5" spans="1:15" ht="27" customHeight="1" x14ac:dyDescent="0.15">
      <c r="A5" s="15" t="s">
        <v>280</v>
      </c>
      <c r="B5" s="16">
        <v>44464</v>
      </c>
      <c r="D5" s="15" t="s">
        <v>218</v>
      </c>
      <c r="E5" s="15" t="s">
        <v>186</v>
      </c>
      <c r="F5" s="15" t="s">
        <v>216</v>
      </c>
      <c r="G5" s="18" t="s">
        <v>220</v>
      </c>
      <c r="H5" s="15">
        <v>5.3000000000000005E-2</v>
      </c>
      <c r="N5" s="18" t="e">
        <f>VLOOKUP(I5,外购入库!G:J,4,0)</f>
        <v>#N/A</v>
      </c>
    </row>
    <row r="6" spans="1:15" ht="27" customHeight="1" x14ac:dyDescent="0.15">
      <c r="A6" s="15" t="s">
        <v>280</v>
      </c>
      <c r="B6" s="16">
        <v>44464</v>
      </c>
      <c r="D6" s="15" t="s">
        <v>218</v>
      </c>
      <c r="E6" s="15" t="s">
        <v>187</v>
      </c>
      <c r="F6" s="15" t="s">
        <v>216</v>
      </c>
      <c r="G6" s="18" t="s">
        <v>221</v>
      </c>
      <c r="H6" s="15">
        <v>344.5</v>
      </c>
      <c r="N6" s="18" t="e">
        <f>VLOOKUP(I6,外购入库!G:J,4,0)</f>
        <v>#N/A</v>
      </c>
    </row>
    <row r="7" spans="1:15" ht="27" customHeight="1" x14ac:dyDescent="0.15">
      <c r="A7" s="15" t="s">
        <v>280</v>
      </c>
      <c r="B7" s="16">
        <v>44465</v>
      </c>
      <c r="C7" s="15" t="s">
        <v>193</v>
      </c>
      <c r="D7" s="15">
        <v>1000</v>
      </c>
      <c r="E7" s="15" t="s">
        <v>43</v>
      </c>
      <c r="F7" s="15" t="s">
        <v>148</v>
      </c>
      <c r="G7" s="18" t="s">
        <v>223</v>
      </c>
      <c r="H7" s="15">
        <v>1010</v>
      </c>
      <c r="I7" s="15" t="s">
        <v>119</v>
      </c>
      <c r="J7" s="15">
        <v>20</v>
      </c>
      <c r="L7" s="15">
        <v>24</v>
      </c>
      <c r="M7" s="18" t="s">
        <v>236</v>
      </c>
      <c r="N7" s="18" t="str">
        <f>VLOOKUP(I7,外购入库!G:J,4,0)</f>
        <v>创亿</v>
      </c>
    </row>
    <row r="8" spans="1:15" ht="27" customHeight="1" x14ac:dyDescent="0.15">
      <c r="A8" s="15" t="s">
        <v>280</v>
      </c>
      <c r="B8" s="16">
        <v>44465</v>
      </c>
      <c r="D8" s="15" t="s">
        <v>218</v>
      </c>
      <c r="E8" s="15" t="s">
        <v>26</v>
      </c>
      <c r="F8" s="15" t="s">
        <v>148</v>
      </c>
      <c r="G8" s="18" t="s">
        <v>224</v>
      </c>
      <c r="H8" s="15">
        <v>1010</v>
      </c>
      <c r="I8" s="15" t="s">
        <v>118</v>
      </c>
      <c r="J8" s="15">
        <v>20</v>
      </c>
      <c r="L8" s="15">
        <v>27</v>
      </c>
      <c r="M8" s="18" t="s">
        <v>237</v>
      </c>
      <c r="N8" s="18" t="str">
        <f>VLOOKUP(I8,外购入库!G:J,4,0)</f>
        <v>创亿</v>
      </c>
    </row>
    <row r="9" spans="1:15" ht="27" customHeight="1" x14ac:dyDescent="0.15">
      <c r="A9" s="15" t="s">
        <v>280</v>
      </c>
      <c r="B9" s="16">
        <v>44465</v>
      </c>
      <c r="D9" s="15" t="s">
        <v>218</v>
      </c>
      <c r="E9" s="15" t="s">
        <v>27</v>
      </c>
      <c r="F9" s="15" t="s">
        <v>148</v>
      </c>
      <c r="G9" s="18" t="s">
        <v>225</v>
      </c>
      <c r="H9" s="15">
        <v>1010</v>
      </c>
      <c r="I9" s="15" t="s">
        <v>136</v>
      </c>
      <c r="L9" s="15">
        <v>8</v>
      </c>
      <c r="M9" s="18" t="s">
        <v>238</v>
      </c>
      <c r="N9" s="18" t="str">
        <f>VLOOKUP(I9,外购入库!G:J,4,0)</f>
        <v>客供</v>
      </c>
    </row>
    <row r="10" spans="1:15" ht="27" customHeight="1" x14ac:dyDescent="0.15">
      <c r="A10" s="15" t="s">
        <v>280</v>
      </c>
      <c r="B10" s="16">
        <v>44465</v>
      </c>
      <c r="D10" s="15" t="s">
        <v>218</v>
      </c>
      <c r="E10" s="15" t="s">
        <v>28</v>
      </c>
      <c r="F10" s="15" t="s">
        <v>148</v>
      </c>
      <c r="G10" s="18" t="s">
        <v>226</v>
      </c>
      <c r="H10" s="15">
        <v>1010</v>
      </c>
      <c r="I10" s="15" t="s">
        <v>138</v>
      </c>
      <c r="J10" s="15">
        <v>15</v>
      </c>
      <c r="L10" s="15">
        <v>20</v>
      </c>
      <c r="M10" s="18" t="s">
        <v>238</v>
      </c>
      <c r="N10" s="18" t="e">
        <f>VLOOKUP(I10,外购入库!G:J,4,0)</f>
        <v>#N/A</v>
      </c>
    </row>
    <row r="11" spans="1:15" ht="27" customHeight="1" x14ac:dyDescent="0.15">
      <c r="A11" s="15" t="s">
        <v>280</v>
      </c>
      <c r="B11" s="16">
        <v>44465</v>
      </c>
      <c r="D11" s="15" t="s">
        <v>218</v>
      </c>
      <c r="E11" s="15" t="s">
        <v>176</v>
      </c>
      <c r="F11" s="15" t="s">
        <v>227</v>
      </c>
      <c r="G11" s="18" t="s">
        <v>228</v>
      </c>
      <c r="H11" s="15">
        <v>102</v>
      </c>
      <c r="I11" s="15" t="s">
        <v>243</v>
      </c>
      <c r="J11" s="15">
        <v>3</v>
      </c>
      <c r="K11" s="15">
        <v>1.5</v>
      </c>
      <c r="N11" s="18" t="e">
        <f>VLOOKUP(I11,外购入库!G:J,4,0)</f>
        <v>#N/A</v>
      </c>
    </row>
    <row r="12" spans="1:15" ht="27" customHeight="1" x14ac:dyDescent="0.15">
      <c r="N12" s="18" t="e">
        <f>VLOOKUP(I12,外购入库!G:J,4,0)</f>
        <v>#N/A</v>
      </c>
    </row>
    <row r="13" spans="1:15" ht="27" customHeight="1" x14ac:dyDescent="0.15">
      <c r="N13" s="18" t="e">
        <f>VLOOKUP(I13,外购入库!G:J,4,0)</f>
        <v>#N/A</v>
      </c>
    </row>
    <row r="14" spans="1:15" ht="27" customHeight="1" x14ac:dyDescent="0.15">
      <c r="N14" s="18" t="e">
        <f>VLOOKUP(I14,外购入库!G:J,4,0)</f>
        <v>#N/A</v>
      </c>
    </row>
    <row r="15" spans="1:15" ht="27" customHeight="1" x14ac:dyDescent="0.15">
      <c r="N15" s="18" t="e">
        <f>VLOOKUP(I15,外购入库!G:J,4,0)</f>
        <v>#N/A</v>
      </c>
    </row>
    <row r="16" spans="1:15" ht="27" customHeight="1" x14ac:dyDescent="0.15">
      <c r="N16" s="18" t="e">
        <f>VLOOKUP(I16,外购入库!G:J,4,0)</f>
        <v>#N/A</v>
      </c>
    </row>
    <row r="17" spans="14:14" ht="27" customHeight="1" x14ac:dyDescent="0.15">
      <c r="N17" s="18" t="e">
        <f>VLOOKUP(I17,外购入库!G:J,4,0)</f>
        <v>#N/A</v>
      </c>
    </row>
    <row r="18" spans="14:14" ht="27" customHeight="1" x14ac:dyDescent="0.15">
      <c r="N18" s="18" t="e">
        <f>VLOOKUP(I18,外购入库!G:J,4,0)</f>
        <v>#N/A</v>
      </c>
    </row>
    <row r="19" spans="14:14" ht="27" customHeight="1" x14ac:dyDescent="0.15">
      <c r="N19" s="18" t="e">
        <f>VLOOKUP(I19,外购入库!G:J,4,0)</f>
        <v>#N/A</v>
      </c>
    </row>
    <row r="20" spans="14:14" ht="27" customHeight="1" x14ac:dyDescent="0.15">
      <c r="N20" s="18" t="e">
        <f>VLOOKUP(I20,外购入库!G:J,4,0)</f>
        <v>#N/A</v>
      </c>
    </row>
  </sheetData>
  <phoneticPr fontId="1" type="noConversion"/>
  <pageMargins left="0.23622047244094491" right="0.23622047244094491" top="0.35433070866141736" bottom="0.55118110236220474" header="0.31496062992125984" footer="0.31496062992125984"/>
  <pageSetup paperSize="9" scale="73" fitToHeight="0" orientation="landscape" horizontalDpi="180" verticalDpi="180" r:id="rId1"/>
  <headerFooter scaleWithDoc="0">
    <oddFooter>&amp;C&amp;D，第 &amp;P 页，共 &amp;N 页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workbookViewId="0">
      <pane ySplit="2" topLeftCell="A3" activePane="bottomLeft" state="frozen"/>
      <selection pane="bottomLeft" activeCell="J6" sqref="J6"/>
    </sheetView>
  </sheetViews>
  <sheetFormatPr defaultRowHeight="27" customHeight="1" x14ac:dyDescent="0.15"/>
  <cols>
    <col min="1" max="1" width="15.5" style="15" customWidth="1"/>
    <col min="2" max="2" width="13.625" style="16" customWidth="1"/>
    <col min="3" max="3" width="10.75" style="15" customWidth="1"/>
    <col min="4" max="4" width="11.625" style="15" customWidth="1"/>
    <col min="5" max="5" width="27.875" style="28" customWidth="1"/>
    <col min="6" max="7" width="10.25" style="15" customWidth="1"/>
    <col min="8" max="8" width="12.5" style="35" customWidth="1"/>
    <col min="9" max="9" width="12.75" style="15" customWidth="1"/>
    <col min="10" max="10" width="11.75" style="18" customWidth="1"/>
    <col min="11" max="11" width="10.25" style="15" customWidth="1"/>
    <col min="12" max="12" width="11" style="15" customWidth="1"/>
    <col min="13" max="13" width="10.25" style="18" customWidth="1"/>
    <col min="14" max="14" width="10.25" style="8" customWidth="1"/>
    <col min="15" max="16384" width="9" style="8"/>
  </cols>
  <sheetData>
    <row r="1" spans="1:13" s="23" customFormat="1" ht="35.1" customHeight="1" x14ac:dyDescent="0.15">
      <c r="A1" s="19"/>
      <c r="B1" s="20" t="s">
        <v>262</v>
      </c>
      <c r="C1" s="19"/>
      <c r="D1" s="19"/>
      <c r="E1" s="24"/>
      <c r="F1" s="19"/>
      <c r="G1" s="19"/>
      <c r="H1" s="33"/>
      <c r="I1" s="12" t="s">
        <v>247</v>
      </c>
      <c r="K1" s="19"/>
      <c r="L1" s="19"/>
    </row>
    <row r="2" spans="1:13" s="4" customFormat="1" ht="27" customHeight="1" x14ac:dyDescent="0.15">
      <c r="A2" s="5" t="s">
        <v>37</v>
      </c>
      <c r="B2" s="5" t="s">
        <v>250</v>
      </c>
      <c r="C2" s="5" t="s">
        <v>106</v>
      </c>
      <c r="D2" s="5" t="s">
        <v>14</v>
      </c>
      <c r="E2" s="5" t="s">
        <v>16</v>
      </c>
      <c r="F2" s="5" t="s">
        <v>78</v>
      </c>
      <c r="G2" s="5" t="s">
        <v>248</v>
      </c>
      <c r="H2" s="34" t="s">
        <v>85</v>
      </c>
      <c r="I2" s="5" t="s">
        <v>128</v>
      </c>
      <c r="J2" s="5" t="s">
        <v>257</v>
      </c>
      <c r="K2" s="5" t="s">
        <v>246</v>
      </c>
      <c r="L2" s="5" t="s">
        <v>244</v>
      </c>
      <c r="M2" s="5" t="s">
        <v>9</v>
      </c>
    </row>
    <row r="3" spans="1:13" ht="27" customHeight="1" x14ac:dyDescent="0.15">
      <c r="A3" s="15" t="s">
        <v>280</v>
      </c>
      <c r="B3" s="16">
        <v>44506</v>
      </c>
      <c r="C3" s="15" t="str">
        <f>VLOOKUP(A3,生产指令单!A:F,3,0)</f>
        <v>张三亿</v>
      </c>
      <c r="D3" s="15" t="str">
        <f>VLOOKUP(A3,生产指令单!A:F,4,0)</f>
        <v>品牌A</v>
      </c>
      <c r="E3" s="28" t="str">
        <f>VLOOKUP(A3,生产指令单!A:F,6,0)</f>
        <v>洁面乳</v>
      </c>
      <c r="F3" s="15" t="str">
        <f>VLOOKUP(A3,生产指令单!A:F,5,0)</f>
        <v>100g</v>
      </c>
      <c r="G3" s="15">
        <v>1012</v>
      </c>
      <c r="H3" s="35" t="s">
        <v>239</v>
      </c>
      <c r="I3" s="15" t="s">
        <v>241</v>
      </c>
      <c r="J3" s="18" t="s">
        <v>258</v>
      </c>
      <c r="K3" s="15" t="str">
        <f>IF(I3&lt;&gt;"",IFERROR(VLOOKUP(I3,OQC放行记录!G:J,4,0),"待检"),NA())</f>
        <v>准予放行</v>
      </c>
      <c r="L3" s="15">
        <f>G3-SUMIF(销售出库!J:J,I3,销售出库!G:G)-SUMIF(其他出库!F:F,I3,其他出库!E:E)</f>
        <v>49</v>
      </c>
    </row>
    <row r="4" spans="1:13" ht="27" customHeight="1" x14ac:dyDescent="0.15">
      <c r="C4" s="15" t="e">
        <f>VLOOKUP(A4,生产指令单!A:F,3,0)</f>
        <v>#N/A</v>
      </c>
      <c r="D4" s="15" t="e">
        <f>VLOOKUP(A4,生产指令单!A:F,4,0)</f>
        <v>#N/A</v>
      </c>
      <c r="E4" s="28" t="e">
        <f>VLOOKUP(A4,生产指令单!A:F,6,0)</f>
        <v>#N/A</v>
      </c>
      <c r="F4" s="15" t="e">
        <f>VLOOKUP(A4,生产指令单!A:F,5,0)</f>
        <v>#N/A</v>
      </c>
      <c r="K4" s="15" t="e">
        <f>IF(I4&lt;&gt;"",IFERROR(VLOOKUP(I4,OQC放行记录!G:J,4,0),"待检"),NA())</f>
        <v>#N/A</v>
      </c>
      <c r="L4" s="15">
        <f>G4-SUMIF(销售出库!J:J,I4,销售出库!G:G)-SUMIF(其他出库!F:F,I4,其他出库!E:E)</f>
        <v>0</v>
      </c>
    </row>
    <row r="5" spans="1:13" ht="27" customHeight="1" x14ac:dyDescent="0.15">
      <c r="C5" s="15" t="e">
        <f>VLOOKUP(A5,生产指令单!A:F,3,0)</f>
        <v>#N/A</v>
      </c>
      <c r="D5" s="15" t="e">
        <f>VLOOKUP(A5,生产指令单!A:F,4,0)</f>
        <v>#N/A</v>
      </c>
      <c r="E5" s="28" t="e">
        <f>VLOOKUP(A5,生产指令单!A:F,6,0)</f>
        <v>#N/A</v>
      </c>
      <c r="F5" s="15" t="e">
        <f>VLOOKUP(A5,生产指令单!A:F,5,0)</f>
        <v>#N/A</v>
      </c>
      <c r="K5" s="15" t="e">
        <f>IF(I5&lt;&gt;"",IFERROR(VLOOKUP(I5,OQC放行记录!G:J,4,0),"待检"),NA())</f>
        <v>#N/A</v>
      </c>
      <c r="L5" s="15">
        <f>G5-SUMIF(销售出库!J:J,I5,销售出库!G:G)-SUMIF(其他出库!F:F,I5,其他出库!E:E)</f>
        <v>0</v>
      </c>
    </row>
    <row r="6" spans="1:13" ht="27" customHeight="1" x14ac:dyDescent="0.15">
      <c r="C6" s="15" t="e">
        <f>VLOOKUP(A6,生产指令单!A:F,3,0)</f>
        <v>#N/A</v>
      </c>
      <c r="D6" s="15" t="e">
        <f>VLOOKUP(A6,生产指令单!A:F,4,0)</f>
        <v>#N/A</v>
      </c>
      <c r="E6" s="28" t="e">
        <f>VLOOKUP(A6,生产指令单!A:F,6,0)</f>
        <v>#N/A</v>
      </c>
      <c r="F6" s="15" t="e">
        <f>VLOOKUP(A6,生产指令单!A:F,5,0)</f>
        <v>#N/A</v>
      </c>
      <c r="K6" s="15" t="e">
        <f>IF(I6&lt;&gt;"",IFERROR(VLOOKUP(I6,OQC放行记录!G:J,4,0),"待检"),NA())</f>
        <v>#N/A</v>
      </c>
      <c r="L6" s="15">
        <f>G6-SUMIF(销售出库!J:J,I6,销售出库!G:G)-SUMIF(其他出库!F:F,I6,其他出库!E:E)</f>
        <v>0</v>
      </c>
    </row>
    <row r="7" spans="1:13" ht="27" customHeight="1" x14ac:dyDescent="0.15">
      <c r="C7" s="15" t="e">
        <f>VLOOKUP(A7,生产指令单!A:F,3,0)</f>
        <v>#N/A</v>
      </c>
      <c r="D7" s="15" t="e">
        <f>VLOOKUP(A7,生产指令单!A:F,4,0)</f>
        <v>#N/A</v>
      </c>
      <c r="E7" s="28" t="e">
        <f>VLOOKUP(A7,生产指令单!A:F,6,0)</f>
        <v>#N/A</v>
      </c>
      <c r="F7" s="15" t="e">
        <f>VLOOKUP(A7,生产指令单!A:F,5,0)</f>
        <v>#N/A</v>
      </c>
      <c r="K7" s="15" t="e">
        <f>IF(I7&lt;&gt;"",IFERROR(VLOOKUP(I7,OQC放行记录!G:J,4,0),"待检"),NA())</f>
        <v>#N/A</v>
      </c>
      <c r="L7" s="15">
        <f>G7-SUMIF(销售出库!J:J,I7,销售出库!G:G)-SUMIF(其他出库!F:F,I7,其他出库!E:E)</f>
        <v>0</v>
      </c>
    </row>
    <row r="8" spans="1:13" ht="27" customHeight="1" x14ac:dyDescent="0.15">
      <c r="C8" s="15" t="e">
        <f>VLOOKUP(A8,生产指令单!A:F,3,0)</f>
        <v>#N/A</v>
      </c>
      <c r="D8" s="15" t="e">
        <f>VLOOKUP(A8,生产指令单!A:F,4,0)</f>
        <v>#N/A</v>
      </c>
      <c r="E8" s="28" t="e">
        <f>VLOOKUP(A8,生产指令单!A:F,6,0)</f>
        <v>#N/A</v>
      </c>
      <c r="F8" s="15" t="e">
        <f>VLOOKUP(A8,生产指令单!A:F,5,0)</f>
        <v>#N/A</v>
      </c>
      <c r="K8" s="15" t="e">
        <f>IF(I8&lt;&gt;"",IFERROR(VLOOKUP(I8,OQC放行记录!G:J,4,0),"待检"),NA())</f>
        <v>#N/A</v>
      </c>
      <c r="L8" s="15">
        <f>G8-SUMIF(销售出库!J:J,I8,销售出库!G:G)-SUMIF(其他出库!F:F,I8,其他出库!E:E)</f>
        <v>0</v>
      </c>
    </row>
    <row r="9" spans="1:13" ht="27" customHeight="1" x14ac:dyDescent="0.15">
      <c r="C9" s="15" t="e">
        <f>VLOOKUP(A9,生产指令单!A:F,3,0)</f>
        <v>#N/A</v>
      </c>
      <c r="D9" s="15" t="e">
        <f>VLOOKUP(A9,生产指令单!A:F,4,0)</f>
        <v>#N/A</v>
      </c>
      <c r="E9" s="28" t="e">
        <f>VLOOKUP(A9,生产指令单!A:F,6,0)</f>
        <v>#N/A</v>
      </c>
      <c r="F9" s="15" t="e">
        <f>VLOOKUP(A9,生产指令单!A:F,5,0)</f>
        <v>#N/A</v>
      </c>
      <c r="K9" s="15" t="e">
        <f>IF(I9&lt;&gt;"",IFERROR(VLOOKUP(I9,OQC放行记录!G:J,4,0),"待检"),NA())</f>
        <v>#N/A</v>
      </c>
      <c r="L9" s="15">
        <f>G9-SUMIF(销售出库!J:J,I9,销售出库!G:G)-SUMIF(其他出库!F:F,I9,其他出库!E:E)</f>
        <v>0</v>
      </c>
    </row>
    <row r="10" spans="1:13" ht="27" customHeight="1" x14ac:dyDescent="0.15">
      <c r="C10" s="15" t="e">
        <f>VLOOKUP(A10,生产指令单!A:F,3,0)</f>
        <v>#N/A</v>
      </c>
      <c r="D10" s="15" t="e">
        <f>VLOOKUP(A10,生产指令单!A:F,4,0)</f>
        <v>#N/A</v>
      </c>
      <c r="E10" s="28" t="e">
        <f>VLOOKUP(A10,生产指令单!A:F,6,0)</f>
        <v>#N/A</v>
      </c>
      <c r="F10" s="15" t="e">
        <f>VLOOKUP(A10,生产指令单!A:F,5,0)</f>
        <v>#N/A</v>
      </c>
      <c r="K10" s="15" t="e">
        <f>IF(I10&lt;&gt;"",IFERROR(VLOOKUP(I10,OQC放行记录!G:J,4,0),"待检"),NA())</f>
        <v>#N/A</v>
      </c>
      <c r="L10" s="15">
        <f>G10-SUMIF(销售出库!J:J,I10,销售出库!G:G)-SUMIF(其他出库!F:F,I10,其他出库!E:E)</f>
        <v>0</v>
      </c>
    </row>
    <row r="11" spans="1:13" ht="27" customHeight="1" x14ac:dyDescent="0.15">
      <c r="C11" s="15" t="e">
        <f>VLOOKUP(A11,生产指令单!A:F,3,0)</f>
        <v>#N/A</v>
      </c>
      <c r="D11" s="15" t="e">
        <f>VLOOKUP(A11,生产指令单!A:F,4,0)</f>
        <v>#N/A</v>
      </c>
      <c r="E11" s="28" t="e">
        <f>VLOOKUP(A11,生产指令单!A:F,6,0)</f>
        <v>#N/A</v>
      </c>
      <c r="F11" s="15" t="e">
        <f>VLOOKUP(A11,生产指令单!A:F,5,0)</f>
        <v>#N/A</v>
      </c>
      <c r="K11" s="15" t="e">
        <f>IF(I11&lt;&gt;"",IFERROR(VLOOKUP(I11,OQC放行记录!G:J,4,0),"待检"),NA())</f>
        <v>#N/A</v>
      </c>
      <c r="L11" s="15">
        <f>G11-SUMIF(销售出库!J:J,I11,销售出库!G:G)-SUMIF(其他出库!F:F,I11,其他出库!E:E)</f>
        <v>0</v>
      </c>
    </row>
    <row r="12" spans="1:13" ht="27" customHeight="1" x14ac:dyDescent="0.15">
      <c r="C12" s="15" t="e">
        <f>VLOOKUP(A12,生产指令单!A:F,3,0)</f>
        <v>#N/A</v>
      </c>
      <c r="D12" s="15" t="e">
        <f>VLOOKUP(A12,生产指令单!A:F,4,0)</f>
        <v>#N/A</v>
      </c>
      <c r="E12" s="28" t="e">
        <f>VLOOKUP(A12,生产指令单!A:F,6,0)</f>
        <v>#N/A</v>
      </c>
      <c r="F12" s="15" t="e">
        <f>VLOOKUP(A12,生产指令单!A:F,5,0)</f>
        <v>#N/A</v>
      </c>
      <c r="K12" s="15" t="e">
        <f>IF(I12&lt;&gt;"",IFERROR(VLOOKUP(I12,OQC放行记录!G:J,4,0),"待检"),NA())</f>
        <v>#N/A</v>
      </c>
      <c r="L12" s="15">
        <f>G12-SUMIF(销售出库!J:J,I12,销售出库!G:G)-SUMIF(其他出库!F:F,I12,其他出库!E:E)</f>
        <v>0</v>
      </c>
    </row>
    <row r="13" spans="1:13" ht="27" customHeight="1" x14ac:dyDescent="0.15">
      <c r="C13" s="15" t="e">
        <f>VLOOKUP(A13,生产指令单!A:F,3,0)</f>
        <v>#N/A</v>
      </c>
      <c r="D13" s="15" t="e">
        <f>VLOOKUP(A13,生产指令单!A:F,4,0)</f>
        <v>#N/A</v>
      </c>
      <c r="E13" s="28" t="e">
        <f>VLOOKUP(A13,生产指令单!A:F,6,0)</f>
        <v>#N/A</v>
      </c>
      <c r="F13" s="15" t="e">
        <f>VLOOKUP(A13,生产指令单!A:F,5,0)</f>
        <v>#N/A</v>
      </c>
      <c r="K13" s="15" t="e">
        <f>IF(I13&lt;&gt;"",IFERROR(VLOOKUP(I13,OQC放行记录!G:J,4,0),"待检"),NA())</f>
        <v>#N/A</v>
      </c>
      <c r="L13" s="15">
        <f>G13-SUMIF(销售出库!J:J,I13,销售出库!G:G)-SUMIF(其他出库!F:F,I13,其他出库!E:E)</f>
        <v>0</v>
      </c>
    </row>
    <row r="14" spans="1:13" ht="27" customHeight="1" x14ac:dyDescent="0.15">
      <c r="C14" s="15" t="e">
        <f>VLOOKUP(A14,生产指令单!A:F,3,0)</f>
        <v>#N/A</v>
      </c>
      <c r="D14" s="15" t="e">
        <f>VLOOKUP(A14,生产指令单!A:F,4,0)</f>
        <v>#N/A</v>
      </c>
      <c r="E14" s="28" t="e">
        <f>VLOOKUP(A14,生产指令单!A:F,6,0)</f>
        <v>#N/A</v>
      </c>
      <c r="F14" s="15" t="e">
        <f>VLOOKUP(A14,生产指令单!A:F,5,0)</f>
        <v>#N/A</v>
      </c>
      <c r="K14" s="15" t="e">
        <f>IF(I14&lt;&gt;"",IFERROR(VLOOKUP(I14,OQC放行记录!G:J,4,0),"待检"),NA())</f>
        <v>#N/A</v>
      </c>
      <c r="L14" s="15">
        <f>G14-SUMIF(销售出库!J:J,I14,销售出库!G:G)-SUMIF(其他出库!F:F,I14,其他出库!E:E)</f>
        <v>0</v>
      </c>
    </row>
    <row r="15" spans="1:13" ht="27" customHeight="1" x14ac:dyDescent="0.15">
      <c r="C15" s="15" t="e">
        <f>VLOOKUP(A15,生产指令单!A:F,3,0)</f>
        <v>#N/A</v>
      </c>
      <c r="D15" s="15" t="e">
        <f>VLOOKUP(A15,生产指令单!A:F,4,0)</f>
        <v>#N/A</v>
      </c>
      <c r="E15" s="28" t="e">
        <f>VLOOKUP(A15,生产指令单!A:F,6,0)</f>
        <v>#N/A</v>
      </c>
      <c r="F15" s="15" t="e">
        <f>VLOOKUP(A15,生产指令单!A:F,5,0)</f>
        <v>#N/A</v>
      </c>
      <c r="K15" s="15" t="e">
        <f>IF(I15&lt;&gt;"",IFERROR(VLOOKUP(I15,OQC放行记录!G:J,4,0),"待检"),NA())</f>
        <v>#N/A</v>
      </c>
      <c r="L15" s="15">
        <f>G15-SUMIF(销售出库!J:J,I15,销售出库!G:G)-SUMIF(其他出库!F:F,I15,其他出库!E:E)</f>
        <v>0</v>
      </c>
    </row>
    <row r="16" spans="1:13" ht="27" customHeight="1" x14ac:dyDescent="0.15">
      <c r="C16" s="15" t="e">
        <f>VLOOKUP(A16,生产指令单!A:F,3,0)</f>
        <v>#N/A</v>
      </c>
      <c r="D16" s="15" t="e">
        <f>VLOOKUP(A16,生产指令单!A:F,4,0)</f>
        <v>#N/A</v>
      </c>
      <c r="E16" s="28" t="e">
        <f>VLOOKUP(A16,生产指令单!A:F,6,0)</f>
        <v>#N/A</v>
      </c>
      <c r="F16" s="15" t="e">
        <f>VLOOKUP(A16,生产指令单!A:F,5,0)</f>
        <v>#N/A</v>
      </c>
      <c r="K16" s="15" t="e">
        <f>IF(I16&lt;&gt;"",IFERROR(VLOOKUP(I16,OQC放行记录!G:J,4,0),"待检"),NA())</f>
        <v>#N/A</v>
      </c>
      <c r="L16" s="15">
        <f>G16-SUMIF(销售出库!J:J,I16,销售出库!G:G)-SUMIF(其他出库!F:F,I16,其他出库!E:E)</f>
        <v>0</v>
      </c>
    </row>
    <row r="17" spans="3:12" ht="27" customHeight="1" x14ac:dyDescent="0.15">
      <c r="C17" s="15" t="e">
        <f>VLOOKUP(A17,生产指令单!A:F,3,0)</f>
        <v>#N/A</v>
      </c>
      <c r="D17" s="15" t="e">
        <f>VLOOKUP(A17,生产指令单!A:F,4,0)</f>
        <v>#N/A</v>
      </c>
      <c r="E17" s="28" t="e">
        <f>VLOOKUP(A17,生产指令单!A:F,6,0)</f>
        <v>#N/A</v>
      </c>
      <c r="F17" s="15" t="e">
        <f>VLOOKUP(A17,生产指令单!A:F,5,0)</f>
        <v>#N/A</v>
      </c>
      <c r="K17" s="15" t="e">
        <f>IF(I17&lt;&gt;"",IFERROR(VLOOKUP(I17,OQC放行记录!G:J,4,0),"待检"),NA())</f>
        <v>#N/A</v>
      </c>
      <c r="L17" s="15">
        <f>G17-SUMIF(销售出库!J:J,I17,销售出库!G:G)-SUMIF(其他出库!F:F,I17,其他出库!E:E)</f>
        <v>0</v>
      </c>
    </row>
    <row r="18" spans="3:12" ht="27" customHeight="1" x14ac:dyDescent="0.15">
      <c r="C18" s="15" t="e">
        <f>VLOOKUP(A18,生产指令单!A:F,3,0)</f>
        <v>#N/A</v>
      </c>
      <c r="D18" s="15" t="e">
        <f>VLOOKUP(A18,生产指令单!A:F,4,0)</f>
        <v>#N/A</v>
      </c>
      <c r="E18" s="28" t="e">
        <f>VLOOKUP(A18,生产指令单!A:F,6,0)</f>
        <v>#N/A</v>
      </c>
      <c r="F18" s="15" t="e">
        <f>VLOOKUP(A18,生产指令单!A:F,5,0)</f>
        <v>#N/A</v>
      </c>
      <c r="K18" s="15" t="e">
        <f>IF(I18&lt;&gt;"",IFERROR(VLOOKUP(I18,OQC放行记录!G:J,4,0),"待检"),NA())</f>
        <v>#N/A</v>
      </c>
      <c r="L18" s="15">
        <f>G18-SUMIF(销售出库!J:J,I18,销售出库!G:G)-SUMIF(其他出库!F:F,I18,其他出库!E:E)</f>
        <v>0</v>
      </c>
    </row>
    <row r="19" spans="3:12" ht="27" customHeight="1" x14ac:dyDescent="0.15">
      <c r="C19" s="15" t="e">
        <f>VLOOKUP(A19,生产指令单!A:F,3,0)</f>
        <v>#N/A</v>
      </c>
      <c r="D19" s="15" t="e">
        <f>VLOOKUP(A19,生产指令单!A:F,4,0)</f>
        <v>#N/A</v>
      </c>
      <c r="E19" s="28" t="e">
        <f>VLOOKUP(A19,生产指令单!A:F,6,0)</f>
        <v>#N/A</v>
      </c>
      <c r="F19" s="15" t="e">
        <f>VLOOKUP(A19,生产指令单!A:F,5,0)</f>
        <v>#N/A</v>
      </c>
      <c r="K19" s="15" t="e">
        <f>IF(I19&lt;&gt;"",IFERROR(VLOOKUP(I19,OQC放行记录!G:J,4,0),"待检"),NA())</f>
        <v>#N/A</v>
      </c>
      <c r="L19" s="15">
        <f>G19-SUMIF(销售出库!J:J,I19,销售出库!G:G)-SUMIF(其他出库!F:F,I19,其他出库!E:E)</f>
        <v>0</v>
      </c>
    </row>
  </sheetData>
  <phoneticPr fontId="1" type="noConversion"/>
  <conditionalFormatting sqref="I1:I1048576">
    <cfRule type="duplicateValues" dxfId="5" priority="5"/>
  </conditionalFormatting>
  <conditionalFormatting sqref="A1:M1048576">
    <cfRule type="expression" dxfId="4" priority="3">
      <formula>$K1="待检"</formula>
    </cfRule>
  </conditionalFormatting>
  <pageMargins left="0.23622047244094491" right="0.23622047244094491" top="0.35433070866141736" bottom="0.55118110236220474" header="0.31496062992125984" footer="0.31496062992125984"/>
  <pageSetup paperSize="9" scale="85" fitToHeight="0" orientation="landscape" horizontalDpi="180" verticalDpi="180" r:id="rId1"/>
  <headerFooter scaleWithDoc="0">
    <oddFooter>&amp;C&amp;D，第 &amp;P 页，共 &amp;N 页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workbookViewId="0">
      <pane ySplit="2" topLeftCell="A3" activePane="bottomLeft" state="frozen"/>
      <selection pane="bottomLeft" activeCell="F9" sqref="F9"/>
    </sheetView>
  </sheetViews>
  <sheetFormatPr defaultRowHeight="27" customHeight="1" x14ac:dyDescent="0.15"/>
  <cols>
    <col min="1" max="1" width="15.5" style="15" customWidth="1"/>
    <col min="2" max="2" width="13" style="16" customWidth="1"/>
    <col min="3" max="3" width="14.125" style="15" customWidth="1"/>
    <col min="4" max="4" width="29.375" style="26" customWidth="1"/>
    <col min="5" max="5" width="13.625" style="15" customWidth="1"/>
    <col min="6" max="6" width="15" style="15" customWidth="1"/>
    <col min="7" max="7" width="14.875" style="15" customWidth="1"/>
    <col min="8" max="8" width="14.625" style="15" customWidth="1"/>
    <col min="9" max="9" width="13.625" style="15" customWidth="1"/>
    <col min="10" max="10" width="14.375" style="15" customWidth="1"/>
    <col min="11" max="11" width="11.25" style="18" customWidth="1"/>
    <col min="12" max="16384" width="9" style="8"/>
  </cols>
  <sheetData>
    <row r="1" spans="1:11" s="23" customFormat="1" ht="35.1" customHeight="1" x14ac:dyDescent="0.15">
      <c r="A1" s="19"/>
      <c r="B1" s="20" t="s">
        <v>249</v>
      </c>
      <c r="C1" s="19"/>
      <c r="D1" s="19"/>
      <c r="E1" s="19"/>
      <c r="F1" s="19"/>
      <c r="G1" s="19"/>
      <c r="H1" s="19"/>
      <c r="I1" s="19"/>
      <c r="J1" s="19"/>
    </row>
    <row r="2" spans="1:11" s="4" customFormat="1" ht="27" customHeight="1" x14ac:dyDescent="0.15">
      <c r="A2" s="5" t="s">
        <v>253</v>
      </c>
      <c r="B2" s="14" t="s">
        <v>250</v>
      </c>
      <c r="C2" s="5" t="s">
        <v>14</v>
      </c>
      <c r="D2" s="5" t="s">
        <v>16</v>
      </c>
      <c r="E2" s="5" t="s">
        <v>15</v>
      </c>
      <c r="F2" s="5" t="s">
        <v>251</v>
      </c>
      <c r="G2" s="5" t="s">
        <v>128</v>
      </c>
      <c r="H2" s="5" t="s">
        <v>252</v>
      </c>
      <c r="I2" s="5" t="s">
        <v>254</v>
      </c>
      <c r="J2" s="5" t="s">
        <v>255</v>
      </c>
      <c r="K2" s="5" t="s">
        <v>9</v>
      </c>
    </row>
    <row r="3" spans="1:11" ht="27" customHeight="1" x14ac:dyDescent="0.15">
      <c r="B3" s="16">
        <f>INDEX(成品进仓!B:B,MATCH(G3,成品进仓!I:I,0))</f>
        <v>44506</v>
      </c>
      <c r="C3" s="15" t="str">
        <f>INDEX(成品进仓!D:D,MATCH(G3,成品进仓!I:I,0))</f>
        <v>品牌A</v>
      </c>
      <c r="D3" s="26" t="str">
        <f>INDEX(成品进仓!E:E,MATCH(G3,成品进仓!I:I,0))</f>
        <v>洁面乳</v>
      </c>
      <c r="E3" s="15" t="str">
        <f>INDEX(成品进仓!F:F,MATCH(G3,成品进仓!I:I,0))</f>
        <v>100g</v>
      </c>
      <c r="G3" s="15" t="s">
        <v>240</v>
      </c>
      <c r="H3" s="15">
        <f>INDEX(成品进仓!G:G,MATCH(G3,成品进仓!I:I,0))</f>
        <v>1012</v>
      </c>
      <c r="I3" s="32">
        <v>44506</v>
      </c>
      <c r="J3" s="15" t="s">
        <v>256</v>
      </c>
    </row>
    <row r="4" spans="1:11" ht="27" customHeight="1" x14ac:dyDescent="0.15">
      <c r="B4" s="16" t="e">
        <f>INDEX(成品进仓!B:B,MATCH(G4,成品进仓!I:I,0))</f>
        <v>#N/A</v>
      </c>
      <c r="C4" s="15" t="e">
        <f>INDEX(成品进仓!D:D,MATCH(G4,成品进仓!I:I,0))</f>
        <v>#N/A</v>
      </c>
      <c r="D4" s="26" t="e">
        <f>INDEX(成品进仓!E:E,MATCH(G4,成品进仓!I:I,0))</f>
        <v>#N/A</v>
      </c>
      <c r="E4" s="15" t="e">
        <f>INDEX(成品进仓!F:F,MATCH(G4,成品进仓!I:I,0))</f>
        <v>#N/A</v>
      </c>
      <c r="H4" s="15" t="e">
        <f>INDEX(成品进仓!G:G,MATCH(G4,成品进仓!I:I,0))</f>
        <v>#N/A</v>
      </c>
    </row>
    <row r="5" spans="1:11" ht="27" customHeight="1" x14ac:dyDescent="0.15">
      <c r="B5" s="16" t="e">
        <f>INDEX(成品进仓!B:B,MATCH(G5,成品进仓!I:I,0))</f>
        <v>#N/A</v>
      </c>
      <c r="C5" s="15" t="e">
        <f>INDEX(成品进仓!D:D,MATCH(G5,成品进仓!I:I,0))</f>
        <v>#N/A</v>
      </c>
      <c r="D5" s="26" t="e">
        <f>INDEX(成品进仓!E:E,MATCH(G5,成品进仓!I:I,0))</f>
        <v>#N/A</v>
      </c>
      <c r="E5" s="15" t="e">
        <f>INDEX(成品进仓!F:F,MATCH(G5,成品进仓!I:I,0))</f>
        <v>#N/A</v>
      </c>
      <c r="H5" s="15" t="e">
        <f>INDEX(成品进仓!G:G,MATCH(G5,成品进仓!I:I,0))</f>
        <v>#N/A</v>
      </c>
    </row>
    <row r="6" spans="1:11" ht="27" customHeight="1" x14ac:dyDescent="0.15">
      <c r="B6" s="16" t="e">
        <f>INDEX(成品进仓!B:B,MATCH(G6,成品进仓!I:I,0))</f>
        <v>#N/A</v>
      </c>
      <c r="C6" s="15" t="e">
        <f>INDEX(成品进仓!D:D,MATCH(G6,成品进仓!I:I,0))</f>
        <v>#N/A</v>
      </c>
      <c r="D6" s="26" t="e">
        <f>INDEX(成品进仓!E:E,MATCH(G6,成品进仓!I:I,0))</f>
        <v>#N/A</v>
      </c>
      <c r="E6" s="15" t="e">
        <f>INDEX(成品进仓!F:F,MATCH(G6,成品进仓!I:I,0))</f>
        <v>#N/A</v>
      </c>
      <c r="H6" s="15" t="e">
        <f>INDEX(成品进仓!G:G,MATCH(G6,成品进仓!I:I,0))</f>
        <v>#N/A</v>
      </c>
    </row>
    <row r="7" spans="1:11" ht="27" customHeight="1" x14ac:dyDescent="0.15">
      <c r="B7" s="16" t="e">
        <f>INDEX(成品进仓!B:B,MATCH(G7,成品进仓!I:I,0))</f>
        <v>#N/A</v>
      </c>
      <c r="C7" s="15" t="e">
        <f>INDEX(成品进仓!D:D,MATCH(G7,成品进仓!I:I,0))</f>
        <v>#N/A</v>
      </c>
      <c r="D7" s="26" t="e">
        <f>INDEX(成品进仓!E:E,MATCH(G7,成品进仓!I:I,0))</f>
        <v>#N/A</v>
      </c>
      <c r="E7" s="15" t="e">
        <f>INDEX(成品进仓!F:F,MATCH(G7,成品进仓!I:I,0))</f>
        <v>#N/A</v>
      </c>
      <c r="H7" s="15" t="e">
        <f>INDEX(成品进仓!G:G,MATCH(G7,成品进仓!I:I,0))</f>
        <v>#N/A</v>
      </c>
    </row>
    <row r="8" spans="1:11" ht="27" customHeight="1" x14ac:dyDescent="0.15">
      <c r="B8" s="16" t="e">
        <f>INDEX(成品进仓!B:B,MATCH(G8,成品进仓!I:I,0))</f>
        <v>#N/A</v>
      </c>
      <c r="C8" s="15" t="e">
        <f>INDEX(成品进仓!D:D,MATCH(G8,成品进仓!I:I,0))</f>
        <v>#N/A</v>
      </c>
      <c r="D8" s="26" t="e">
        <f>INDEX(成品进仓!E:E,MATCH(G8,成品进仓!I:I,0))</f>
        <v>#N/A</v>
      </c>
      <c r="E8" s="15" t="e">
        <f>INDEX(成品进仓!F:F,MATCH(G8,成品进仓!I:I,0))</f>
        <v>#N/A</v>
      </c>
      <c r="H8" s="15" t="e">
        <f>INDEX(成品进仓!G:G,MATCH(G8,成品进仓!I:I,0))</f>
        <v>#N/A</v>
      </c>
    </row>
    <row r="9" spans="1:11" ht="27" customHeight="1" x14ac:dyDescent="0.15">
      <c r="B9" s="16" t="e">
        <f>INDEX(成品进仓!B:B,MATCH(G9,成品进仓!I:I,0))</f>
        <v>#N/A</v>
      </c>
      <c r="C9" s="15" t="e">
        <f>INDEX(成品进仓!D:D,MATCH(G9,成品进仓!I:I,0))</f>
        <v>#N/A</v>
      </c>
      <c r="D9" s="26" t="e">
        <f>INDEX(成品进仓!E:E,MATCH(G9,成品进仓!I:I,0))</f>
        <v>#N/A</v>
      </c>
      <c r="E9" s="15" t="e">
        <f>INDEX(成品进仓!F:F,MATCH(G9,成品进仓!I:I,0))</f>
        <v>#N/A</v>
      </c>
      <c r="H9" s="15" t="e">
        <f>INDEX(成品进仓!G:G,MATCH(G9,成品进仓!I:I,0))</f>
        <v>#N/A</v>
      </c>
    </row>
    <row r="10" spans="1:11" ht="27" customHeight="1" x14ac:dyDescent="0.15">
      <c r="B10" s="16" t="e">
        <f>INDEX(成品进仓!B:B,MATCH(G10,成品进仓!I:I,0))</f>
        <v>#N/A</v>
      </c>
      <c r="C10" s="15" t="e">
        <f>INDEX(成品进仓!D:D,MATCH(G10,成品进仓!I:I,0))</f>
        <v>#N/A</v>
      </c>
      <c r="D10" s="26" t="e">
        <f>INDEX(成品进仓!E:E,MATCH(G10,成品进仓!I:I,0))</f>
        <v>#N/A</v>
      </c>
      <c r="E10" s="15" t="e">
        <f>INDEX(成品进仓!F:F,MATCH(G10,成品进仓!I:I,0))</f>
        <v>#N/A</v>
      </c>
      <c r="H10" s="15" t="e">
        <f>INDEX(成品进仓!G:G,MATCH(G10,成品进仓!I:I,0))</f>
        <v>#N/A</v>
      </c>
    </row>
    <row r="11" spans="1:11" ht="27" customHeight="1" x14ac:dyDescent="0.15">
      <c r="B11" s="16" t="e">
        <f>INDEX(成品进仓!B:B,MATCH(G11,成品进仓!I:I,0))</f>
        <v>#N/A</v>
      </c>
      <c r="C11" s="15" t="e">
        <f>INDEX(成品进仓!D:D,MATCH(G11,成品进仓!I:I,0))</f>
        <v>#N/A</v>
      </c>
      <c r="D11" s="26" t="e">
        <f>INDEX(成品进仓!E:E,MATCH(G11,成品进仓!I:I,0))</f>
        <v>#N/A</v>
      </c>
      <c r="E11" s="15" t="e">
        <f>INDEX(成品进仓!F:F,MATCH(G11,成品进仓!I:I,0))</f>
        <v>#N/A</v>
      </c>
      <c r="H11" s="15" t="e">
        <f>INDEX(成品进仓!G:G,MATCH(G11,成品进仓!I:I,0))</f>
        <v>#N/A</v>
      </c>
    </row>
    <row r="12" spans="1:11" ht="27" customHeight="1" x14ac:dyDescent="0.15">
      <c r="B12" s="16" t="e">
        <f>INDEX(成品进仓!B:B,MATCH(G12,成品进仓!I:I,0))</f>
        <v>#N/A</v>
      </c>
      <c r="C12" s="15" t="e">
        <f>INDEX(成品进仓!D:D,MATCH(G12,成品进仓!I:I,0))</f>
        <v>#N/A</v>
      </c>
      <c r="D12" s="26" t="e">
        <f>INDEX(成品进仓!E:E,MATCH(G12,成品进仓!I:I,0))</f>
        <v>#N/A</v>
      </c>
      <c r="E12" s="15" t="e">
        <f>INDEX(成品进仓!F:F,MATCH(G12,成品进仓!I:I,0))</f>
        <v>#N/A</v>
      </c>
      <c r="H12" s="15" t="e">
        <f>INDEX(成品进仓!G:G,MATCH(G12,成品进仓!I:I,0))</f>
        <v>#N/A</v>
      </c>
    </row>
    <row r="13" spans="1:11" ht="27" customHeight="1" x14ac:dyDescent="0.15">
      <c r="B13" s="16" t="e">
        <f>INDEX(成品进仓!B:B,MATCH(G13,成品进仓!I:I,0))</f>
        <v>#N/A</v>
      </c>
      <c r="C13" s="15" t="e">
        <f>INDEX(成品进仓!D:D,MATCH(G13,成品进仓!I:I,0))</f>
        <v>#N/A</v>
      </c>
      <c r="D13" s="26" t="e">
        <f>INDEX(成品进仓!E:E,MATCH(G13,成品进仓!I:I,0))</f>
        <v>#N/A</v>
      </c>
      <c r="E13" s="15" t="e">
        <f>INDEX(成品进仓!F:F,MATCH(G13,成品进仓!I:I,0))</f>
        <v>#N/A</v>
      </c>
      <c r="H13" s="15" t="e">
        <f>INDEX(成品进仓!G:G,MATCH(G13,成品进仓!I:I,0))</f>
        <v>#N/A</v>
      </c>
    </row>
    <row r="14" spans="1:11" ht="27" customHeight="1" x14ac:dyDescent="0.15">
      <c r="B14" s="16" t="e">
        <f>INDEX(成品进仓!B:B,MATCH(G14,成品进仓!I:I,0))</f>
        <v>#N/A</v>
      </c>
      <c r="C14" s="15" t="e">
        <f>INDEX(成品进仓!D:D,MATCH(G14,成品进仓!I:I,0))</f>
        <v>#N/A</v>
      </c>
      <c r="D14" s="26" t="e">
        <f>INDEX(成品进仓!E:E,MATCH(G14,成品进仓!I:I,0))</f>
        <v>#N/A</v>
      </c>
      <c r="E14" s="15" t="e">
        <f>INDEX(成品进仓!F:F,MATCH(G14,成品进仓!I:I,0))</f>
        <v>#N/A</v>
      </c>
      <c r="H14" s="15" t="e">
        <f>INDEX(成品进仓!G:G,MATCH(G14,成品进仓!I:I,0))</f>
        <v>#N/A</v>
      </c>
    </row>
    <row r="15" spans="1:11" ht="27" customHeight="1" x14ac:dyDescent="0.15">
      <c r="B15" s="16" t="e">
        <f>INDEX(成品进仓!B:B,MATCH(G15,成品进仓!I:I,0))</f>
        <v>#N/A</v>
      </c>
      <c r="C15" s="15" t="e">
        <f>INDEX(成品进仓!D:D,MATCH(G15,成品进仓!I:I,0))</f>
        <v>#N/A</v>
      </c>
      <c r="D15" s="26" t="e">
        <f>INDEX(成品进仓!E:E,MATCH(G15,成品进仓!I:I,0))</f>
        <v>#N/A</v>
      </c>
      <c r="E15" s="15" t="e">
        <f>INDEX(成品进仓!F:F,MATCH(G15,成品进仓!I:I,0))</f>
        <v>#N/A</v>
      </c>
      <c r="H15" s="15" t="e">
        <f>INDEX(成品进仓!G:G,MATCH(G15,成品进仓!I:I,0))</f>
        <v>#N/A</v>
      </c>
    </row>
    <row r="16" spans="1:11" ht="27" customHeight="1" x14ac:dyDescent="0.15">
      <c r="B16" s="16" t="e">
        <f>INDEX(成品进仓!B:B,MATCH(G16,成品进仓!I:I,0))</f>
        <v>#N/A</v>
      </c>
      <c r="C16" s="15" t="e">
        <f>INDEX(成品进仓!D:D,MATCH(G16,成品进仓!I:I,0))</f>
        <v>#N/A</v>
      </c>
      <c r="D16" s="26" t="e">
        <f>INDEX(成品进仓!E:E,MATCH(G16,成品进仓!I:I,0))</f>
        <v>#N/A</v>
      </c>
      <c r="E16" s="15" t="e">
        <f>INDEX(成品进仓!F:F,MATCH(G16,成品进仓!I:I,0))</f>
        <v>#N/A</v>
      </c>
      <c r="H16" s="15" t="e">
        <f>INDEX(成品进仓!G:G,MATCH(G16,成品进仓!I:I,0))</f>
        <v>#N/A</v>
      </c>
    </row>
    <row r="17" spans="2:8" ht="27" customHeight="1" x14ac:dyDescent="0.15">
      <c r="B17" s="16" t="e">
        <f>INDEX(成品进仓!B:B,MATCH(G17,成品进仓!I:I,0))</f>
        <v>#N/A</v>
      </c>
      <c r="C17" s="15" t="e">
        <f>INDEX(成品进仓!D:D,MATCH(G17,成品进仓!I:I,0))</f>
        <v>#N/A</v>
      </c>
      <c r="D17" s="26" t="e">
        <f>INDEX(成品进仓!E:E,MATCH(G17,成品进仓!I:I,0))</f>
        <v>#N/A</v>
      </c>
      <c r="E17" s="15" t="e">
        <f>INDEX(成品进仓!F:F,MATCH(G17,成品进仓!I:I,0))</f>
        <v>#N/A</v>
      </c>
      <c r="H17" s="15" t="e">
        <f>INDEX(成品进仓!G:G,MATCH(G17,成品进仓!I:I,0))</f>
        <v>#N/A</v>
      </c>
    </row>
    <row r="18" spans="2:8" ht="27" customHeight="1" x14ac:dyDescent="0.15">
      <c r="B18" s="16" t="e">
        <f>INDEX(成品进仓!B:B,MATCH(G18,成品进仓!I:I,0))</f>
        <v>#N/A</v>
      </c>
      <c r="C18" s="15" t="e">
        <f>INDEX(成品进仓!D:D,MATCH(G18,成品进仓!I:I,0))</f>
        <v>#N/A</v>
      </c>
      <c r="D18" s="26" t="e">
        <f>INDEX(成品进仓!E:E,MATCH(G18,成品进仓!I:I,0))</f>
        <v>#N/A</v>
      </c>
      <c r="E18" s="15" t="e">
        <f>INDEX(成品进仓!F:F,MATCH(G18,成品进仓!I:I,0))</f>
        <v>#N/A</v>
      </c>
      <c r="H18" s="15" t="e">
        <f>INDEX(成品进仓!G:G,MATCH(G18,成品进仓!I:I,0))</f>
        <v>#N/A</v>
      </c>
    </row>
    <row r="19" spans="2:8" ht="27" customHeight="1" x14ac:dyDescent="0.15">
      <c r="B19" s="16" t="e">
        <f>INDEX(成品进仓!B:B,MATCH(G19,成品进仓!I:I,0))</f>
        <v>#N/A</v>
      </c>
      <c r="C19" s="15" t="e">
        <f>INDEX(成品进仓!D:D,MATCH(G19,成品进仓!I:I,0))</f>
        <v>#N/A</v>
      </c>
      <c r="D19" s="26" t="e">
        <f>INDEX(成品进仓!E:E,MATCH(G19,成品进仓!I:I,0))</f>
        <v>#N/A</v>
      </c>
      <c r="E19" s="15" t="e">
        <f>INDEX(成品进仓!F:F,MATCH(G19,成品进仓!I:I,0))</f>
        <v>#N/A</v>
      </c>
      <c r="H19" s="15" t="e">
        <f>INDEX(成品进仓!G:G,MATCH(G19,成品进仓!I:I,0))</f>
        <v>#N/A</v>
      </c>
    </row>
  </sheetData>
  <phoneticPr fontId="1" type="noConversion"/>
  <pageMargins left="0.23622047244094491" right="0.23622047244094491" top="0.35433070866141736" bottom="0.55118110236220474" header="0.31496062992125984" footer="0.31496062992125984"/>
  <pageSetup paperSize="9" scale="85" fitToHeight="0" orientation="landscape" horizontalDpi="180" verticalDpi="180" r:id="rId1"/>
  <headerFooter scaleWithDoc="0">
    <oddFooter>&amp;C&amp;D，第 &amp;P 页，共 &amp;N 页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workbookViewId="0">
      <pane ySplit="2" topLeftCell="A3" activePane="bottomLeft" state="frozen"/>
      <selection pane="bottomLeft" activeCell="H20" sqref="H20"/>
    </sheetView>
  </sheetViews>
  <sheetFormatPr defaultRowHeight="27" customHeight="1" x14ac:dyDescent="0.15"/>
  <cols>
    <col min="1" max="1" width="15.5" style="15" customWidth="1"/>
    <col min="2" max="2" width="11.75" style="16" customWidth="1"/>
    <col min="3" max="3" width="11.625" style="15" customWidth="1"/>
    <col min="4" max="4" width="12.375" style="15" customWidth="1"/>
    <col min="5" max="5" width="23.125" style="28" customWidth="1"/>
    <col min="6" max="6" width="10.25" style="15" customWidth="1"/>
    <col min="7" max="7" width="11.875" style="15" customWidth="1"/>
    <col min="8" max="8" width="17.25" style="15" customWidth="1"/>
    <col min="9" max="9" width="11.375" style="18" customWidth="1"/>
    <col min="10" max="10" width="12.75" style="15" customWidth="1"/>
    <col min="11" max="11" width="16.625" style="15" customWidth="1"/>
    <col min="12" max="12" width="10.25" style="18" customWidth="1"/>
    <col min="13" max="13" width="10.25" style="8" customWidth="1"/>
    <col min="14" max="16384" width="9" style="8"/>
  </cols>
  <sheetData>
    <row r="1" spans="1:12" s="23" customFormat="1" ht="35.1" customHeight="1" x14ac:dyDescent="0.15">
      <c r="A1" s="19"/>
      <c r="B1" s="20" t="s">
        <v>108</v>
      </c>
      <c r="C1" s="19"/>
      <c r="D1" s="19"/>
      <c r="E1" s="24"/>
      <c r="F1" s="19"/>
      <c r="G1" s="29" t="s">
        <v>111</v>
      </c>
      <c r="H1" s="19"/>
      <c r="J1" s="19"/>
      <c r="K1" s="19"/>
    </row>
    <row r="2" spans="1:12" s="4" customFormat="1" ht="27" customHeight="1" x14ac:dyDescent="0.15">
      <c r="A2" s="5" t="s">
        <v>259</v>
      </c>
      <c r="B2" s="5" t="s">
        <v>109</v>
      </c>
      <c r="C2" s="5" t="s">
        <v>106</v>
      </c>
      <c r="D2" s="5" t="s">
        <v>14</v>
      </c>
      <c r="E2" s="5" t="s">
        <v>16</v>
      </c>
      <c r="F2" s="5" t="s">
        <v>78</v>
      </c>
      <c r="G2" s="5" t="s">
        <v>110</v>
      </c>
      <c r="H2" s="5" t="s">
        <v>85</v>
      </c>
      <c r="I2" s="5" t="s">
        <v>260</v>
      </c>
      <c r="J2" s="5" t="s">
        <v>128</v>
      </c>
      <c r="K2" s="5" t="s">
        <v>261</v>
      </c>
      <c r="L2" s="5" t="s">
        <v>9</v>
      </c>
    </row>
    <row r="3" spans="1:12" ht="27" customHeight="1" x14ac:dyDescent="0.15">
      <c r="C3" s="15" t="str">
        <f>INDEX(成品进仓!C:C,MATCH(J3,成品进仓!I:I,0))</f>
        <v>张三亿</v>
      </c>
      <c r="D3" s="15" t="str">
        <f>INDEX(成品进仓!D:D,MATCH(J3,成品进仓!I:I,0))</f>
        <v>品牌A</v>
      </c>
      <c r="E3" s="28" t="str">
        <f>INDEX(成品进仓!E:E,MATCH(J3,成品进仓!I:I,0))</f>
        <v>洁面乳</v>
      </c>
      <c r="F3" s="15" t="str">
        <f>INDEX(成品进仓!F:F,MATCH(J3,成品进仓!I:I,0))</f>
        <v>100g</v>
      </c>
      <c r="G3" s="15">
        <f>INDEX(成品进仓!G:G,MATCH(J3,成品进仓!I:I,0))</f>
        <v>1012</v>
      </c>
      <c r="H3" s="15" t="str">
        <f>IF(G3&lt;&gt;INDEX(成品进仓!G:G,MATCH(J3,成品进仓!I:I,0)),"",INDEX(成品进仓!H:H,MATCH(J3,成品进仓!I:I,0)))&amp;""</f>
        <v>100*10+12</v>
      </c>
      <c r="I3" s="18" t="str">
        <f>IF(G3&lt;&gt;INDEX(成品进仓!G:G,MATCH(J3,成品进仓!I:I,0)),"",INDEX(成品进仓!J:J,MATCH(J3,成品进仓!I:I,0)))&amp;""</f>
        <v>附3支样板</v>
      </c>
      <c r="J3" s="15" t="s">
        <v>240</v>
      </c>
      <c r="K3" s="15" t="str">
        <f>INDEX(成品进仓!A:A,MATCH(J3,成品进仓!I:I,0))</f>
        <v>PI001</v>
      </c>
    </row>
    <row r="4" spans="1:12" ht="27" customHeight="1" x14ac:dyDescent="0.15">
      <c r="C4" s="15" t="str">
        <f>INDEX(成品进仓!C:C,MATCH(J4,成品进仓!I:I,0))</f>
        <v>张三亿</v>
      </c>
      <c r="D4" s="15" t="str">
        <f>INDEX(成品进仓!D:D,MATCH(J4,成品进仓!I:I,0))</f>
        <v>品牌A</v>
      </c>
      <c r="E4" s="28" t="str">
        <f>INDEX(成品进仓!E:E,MATCH(J4,成品进仓!I:I,0))</f>
        <v>洁面乳</v>
      </c>
      <c r="F4" s="15" t="str">
        <f>INDEX(成品进仓!F:F,MATCH(J4,成品进仓!I:I,0))</f>
        <v>100g</v>
      </c>
      <c r="G4" s="15">
        <v>-55</v>
      </c>
      <c r="H4" s="15" t="str">
        <f>IF(G4&lt;&gt;INDEX(成品进仓!G:G,MATCH(J4,成品进仓!I:I,0)),"",INDEX(成品进仓!H:H,MATCH(J4,成品进仓!I:I,0)))&amp;""</f>
        <v/>
      </c>
      <c r="I4" s="18" t="str">
        <f>IF(G4&lt;&gt;INDEX(成品进仓!G:G,MATCH(J4,成品进仓!I:I,0)),"",INDEX(成品进仓!J:J,MATCH(J4,成品进仓!I:I,0)))&amp;""</f>
        <v/>
      </c>
      <c r="J4" s="15" t="s">
        <v>240</v>
      </c>
      <c r="K4" s="15" t="str">
        <f>INDEX(成品进仓!A:A,MATCH(J4,成品进仓!I:I,0))</f>
        <v>PI001</v>
      </c>
    </row>
    <row r="5" spans="1:12" ht="27" customHeight="1" x14ac:dyDescent="0.15">
      <c r="C5" s="15" t="e">
        <f>INDEX(成品进仓!C:C,MATCH(J5,成品进仓!I:I,0))</f>
        <v>#N/A</v>
      </c>
      <c r="D5" s="15" t="e">
        <f>INDEX(成品进仓!D:D,MATCH(J5,成品进仓!I:I,0))</f>
        <v>#N/A</v>
      </c>
      <c r="E5" s="28" t="e">
        <f>INDEX(成品进仓!E:E,MATCH(J5,成品进仓!I:I,0))</f>
        <v>#N/A</v>
      </c>
      <c r="F5" s="15" t="e">
        <f>INDEX(成品进仓!F:F,MATCH(J5,成品进仓!I:I,0))</f>
        <v>#N/A</v>
      </c>
      <c r="G5" s="15" t="e">
        <f>INDEX(成品进仓!G:G,MATCH(J5,成品进仓!I:I,0))</f>
        <v>#N/A</v>
      </c>
      <c r="H5" s="15" t="e">
        <f>IF(G5&lt;&gt;INDEX(成品进仓!G:G,MATCH(J5,成品进仓!I:I,0)),"",INDEX(成品进仓!H:H,MATCH(J5,成品进仓!I:I,0)))&amp;""</f>
        <v>#N/A</v>
      </c>
      <c r="I5" s="18" t="e">
        <f>IF(G5&lt;&gt;INDEX(成品进仓!G:G,MATCH(J5,成品进仓!I:I,0)),"",INDEX(成品进仓!J:J,MATCH(J5,成品进仓!I:I,0)))&amp;""</f>
        <v>#N/A</v>
      </c>
      <c r="K5" s="15" t="e">
        <f>INDEX(成品进仓!A:A,MATCH(J5,成品进仓!I:I,0))</f>
        <v>#N/A</v>
      </c>
    </row>
    <row r="6" spans="1:12" ht="27" customHeight="1" x14ac:dyDescent="0.15">
      <c r="C6" s="15" t="e">
        <f>INDEX(成品进仓!C:C,MATCH(J6,成品进仓!I:I,0))</f>
        <v>#N/A</v>
      </c>
      <c r="D6" s="15" t="e">
        <f>INDEX(成品进仓!D:D,MATCH(J6,成品进仓!I:I,0))</f>
        <v>#N/A</v>
      </c>
      <c r="E6" s="28" t="e">
        <f>INDEX(成品进仓!E:E,MATCH(J6,成品进仓!I:I,0))</f>
        <v>#N/A</v>
      </c>
      <c r="F6" s="15" t="e">
        <f>INDEX(成品进仓!F:F,MATCH(J6,成品进仓!I:I,0))</f>
        <v>#N/A</v>
      </c>
      <c r="G6" s="15" t="e">
        <f>INDEX(成品进仓!G:G,MATCH(J6,成品进仓!I:I,0))</f>
        <v>#N/A</v>
      </c>
      <c r="H6" s="15" t="e">
        <f>IF(G6&lt;&gt;INDEX(成品进仓!G:G,MATCH(J6,成品进仓!I:I,0)),"",INDEX(成品进仓!H:H,MATCH(J6,成品进仓!I:I,0)))&amp;""</f>
        <v>#N/A</v>
      </c>
      <c r="I6" s="18" t="e">
        <f>IF(G6&lt;&gt;INDEX(成品进仓!G:G,MATCH(J6,成品进仓!I:I,0)),"",INDEX(成品进仓!J:J,MATCH(J6,成品进仓!I:I,0)))&amp;""</f>
        <v>#N/A</v>
      </c>
      <c r="K6" s="15" t="e">
        <f>INDEX(成品进仓!A:A,MATCH(J6,成品进仓!I:I,0))</f>
        <v>#N/A</v>
      </c>
    </row>
    <row r="7" spans="1:12" ht="27" customHeight="1" x14ac:dyDescent="0.15">
      <c r="C7" s="15" t="e">
        <f>INDEX(成品进仓!C:C,MATCH(J7,成品进仓!I:I,0))</f>
        <v>#N/A</v>
      </c>
      <c r="D7" s="15" t="e">
        <f>INDEX(成品进仓!D:D,MATCH(J7,成品进仓!I:I,0))</f>
        <v>#N/A</v>
      </c>
      <c r="E7" s="28" t="e">
        <f>INDEX(成品进仓!E:E,MATCH(J7,成品进仓!I:I,0))</f>
        <v>#N/A</v>
      </c>
      <c r="F7" s="15" t="e">
        <f>INDEX(成品进仓!F:F,MATCH(J7,成品进仓!I:I,0))</f>
        <v>#N/A</v>
      </c>
      <c r="G7" s="15" t="e">
        <f>INDEX(成品进仓!G:G,MATCH(J7,成品进仓!I:I,0))</f>
        <v>#N/A</v>
      </c>
      <c r="H7" s="15" t="e">
        <f>IF(G7&lt;&gt;INDEX(成品进仓!G:G,MATCH(J7,成品进仓!I:I,0)),"",INDEX(成品进仓!H:H,MATCH(J7,成品进仓!I:I,0)))&amp;""</f>
        <v>#N/A</v>
      </c>
      <c r="I7" s="18" t="e">
        <f>IF(G7&lt;&gt;INDEX(成品进仓!G:G,MATCH(J7,成品进仓!I:I,0)),"",INDEX(成品进仓!J:J,MATCH(J7,成品进仓!I:I,0)))&amp;""</f>
        <v>#N/A</v>
      </c>
      <c r="K7" s="15" t="e">
        <f>INDEX(成品进仓!A:A,MATCH(J7,成品进仓!I:I,0))</f>
        <v>#N/A</v>
      </c>
    </row>
    <row r="8" spans="1:12" ht="27" customHeight="1" x14ac:dyDescent="0.15">
      <c r="C8" s="15" t="e">
        <f>INDEX(成品进仓!C:C,MATCH(J8,成品进仓!I:I,0))</f>
        <v>#N/A</v>
      </c>
      <c r="D8" s="15" t="e">
        <f>INDEX(成品进仓!D:D,MATCH(J8,成品进仓!I:I,0))</f>
        <v>#N/A</v>
      </c>
      <c r="E8" s="28" t="e">
        <f>INDEX(成品进仓!E:E,MATCH(J8,成品进仓!I:I,0))</f>
        <v>#N/A</v>
      </c>
      <c r="F8" s="15" t="e">
        <f>INDEX(成品进仓!F:F,MATCH(J8,成品进仓!I:I,0))</f>
        <v>#N/A</v>
      </c>
      <c r="G8" s="15" t="e">
        <f>INDEX(成品进仓!G:G,MATCH(J8,成品进仓!I:I,0))</f>
        <v>#N/A</v>
      </c>
      <c r="H8" s="15" t="e">
        <f>IF(G8&lt;&gt;INDEX(成品进仓!G:G,MATCH(J8,成品进仓!I:I,0)),"",INDEX(成品进仓!H:H,MATCH(J8,成品进仓!I:I,0)))&amp;""</f>
        <v>#N/A</v>
      </c>
      <c r="I8" s="18" t="e">
        <f>IF(G8&lt;&gt;INDEX(成品进仓!G:G,MATCH(J8,成品进仓!I:I,0)),"",INDEX(成品进仓!J:J,MATCH(J8,成品进仓!I:I,0)))&amp;""</f>
        <v>#N/A</v>
      </c>
      <c r="K8" s="15" t="e">
        <f>INDEX(成品进仓!A:A,MATCH(J8,成品进仓!I:I,0))</f>
        <v>#N/A</v>
      </c>
    </row>
    <row r="9" spans="1:12" ht="27" customHeight="1" x14ac:dyDescent="0.15">
      <c r="C9" s="15" t="e">
        <f>INDEX(成品进仓!C:C,MATCH(J9,成品进仓!I:I,0))</f>
        <v>#N/A</v>
      </c>
      <c r="D9" s="15" t="e">
        <f>INDEX(成品进仓!D:D,MATCH(J9,成品进仓!I:I,0))</f>
        <v>#N/A</v>
      </c>
      <c r="E9" s="28" t="e">
        <f>INDEX(成品进仓!E:E,MATCH(J9,成品进仓!I:I,0))</f>
        <v>#N/A</v>
      </c>
      <c r="F9" s="15" t="e">
        <f>INDEX(成品进仓!F:F,MATCH(J9,成品进仓!I:I,0))</f>
        <v>#N/A</v>
      </c>
      <c r="G9" s="15" t="e">
        <f>INDEX(成品进仓!G:G,MATCH(J9,成品进仓!I:I,0))</f>
        <v>#N/A</v>
      </c>
      <c r="H9" s="15" t="e">
        <f>IF(G9&lt;&gt;INDEX(成品进仓!G:G,MATCH(J9,成品进仓!I:I,0)),"",INDEX(成品进仓!H:H,MATCH(J9,成品进仓!I:I,0)))&amp;""</f>
        <v>#N/A</v>
      </c>
      <c r="I9" s="18" t="e">
        <f>IF(G9&lt;&gt;INDEX(成品进仓!G:G,MATCH(J9,成品进仓!I:I,0)),"",INDEX(成品进仓!J:J,MATCH(J9,成品进仓!I:I,0)))&amp;""</f>
        <v>#N/A</v>
      </c>
      <c r="K9" s="15" t="e">
        <f>INDEX(成品进仓!A:A,MATCH(J9,成品进仓!I:I,0))</f>
        <v>#N/A</v>
      </c>
    </row>
    <row r="10" spans="1:12" ht="27" customHeight="1" x14ac:dyDescent="0.15">
      <c r="C10" s="15" t="e">
        <f>INDEX(成品进仓!C:C,MATCH(J10,成品进仓!I:I,0))</f>
        <v>#N/A</v>
      </c>
      <c r="D10" s="15" t="e">
        <f>INDEX(成品进仓!D:D,MATCH(J10,成品进仓!I:I,0))</f>
        <v>#N/A</v>
      </c>
      <c r="E10" s="28" t="e">
        <f>INDEX(成品进仓!E:E,MATCH(J10,成品进仓!I:I,0))</f>
        <v>#N/A</v>
      </c>
      <c r="F10" s="15" t="e">
        <f>INDEX(成品进仓!F:F,MATCH(J10,成品进仓!I:I,0))</f>
        <v>#N/A</v>
      </c>
      <c r="G10" s="15" t="e">
        <f>INDEX(成品进仓!G:G,MATCH(J10,成品进仓!I:I,0))</f>
        <v>#N/A</v>
      </c>
      <c r="H10" s="15" t="e">
        <f>IF(G10&lt;&gt;INDEX(成品进仓!G:G,MATCH(J10,成品进仓!I:I,0)),"",INDEX(成品进仓!H:H,MATCH(J10,成品进仓!I:I,0)))&amp;""</f>
        <v>#N/A</v>
      </c>
      <c r="I10" s="18" t="e">
        <f>IF(G10&lt;&gt;INDEX(成品进仓!G:G,MATCH(J10,成品进仓!I:I,0)),"",INDEX(成品进仓!J:J,MATCH(J10,成品进仓!I:I,0)))&amp;""</f>
        <v>#N/A</v>
      </c>
      <c r="K10" s="15" t="e">
        <f>INDEX(成品进仓!A:A,MATCH(J10,成品进仓!I:I,0))</f>
        <v>#N/A</v>
      </c>
    </row>
    <row r="11" spans="1:12" ht="27" customHeight="1" x14ac:dyDescent="0.15">
      <c r="C11" s="15" t="e">
        <f>INDEX(成品进仓!C:C,MATCH(J11,成品进仓!I:I,0))</f>
        <v>#N/A</v>
      </c>
      <c r="D11" s="15" t="e">
        <f>INDEX(成品进仓!D:D,MATCH(J11,成品进仓!I:I,0))</f>
        <v>#N/A</v>
      </c>
      <c r="E11" s="28" t="e">
        <f>INDEX(成品进仓!E:E,MATCH(J11,成品进仓!I:I,0))</f>
        <v>#N/A</v>
      </c>
      <c r="F11" s="15" t="e">
        <f>INDEX(成品进仓!F:F,MATCH(J11,成品进仓!I:I,0))</f>
        <v>#N/A</v>
      </c>
      <c r="G11" s="15" t="e">
        <f>INDEX(成品进仓!G:G,MATCH(J11,成品进仓!I:I,0))</f>
        <v>#N/A</v>
      </c>
      <c r="H11" s="15" t="e">
        <f>IF(G11&lt;&gt;INDEX(成品进仓!G:G,MATCH(J11,成品进仓!I:I,0)),"",INDEX(成品进仓!H:H,MATCH(J11,成品进仓!I:I,0)))&amp;""</f>
        <v>#N/A</v>
      </c>
      <c r="I11" s="18" t="e">
        <f>IF(G11&lt;&gt;INDEX(成品进仓!G:G,MATCH(J11,成品进仓!I:I,0)),"",INDEX(成品进仓!J:J,MATCH(J11,成品进仓!I:I,0)))&amp;""</f>
        <v>#N/A</v>
      </c>
      <c r="K11" s="15" t="e">
        <f>INDEX(成品进仓!A:A,MATCH(J11,成品进仓!I:I,0))</f>
        <v>#N/A</v>
      </c>
    </row>
    <row r="12" spans="1:12" ht="27" customHeight="1" x14ac:dyDescent="0.15">
      <c r="C12" s="15" t="e">
        <f>INDEX(成品进仓!C:C,MATCH(J12,成品进仓!I:I,0))</f>
        <v>#N/A</v>
      </c>
      <c r="D12" s="15" t="e">
        <f>INDEX(成品进仓!D:D,MATCH(J12,成品进仓!I:I,0))</f>
        <v>#N/A</v>
      </c>
      <c r="E12" s="28" t="e">
        <f>INDEX(成品进仓!E:E,MATCH(J12,成品进仓!I:I,0))</f>
        <v>#N/A</v>
      </c>
      <c r="F12" s="15" t="e">
        <f>INDEX(成品进仓!F:F,MATCH(J12,成品进仓!I:I,0))</f>
        <v>#N/A</v>
      </c>
      <c r="G12" s="15" t="e">
        <f>INDEX(成品进仓!G:G,MATCH(J12,成品进仓!I:I,0))</f>
        <v>#N/A</v>
      </c>
      <c r="H12" s="15" t="e">
        <f>IF(G12&lt;&gt;INDEX(成品进仓!G:G,MATCH(J12,成品进仓!I:I,0)),"",INDEX(成品进仓!H:H,MATCH(J12,成品进仓!I:I,0)))&amp;""</f>
        <v>#N/A</v>
      </c>
      <c r="I12" s="18" t="e">
        <f>IF(G12&lt;&gt;INDEX(成品进仓!G:G,MATCH(J12,成品进仓!I:I,0)),"",INDEX(成品进仓!J:J,MATCH(J12,成品进仓!I:I,0)))&amp;""</f>
        <v>#N/A</v>
      </c>
      <c r="K12" s="15" t="e">
        <f>INDEX(成品进仓!A:A,MATCH(J12,成品进仓!I:I,0))</f>
        <v>#N/A</v>
      </c>
    </row>
    <row r="13" spans="1:12" ht="27" customHeight="1" x14ac:dyDescent="0.15">
      <c r="C13" s="15" t="e">
        <f>INDEX(成品进仓!C:C,MATCH(J13,成品进仓!I:I,0))</f>
        <v>#N/A</v>
      </c>
      <c r="D13" s="15" t="e">
        <f>INDEX(成品进仓!D:D,MATCH(J13,成品进仓!I:I,0))</f>
        <v>#N/A</v>
      </c>
      <c r="E13" s="28" t="e">
        <f>INDEX(成品进仓!E:E,MATCH(J13,成品进仓!I:I,0))</f>
        <v>#N/A</v>
      </c>
      <c r="F13" s="15" t="e">
        <f>INDEX(成品进仓!F:F,MATCH(J13,成品进仓!I:I,0))</f>
        <v>#N/A</v>
      </c>
      <c r="G13" s="15" t="e">
        <f>INDEX(成品进仓!G:G,MATCH(J13,成品进仓!I:I,0))</f>
        <v>#N/A</v>
      </c>
      <c r="H13" s="15" t="e">
        <f>IF(G13&lt;&gt;INDEX(成品进仓!G:G,MATCH(J13,成品进仓!I:I,0)),"",INDEX(成品进仓!H:H,MATCH(J13,成品进仓!I:I,0)))&amp;""</f>
        <v>#N/A</v>
      </c>
      <c r="I13" s="18" t="e">
        <f>IF(G13&lt;&gt;INDEX(成品进仓!G:G,MATCH(J13,成品进仓!I:I,0)),"",INDEX(成品进仓!J:J,MATCH(J13,成品进仓!I:I,0)))&amp;""</f>
        <v>#N/A</v>
      </c>
      <c r="K13" s="15" t="e">
        <f>INDEX(成品进仓!A:A,MATCH(J13,成品进仓!I:I,0))</f>
        <v>#N/A</v>
      </c>
    </row>
    <row r="14" spans="1:12" ht="27" customHeight="1" x14ac:dyDescent="0.15">
      <c r="C14" s="15" t="e">
        <f>INDEX(成品进仓!C:C,MATCH(J14,成品进仓!I:I,0))</f>
        <v>#N/A</v>
      </c>
      <c r="D14" s="15" t="e">
        <f>INDEX(成品进仓!D:D,MATCH(J14,成品进仓!I:I,0))</f>
        <v>#N/A</v>
      </c>
      <c r="E14" s="28" t="e">
        <f>INDEX(成品进仓!E:E,MATCH(J14,成品进仓!I:I,0))</f>
        <v>#N/A</v>
      </c>
      <c r="F14" s="15" t="e">
        <f>INDEX(成品进仓!F:F,MATCH(J14,成品进仓!I:I,0))</f>
        <v>#N/A</v>
      </c>
      <c r="G14" s="15" t="e">
        <f>INDEX(成品进仓!G:G,MATCH(J14,成品进仓!I:I,0))</f>
        <v>#N/A</v>
      </c>
      <c r="H14" s="15" t="e">
        <f>IF(G14&lt;&gt;INDEX(成品进仓!G:G,MATCH(J14,成品进仓!I:I,0)),"",INDEX(成品进仓!H:H,MATCH(J14,成品进仓!I:I,0)))&amp;""</f>
        <v>#N/A</v>
      </c>
      <c r="I14" s="18" t="e">
        <f>IF(G14&lt;&gt;INDEX(成品进仓!G:G,MATCH(J14,成品进仓!I:I,0)),"",INDEX(成品进仓!J:J,MATCH(J14,成品进仓!I:I,0)))&amp;""</f>
        <v>#N/A</v>
      </c>
      <c r="K14" s="15" t="e">
        <f>INDEX(成品进仓!A:A,MATCH(J14,成品进仓!I:I,0))</f>
        <v>#N/A</v>
      </c>
    </row>
    <row r="15" spans="1:12" ht="27" customHeight="1" x14ac:dyDescent="0.15">
      <c r="C15" s="15" t="e">
        <f>INDEX(成品进仓!C:C,MATCH(J15,成品进仓!I:I,0))</f>
        <v>#N/A</v>
      </c>
      <c r="D15" s="15" t="e">
        <f>INDEX(成品进仓!D:D,MATCH(J15,成品进仓!I:I,0))</f>
        <v>#N/A</v>
      </c>
      <c r="E15" s="28" t="e">
        <f>INDEX(成品进仓!E:E,MATCH(J15,成品进仓!I:I,0))</f>
        <v>#N/A</v>
      </c>
      <c r="F15" s="15" t="e">
        <f>INDEX(成品进仓!F:F,MATCH(J15,成品进仓!I:I,0))</f>
        <v>#N/A</v>
      </c>
      <c r="G15" s="15" t="e">
        <f>INDEX(成品进仓!G:G,MATCH(J15,成品进仓!I:I,0))</f>
        <v>#N/A</v>
      </c>
      <c r="H15" s="15" t="e">
        <f>IF(G15&lt;&gt;INDEX(成品进仓!G:G,MATCH(J15,成品进仓!I:I,0)),"",INDEX(成品进仓!H:H,MATCH(J15,成品进仓!I:I,0)))&amp;""</f>
        <v>#N/A</v>
      </c>
      <c r="I15" s="18" t="e">
        <f>IF(G15&lt;&gt;INDEX(成品进仓!G:G,MATCH(J15,成品进仓!I:I,0)),"",INDEX(成品进仓!J:J,MATCH(J15,成品进仓!I:I,0)))&amp;""</f>
        <v>#N/A</v>
      </c>
      <c r="K15" s="15" t="e">
        <f>INDEX(成品进仓!A:A,MATCH(J15,成品进仓!I:I,0))</f>
        <v>#N/A</v>
      </c>
    </row>
    <row r="16" spans="1:12" ht="27" customHeight="1" x14ac:dyDescent="0.15">
      <c r="C16" s="15" t="e">
        <f>INDEX(成品进仓!C:C,MATCH(J16,成品进仓!I:I,0))</f>
        <v>#N/A</v>
      </c>
      <c r="D16" s="15" t="e">
        <f>INDEX(成品进仓!D:D,MATCH(J16,成品进仓!I:I,0))</f>
        <v>#N/A</v>
      </c>
      <c r="E16" s="28" t="e">
        <f>INDEX(成品进仓!E:E,MATCH(J16,成品进仓!I:I,0))</f>
        <v>#N/A</v>
      </c>
      <c r="F16" s="15" t="e">
        <f>INDEX(成品进仓!F:F,MATCH(J16,成品进仓!I:I,0))</f>
        <v>#N/A</v>
      </c>
      <c r="G16" s="15" t="e">
        <f>INDEX(成品进仓!G:G,MATCH(J16,成品进仓!I:I,0))</f>
        <v>#N/A</v>
      </c>
      <c r="H16" s="15" t="e">
        <f>IF(G16&lt;&gt;INDEX(成品进仓!G:G,MATCH(J16,成品进仓!I:I,0)),"",INDEX(成品进仓!H:H,MATCH(J16,成品进仓!I:I,0)))&amp;""</f>
        <v>#N/A</v>
      </c>
      <c r="I16" s="18" t="e">
        <f>IF(G16&lt;&gt;INDEX(成品进仓!G:G,MATCH(J16,成品进仓!I:I,0)),"",INDEX(成品进仓!J:J,MATCH(J16,成品进仓!I:I,0)))&amp;""</f>
        <v>#N/A</v>
      </c>
      <c r="K16" s="15" t="e">
        <f>INDEX(成品进仓!A:A,MATCH(J16,成品进仓!I:I,0))</f>
        <v>#N/A</v>
      </c>
    </row>
    <row r="17" spans="3:11" ht="27" customHeight="1" x14ac:dyDescent="0.15">
      <c r="C17" s="15" t="e">
        <f>INDEX(成品进仓!C:C,MATCH(J17,成品进仓!I:I,0))</f>
        <v>#N/A</v>
      </c>
      <c r="D17" s="15" t="e">
        <f>INDEX(成品进仓!D:D,MATCH(J17,成品进仓!I:I,0))</f>
        <v>#N/A</v>
      </c>
      <c r="E17" s="28" t="e">
        <f>INDEX(成品进仓!E:E,MATCH(J17,成品进仓!I:I,0))</f>
        <v>#N/A</v>
      </c>
      <c r="F17" s="15" t="e">
        <f>INDEX(成品进仓!F:F,MATCH(J17,成品进仓!I:I,0))</f>
        <v>#N/A</v>
      </c>
      <c r="G17" s="15" t="e">
        <f>INDEX(成品进仓!G:G,MATCH(J17,成品进仓!I:I,0))</f>
        <v>#N/A</v>
      </c>
      <c r="H17" s="15" t="e">
        <f>IF(G17&lt;&gt;INDEX(成品进仓!G:G,MATCH(J17,成品进仓!I:I,0)),"",INDEX(成品进仓!H:H,MATCH(J17,成品进仓!I:I,0)))&amp;""</f>
        <v>#N/A</v>
      </c>
      <c r="I17" s="18" t="e">
        <f>IF(G17&lt;&gt;INDEX(成品进仓!G:G,MATCH(J17,成品进仓!I:I,0)),"",INDEX(成品进仓!J:J,MATCH(J17,成品进仓!I:I,0)))&amp;""</f>
        <v>#N/A</v>
      </c>
      <c r="K17" s="15" t="e">
        <f>INDEX(成品进仓!A:A,MATCH(J17,成品进仓!I:I,0))</f>
        <v>#N/A</v>
      </c>
    </row>
    <row r="18" spans="3:11" ht="27" customHeight="1" x14ac:dyDescent="0.15">
      <c r="C18" s="15" t="e">
        <f>INDEX(成品进仓!C:C,MATCH(J18,成品进仓!I:I,0))</f>
        <v>#N/A</v>
      </c>
      <c r="D18" s="15" t="e">
        <f>INDEX(成品进仓!D:D,MATCH(J18,成品进仓!I:I,0))</f>
        <v>#N/A</v>
      </c>
      <c r="E18" s="28" t="e">
        <f>INDEX(成品进仓!E:E,MATCH(J18,成品进仓!I:I,0))</f>
        <v>#N/A</v>
      </c>
      <c r="F18" s="15" t="e">
        <f>INDEX(成品进仓!F:F,MATCH(J18,成品进仓!I:I,0))</f>
        <v>#N/A</v>
      </c>
      <c r="G18" s="15" t="e">
        <f>INDEX(成品进仓!G:G,MATCH(J18,成品进仓!I:I,0))</f>
        <v>#N/A</v>
      </c>
      <c r="H18" s="15" t="e">
        <f>IF(G18&lt;&gt;INDEX(成品进仓!G:G,MATCH(J18,成品进仓!I:I,0)),"",INDEX(成品进仓!H:H,MATCH(J18,成品进仓!I:I,0)))&amp;""</f>
        <v>#N/A</v>
      </c>
      <c r="I18" s="18" t="e">
        <f>IF(G18&lt;&gt;INDEX(成品进仓!G:G,MATCH(J18,成品进仓!I:I,0)),"",INDEX(成品进仓!J:J,MATCH(J18,成品进仓!I:I,0)))&amp;""</f>
        <v>#N/A</v>
      </c>
      <c r="K18" s="15" t="e">
        <f>INDEX(成品进仓!A:A,MATCH(J18,成品进仓!I:I,0))</f>
        <v>#N/A</v>
      </c>
    </row>
    <row r="19" spans="3:11" ht="27" customHeight="1" x14ac:dyDescent="0.15">
      <c r="C19" s="15" t="e">
        <f>INDEX(成品进仓!C:C,MATCH(J19,成品进仓!I:I,0))</f>
        <v>#N/A</v>
      </c>
      <c r="D19" s="15" t="e">
        <f>INDEX(成品进仓!D:D,MATCH(J19,成品进仓!I:I,0))</f>
        <v>#N/A</v>
      </c>
      <c r="E19" s="28" t="e">
        <f>INDEX(成品进仓!E:E,MATCH(J19,成品进仓!I:I,0))</f>
        <v>#N/A</v>
      </c>
      <c r="F19" s="15" t="e">
        <f>INDEX(成品进仓!F:F,MATCH(J19,成品进仓!I:I,0))</f>
        <v>#N/A</v>
      </c>
      <c r="G19" s="15" t="e">
        <f>INDEX(成品进仓!G:G,MATCH(J19,成品进仓!I:I,0))</f>
        <v>#N/A</v>
      </c>
      <c r="H19" s="15" t="e">
        <f>IF(G19&lt;&gt;INDEX(成品进仓!G:G,MATCH(J19,成品进仓!I:I,0)),"",INDEX(成品进仓!H:H,MATCH(J19,成品进仓!I:I,0)))&amp;""</f>
        <v>#N/A</v>
      </c>
      <c r="I19" s="18" t="e">
        <f>IF(G19&lt;&gt;INDEX(成品进仓!G:G,MATCH(J19,成品进仓!I:I,0)),"",INDEX(成品进仓!J:J,MATCH(J19,成品进仓!I:I,0)))&amp;""</f>
        <v>#N/A</v>
      </c>
      <c r="K19" s="15" t="e">
        <f>INDEX(成品进仓!A:A,MATCH(J19,成品进仓!I:I,0))</f>
        <v>#N/A</v>
      </c>
    </row>
  </sheetData>
  <phoneticPr fontId="1" type="noConversion"/>
  <conditionalFormatting sqref="G1:G1048576">
    <cfRule type="cellIs" dxfId="3" priority="1" operator="lessThan">
      <formula>0</formula>
    </cfRule>
  </conditionalFormatting>
  <pageMargins left="0.23622047244094491" right="0.23622047244094491" top="0.35433070866141736" bottom="0.55118110236220474" header="0.31496062992125984" footer="0.31496062992125984"/>
  <pageSetup paperSize="9" scale="87" fitToHeight="0" orientation="landscape" horizontalDpi="180" verticalDpi="180" r:id="rId1"/>
  <headerFooter scaleWithDoc="0">
    <oddFooter>&amp;C&amp;D，第 &amp;P 页，共 &amp;N 页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"/>
  <sheetViews>
    <sheetView workbookViewId="0">
      <pane ySplit="2" topLeftCell="A3" activePane="bottomLeft" state="frozen"/>
      <selection pane="bottomLeft" activeCell="F16" sqref="F16"/>
    </sheetView>
  </sheetViews>
  <sheetFormatPr defaultRowHeight="27" customHeight="1" x14ac:dyDescent="0.15"/>
  <cols>
    <col min="1" max="1" width="15.5" style="15" customWidth="1"/>
    <col min="2" max="2" width="11.75" style="16" customWidth="1"/>
    <col min="3" max="3" width="13" style="15" customWidth="1"/>
    <col min="4" max="4" width="28.25" style="26" customWidth="1"/>
    <col min="5" max="5" width="11.125" style="15" customWidth="1"/>
    <col min="6" max="7" width="14.5" style="15" customWidth="1"/>
    <col min="8" max="8" width="11.5" style="15" customWidth="1"/>
    <col min="9" max="9" width="9" style="18"/>
    <col min="10" max="16384" width="9" style="8"/>
  </cols>
  <sheetData>
    <row r="1" spans="1:9" s="23" customFormat="1" ht="35.1" customHeight="1" x14ac:dyDescent="0.15">
      <c r="A1" s="19"/>
      <c r="B1" s="20" t="s">
        <v>125</v>
      </c>
      <c r="C1" s="19"/>
      <c r="D1" s="19"/>
      <c r="E1" s="29" t="s">
        <v>126</v>
      </c>
      <c r="F1" s="19"/>
      <c r="G1" s="19"/>
      <c r="H1" s="19"/>
    </row>
    <row r="2" spans="1:9" s="4" customFormat="1" ht="27" customHeight="1" x14ac:dyDescent="0.15">
      <c r="A2" s="5" t="s">
        <v>263</v>
      </c>
      <c r="B2" s="14" t="s">
        <v>109</v>
      </c>
      <c r="C2" s="5" t="s">
        <v>14</v>
      </c>
      <c r="D2" s="5" t="s">
        <v>1</v>
      </c>
      <c r="E2" s="5" t="s">
        <v>127</v>
      </c>
      <c r="F2" s="5" t="s">
        <v>128</v>
      </c>
      <c r="G2" s="5" t="s">
        <v>7</v>
      </c>
      <c r="H2" s="5" t="s">
        <v>0</v>
      </c>
      <c r="I2" s="5" t="s">
        <v>9</v>
      </c>
    </row>
    <row r="3" spans="1:9" ht="27" customHeight="1" x14ac:dyDescent="0.15">
      <c r="C3" s="15" t="str">
        <f>IFERROR(VLOOKUP(F3,到货!A:M,3,0),IFERROR(INDEX(成品进仓!D:D,MATCH(F3,成品进仓!I:I,0)),"乳化料体"))</f>
        <v>品牌A</v>
      </c>
      <c r="D3" s="26" t="str">
        <f>IFERROR(VLOOKUP(F3,到货!A:M,4,0),IFERROR(INDEX(乳化PC!D:D,MATCH(F3,乳化PC!G:G,0)),INDEX(成品进仓!E:E,MATCH(F3,成品进仓!I:I,0))&amp;" "&amp;INDEX(成品进仓!F:F,MATCH(F3,成品进仓!I:I,0))))</f>
        <v>100g 洁面乳 彩盒</v>
      </c>
      <c r="E3" s="15">
        <v>55</v>
      </c>
      <c r="F3" s="15" t="s">
        <v>119</v>
      </c>
      <c r="G3" s="15" t="s">
        <v>273</v>
      </c>
      <c r="H3" s="15" t="str">
        <f>IFERROR(VLOOKUP(F3,到货!A:M,13,0),IFERROR(INDEX(乳化PC!C:C,MATCH(F3,乳化PC!G:G,0)),INDEX(成品进仓!C:C,MATCH(F3,成品进仓!I:I,0))))</f>
        <v>B0001</v>
      </c>
    </row>
    <row r="4" spans="1:9" ht="27" customHeight="1" x14ac:dyDescent="0.15">
      <c r="C4" s="15" t="str">
        <f>IFERROR(VLOOKUP(F4,到货!A:M,3,0),IFERROR(INDEX(成品进仓!D:D,MATCH(F4,成品进仓!I:I,0)),"乳化料体"))</f>
        <v>乳化料体</v>
      </c>
      <c r="D4" s="26" t="str">
        <f>IFERROR(VLOOKUP(F4,到货!A:M,4,0),IFERROR(INDEX(乳化PC!D:D,MATCH(F4,乳化PC!G:G,0)),INDEX(成品进仓!E:E,MATCH(F4,成品进仓!I:I,0))&amp;" "&amp;INDEX(成品进仓!F:F,MATCH(F4,成品进仓!I:I,0))))</f>
        <v>3号洁面乳</v>
      </c>
      <c r="E4" s="15">
        <v>1</v>
      </c>
      <c r="F4" s="15" t="s">
        <v>265</v>
      </c>
      <c r="G4" s="15" t="s">
        <v>274</v>
      </c>
      <c r="H4" s="15" t="str">
        <f>IFERROR(VLOOKUP(F4,到货!A:M,13,0),IFERROR(INDEX(乳化PC!C:C,MATCH(F4,乳化PC!G:G,0)),INDEX(成品进仓!C:C,MATCH(F4,成品进仓!I:I,0))))</f>
        <v>P001</v>
      </c>
    </row>
    <row r="5" spans="1:9" ht="27" customHeight="1" x14ac:dyDescent="0.15">
      <c r="C5" s="15" t="str">
        <f>IFERROR(VLOOKUP(F5,到货!A:M,3,0),IFERROR(INDEX(成品进仓!D:D,MATCH(F5,成品进仓!I:I,0)),"乳化料体"))</f>
        <v>品牌A</v>
      </c>
      <c r="D5" s="26" t="str">
        <f>IFERROR(VLOOKUP(F5,到货!A:M,4,0),IFERROR(INDEX(乳化PC!D:D,MATCH(F5,乳化PC!G:G,0)),INDEX(成品进仓!E:E,MATCH(F5,成品进仓!I:I,0))&amp;" "&amp;INDEX(成品进仓!F:F,MATCH(F5,成品进仓!I:I,0))))</f>
        <v>洁面乳 100g</v>
      </c>
      <c r="E5" s="15">
        <v>6</v>
      </c>
      <c r="F5" s="15" t="s">
        <v>240</v>
      </c>
      <c r="G5" s="15" t="s">
        <v>275</v>
      </c>
      <c r="H5" s="15" t="str">
        <f>IFERROR(VLOOKUP(F5,到货!A:M,13,0),IFERROR(INDEX(乳化PC!C:C,MATCH(F5,乳化PC!G:G,0)),INDEX(成品进仓!C:C,MATCH(F5,成品进仓!I:I,0))))</f>
        <v>张三亿</v>
      </c>
    </row>
    <row r="6" spans="1:9" ht="27" customHeight="1" x14ac:dyDescent="0.15">
      <c r="C6" s="15" t="str">
        <f>IFERROR(VLOOKUP(F6,到货!A:M,3,0),IFERROR(INDEX(成品进仓!D:D,MATCH(F6,成品进仓!I:I,0)),"乳化料体"))</f>
        <v>乳化料体</v>
      </c>
      <c r="D6" s="26" t="e">
        <f>IFERROR(VLOOKUP(F6,到货!A:M,4,0),IFERROR(INDEX(乳化PC!D:D,MATCH(F6,乳化PC!G:G,0)),INDEX(成品进仓!E:E,MATCH(F6,成品进仓!I:I,0))&amp;" "&amp;INDEX(成品进仓!F:F,MATCH(F6,成品进仓!I:I,0))))</f>
        <v>#N/A</v>
      </c>
      <c r="H6" s="15" t="e">
        <f>IFERROR(VLOOKUP(F6,到货!A:M,13,0),IFERROR(INDEX(乳化PC!C:C,MATCH(F6,乳化PC!G:G,0)),INDEX(成品进仓!C:C,MATCH(F6,成品进仓!I:I,0))))</f>
        <v>#N/A</v>
      </c>
    </row>
    <row r="7" spans="1:9" ht="27" customHeight="1" x14ac:dyDescent="0.15">
      <c r="C7" s="15" t="str">
        <f>IFERROR(VLOOKUP(F7,到货!A:M,3,0),IFERROR(INDEX(成品进仓!D:D,MATCH(F7,成品进仓!I:I,0)),"乳化料体"))</f>
        <v>乳化料体</v>
      </c>
      <c r="D7" s="26" t="e">
        <f>IFERROR(VLOOKUP(F7,到货!A:M,4,0),IFERROR(INDEX(乳化PC!D:D,MATCH(F7,乳化PC!G:G,0)),INDEX(成品进仓!E:E,MATCH(F7,成品进仓!I:I,0))&amp;" "&amp;INDEX(成品进仓!F:F,MATCH(F7,成品进仓!I:I,0))))</f>
        <v>#N/A</v>
      </c>
      <c r="H7" s="15" t="e">
        <f>IFERROR(VLOOKUP(F7,到货!A:M,13,0),IFERROR(INDEX(乳化PC!C:C,MATCH(F7,乳化PC!G:G,0)),INDEX(成品进仓!C:C,MATCH(F7,成品进仓!I:I,0))))</f>
        <v>#N/A</v>
      </c>
    </row>
    <row r="8" spans="1:9" ht="27" customHeight="1" x14ac:dyDescent="0.15">
      <c r="C8" s="15" t="str">
        <f>IFERROR(VLOOKUP(F8,到货!A:M,3,0),IFERROR(INDEX(成品进仓!D:D,MATCH(F8,成品进仓!I:I,0)),"乳化料体"))</f>
        <v>乳化料体</v>
      </c>
      <c r="D8" s="26" t="e">
        <f>IFERROR(VLOOKUP(F8,到货!A:M,4,0),IFERROR(INDEX(乳化PC!D:D,MATCH(F8,乳化PC!G:G,0)),INDEX(成品进仓!E:E,MATCH(F8,成品进仓!I:I,0))&amp;" "&amp;INDEX(成品进仓!F:F,MATCH(F8,成品进仓!I:I,0))))</f>
        <v>#N/A</v>
      </c>
      <c r="H8" s="15" t="e">
        <f>IFERROR(VLOOKUP(F8,到货!A:M,13,0),IFERROR(INDEX(乳化PC!C:C,MATCH(F8,乳化PC!G:G,0)),INDEX(成品进仓!C:C,MATCH(F8,成品进仓!I:I,0))))</f>
        <v>#N/A</v>
      </c>
    </row>
    <row r="9" spans="1:9" ht="27" customHeight="1" x14ac:dyDescent="0.15">
      <c r="C9" s="15" t="str">
        <f>IFERROR(VLOOKUP(F9,到货!A:M,3,0),IFERROR(INDEX(成品进仓!D:D,MATCH(F9,成品进仓!I:I,0)),"乳化料体"))</f>
        <v>乳化料体</v>
      </c>
      <c r="D9" s="26" t="e">
        <f>IFERROR(VLOOKUP(F9,到货!A:M,4,0),IFERROR(INDEX(乳化PC!D:D,MATCH(F9,乳化PC!G:G,0)),INDEX(成品进仓!E:E,MATCH(F9,成品进仓!I:I,0))&amp;" "&amp;INDEX(成品进仓!F:F,MATCH(F9,成品进仓!I:I,0))))</f>
        <v>#N/A</v>
      </c>
      <c r="H9" s="15" t="e">
        <f>IFERROR(VLOOKUP(F9,到货!A:M,13,0),IFERROR(INDEX(乳化PC!C:C,MATCH(F9,乳化PC!G:G,0)),INDEX(成品进仓!C:C,MATCH(F9,成品进仓!I:I,0))))</f>
        <v>#N/A</v>
      </c>
    </row>
    <row r="10" spans="1:9" ht="27" customHeight="1" x14ac:dyDescent="0.15">
      <c r="C10" s="15" t="str">
        <f>IFERROR(VLOOKUP(F10,到货!A:M,3,0),IFERROR(INDEX(成品进仓!D:D,MATCH(F10,成品进仓!I:I,0)),"乳化料体"))</f>
        <v>乳化料体</v>
      </c>
      <c r="D10" s="26" t="e">
        <f>IFERROR(VLOOKUP(F10,到货!A:M,4,0),IFERROR(INDEX(乳化PC!D:D,MATCH(F10,乳化PC!G:G,0)),INDEX(成品进仓!E:E,MATCH(F10,成品进仓!I:I,0))&amp;" "&amp;INDEX(成品进仓!F:F,MATCH(F10,成品进仓!I:I,0))))</f>
        <v>#N/A</v>
      </c>
      <c r="H10" s="15" t="e">
        <f>IFERROR(VLOOKUP(F10,到货!A:M,13,0),IFERROR(INDEX(乳化PC!C:C,MATCH(F10,乳化PC!G:G,0)),INDEX(成品进仓!C:C,MATCH(F10,成品进仓!I:I,0))))</f>
        <v>#N/A</v>
      </c>
    </row>
    <row r="11" spans="1:9" ht="27" customHeight="1" x14ac:dyDescent="0.15">
      <c r="C11" s="15" t="str">
        <f>IFERROR(VLOOKUP(F11,到货!A:M,3,0),IFERROR(INDEX(成品进仓!D:D,MATCH(F11,成品进仓!I:I,0)),"乳化料体"))</f>
        <v>乳化料体</v>
      </c>
      <c r="D11" s="26" t="e">
        <f>IFERROR(VLOOKUP(F11,到货!A:M,4,0),IFERROR(INDEX(乳化PC!D:D,MATCH(F11,乳化PC!G:G,0)),INDEX(成品进仓!E:E,MATCH(F11,成品进仓!I:I,0))&amp;" "&amp;INDEX(成品进仓!F:F,MATCH(F11,成品进仓!I:I,0))))</f>
        <v>#N/A</v>
      </c>
      <c r="H11" s="15" t="e">
        <f>IFERROR(VLOOKUP(F11,到货!A:M,13,0),IFERROR(INDEX(乳化PC!C:C,MATCH(F11,乳化PC!G:G,0)),INDEX(成品进仓!C:C,MATCH(F11,成品进仓!I:I,0))))</f>
        <v>#N/A</v>
      </c>
    </row>
    <row r="12" spans="1:9" ht="27" customHeight="1" x14ac:dyDescent="0.15">
      <c r="C12" s="15" t="str">
        <f>IFERROR(VLOOKUP(F12,到货!A:M,3,0),IFERROR(INDEX(成品进仓!D:D,MATCH(F12,成品进仓!I:I,0)),"乳化料体"))</f>
        <v>乳化料体</v>
      </c>
      <c r="D12" s="26" t="e">
        <f>IFERROR(VLOOKUP(F12,到货!A:M,4,0),IFERROR(INDEX(乳化PC!D:D,MATCH(F12,乳化PC!G:G,0)),INDEX(成品进仓!E:E,MATCH(F12,成品进仓!I:I,0))&amp;" "&amp;INDEX(成品进仓!F:F,MATCH(F12,成品进仓!I:I,0))))</f>
        <v>#N/A</v>
      </c>
      <c r="H12" s="15" t="e">
        <f>IFERROR(VLOOKUP(F12,到货!A:M,13,0),IFERROR(INDEX(乳化PC!C:C,MATCH(F12,乳化PC!G:G,0)),INDEX(成品进仓!C:C,MATCH(F12,成品进仓!I:I,0))))</f>
        <v>#N/A</v>
      </c>
    </row>
  </sheetData>
  <phoneticPr fontId="1" type="noConversion"/>
  <pageMargins left="0.23622047244094491" right="0.23622047244094491" top="0.35433070866141736" bottom="0.55118110236220474" header="0.31496062992125984" footer="0.31496062992125984"/>
  <pageSetup paperSize="9" scale="77" fitToHeight="0" orientation="portrait" horizontalDpi="180" verticalDpi="180" r:id="rId1"/>
  <headerFooter scaleWithDoc="0">
    <oddFooter>&amp;C&amp;D，第 &amp;P 页，共 &amp;N 页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3"/>
  <sheetViews>
    <sheetView workbookViewId="0">
      <pane ySplit="2" topLeftCell="A3" activePane="bottomLeft" state="frozen"/>
      <selection pane="bottomLeft" activeCell="F14" sqref="F14"/>
    </sheetView>
  </sheetViews>
  <sheetFormatPr defaultRowHeight="27" customHeight="1" x14ac:dyDescent="0.15"/>
  <cols>
    <col min="1" max="1" width="15.5" style="15" customWidth="1"/>
    <col min="2" max="2" width="13.875" style="16" customWidth="1"/>
    <col min="3" max="3" width="41.5" style="28" customWidth="1"/>
    <col min="4" max="4" width="13.75" style="15" customWidth="1"/>
    <col min="5" max="5" width="16.25" style="18" customWidth="1"/>
    <col min="6" max="6" width="10.25" style="8" customWidth="1"/>
    <col min="7" max="16384" width="9" style="8"/>
  </cols>
  <sheetData>
    <row r="1" spans="1:5" s="23" customFormat="1" ht="35.1" customHeight="1" x14ac:dyDescent="0.15">
      <c r="A1" s="19"/>
      <c r="B1" s="20" t="s">
        <v>166</v>
      </c>
      <c r="C1" s="24"/>
      <c r="D1" s="19"/>
    </row>
    <row r="2" spans="1:5" s="4" customFormat="1" ht="27" customHeight="1" x14ac:dyDescent="0.15">
      <c r="A2" s="5" t="s">
        <v>167</v>
      </c>
      <c r="B2" s="5" t="s">
        <v>168</v>
      </c>
      <c r="C2" s="5" t="s">
        <v>169</v>
      </c>
      <c r="D2" s="5" t="s">
        <v>170</v>
      </c>
      <c r="E2" s="5" t="s">
        <v>9</v>
      </c>
    </row>
    <row r="3" spans="1:5" ht="27" customHeight="1" x14ac:dyDescent="0.15">
      <c r="A3" s="15" t="s">
        <v>43</v>
      </c>
      <c r="B3" s="16" t="str">
        <f>VLOOKUP(A3,库存表!A:C,COLUMN(库存表!B2),0)</f>
        <v>品牌A</v>
      </c>
      <c r="C3" s="28" t="str">
        <f>VLOOKUP(A3,库存表!A:C,COLUMN(库存表!C2),0)</f>
        <v>100g 洁面乳 彩盒</v>
      </c>
      <c r="D3" s="15">
        <v>500</v>
      </c>
    </row>
    <row r="4" spans="1:5" ht="27" customHeight="1" x14ac:dyDescent="0.15">
      <c r="A4" s="15" t="s">
        <v>26</v>
      </c>
      <c r="B4" s="16" t="str">
        <f>VLOOKUP(A4,库存表!A:C,COLUMN(库存表!B3),0)</f>
        <v>品牌A</v>
      </c>
      <c r="C4" s="28" t="str">
        <f>VLOOKUP(A4,库存表!A:C,COLUMN(库存表!C3),0)</f>
        <v>100g 洁面乳 内托</v>
      </c>
      <c r="D4" s="15">
        <v>500</v>
      </c>
    </row>
    <row r="5" spans="1:5" ht="27" customHeight="1" x14ac:dyDescent="0.15">
      <c r="A5" s="15" t="s">
        <v>27</v>
      </c>
      <c r="B5" s="16" t="str">
        <f>VLOOKUP(A5,库存表!A:C,COLUMN(库存表!B4),0)</f>
        <v>品牌A</v>
      </c>
      <c r="C5" s="28" t="str">
        <f>VLOOKUP(A5,库存表!A:C,COLUMN(库存表!C4),0)</f>
        <v>100g 洁面乳 软管</v>
      </c>
      <c r="D5" s="15">
        <v>500</v>
      </c>
    </row>
    <row r="6" spans="1:5" ht="27" customHeight="1" x14ac:dyDescent="0.15">
      <c r="A6" s="15" t="s">
        <v>28</v>
      </c>
      <c r="B6" s="16" t="str">
        <f>VLOOKUP(A6,库存表!A:C,COLUMN(库存表!B5),0)</f>
        <v>品牌A</v>
      </c>
      <c r="C6" s="28" t="str">
        <f>VLOOKUP(A6,库存表!A:C,COLUMN(库存表!C5),0)</f>
        <v>100g 洁面乳 软管盖</v>
      </c>
      <c r="D6" s="15">
        <v>500</v>
      </c>
    </row>
    <row r="7" spans="1:5" ht="27" customHeight="1" x14ac:dyDescent="0.15">
      <c r="A7" s="15" t="s">
        <v>29</v>
      </c>
      <c r="B7" s="16" t="str">
        <f>VLOOKUP(A7,库存表!A:C,COLUMN(库存表!B6),0)</f>
        <v>品牌B</v>
      </c>
      <c r="C7" s="28" t="str">
        <f>VLOOKUP(A7,库存表!A:C,COLUMN(库存表!C6),0)</f>
        <v>25ml*8 保湿面膜 彩盒</v>
      </c>
      <c r="D7" s="15">
        <v>500</v>
      </c>
    </row>
    <row r="8" spans="1:5" ht="27" customHeight="1" x14ac:dyDescent="0.15">
      <c r="A8" s="15" t="s">
        <v>30</v>
      </c>
      <c r="B8" s="16" t="str">
        <f>VLOOKUP(A8,库存表!A:C,COLUMN(库存表!B7),0)</f>
        <v>品牌B</v>
      </c>
      <c r="C8" s="28" t="str">
        <f>VLOOKUP(A8,库存表!A:C,COLUMN(库存表!C7),0)</f>
        <v>25ml*8 保湿面膜 内托</v>
      </c>
      <c r="D8" s="15">
        <v>500</v>
      </c>
    </row>
    <row r="9" spans="1:5" ht="27" customHeight="1" x14ac:dyDescent="0.15">
      <c r="A9" s="15" t="s">
        <v>31</v>
      </c>
      <c r="B9" s="16" t="str">
        <f>VLOOKUP(A9,库存表!A:C,COLUMN(库存表!B8),0)</f>
        <v>品牌B</v>
      </c>
      <c r="C9" s="28" t="str">
        <f>VLOOKUP(A9,库存表!A:C,COLUMN(库存表!C8),0)</f>
        <v>25ml 保湿面膜 膜袋</v>
      </c>
      <c r="D9" s="15">
        <v>500</v>
      </c>
    </row>
    <row r="10" spans="1:5" ht="27" customHeight="1" x14ac:dyDescent="0.15">
      <c r="A10" s="15" t="s">
        <v>32</v>
      </c>
      <c r="B10" s="16" t="str">
        <f>VLOOKUP(A10,库存表!A:C,COLUMN(库存表!B9),0)</f>
        <v>品牌B</v>
      </c>
      <c r="C10" s="28" t="str">
        <f>VLOOKUP(A10,库存表!A:C,COLUMN(库存表!C9),0)</f>
        <v>面膜布</v>
      </c>
      <c r="D10" s="15">
        <v>500</v>
      </c>
    </row>
    <row r="11" spans="1:5" ht="27" customHeight="1" x14ac:dyDescent="0.15">
      <c r="A11" s="15" t="s">
        <v>36</v>
      </c>
      <c r="B11" s="16" t="str">
        <f>VLOOKUP(A11,库存表!A:C,COLUMN(库存表!B10),0)</f>
        <v>品牌C</v>
      </c>
      <c r="C11" s="28" t="str">
        <f>VLOOKUP(A11,库存表!A:C,COLUMN(库存表!C10),0)</f>
        <v>精致美肤套 套盒</v>
      </c>
      <c r="D11" s="15">
        <v>500</v>
      </c>
    </row>
    <row r="12" spans="1:5" ht="27" customHeight="1" x14ac:dyDescent="0.15">
      <c r="A12" s="15" t="s">
        <v>161</v>
      </c>
      <c r="B12" s="16" t="str">
        <f>VLOOKUP(A12,库存表!A:C,COLUMN(库存表!B11),0)</f>
        <v>品牌C</v>
      </c>
      <c r="C12" s="28" t="str">
        <f>VLOOKUP(A12,库存表!A:C,COLUMN(库存表!C11),0)</f>
        <v>120ml 保湿乳 瓶子+泵头</v>
      </c>
      <c r="D12" s="15">
        <v>500</v>
      </c>
    </row>
    <row r="13" spans="1:5" ht="27" customHeight="1" x14ac:dyDescent="0.15">
      <c r="A13" s="15" t="s">
        <v>201</v>
      </c>
      <c r="B13" s="16" t="e">
        <f>VLOOKUP(A13,库存表!A:C,COLUMN(库存表!B12),0)</f>
        <v>#N/A</v>
      </c>
      <c r="C13" s="28" t="e">
        <f>VLOOKUP(A13,库存表!A:C,COLUMN(库存表!C12),0)</f>
        <v>#N/A</v>
      </c>
      <c r="D13" s="15">
        <v>500</v>
      </c>
    </row>
    <row r="14" spans="1:5" ht="27" customHeight="1" x14ac:dyDescent="0.15">
      <c r="A14" s="15" t="s">
        <v>176</v>
      </c>
      <c r="B14" s="16" t="e">
        <f>VLOOKUP(A14,库存表!A:C,COLUMN(库存表!B13),0)</f>
        <v>#N/A</v>
      </c>
      <c r="C14" s="28" t="e">
        <f>VLOOKUP(A14,库存表!A:C,COLUMN(库存表!C13),0)</f>
        <v>#N/A</v>
      </c>
      <c r="D14" s="15">
        <v>50</v>
      </c>
    </row>
    <row r="15" spans="1:5" ht="27" customHeight="1" x14ac:dyDescent="0.15">
      <c r="A15" s="15" t="s">
        <v>177</v>
      </c>
      <c r="B15" s="16" t="e">
        <f>VLOOKUP(A15,库存表!A:C,COLUMN(库存表!B14),0)</f>
        <v>#N/A</v>
      </c>
      <c r="C15" s="28" t="e">
        <f>VLOOKUP(A15,库存表!A:C,COLUMN(库存表!C14),0)</f>
        <v>#N/A</v>
      </c>
      <c r="D15" s="15">
        <v>50</v>
      </c>
    </row>
    <row r="16" spans="1:5" ht="27" customHeight="1" x14ac:dyDescent="0.15">
      <c r="A16" s="15" t="s">
        <v>178</v>
      </c>
      <c r="B16" s="16" t="e">
        <f>VLOOKUP(A16,库存表!A:C,COLUMN(库存表!B15),0)</f>
        <v>#N/A</v>
      </c>
      <c r="C16" s="28" t="e">
        <f>VLOOKUP(A16,库存表!A:C,COLUMN(库存表!C15),0)</f>
        <v>#N/A</v>
      </c>
      <c r="D16" s="15">
        <v>50</v>
      </c>
    </row>
    <row r="17" spans="1:4" ht="27" customHeight="1" x14ac:dyDescent="0.15">
      <c r="A17" s="15" t="s">
        <v>179</v>
      </c>
      <c r="B17" s="16" t="str">
        <f>VLOOKUP(A17,库存表!A:C,COLUMN(库存表!B16),0)</f>
        <v>原料</v>
      </c>
      <c r="C17" s="28" t="str">
        <f>VLOOKUP(A17,库存表!A:C,COLUMN(库存表!C16),0)</f>
        <v>甘油（原料名可用代码保密）</v>
      </c>
      <c r="D17" s="15">
        <v>80</v>
      </c>
    </row>
    <row r="18" spans="1:4" ht="27" customHeight="1" x14ac:dyDescent="0.15">
      <c r="A18" s="15" t="s">
        <v>185</v>
      </c>
      <c r="B18" s="16" t="str">
        <f>VLOOKUP(A18,库存表!A:C,COLUMN(库存表!B17),0)</f>
        <v>原料</v>
      </c>
      <c r="C18" s="28" t="str">
        <f>VLOOKUP(A18,库存表!A:C,COLUMN(库存表!C17),0)</f>
        <v>精油（原料名可用代码保密）</v>
      </c>
      <c r="D18" s="15">
        <v>5</v>
      </c>
    </row>
    <row r="19" spans="1:4" ht="27" customHeight="1" x14ac:dyDescent="0.15">
      <c r="A19" s="15" t="s">
        <v>186</v>
      </c>
      <c r="B19" s="16" t="str">
        <f>VLOOKUP(A19,库存表!A:C,COLUMN(库存表!B18),0)</f>
        <v>原料</v>
      </c>
      <c r="C19" s="28" t="str">
        <f>VLOOKUP(A19,库存表!A:C,COLUMN(库存表!C18),0)</f>
        <v>香精（原料名可用代码保密）</v>
      </c>
      <c r="D19" s="15">
        <v>5</v>
      </c>
    </row>
    <row r="20" spans="1:4" ht="27" customHeight="1" x14ac:dyDescent="0.15">
      <c r="A20" s="15" t="s">
        <v>187</v>
      </c>
      <c r="B20" s="16" t="str">
        <f>VLOOKUP(A20,库存表!A:C,COLUMN(库存表!B19),0)</f>
        <v>原料</v>
      </c>
      <c r="C20" s="28" t="str">
        <f>VLOOKUP(A20,库存表!A:C,COLUMN(库存表!C19),0)</f>
        <v>兑水0.12%海蓝色素（原料名可用代码保密）</v>
      </c>
      <c r="D20" s="15">
        <v>500</v>
      </c>
    </row>
    <row r="21" spans="1:4" ht="27" customHeight="1" x14ac:dyDescent="0.15">
      <c r="B21" s="16" t="e">
        <f>VLOOKUP(A21,库存表!A:C,COLUMN(库存表!B20),0)</f>
        <v>#N/A</v>
      </c>
      <c r="C21" s="28" t="e">
        <f>VLOOKUP(A21,库存表!A:C,COLUMN(库存表!C20),0)</f>
        <v>#N/A</v>
      </c>
    </row>
    <row r="22" spans="1:4" ht="27" customHeight="1" x14ac:dyDescent="0.15">
      <c r="B22" s="16" t="e">
        <f>VLOOKUP(A22,库存表!A:C,COLUMN(库存表!B21),0)</f>
        <v>#N/A</v>
      </c>
      <c r="C22" s="28" t="e">
        <f>VLOOKUP(A22,库存表!A:C,COLUMN(库存表!C21),0)</f>
        <v>#N/A</v>
      </c>
    </row>
    <row r="23" spans="1:4" ht="27" customHeight="1" x14ac:dyDescent="0.15">
      <c r="B23" s="16" t="e">
        <f>VLOOKUP(A23,库存表!A:C,COLUMN(库存表!B22),0)</f>
        <v>#N/A</v>
      </c>
      <c r="C23" s="28" t="e">
        <f>VLOOKUP(A23,库存表!A:C,COLUMN(库存表!C22),0)</f>
        <v>#N/A</v>
      </c>
    </row>
    <row r="24" spans="1:4" ht="27" customHeight="1" x14ac:dyDescent="0.15">
      <c r="B24" s="16" t="e">
        <f>VLOOKUP(A24,库存表!A:C,COLUMN(库存表!B23),0)</f>
        <v>#N/A</v>
      </c>
      <c r="C24" s="28" t="e">
        <f>VLOOKUP(A24,库存表!A:C,COLUMN(库存表!C23),0)</f>
        <v>#N/A</v>
      </c>
    </row>
    <row r="25" spans="1:4" ht="27" customHeight="1" x14ac:dyDescent="0.15">
      <c r="B25" s="16" t="e">
        <f>VLOOKUP(A25,库存表!A:C,COLUMN(库存表!B24),0)</f>
        <v>#N/A</v>
      </c>
      <c r="C25" s="28" t="e">
        <f>VLOOKUP(A25,库存表!A:C,COLUMN(库存表!C24),0)</f>
        <v>#N/A</v>
      </c>
    </row>
    <row r="26" spans="1:4" ht="27" customHeight="1" x14ac:dyDescent="0.15">
      <c r="B26" s="16" t="e">
        <f>VLOOKUP(A26,库存表!A:C,COLUMN(库存表!B25),0)</f>
        <v>#N/A</v>
      </c>
      <c r="C26" s="28" t="e">
        <f>VLOOKUP(A26,库存表!A:C,COLUMN(库存表!C25),0)</f>
        <v>#N/A</v>
      </c>
    </row>
    <row r="27" spans="1:4" ht="27" customHeight="1" x14ac:dyDescent="0.15">
      <c r="B27" s="16" t="e">
        <f>VLOOKUP(A27,库存表!A:C,COLUMN(库存表!B26),0)</f>
        <v>#N/A</v>
      </c>
      <c r="C27" s="28" t="e">
        <f>VLOOKUP(A27,库存表!A:C,COLUMN(库存表!C26),0)</f>
        <v>#N/A</v>
      </c>
    </row>
    <row r="28" spans="1:4" ht="27" customHeight="1" x14ac:dyDescent="0.15">
      <c r="B28" s="16" t="e">
        <f>VLOOKUP(A28,库存表!A:C,COLUMN(库存表!B27),0)</f>
        <v>#N/A</v>
      </c>
      <c r="C28" s="28" t="e">
        <f>VLOOKUP(A28,库存表!A:C,COLUMN(库存表!C27),0)</f>
        <v>#N/A</v>
      </c>
    </row>
    <row r="29" spans="1:4" ht="27" customHeight="1" x14ac:dyDescent="0.15">
      <c r="B29" s="16" t="e">
        <f>VLOOKUP(A29,库存表!A:C,COLUMN(库存表!B28),0)</f>
        <v>#N/A</v>
      </c>
      <c r="C29" s="28" t="e">
        <f>VLOOKUP(A29,库存表!A:C,COLUMN(库存表!C28),0)</f>
        <v>#N/A</v>
      </c>
    </row>
    <row r="30" spans="1:4" ht="27" customHeight="1" x14ac:dyDescent="0.15">
      <c r="B30" s="16" t="e">
        <f>VLOOKUP(A30,库存表!A:C,COLUMN(库存表!B29),0)</f>
        <v>#N/A</v>
      </c>
      <c r="C30" s="28" t="e">
        <f>VLOOKUP(A30,库存表!A:C,COLUMN(库存表!C29),0)</f>
        <v>#N/A</v>
      </c>
    </row>
    <row r="31" spans="1:4" ht="27" customHeight="1" x14ac:dyDescent="0.15">
      <c r="B31" s="16" t="e">
        <f>VLOOKUP(A31,库存表!A:C,COLUMN(库存表!B30),0)</f>
        <v>#N/A</v>
      </c>
      <c r="C31" s="28" t="e">
        <f>VLOOKUP(A31,库存表!A:C,COLUMN(库存表!C30),0)</f>
        <v>#N/A</v>
      </c>
    </row>
    <row r="32" spans="1:4" ht="27" customHeight="1" x14ac:dyDescent="0.15">
      <c r="B32" s="16" t="e">
        <f>VLOOKUP(A32,库存表!A:C,COLUMN(库存表!B31),0)</f>
        <v>#N/A</v>
      </c>
      <c r="C32" s="28" t="e">
        <f>VLOOKUP(A32,库存表!A:C,COLUMN(库存表!C31),0)</f>
        <v>#N/A</v>
      </c>
    </row>
    <row r="33" spans="2:3" ht="27" customHeight="1" x14ac:dyDescent="0.15">
      <c r="B33" s="16" t="e">
        <f>VLOOKUP(A33,库存表!A:C,COLUMN(库存表!B32),0)</f>
        <v>#N/A</v>
      </c>
      <c r="C33" s="28" t="e">
        <f>VLOOKUP(A33,库存表!A:C,COLUMN(库存表!C32),0)</f>
        <v>#N/A</v>
      </c>
    </row>
    <row r="34" spans="2:3" ht="27" customHeight="1" x14ac:dyDescent="0.15">
      <c r="B34" s="16" t="e">
        <f>VLOOKUP(A34,库存表!A:C,COLUMN(库存表!B33),0)</f>
        <v>#N/A</v>
      </c>
      <c r="C34" s="28" t="e">
        <f>VLOOKUP(A34,库存表!A:C,COLUMN(库存表!C33),0)</f>
        <v>#N/A</v>
      </c>
    </row>
    <row r="35" spans="2:3" ht="27" customHeight="1" x14ac:dyDescent="0.15">
      <c r="B35" s="16" t="e">
        <f>VLOOKUP(A35,库存表!A:C,COLUMN(库存表!B34),0)</f>
        <v>#N/A</v>
      </c>
      <c r="C35" s="28" t="e">
        <f>VLOOKUP(A35,库存表!A:C,COLUMN(库存表!C34),0)</f>
        <v>#N/A</v>
      </c>
    </row>
    <row r="36" spans="2:3" ht="27" customHeight="1" x14ac:dyDescent="0.15">
      <c r="B36" s="16" t="e">
        <f>VLOOKUP(A36,库存表!A:C,COLUMN(库存表!B35),0)</f>
        <v>#N/A</v>
      </c>
      <c r="C36" s="28" t="e">
        <f>VLOOKUP(A36,库存表!A:C,COLUMN(库存表!C35),0)</f>
        <v>#N/A</v>
      </c>
    </row>
    <row r="37" spans="2:3" ht="27" customHeight="1" x14ac:dyDescent="0.15">
      <c r="B37" s="16" t="e">
        <f>VLOOKUP(A37,库存表!A:C,COLUMN(库存表!B36),0)</f>
        <v>#N/A</v>
      </c>
      <c r="C37" s="28" t="e">
        <f>VLOOKUP(A37,库存表!A:C,COLUMN(库存表!C36),0)</f>
        <v>#N/A</v>
      </c>
    </row>
    <row r="38" spans="2:3" ht="27" customHeight="1" x14ac:dyDescent="0.15">
      <c r="B38" s="16" t="e">
        <f>VLOOKUP(A38,库存表!A:C,COLUMN(库存表!B37),0)</f>
        <v>#N/A</v>
      </c>
      <c r="C38" s="28" t="e">
        <f>VLOOKUP(A38,库存表!A:C,COLUMN(库存表!C37),0)</f>
        <v>#N/A</v>
      </c>
    </row>
    <row r="39" spans="2:3" ht="27" customHeight="1" x14ac:dyDescent="0.15">
      <c r="B39" s="16" t="e">
        <f>VLOOKUP(A39,库存表!A:C,COLUMN(库存表!B38),0)</f>
        <v>#N/A</v>
      </c>
      <c r="C39" s="28" t="e">
        <f>VLOOKUP(A39,库存表!A:C,COLUMN(库存表!C38),0)</f>
        <v>#N/A</v>
      </c>
    </row>
    <row r="40" spans="2:3" ht="27" customHeight="1" x14ac:dyDescent="0.15">
      <c r="B40" s="16" t="e">
        <f>VLOOKUP(A40,库存表!A:C,COLUMN(库存表!B39),0)</f>
        <v>#N/A</v>
      </c>
      <c r="C40" s="28" t="e">
        <f>VLOOKUP(A40,库存表!A:C,COLUMN(库存表!C39),0)</f>
        <v>#N/A</v>
      </c>
    </row>
    <row r="41" spans="2:3" ht="27" customHeight="1" x14ac:dyDescent="0.15">
      <c r="B41" s="16" t="e">
        <f>VLOOKUP(A41,库存表!A:C,COLUMN(库存表!B40),0)</f>
        <v>#N/A</v>
      </c>
      <c r="C41" s="28" t="e">
        <f>VLOOKUP(A41,库存表!A:C,COLUMN(库存表!C40),0)</f>
        <v>#N/A</v>
      </c>
    </row>
    <row r="42" spans="2:3" ht="27" customHeight="1" x14ac:dyDescent="0.15">
      <c r="B42" s="16" t="e">
        <f>VLOOKUP(A42,库存表!A:C,COLUMN(库存表!B41),0)</f>
        <v>#N/A</v>
      </c>
      <c r="C42" s="28" t="e">
        <f>VLOOKUP(A42,库存表!A:C,COLUMN(库存表!C41),0)</f>
        <v>#N/A</v>
      </c>
    </row>
    <row r="43" spans="2:3" ht="27" customHeight="1" x14ac:dyDescent="0.15">
      <c r="B43" s="16" t="e">
        <f>VLOOKUP(A43,库存表!A:C,COLUMN(库存表!B42),0)</f>
        <v>#N/A</v>
      </c>
      <c r="C43" s="28" t="e">
        <f>VLOOKUP(A43,库存表!A:C,COLUMN(库存表!C42),0)</f>
        <v>#N/A</v>
      </c>
    </row>
    <row r="44" spans="2:3" ht="27" customHeight="1" x14ac:dyDescent="0.15">
      <c r="B44" s="16" t="e">
        <f>VLOOKUP(A44,库存表!A:C,COLUMN(库存表!B43),0)</f>
        <v>#N/A</v>
      </c>
      <c r="C44" s="28" t="e">
        <f>VLOOKUP(A44,库存表!A:C,COLUMN(库存表!C43),0)</f>
        <v>#N/A</v>
      </c>
    </row>
    <row r="45" spans="2:3" ht="27" customHeight="1" x14ac:dyDescent="0.15">
      <c r="B45" s="16" t="e">
        <f>VLOOKUP(A45,库存表!A:C,COLUMN(库存表!B44),0)</f>
        <v>#N/A</v>
      </c>
      <c r="C45" s="28" t="e">
        <f>VLOOKUP(A45,库存表!A:C,COLUMN(库存表!C44),0)</f>
        <v>#N/A</v>
      </c>
    </row>
    <row r="46" spans="2:3" ht="27" customHeight="1" x14ac:dyDescent="0.15">
      <c r="B46" s="16" t="e">
        <f>VLOOKUP(A46,库存表!A:C,COLUMN(库存表!B45),0)</f>
        <v>#N/A</v>
      </c>
      <c r="C46" s="28" t="e">
        <f>VLOOKUP(A46,库存表!A:C,COLUMN(库存表!C45),0)</f>
        <v>#N/A</v>
      </c>
    </row>
    <row r="47" spans="2:3" ht="27" customHeight="1" x14ac:dyDescent="0.15">
      <c r="B47" s="16" t="e">
        <f>VLOOKUP(A47,库存表!A:C,COLUMN(库存表!B46),0)</f>
        <v>#N/A</v>
      </c>
      <c r="C47" s="28" t="e">
        <f>VLOOKUP(A47,库存表!A:C,COLUMN(库存表!C46),0)</f>
        <v>#N/A</v>
      </c>
    </row>
    <row r="48" spans="2:3" ht="27" customHeight="1" x14ac:dyDescent="0.15">
      <c r="B48" s="16" t="e">
        <f>VLOOKUP(A48,库存表!A:C,COLUMN(库存表!B47),0)</f>
        <v>#N/A</v>
      </c>
      <c r="C48" s="28" t="e">
        <f>VLOOKUP(A48,库存表!A:C,COLUMN(库存表!C47),0)</f>
        <v>#N/A</v>
      </c>
    </row>
    <row r="49" spans="2:3" ht="27" customHeight="1" x14ac:dyDescent="0.15">
      <c r="B49" s="16" t="e">
        <f>VLOOKUP(A49,库存表!A:C,COLUMN(库存表!B48),0)</f>
        <v>#N/A</v>
      </c>
      <c r="C49" s="28" t="e">
        <f>VLOOKUP(A49,库存表!A:C,COLUMN(库存表!C48),0)</f>
        <v>#N/A</v>
      </c>
    </row>
    <row r="50" spans="2:3" ht="27" customHeight="1" x14ac:dyDescent="0.15">
      <c r="B50" s="16" t="e">
        <f>VLOOKUP(A50,库存表!A:C,COLUMN(库存表!B49),0)</f>
        <v>#N/A</v>
      </c>
      <c r="C50" s="28" t="e">
        <f>VLOOKUP(A50,库存表!A:C,COLUMN(库存表!C49),0)</f>
        <v>#N/A</v>
      </c>
    </row>
    <row r="51" spans="2:3" ht="27" customHeight="1" x14ac:dyDescent="0.15">
      <c r="B51" s="16" t="e">
        <f>VLOOKUP(A51,库存表!A:C,COLUMN(库存表!B50),0)</f>
        <v>#N/A</v>
      </c>
      <c r="C51" s="28" t="e">
        <f>VLOOKUP(A51,库存表!A:C,COLUMN(库存表!C50),0)</f>
        <v>#N/A</v>
      </c>
    </row>
    <row r="52" spans="2:3" ht="27" customHeight="1" x14ac:dyDescent="0.15">
      <c r="B52" s="16" t="e">
        <f>VLOOKUP(A52,库存表!A:C,COLUMN(库存表!B51),0)</f>
        <v>#N/A</v>
      </c>
      <c r="C52" s="28" t="e">
        <f>VLOOKUP(A52,库存表!A:C,COLUMN(库存表!C51),0)</f>
        <v>#N/A</v>
      </c>
    </row>
    <row r="53" spans="2:3" ht="27" customHeight="1" x14ac:dyDescent="0.15">
      <c r="B53" s="16" t="e">
        <f>VLOOKUP(A53,库存表!A:C,COLUMN(库存表!B52),0)</f>
        <v>#N/A</v>
      </c>
      <c r="C53" s="28" t="e">
        <f>VLOOKUP(A53,库存表!A:C,COLUMN(库存表!C52),0)</f>
        <v>#N/A</v>
      </c>
    </row>
    <row r="54" spans="2:3" ht="27" customHeight="1" x14ac:dyDescent="0.15">
      <c r="B54" s="16" t="e">
        <f>VLOOKUP(A54,库存表!A:C,COLUMN(库存表!B53),0)</f>
        <v>#N/A</v>
      </c>
      <c r="C54" s="28" t="e">
        <f>VLOOKUP(A54,库存表!A:C,COLUMN(库存表!C53),0)</f>
        <v>#N/A</v>
      </c>
    </row>
    <row r="55" spans="2:3" ht="27" customHeight="1" x14ac:dyDescent="0.15">
      <c r="B55" s="16" t="e">
        <f>VLOOKUP(A55,库存表!A:C,COLUMN(库存表!B54),0)</f>
        <v>#N/A</v>
      </c>
      <c r="C55" s="28" t="e">
        <f>VLOOKUP(A55,库存表!A:C,COLUMN(库存表!C54),0)</f>
        <v>#N/A</v>
      </c>
    </row>
    <row r="56" spans="2:3" ht="27" customHeight="1" x14ac:dyDescent="0.15">
      <c r="B56" s="16" t="e">
        <f>VLOOKUP(A56,库存表!A:C,COLUMN(库存表!B55),0)</f>
        <v>#N/A</v>
      </c>
      <c r="C56" s="28" t="e">
        <f>VLOOKUP(A56,库存表!A:C,COLUMN(库存表!C55),0)</f>
        <v>#N/A</v>
      </c>
    </row>
    <row r="57" spans="2:3" ht="27" customHeight="1" x14ac:dyDescent="0.15">
      <c r="B57" s="16" t="e">
        <f>VLOOKUP(A57,库存表!A:C,COLUMN(库存表!B56),0)</f>
        <v>#N/A</v>
      </c>
      <c r="C57" s="28" t="e">
        <f>VLOOKUP(A57,库存表!A:C,COLUMN(库存表!C56),0)</f>
        <v>#N/A</v>
      </c>
    </row>
    <row r="58" spans="2:3" ht="27" customHeight="1" x14ac:dyDescent="0.15">
      <c r="B58" s="16" t="e">
        <f>VLOOKUP(A58,库存表!A:C,COLUMN(库存表!B57),0)</f>
        <v>#N/A</v>
      </c>
      <c r="C58" s="28" t="e">
        <f>VLOOKUP(A58,库存表!A:C,COLUMN(库存表!C57),0)</f>
        <v>#N/A</v>
      </c>
    </row>
    <row r="59" spans="2:3" ht="27" customHeight="1" x14ac:dyDescent="0.15">
      <c r="B59" s="16" t="e">
        <f>VLOOKUP(A59,库存表!A:C,COLUMN(库存表!B58),0)</f>
        <v>#N/A</v>
      </c>
      <c r="C59" s="28" t="e">
        <f>VLOOKUP(A59,库存表!A:C,COLUMN(库存表!C58),0)</f>
        <v>#N/A</v>
      </c>
    </row>
    <row r="60" spans="2:3" ht="27" customHeight="1" x14ac:dyDescent="0.15">
      <c r="B60" s="16" t="e">
        <f>VLOOKUP(A60,库存表!A:C,COLUMN(库存表!B59),0)</f>
        <v>#N/A</v>
      </c>
      <c r="C60" s="28" t="e">
        <f>VLOOKUP(A60,库存表!A:C,COLUMN(库存表!C59),0)</f>
        <v>#N/A</v>
      </c>
    </row>
    <row r="61" spans="2:3" ht="27" customHeight="1" x14ac:dyDescent="0.15">
      <c r="B61" s="16" t="e">
        <f>VLOOKUP(A61,库存表!A:C,COLUMN(库存表!B60),0)</f>
        <v>#N/A</v>
      </c>
      <c r="C61" s="28" t="e">
        <f>VLOOKUP(A61,库存表!A:C,COLUMN(库存表!C60),0)</f>
        <v>#N/A</v>
      </c>
    </row>
    <row r="62" spans="2:3" ht="27" customHeight="1" x14ac:dyDescent="0.15">
      <c r="B62" s="16" t="e">
        <f>VLOOKUP(A62,库存表!A:C,COLUMN(库存表!B61),0)</f>
        <v>#N/A</v>
      </c>
      <c r="C62" s="28" t="e">
        <f>VLOOKUP(A62,库存表!A:C,COLUMN(库存表!C61),0)</f>
        <v>#N/A</v>
      </c>
    </row>
    <row r="63" spans="2:3" ht="27" customHeight="1" x14ac:dyDescent="0.15">
      <c r="B63" s="16" t="e">
        <f>VLOOKUP(A63,库存表!A:C,COLUMN(库存表!B62),0)</f>
        <v>#N/A</v>
      </c>
      <c r="C63" s="28" t="e">
        <f>VLOOKUP(A63,库存表!A:C,COLUMN(库存表!C62),0)</f>
        <v>#N/A</v>
      </c>
    </row>
  </sheetData>
  <phoneticPr fontId="1" type="noConversion"/>
  <pageMargins left="0.23622047244094491" right="0.23622047244094491" top="0.35433070866141736" bottom="0.55118110236220474" header="0.31496062992125984" footer="0.31496062992125984"/>
  <pageSetup paperSize="9" scale="99" fitToHeight="0" orientation="portrait" horizontalDpi="180" verticalDpi="180" r:id="rId1"/>
  <headerFooter scaleWithDoc="0">
    <oddFooter>&amp;C&amp;D，第 &amp;P 页，共 &amp;N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workbookViewId="0">
      <pane ySplit="2" topLeftCell="A3" activePane="bottomLeft" state="frozen"/>
      <selection pane="bottomLeft" activeCell="I14" sqref="I14"/>
    </sheetView>
  </sheetViews>
  <sheetFormatPr defaultRowHeight="27" customHeight="1" x14ac:dyDescent="0.15"/>
  <cols>
    <col min="1" max="1" width="15.5" style="15" customWidth="1"/>
    <col min="2" max="2" width="31" style="18" customWidth="1"/>
    <col min="3" max="3" width="10.875" style="15" customWidth="1"/>
    <col min="4" max="4" width="12.125" style="15" customWidth="1"/>
    <col min="5" max="5" width="15.125" style="15" customWidth="1"/>
    <col min="6" max="6" width="32.5" style="17" customWidth="1"/>
    <col min="7" max="7" width="11.5" style="36" customWidth="1"/>
    <col min="8" max="9" width="10.25" style="15" customWidth="1"/>
    <col min="10" max="14" width="9.875" style="15" customWidth="1"/>
    <col min="15" max="15" width="9" style="18"/>
    <col min="16" max="16384" width="9" style="8"/>
  </cols>
  <sheetData>
    <row r="1" spans="1:15" s="23" customFormat="1" ht="35.1" customHeight="1" x14ac:dyDescent="0.15">
      <c r="A1" s="19"/>
      <c r="B1" s="20" t="s">
        <v>38</v>
      </c>
      <c r="C1" s="22"/>
      <c r="D1" s="19"/>
      <c r="E1" s="22"/>
      <c r="F1" s="21"/>
      <c r="G1" s="27"/>
      <c r="H1" s="19"/>
      <c r="I1" s="19"/>
      <c r="J1" s="19"/>
      <c r="K1" s="19"/>
      <c r="L1" s="19"/>
      <c r="M1" s="19"/>
      <c r="N1" s="19"/>
    </row>
    <row r="2" spans="1:15" s="4" customFormat="1" ht="27" customHeight="1" x14ac:dyDescent="0.15">
      <c r="A2" s="5" t="s">
        <v>39</v>
      </c>
      <c r="B2" s="5" t="s">
        <v>40</v>
      </c>
      <c r="C2" s="5" t="s">
        <v>210</v>
      </c>
      <c r="D2" s="5" t="s">
        <v>0</v>
      </c>
      <c r="E2" s="5" t="s">
        <v>131</v>
      </c>
      <c r="F2" s="30" t="s">
        <v>1</v>
      </c>
      <c r="G2" s="30" t="s">
        <v>211</v>
      </c>
      <c r="H2" s="5" t="s">
        <v>41</v>
      </c>
      <c r="I2" s="5" t="s">
        <v>42</v>
      </c>
      <c r="J2" s="5" t="s">
        <v>300</v>
      </c>
      <c r="K2" s="5" t="s">
        <v>301</v>
      </c>
      <c r="L2" s="5" t="s">
        <v>306</v>
      </c>
      <c r="M2" s="5" t="s">
        <v>302</v>
      </c>
      <c r="N2" s="5" t="s">
        <v>308</v>
      </c>
      <c r="O2" s="5" t="s">
        <v>9</v>
      </c>
    </row>
    <row r="3" spans="1:15" ht="27" customHeight="1" x14ac:dyDescent="0.15">
      <c r="A3" s="15" t="s">
        <v>289</v>
      </c>
      <c r="B3" s="18" t="s">
        <v>193</v>
      </c>
      <c r="C3" s="15">
        <f>IF(D3="",NA(),IF(B3="","",SUMIFS(生产指令单!R:R,生产指令单!N:N,A3,生产指令单!U:U,"&lt;&gt;已完结")+SUMIFS(乳化PC!E:E,乳化PC!C:C,A3,乳化PC!I:I,"&lt;&gt;已完结")))</f>
        <v>0</v>
      </c>
      <c r="D3" s="15" t="s">
        <v>43</v>
      </c>
      <c r="E3" s="15" t="str">
        <f>VLOOKUP(D3,库存表!A:C,2,0)</f>
        <v>品牌A</v>
      </c>
      <c r="F3" s="17" t="str">
        <f>VLOOKUP(D3,库存表!A:C,3,0)</f>
        <v>100g 洁面乳 彩盒</v>
      </c>
      <c r="G3" s="36">
        <f t="shared" ref="G3:G19" si="0">VLOOKUP(A3,A:C,3,0)*H3*I3</f>
        <v>0</v>
      </c>
      <c r="H3" s="15">
        <v>1</v>
      </c>
      <c r="I3" s="15">
        <v>1.01</v>
      </c>
      <c r="J3" s="15">
        <f>VLOOKUP(D3,库存表!A:P,7,0)</f>
        <v>2505</v>
      </c>
      <c r="K3" s="15">
        <f t="shared" ref="K3:K19" si="1">INT(J3/H3/I3)</f>
        <v>2480</v>
      </c>
      <c r="L3" s="15">
        <f>INT((VLOOKUP(D3,库存表!A:N,14,0)/H3/I3))</f>
        <v>2480</v>
      </c>
      <c r="M3" s="15">
        <f>(SUMIFS(生产指令单!G:G,生产指令单!N:N,A3,生产指令单!U:U,"&lt;&gt;已完结")-SUMIFS(生产指令单!R:R,生产指令单!N:N,A3,生产指令单!U:U,"&lt;&gt;已完结")+SUMIFS(生产指令单!G:G,生产指令单!M:M,A3,生产指令单!U:U,"&lt;&gt;已完结")-SUMIFS(生产指令单!S:S,生产指令单!M:M,A3,生产指令单!U:U,"&lt;&gt;已完结"))*H3*I3</f>
        <v>2020</v>
      </c>
      <c r="N3" s="15" t="str">
        <f>VLOOKUP(D3,库存表!A:H,8,0)&amp;""</f>
        <v/>
      </c>
    </row>
    <row r="4" spans="1:15" ht="27" customHeight="1" x14ac:dyDescent="0.15">
      <c r="A4" s="15" t="s">
        <v>289</v>
      </c>
      <c r="C4" s="15" t="str">
        <f>IF(D4="",NA(),IF(B4="","",SUMIFS(生产指令单!R:R,生产指令单!N:N,A4,生产指令单!U:U,"&lt;&gt;已完结")+SUMIFS(乳化PC!E:E,乳化PC!C:C,A4,乳化PC!I:I,"&lt;&gt;已完结")))</f>
        <v/>
      </c>
      <c r="D4" s="15" t="s">
        <v>26</v>
      </c>
      <c r="E4" s="15" t="str">
        <f>VLOOKUP(D4,库存表!A:C,2,0)</f>
        <v>品牌A</v>
      </c>
      <c r="F4" s="17" t="str">
        <f>VLOOKUP(D4,库存表!A:C,3,0)</f>
        <v>100g 洁面乳 内托</v>
      </c>
      <c r="G4" s="36">
        <f t="shared" si="0"/>
        <v>0</v>
      </c>
      <c r="H4" s="15">
        <v>1</v>
      </c>
      <c r="I4" s="15">
        <v>1.01</v>
      </c>
      <c r="J4" s="15">
        <f>VLOOKUP(D4,库存表!A:P,7,0)</f>
        <v>2530</v>
      </c>
      <c r="K4" s="15">
        <f t="shared" si="1"/>
        <v>2504</v>
      </c>
      <c r="L4" s="15">
        <f>INT((VLOOKUP(D4,库存表!A:N,14,0)/H4/I4))</f>
        <v>2504</v>
      </c>
      <c r="M4" s="15">
        <f>(SUMIFS(生产指令单!G:G,生产指令单!N:N,A4,生产指令单!U:U,"&lt;&gt;已完结")-SUMIFS(生产指令单!R:R,生产指令单!N:N,A4,生产指令单!U:U,"&lt;&gt;已完结")+SUMIFS(生产指令单!G:G,生产指令单!M:M,A4,生产指令单!U:U,"&lt;&gt;已完结")-SUMIFS(生产指令单!S:S,生产指令单!M:M,A4,生产指令单!U:U,"&lt;&gt;已完结"))*H4*I4</f>
        <v>2020</v>
      </c>
      <c r="N4" s="15" t="str">
        <f>VLOOKUP(D4,库存表!A:H,8,0)&amp;""</f>
        <v/>
      </c>
    </row>
    <row r="5" spans="1:15" ht="27" customHeight="1" x14ac:dyDescent="0.15">
      <c r="A5" s="15" t="s">
        <v>289</v>
      </c>
      <c r="C5" s="15" t="str">
        <f>IF(D5="",NA(),IF(B5="","",SUMIFS(生产指令单!R:R,生产指令单!N:N,A5,生产指令单!U:U,"&lt;&gt;已完结")+SUMIFS(乳化PC!E:E,乳化PC!C:C,A5,乳化PC!I:I,"&lt;&gt;已完结")))</f>
        <v/>
      </c>
      <c r="D5" s="15" t="s">
        <v>27</v>
      </c>
      <c r="E5" s="15" t="str">
        <f>VLOOKUP(D5,库存表!A:C,2,0)</f>
        <v>品牌A</v>
      </c>
      <c r="F5" s="17" t="str">
        <f>VLOOKUP(D5,库存表!A:C,3,0)</f>
        <v>100g 洁面乳 软管</v>
      </c>
      <c r="G5" s="36">
        <f t="shared" si="0"/>
        <v>0</v>
      </c>
      <c r="H5" s="15">
        <v>1</v>
      </c>
      <c r="I5" s="15">
        <v>1.01</v>
      </c>
      <c r="J5" s="15">
        <f>VLOOKUP(D5,库存表!A:P,7,0)</f>
        <v>1490</v>
      </c>
      <c r="K5" s="15">
        <f t="shared" si="1"/>
        <v>1475</v>
      </c>
      <c r="L5" s="15">
        <f>INT((VLOOKUP(D5,库存表!A:N,14,0)/H5/I5))</f>
        <v>1475</v>
      </c>
      <c r="M5" s="15">
        <f>(SUMIFS(生产指令单!G:G,生产指令单!N:N,A5,生产指令单!U:U,"&lt;&gt;已完结")-SUMIFS(生产指令单!R:R,生产指令单!N:N,A5,生产指令单!U:U,"&lt;&gt;已完结")+SUMIFS(生产指令单!G:G,生产指令单!M:M,A5,生产指令单!U:U,"&lt;&gt;已完结")-SUMIFS(生产指令单!S:S,生产指令单!M:M,A5,生产指令单!U:U,"&lt;&gt;已完结"))*H5*I5</f>
        <v>2020</v>
      </c>
      <c r="N5" s="15" t="str">
        <f>VLOOKUP(D5,库存表!A:H,8,0)&amp;""</f>
        <v/>
      </c>
    </row>
    <row r="6" spans="1:15" ht="27" customHeight="1" x14ac:dyDescent="0.15">
      <c r="A6" s="15" t="s">
        <v>289</v>
      </c>
      <c r="C6" s="15" t="str">
        <f>IF(D6="",NA(),IF(B6="","",SUMIFS(生产指令单!R:R,生产指令单!N:N,A6,生产指令单!U:U,"&lt;&gt;已完结")+SUMIFS(乳化PC!E:E,乳化PC!C:C,A6,乳化PC!I:I,"&lt;&gt;已完结")))</f>
        <v/>
      </c>
      <c r="D6" s="15" t="s">
        <v>28</v>
      </c>
      <c r="E6" s="15" t="str">
        <f>VLOOKUP(D6,库存表!A:C,2,0)</f>
        <v>品牌A</v>
      </c>
      <c r="F6" s="17" t="str">
        <f>VLOOKUP(D6,库存表!A:C,3,0)</f>
        <v>100g 洁面乳 软管盖</v>
      </c>
      <c r="G6" s="36">
        <f t="shared" si="0"/>
        <v>0</v>
      </c>
      <c r="H6" s="15">
        <v>1</v>
      </c>
      <c r="I6" s="15">
        <v>1.01</v>
      </c>
      <c r="J6" s="15">
        <f>VLOOKUP(D6,库存表!A:P,7,0)</f>
        <v>-525</v>
      </c>
      <c r="K6" s="15">
        <f t="shared" si="1"/>
        <v>-520</v>
      </c>
      <c r="L6" s="15">
        <f>INT((VLOOKUP(D6,库存表!A:N,14,0)/H6/I6))</f>
        <v>1460</v>
      </c>
      <c r="M6" s="15">
        <f>(SUMIFS(生产指令单!G:G,生产指令单!N:N,A6,生产指令单!U:U,"&lt;&gt;已完结")-SUMIFS(生产指令单!R:R,生产指令单!N:N,A6,生产指令单!U:U,"&lt;&gt;已完结")+SUMIFS(生产指令单!G:G,生产指令单!M:M,A6,生产指令单!U:U,"&lt;&gt;已完结")-SUMIFS(生产指令单!S:S,生产指令单!M:M,A6,生产指令单!U:U,"&lt;&gt;已完结"))*H6*I6</f>
        <v>2020</v>
      </c>
      <c r="N6" s="15" t="str">
        <f>VLOOKUP(D6,库存表!A:H,8,0)&amp;""</f>
        <v/>
      </c>
    </row>
    <row r="7" spans="1:15" ht="27" customHeight="1" x14ac:dyDescent="0.15">
      <c r="A7" s="15" t="s">
        <v>289</v>
      </c>
      <c r="C7" s="15" t="str">
        <f>IF(D7="",NA(),IF(B7="","",SUMIFS(生产指令单!R:R,生产指令单!N:N,A7,生产指令单!U:U,"&lt;&gt;已完结")+SUMIFS(乳化PC!E:E,乳化PC!C:C,A7,乳化PC!I:I,"&lt;&gt;已完结")))</f>
        <v/>
      </c>
      <c r="D7" s="15" t="s">
        <v>297</v>
      </c>
      <c r="E7" s="15" t="str">
        <f>VLOOKUP(D7,库存表!A:C,2,0)</f>
        <v>乳化料体</v>
      </c>
      <c r="F7" s="17" t="str">
        <f>VLOOKUP(D7,库存表!A:C,3,0)</f>
        <v>3号洁面乳</v>
      </c>
      <c r="G7" s="36">
        <f t="shared" si="0"/>
        <v>0</v>
      </c>
      <c r="H7" s="15">
        <v>0.10199999999999999</v>
      </c>
      <c r="I7" s="15">
        <v>1</v>
      </c>
      <c r="J7" s="15">
        <f>VLOOKUP(D7,库存表!A:P,7,0)</f>
        <v>528.29999999999995</v>
      </c>
      <c r="K7" s="15">
        <f t="shared" si="1"/>
        <v>5179</v>
      </c>
      <c r="L7" s="15">
        <f>INT((VLOOKUP(D7,库存表!A:N,14,0)/H7/I7))</f>
        <v>5179</v>
      </c>
      <c r="M7" s="15">
        <f>(SUMIFS(生产指令单!G:G,生产指令单!N:N,A7,生产指令单!U:U,"&lt;&gt;已完结")-SUMIFS(生产指令单!R:R,生产指令单!N:N,A7,生产指令单!U:U,"&lt;&gt;已完结")+SUMIFS(生产指令单!G:G,生产指令单!M:M,A7,生产指令单!U:U,"&lt;&gt;已完结")-SUMIFS(生产指令单!S:S,生产指令单!M:M,A7,生产指令单!U:U,"&lt;&gt;已完结"))*H7*I7</f>
        <v>204</v>
      </c>
      <c r="N7" s="15" t="str">
        <f>VLOOKUP(D7,库存表!A:H,8,0)&amp;""</f>
        <v>计量单位kg</v>
      </c>
    </row>
    <row r="8" spans="1:15" ht="27" customHeight="1" x14ac:dyDescent="0.15">
      <c r="A8" s="15" t="s">
        <v>298</v>
      </c>
      <c r="B8" s="18" t="s">
        <v>196</v>
      </c>
      <c r="C8" s="15">
        <f>IF(D8="",NA(),IF(B8="","",SUMIFS(生产指令单!R:R,生产指令单!N:N,A8,生产指令单!U:U,"&lt;&gt;已完结")+SUMIFS(乳化PC!E:E,乳化PC!C:C,A8,乳化PC!I:I,"&lt;&gt;已完结")))</f>
        <v>0</v>
      </c>
      <c r="D8" s="15" t="s">
        <v>179</v>
      </c>
      <c r="E8" s="15" t="str">
        <f>VLOOKUP(D8,库存表!A:C,2,0)</f>
        <v>原料</v>
      </c>
      <c r="F8" s="17" t="str">
        <f>VLOOKUP(D8,库存表!A:C,3,0)</f>
        <v>甘油（原料名可用代码保密）</v>
      </c>
      <c r="G8" s="36">
        <f t="shared" si="0"/>
        <v>0</v>
      </c>
      <c r="H8" s="15">
        <v>0.15</v>
      </c>
      <c r="I8" s="15">
        <v>1</v>
      </c>
      <c r="J8" s="15">
        <f>VLOOKUP(D8,库存表!A:P,7,0)</f>
        <v>0.5</v>
      </c>
      <c r="K8" s="15">
        <f t="shared" si="1"/>
        <v>3</v>
      </c>
      <c r="L8" s="15">
        <f>INT((VLOOKUP(D8,库存表!A:N,14,0)/H8/I8))</f>
        <v>3</v>
      </c>
      <c r="M8" s="15">
        <f>(SUMIFS(生产指令单!G:G,生产指令单!N:N,A8,生产指令单!U:U,"&lt;&gt;已完结")-SUMIFS(生产指令单!R:R,生产指令单!N:N,A8,生产指令单!U:U,"&lt;&gt;已完结")+SUMIFS(生产指令单!G:G,生产指令单!M:M,A8,生产指令单!U:U,"&lt;&gt;已完结")-SUMIFS(生产指令单!S:S,生产指令单!M:M,A8,生产指令单!U:U,"&lt;&gt;已完结"))*H8*I8</f>
        <v>300</v>
      </c>
      <c r="N8" s="15" t="str">
        <f>VLOOKUP(D8,库存表!A:H,8,0)&amp;""</f>
        <v>计量单位kg</v>
      </c>
    </row>
    <row r="9" spans="1:15" ht="27" customHeight="1" x14ac:dyDescent="0.15">
      <c r="A9" s="15" t="s">
        <v>298</v>
      </c>
      <c r="C9" s="15" t="str">
        <f>IF(D9="",NA(),IF(B9="","",SUMIFS(生产指令单!R:R,生产指令单!N:N,A9,生产指令单!U:U,"&lt;&gt;已完结")+SUMIFS(乳化PC!E:E,乳化PC!C:C,A9,乳化PC!I:I,"&lt;&gt;已完结")))</f>
        <v/>
      </c>
      <c r="D9" s="15" t="s">
        <v>185</v>
      </c>
      <c r="E9" s="15" t="str">
        <f>VLOOKUP(D9,库存表!A:C,2,0)</f>
        <v>原料</v>
      </c>
      <c r="F9" s="17" t="str">
        <f>VLOOKUP(D9,库存表!A:C,3,0)</f>
        <v>精油（原料名可用代码保密）</v>
      </c>
      <c r="G9" s="36">
        <f t="shared" si="0"/>
        <v>0</v>
      </c>
      <c r="H9" s="15">
        <v>2E-3</v>
      </c>
      <c r="I9" s="15">
        <v>1</v>
      </c>
      <c r="J9" s="15">
        <f>VLOOKUP(D9,库存表!A:P,7,0)</f>
        <v>3.94</v>
      </c>
      <c r="K9" s="15">
        <f t="shared" si="1"/>
        <v>1970</v>
      </c>
      <c r="L9" s="15">
        <f>INT((VLOOKUP(D9,库存表!A:N,14,0)/H9/I9))</f>
        <v>1970</v>
      </c>
      <c r="M9" s="15">
        <f>(SUMIFS(生产指令单!G:G,生产指令单!N:N,A9,生产指令单!U:U,"&lt;&gt;已完结")-SUMIFS(生产指令单!R:R,生产指令单!N:N,A9,生产指令单!U:U,"&lt;&gt;已完结")+SUMIFS(生产指令单!G:G,生产指令单!M:M,A9,生产指令单!U:U,"&lt;&gt;已完结")-SUMIFS(生产指令单!S:S,生产指令单!M:M,A9,生产指令单!U:U,"&lt;&gt;已完结"))*H9*I9</f>
        <v>4</v>
      </c>
      <c r="N9" s="15" t="str">
        <f>VLOOKUP(D9,库存表!A:H,8,0)&amp;""</f>
        <v>计量单位kg</v>
      </c>
    </row>
    <row r="10" spans="1:15" ht="27" customHeight="1" x14ac:dyDescent="0.15">
      <c r="A10" s="15" t="s">
        <v>298</v>
      </c>
      <c r="C10" s="15" t="str">
        <f>IF(D10="",NA(),IF(B10="","",SUMIFS(生产指令单!R:R,生产指令单!N:N,A10,生产指令单!U:U,"&lt;&gt;已完结")+SUMIFS(乳化PC!E:E,乳化PC!C:C,A10,乳化PC!I:I,"&lt;&gt;已完结")))</f>
        <v/>
      </c>
      <c r="D10" s="15" t="s">
        <v>186</v>
      </c>
      <c r="E10" s="15" t="str">
        <f>VLOOKUP(D10,库存表!A:C,2,0)</f>
        <v>原料</v>
      </c>
      <c r="F10" s="17" t="str">
        <f>VLOOKUP(D10,库存表!A:C,3,0)</f>
        <v>香精（原料名可用代码保密）</v>
      </c>
      <c r="G10" s="36">
        <f t="shared" si="0"/>
        <v>0</v>
      </c>
      <c r="H10" s="15">
        <v>1E-4</v>
      </c>
      <c r="I10" s="15">
        <v>1</v>
      </c>
      <c r="J10" s="15">
        <f>VLOOKUP(D10,库存表!A:P,7,0)</f>
        <v>4.9470000000000001</v>
      </c>
      <c r="K10" s="15">
        <f t="shared" si="1"/>
        <v>49470</v>
      </c>
      <c r="L10" s="15">
        <f>INT((VLOOKUP(D10,库存表!A:N,14,0)/H10/I10))</f>
        <v>49470</v>
      </c>
      <c r="M10" s="15">
        <f>(SUMIFS(生产指令单!G:G,生产指令单!N:N,A10,生产指令单!U:U,"&lt;&gt;已完结")-SUMIFS(生产指令单!R:R,生产指令单!N:N,A10,生产指令单!U:U,"&lt;&gt;已完结")+SUMIFS(生产指令单!G:G,生产指令单!M:M,A10,生产指令单!U:U,"&lt;&gt;已完结")-SUMIFS(生产指令单!S:S,生产指令单!M:M,A10,生产指令单!U:U,"&lt;&gt;已完结"))*H10*I10</f>
        <v>0.2</v>
      </c>
      <c r="N10" s="15" t="str">
        <f>VLOOKUP(D10,库存表!A:H,8,0)&amp;""</f>
        <v>计量单位kg</v>
      </c>
    </row>
    <row r="11" spans="1:15" ht="27" customHeight="1" x14ac:dyDescent="0.15">
      <c r="A11" s="15" t="s">
        <v>298</v>
      </c>
      <c r="C11" s="15" t="str">
        <f>IF(D11="",NA(),IF(B11="","",SUMIFS(生产指令单!R:R,生产指令单!N:N,A11,生产指令单!U:U,"&lt;&gt;已完结")+SUMIFS(乳化PC!E:E,乳化PC!C:C,A11,乳化PC!I:I,"&lt;&gt;已完结")))</f>
        <v/>
      </c>
      <c r="D11" s="15" t="s">
        <v>187</v>
      </c>
      <c r="E11" s="15" t="str">
        <f>VLOOKUP(D11,库存表!A:C,2,0)</f>
        <v>原料</v>
      </c>
      <c r="F11" s="17" t="str">
        <f>VLOOKUP(D11,库存表!A:C,3,0)</f>
        <v>兑水0.12%海蓝色素（原料名可用代码保密）</v>
      </c>
      <c r="G11" s="36">
        <f t="shared" si="0"/>
        <v>0</v>
      </c>
      <c r="H11" s="15">
        <v>0.65</v>
      </c>
      <c r="I11" s="15">
        <v>1</v>
      </c>
      <c r="J11" s="15">
        <f>VLOOKUP(D11,库存表!A:P,7,0)</f>
        <v>155.5</v>
      </c>
      <c r="K11" s="15">
        <f t="shared" si="1"/>
        <v>239</v>
      </c>
      <c r="L11" s="15">
        <f>INT((VLOOKUP(D11,库存表!A:N,14,0)/H11/I11))</f>
        <v>239</v>
      </c>
      <c r="M11" s="15">
        <f>(SUMIFS(生产指令单!G:G,生产指令单!N:N,A11,生产指令单!U:U,"&lt;&gt;已完结")-SUMIFS(生产指令单!R:R,生产指令单!N:N,A11,生产指令单!U:U,"&lt;&gt;已完结")+SUMIFS(生产指令单!G:G,生产指令单!M:M,A11,生产指令单!U:U,"&lt;&gt;已完结")-SUMIFS(生产指令单!S:S,生产指令单!M:M,A11,生产指令单!U:U,"&lt;&gt;已完结"))*H11*I11</f>
        <v>1300</v>
      </c>
      <c r="N11" s="15" t="str">
        <f>VLOOKUP(D11,库存表!A:H,8,0)&amp;""</f>
        <v>计量单位kg</v>
      </c>
    </row>
    <row r="12" spans="1:15" ht="27" customHeight="1" x14ac:dyDescent="0.15">
      <c r="C12" s="15" t="e">
        <f>IF(D12="",NA(),IF(B12="","",SUMIFS(生产指令单!R:R,生产指令单!N:N,A12,生产指令单!U:U,"&lt;&gt;已完结")+SUMIFS(乳化PC!E:E,乳化PC!C:C,A12,乳化PC!I:I,"&lt;&gt;已完结")))</f>
        <v>#N/A</v>
      </c>
      <c r="E12" s="15" t="e">
        <f>VLOOKUP(D12,库存表!A:C,2,0)</f>
        <v>#N/A</v>
      </c>
      <c r="F12" s="17" t="e">
        <f>VLOOKUP(D12,库存表!A:C,3,0)</f>
        <v>#N/A</v>
      </c>
      <c r="G12" s="36" t="e">
        <f t="shared" si="0"/>
        <v>#N/A</v>
      </c>
      <c r="J12" s="15" t="e">
        <f>VLOOKUP(D12,库存表!A:P,7,0)</f>
        <v>#N/A</v>
      </c>
      <c r="K12" s="15" t="e">
        <f t="shared" si="1"/>
        <v>#N/A</v>
      </c>
      <c r="L12" s="15" t="e">
        <f>INT((VLOOKUP(D12,库存表!A:N,14,0)/H12/I12))</f>
        <v>#N/A</v>
      </c>
      <c r="M12" s="15">
        <f>(SUMIFS(生产指令单!G:G,生产指令单!N:N,A12,生产指令单!U:U,"&lt;&gt;已完结")-SUMIFS(生产指令单!R:R,生产指令单!N:N,A12,生产指令单!U:U,"&lt;&gt;已完结")+SUMIFS(生产指令单!G:G,生产指令单!M:M,A12,生产指令单!U:U,"&lt;&gt;已完结")-SUMIFS(生产指令单!S:S,生产指令单!M:M,A12,生产指令单!U:U,"&lt;&gt;已完结"))*H12*I12</f>
        <v>0</v>
      </c>
      <c r="N12" s="15" t="e">
        <f>VLOOKUP(D12,库存表!A:H,8,0)&amp;""</f>
        <v>#N/A</v>
      </c>
    </row>
    <row r="13" spans="1:15" ht="27" customHeight="1" x14ac:dyDescent="0.15">
      <c r="C13" s="15" t="e">
        <f>IF(D13="",NA(),IF(B13="","",SUMIFS(生产指令单!R:R,生产指令单!N:N,A13,生产指令单!U:U,"&lt;&gt;已完结")+SUMIFS(乳化PC!E:E,乳化PC!C:C,A13,乳化PC!I:I,"&lt;&gt;已完结")))</f>
        <v>#N/A</v>
      </c>
      <c r="E13" s="15" t="e">
        <f>VLOOKUP(D13,库存表!A:C,2,0)</f>
        <v>#N/A</v>
      </c>
      <c r="F13" s="17" t="e">
        <f>VLOOKUP(D13,库存表!A:C,3,0)</f>
        <v>#N/A</v>
      </c>
      <c r="G13" s="36" t="e">
        <f t="shared" si="0"/>
        <v>#N/A</v>
      </c>
      <c r="J13" s="15" t="e">
        <f>VLOOKUP(D13,库存表!A:P,7,0)</f>
        <v>#N/A</v>
      </c>
      <c r="K13" s="15" t="e">
        <f t="shared" si="1"/>
        <v>#N/A</v>
      </c>
      <c r="L13" s="15" t="e">
        <f>INT((VLOOKUP(D13,库存表!A:N,14,0)/H13/I13))</f>
        <v>#N/A</v>
      </c>
      <c r="M13" s="15">
        <f>(SUMIFS(生产指令单!G:G,生产指令单!N:N,A13,生产指令单!U:U,"&lt;&gt;已完结")-SUMIFS(生产指令单!R:R,生产指令单!N:N,A13,生产指令单!U:U,"&lt;&gt;已完结")+SUMIFS(生产指令单!G:G,生产指令单!M:M,A13,生产指令单!U:U,"&lt;&gt;已完结")-SUMIFS(生产指令单!S:S,生产指令单!M:M,A13,生产指令单!U:U,"&lt;&gt;已完结"))*H13*I13</f>
        <v>0</v>
      </c>
      <c r="N13" s="15" t="e">
        <f>VLOOKUP(D13,库存表!A:H,8,0)&amp;""</f>
        <v>#N/A</v>
      </c>
    </row>
    <row r="14" spans="1:15" ht="27" customHeight="1" x14ac:dyDescent="0.15">
      <c r="C14" s="15" t="e">
        <f>IF(D14="",NA(),IF(B14="","",SUMIFS(生产指令单!R:R,生产指令单!N:N,A14,生产指令单!U:U,"&lt;&gt;已完结")+SUMIFS(乳化PC!E:E,乳化PC!C:C,A14,乳化PC!I:I,"&lt;&gt;已完结")))</f>
        <v>#N/A</v>
      </c>
      <c r="E14" s="15" t="e">
        <f>VLOOKUP(D14,库存表!A:C,2,0)</f>
        <v>#N/A</v>
      </c>
      <c r="F14" s="17" t="e">
        <f>VLOOKUP(D14,库存表!A:C,3,0)</f>
        <v>#N/A</v>
      </c>
      <c r="G14" s="36" t="e">
        <f t="shared" si="0"/>
        <v>#N/A</v>
      </c>
      <c r="J14" s="15" t="e">
        <f>VLOOKUP(D14,库存表!A:P,7,0)</f>
        <v>#N/A</v>
      </c>
      <c r="K14" s="15" t="e">
        <f t="shared" si="1"/>
        <v>#N/A</v>
      </c>
      <c r="L14" s="15" t="e">
        <f>INT((VLOOKUP(D14,库存表!A:N,14,0)/H14/I14))</f>
        <v>#N/A</v>
      </c>
      <c r="M14" s="15">
        <f>(SUMIFS(生产指令单!G:G,生产指令单!N:N,A14,生产指令单!U:U,"&lt;&gt;已完结")-SUMIFS(生产指令单!R:R,生产指令单!N:N,A14,生产指令单!U:U,"&lt;&gt;已完结")+SUMIFS(生产指令单!G:G,生产指令单!M:M,A14,生产指令单!U:U,"&lt;&gt;已完结")-SUMIFS(生产指令单!S:S,生产指令单!M:M,A14,生产指令单!U:U,"&lt;&gt;已完结"))*H14*I14</f>
        <v>0</v>
      </c>
      <c r="N14" s="15" t="e">
        <f>VLOOKUP(D14,库存表!A:H,8,0)&amp;""</f>
        <v>#N/A</v>
      </c>
    </row>
    <row r="15" spans="1:15" ht="27" customHeight="1" x14ac:dyDescent="0.15">
      <c r="C15" s="15" t="e">
        <f>IF(D15="",NA(),IF(B15="","",SUMIFS(生产指令单!R:R,生产指令单!N:N,A15,生产指令单!U:U,"&lt;&gt;已完结")+SUMIFS(乳化PC!E:E,乳化PC!C:C,A15,乳化PC!I:I,"&lt;&gt;已完结")))</f>
        <v>#N/A</v>
      </c>
      <c r="E15" s="15" t="e">
        <f>VLOOKUP(D15,库存表!A:C,2,0)</f>
        <v>#N/A</v>
      </c>
      <c r="F15" s="17" t="e">
        <f>VLOOKUP(D15,库存表!A:C,3,0)</f>
        <v>#N/A</v>
      </c>
      <c r="G15" s="36" t="e">
        <f t="shared" si="0"/>
        <v>#N/A</v>
      </c>
      <c r="J15" s="15" t="e">
        <f>VLOOKUP(D15,库存表!A:P,7,0)</f>
        <v>#N/A</v>
      </c>
      <c r="K15" s="15" t="e">
        <f t="shared" si="1"/>
        <v>#N/A</v>
      </c>
      <c r="L15" s="15" t="e">
        <f>INT((VLOOKUP(D15,库存表!A:N,14,0)/H15/I15))</f>
        <v>#N/A</v>
      </c>
      <c r="M15" s="15">
        <f>(SUMIFS(生产指令单!G:G,生产指令单!N:N,A15,生产指令单!U:U,"&lt;&gt;已完结")-SUMIFS(生产指令单!R:R,生产指令单!N:N,A15,生产指令单!U:U,"&lt;&gt;已完结")+SUMIFS(生产指令单!G:G,生产指令单!M:M,A15,生产指令单!U:U,"&lt;&gt;已完结")-SUMIFS(生产指令单!S:S,生产指令单!M:M,A15,生产指令单!U:U,"&lt;&gt;已完结"))*H15*I15</f>
        <v>0</v>
      </c>
      <c r="N15" s="15" t="e">
        <f>VLOOKUP(D15,库存表!A:H,8,0)&amp;""</f>
        <v>#N/A</v>
      </c>
    </row>
    <row r="16" spans="1:15" ht="27" customHeight="1" x14ac:dyDescent="0.15">
      <c r="C16" s="15" t="e">
        <f>IF(D16="",NA(),IF(B16="","",SUMIFS(生产指令单!R:R,生产指令单!N:N,A16,生产指令单!U:U,"&lt;&gt;已完结")+SUMIFS(乳化PC!E:E,乳化PC!C:C,A16,乳化PC!I:I,"&lt;&gt;已完结")))</f>
        <v>#N/A</v>
      </c>
      <c r="E16" s="15" t="e">
        <f>VLOOKUP(D16,库存表!A:C,2,0)</f>
        <v>#N/A</v>
      </c>
      <c r="F16" s="17" t="e">
        <f>VLOOKUP(D16,库存表!A:C,3,0)</f>
        <v>#N/A</v>
      </c>
      <c r="G16" s="36" t="e">
        <f t="shared" si="0"/>
        <v>#N/A</v>
      </c>
      <c r="J16" s="15" t="e">
        <f>VLOOKUP(D16,库存表!A:P,7,0)</f>
        <v>#N/A</v>
      </c>
      <c r="K16" s="15" t="e">
        <f t="shared" si="1"/>
        <v>#N/A</v>
      </c>
      <c r="L16" s="15" t="e">
        <f>INT((VLOOKUP(D16,库存表!A:N,14,0)/H16/I16))</f>
        <v>#N/A</v>
      </c>
      <c r="M16" s="15">
        <f>(SUMIFS(生产指令单!G:G,生产指令单!N:N,A16,生产指令单!U:U,"&lt;&gt;已完结")-SUMIFS(生产指令单!R:R,生产指令单!N:N,A16,生产指令单!U:U,"&lt;&gt;已完结")+SUMIFS(生产指令单!G:G,生产指令单!M:M,A16,生产指令单!U:U,"&lt;&gt;已完结")-SUMIFS(生产指令单!S:S,生产指令单!M:M,A16,生产指令单!U:U,"&lt;&gt;已完结"))*H16*I16</f>
        <v>0</v>
      </c>
      <c r="N16" s="15" t="e">
        <f>VLOOKUP(D16,库存表!A:H,8,0)&amp;""</f>
        <v>#N/A</v>
      </c>
    </row>
    <row r="17" spans="3:14" ht="27" customHeight="1" x14ac:dyDescent="0.15">
      <c r="C17" s="15" t="e">
        <f>IF(D17="",NA(),IF(B17="","",SUMIFS(生产指令单!R:R,生产指令单!N:N,A17,生产指令单!U:U,"&lt;&gt;已完结")+SUMIFS(乳化PC!E:E,乳化PC!C:C,A17,乳化PC!I:I,"&lt;&gt;已完结")))</f>
        <v>#N/A</v>
      </c>
      <c r="E17" s="15" t="e">
        <f>VLOOKUP(D17,库存表!A:C,2,0)</f>
        <v>#N/A</v>
      </c>
      <c r="F17" s="17" t="e">
        <f>VLOOKUP(D17,库存表!A:C,3,0)</f>
        <v>#N/A</v>
      </c>
      <c r="G17" s="36" t="e">
        <f t="shared" si="0"/>
        <v>#N/A</v>
      </c>
      <c r="J17" s="15" t="e">
        <f>VLOOKUP(D17,库存表!A:P,7,0)</f>
        <v>#N/A</v>
      </c>
      <c r="K17" s="15" t="e">
        <f t="shared" si="1"/>
        <v>#N/A</v>
      </c>
      <c r="L17" s="15" t="e">
        <f>INT((VLOOKUP(D17,库存表!A:N,14,0)/H17/I17))</f>
        <v>#N/A</v>
      </c>
      <c r="M17" s="15">
        <f>(SUMIFS(生产指令单!G:G,生产指令单!N:N,A17,生产指令单!U:U,"&lt;&gt;已完结")-SUMIFS(生产指令单!R:R,生产指令单!N:N,A17,生产指令单!U:U,"&lt;&gt;已完结")+SUMIFS(生产指令单!G:G,生产指令单!M:M,A17,生产指令单!U:U,"&lt;&gt;已完结")-SUMIFS(生产指令单!S:S,生产指令单!M:M,A17,生产指令单!U:U,"&lt;&gt;已完结"))*H17*I17</f>
        <v>0</v>
      </c>
      <c r="N17" s="15" t="e">
        <f>VLOOKUP(D17,库存表!A:H,8,0)&amp;""</f>
        <v>#N/A</v>
      </c>
    </row>
    <row r="18" spans="3:14" ht="27" customHeight="1" x14ac:dyDescent="0.15">
      <c r="C18" s="15" t="e">
        <f>IF(D18="",NA(),IF(B18="","",SUMIFS(生产指令单!R:R,生产指令单!N:N,A18,生产指令单!U:U,"&lt;&gt;已完结")+SUMIFS(乳化PC!E:E,乳化PC!C:C,A18,乳化PC!I:I,"&lt;&gt;已完结")))</f>
        <v>#N/A</v>
      </c>
      <c r="E18" s="15" t="e">
        <f>VLOOKUP(D18,库存表!A:C,2,0)</f>
        <v>#N/A</v>
      </c>
      <c r="F18" s="17" t="e">
        <f>VLOOKUP(D18,库存表!A:C,3,0)</f>
        <v>#N/A</v>
      </c>
      <c r="G18" s="36" t="e">
        <f t="shared" si="0"/>
        <v>#N/A</v>
      </c>
      <c r="J18" s="15" t="e">
        <f>VLOOKUP(D18,库存表!A:P,7,0)</f>
        <v>#N/A</v>
      </c>
      <c r="K18" s="15" t="e">
        <f t="shared" si="1"/>
        <v>#N/A</v>
      </c>
      <c r="L18" s="15" t="e">
        <f>INT((VLOOKUP(D18,库存表!A:N,14,0)/H18/I18))</f>
        <v>#N/A</v>
      </c>
      <c r="M18" s="15">
        <f>(SUMIFS(生产指令单!G:G,生产指令单!N:N,A18,生产指令单!U:U,"&lt;&gt;已完结")-SUMIFS(生产指令单!R:R,生产指令单!N:N,A18,生产指令单!U:U,"&lt;&gt;已完结")+SUMIFS(生产指令单!G:G,生产指令单!M:M,A18,生产指令单!U:U,"&lt;&gt;已完结")-SUMIFS(生产指令单!S:S,生产指令单!M:M,A18,生产指令单!U:U,"&lt;&gt;已完结"))*H18*I18</f>
        <v>0</v>
      </c>
      <c r="N18" s="15" t="e">
        <f>VLOOKUP(D18,库存表!A:H,8,0)&amp;""</f>
        <v>#N/A</v>
      </c>
    </row>
    <row r="19" spans="3:14" ht="27" customHeight="1" x14ac:dyDescent="0.15">
      <c r="C19" s="15" t="e">
        <f>IF(D19="",NA(),IF(B19="","",SUMIFS(生产指令单!R:R,生产指令单!N:N,A19,生产指令单!U:U,"&lt;&gt;已完结")+SUMIFS(乳化PC!E:E,乳化PC!C:C,A19,乳化PC!I:I,"&lt;&gt;已完结")))</f>
        <v>#N/A</v>
      </c>
      <c r="E19" s="15" t="e">
        <f>VLOOKUP(D19,库存表!A:C,2,0)</f>
        <v>#N/A</v>
      </c>
      <c r="F19" s="17" t="e">
        <f>VLOOKUP(D19,库存表!A:C,3,0)</f>
        <v>#N/A</v>
      </c>
      <c r="G19" s="36" t="e">
        <f t="shared" si="0"/>
        <v>#N/A</v>
      </c>
      <c r="J19" s="15" t="e">
        <f>VLOOKUP(D19,库存表!A:P,7,0)</f>
        <v>#N/A</v>
      </c>
      <c r="K19" s="15" t="e">
        <f t="shared" si="1"/>
        <v>#N/A</v>
      </c>
      <c r="L19" s="15" t="e">
        <f>INT((VLOOKUP(D19,库存表!A:N,14,0)/H19/I19))</f>
        <v>#N/A</v>
      </c>
      <c r="M19" s="15">
        <f>(SUMIFS(生产指令单!G:G,生产指令单!N:N,A19,生产指令单!U:U,"&lt;&gt;已完结")-SUMIFS(生产指令单!R:R,生产指令单!N:N,A19,生产指令单!U:U,"&lt;&gt;已完结")+SUMIFS(生产指令单!G:G,生产指令单!M:M,A19,生产指令单!U:U,"&lt;&gt;已完结")-SUMIFS(生产指令单!S:S,生产指令单!M:M,A19,生产指令单!U:U,"&lt;&gt;已完结"))*H19*I19</f>
        <v>0</v>
      </c>
      <c r="N19" s="15" t="e">
        <f>VLOOKUP(D19,库存表!A:H,8,0)&amp;""</f>
        <v>#N/A</v>
      </c>
    </row>
  </sheetData>
  <phoneticPr fontId="1" type="noConversion"/>
  <conditionalFormatting sqref="A1:O1048576">
    <cfRule type="expression" dxfId="16" priority="1">
      <formula>AND(ROW()&gt;3,$B1&lt;&gt;"")</formula>
    </cfRule>
  </conditionalFormatting>
  <pageMargins left="0.23622047244094491" right="0.23622047244094491" top="0.35433070866141736" bottom="0.55118110236220474" header="0.31496062992125984" footer="0.31496062992125984"/>
  <pageSetup paperSize="9" scale="73" fitToHeight="0" orientation="landscape" horizontalDpi="180" verticalDpi="180" r:id="rId1"/>
  <headerFooter scaleWithDoc="0">
    <oddFooter>&amp;C&amp;D，第 &amp;P 页，共 &amp;N 页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Q2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8" sqref="H8"/>
    </sheetView>
  </sheetViews>
  <sheetFormatPr defaultRowHeight="27" customHeight="1" x14ac:dyDescent="0.15"/>
  <cols>
    <col min="1" max="1" width="8.625" style="15" customWidth="1"/>
    <col min="2" max="2" width="11.25" style="15" customWidth="1"/>
    <col min="3" max="3" width="40.875" style="28" customWidth="1"/>
    <col min="4" max="7" width="10" style="15" customWidth="1"/>
    <col min="8" max="8" width="16.125" style="18" customWidth="1"/>
    <col min="9" max="14" width="9" style="15"/>
    <col min="15" max="15" width="9" style="15" customWidth="1"/>
    <col min="16" max="16" width="9" style="15"/>
    <col min="17" max="17" width="9" style="18"/>
    <col min="18" max="16384" width="9" style="8"/>
  </cols>
  <sheetData>
    <row r="1" spans="1:17" s="23" customFormat="1" ht="35.1" customHeight="1" x14ac:dyDescent="0.15">
      <c r="A1" s="31" t="s">
        <v>171</v>
      </c>
      <c r="B1" s="23" t="s">
        <v>195</v>
      </c>
      <c r="C1" s="24"/>
      <c r="D1" s="19"/>
      <c r="E1" s="19"/>
      <c r="F1" s="19"/>
      <c r="G1" s="19"/>
      <c r="I1" s="19"/>
      <c r="J1" s="19"/>
      <c r="K1" s="19"/>
      <c r="L1" s="19"/>
      <c r="M1" s="19"/>
      <c r="N1" s="19"/>
      <c r="O1" s="19"/>
      <c r="P1" s="19"/>
    </row>
    <row r="2" spans="1:17" s="4" customFormat="1" ht="27" customHeight="1" x14ac:dyDescent="0.15">
      <c r="A2" s="5" t="s">
        <v>0</v>
      </c>
      <c r="B2" s="5" t="s">
        <v>2</v>
      </c>
      <c r="C2" s="5" t="s">
        <v>1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44</v>
      </c>
      <c r="J2" s="5" t="s">
        <v>8</v>
      </c>
      <c r="K2" s="5" t="s">
        <v>35</v>
      </c>
      <c r="L2" s="5" t="s">
        <v>10</v>
      </c>
      <c r="M2" s="5" t="s">
        <v>11</v>
      </c>
      <c r="N2" s="5" t="s">
        <v>307</v>
      </c>
      <c r="O2" s="5" t="s">
        <v>12</v>
      </c>
      <c r="P2" s="5" t="s">
        <v>303</v>
      </c>
      <c r="Q2" s="5" t="s">
        <v>9</v>
      </c>
    </row>
    <row r="3" spans="1:17" ht="27" customHeight="1" x14ac:dyDescent="0.15">
      <c r="A3" s="15" t="s">
        <v>25</v>
      </c>
      <c r="B3" s="15" t="s">
        <v>149</v>
      </c>
      <c r="C3" s="28" t="s">
        <v>150</v>
      </c>
      <c r="D3" s="15">
        <f>SUMIF(期初库存!A:A,A3,期初库存!D:D)</f>
        <v>500</v>
      </c>
      <c r="E3" s="15">
        <f>SUMIF(外购入库!I:I,A3,外购入库!E:E)+SUMIF(乳化PC!C:C,A3,乳化PC!H:H)+SUMIF(生产领料!E:E,A3,生产领料!K:K)</f>
        <v>3090</v>
      </c>
      <c r="F3" s="15">
        <f>SUMIF(生产领料!E:E,A3,生产领料!H:H)+SUMIF(生产领料!E:E,A3,生产领料!J:J)+SUMIF(其他出库!H:H,A3,其他出库!E:E)</f>
        <v>1085</v>
      </c>
      <c r="G3" s="15">
        <f>D3+E3-F3</f>
        <v>2505</v>
      </c>
      <c r="I3" s="15" t="s">
        <v>45</v>
      </c>
      <c r="J3" s="15" t="s">
        <v>162</v>
      </c>
      <c r="K3" s="15" t="s">
        <v>183</v>
      </c>
      <c r="L3" s="15">
        <f>SUMIFS(采购MC!K:K,采购MC!H:H,A3,采购MC!N:N,"&lt;&gt;已完结")-SUMIFS(采购MC!L:L,采购MC!H:H,A3,采购MC!N:N,"&lt;&gt;已完结")</f>
        <v>0</v>
      </c>
      <c r="M3" s="15">
        <f>SUMIFS(到货!E:E,到货!M:M,A3,到货!K:K,"&lt;&gt;已完结")-SUMIFS(到货!J:J,到货!M:M,A3,到货!K:K,"&lt;&gt;已完结")</f>
        <v>0</v>
      </c>
      <c r="N3" s="15">
        <f>G3+M3+SUMIFS(乳化PC!E:E,乳化PC!C:C,A3,乳化PC!I:I,"&lt;&gt;已完结")</f>
        <v>2505</v>
      </c>
      <c r="O3" s="15">
        <f>SUMIF(物料清单!D:D,A3,物料清单!M:M)</f>
        <v>2020</v>
      </c>
      <c r="P3" s="15">
        <f>IF(G3+L3+M3-O3&lt;0,G3+L3+M3-O3,0)</f>
        <v>0</v>
      </c>
    </row>
    <row r="4" spans="1:17" ht="27" customHeight="1" x14ac:dyDescent="0.15">
      <c r="A4" s="15" t="s">
        <v>26</v>
      </c>
      <c r="B4" s="15" t="s">
        <v>149</v>
      </c>
      <c r="C4" s="28" t="s">
        <v>151</v>
      </c>
      <c r="D4" s="15">
        <f>SUMIF(期初库存!A:A,A4,期初库存!D:D)</f>
        <v>500</v>
      </c>
      <c r="E4" s="15">
        <f>SUMIF(外购入库!I:I,A4,外购入库!E:E)+SUMIF(乳化PC!C:C,A4,乳化PC!H:H)+SUMIF(生产领料!E:E,A4,生产领料!K:K)</f>
        <v>3060</v>
      </c>
      <c r="F4" s="15">
        <f>SUMIF(生产领料!E:E,A4,生产领料!H:H)+SUMIF(生产领料!E:E,A4,生产领料!J:J)+SUMIF(其他出库!H:H,A4,其他出库!E:E)</f>
        <v>1030</v>
      </c>
      <c r="G4" s="15">
        <f t="shared" ref="G4:G13" si="0">D4+E4-F4</f>
        <v>2530</v>
      </c>
      <c r="I4" s="15" t="s">
        <v>45</v>
      </c>
      <c r="J4" s="15" t="s">
        <v>162</v>
      </c>
      <c r="K4" s="15" t="s">
        <v>183</v>
      </c>
      <c r="L4" s="15">
        <f>SUMIFS(采购MC!K:K,采购MC!H:H,A4,采购MC!N:N,"跟进中")-SUMIFS(采购MC!L:L,采购MC!H:H,A4,采购MC!N:N,"跟进中")</f>
        <v>0</v>
      </c>
      <c r="M4" s="15">
        <f>SUMIFS(到货!E:E,到货!M:M,A4,到货!K:K,"跟进中")-SUMIFS(到货!J:J,到货!M:M,A4,到货!K:K,"跟进中")</f>
        <v>0</v>
      </c>
      <c r="N4" s="15">
        <f>G4+M4+SUMIFS(乳化PC!E:E,乳化PC!C:C,A4,乳化PC!I:I,"&lt;&gt;已完结")</f>
        <v>2530</v>
      </c>
      <c r="O4" s="15">
        <f>SUMIF(物料清单!D:D,A4,物料清单!M:M)</f>
        <v>2020</v>
      </c>
      <c r="P4" s="15">
        <f t="shared" ref="P4:P28" si="1">IF(G4+L4+M4-O4&lt;0,G4+L4+M4-O4,0)</f>
        <v>0</v>
      </c>
    </row>
    <row r="5" spans="1:17" ht="27" customHeight="1" x14ac:dyDescent="0.15">
      <c r="A5" s="15" t="s">
        <v>27</v>
      </c>
      <c r="B5" s="15" t="s">
        <v>149</v>
      </c>
      <c r="C5" s="28" t="s">
        <v>152</v>
      </c>
      <c r="D5" s="15">
        <f>SUMIF(期初库存!A:A,A5,期初库存!D:D)</f>
        <v>500</v>
      </c>
      <c r="E5" s="15">
        <f>SUMIF(外购入库!I:I,A5,外购入库!E:E)+SUMIF(乳化PC!C:C,A5,乳化PC!H:H)+SUMIF(生产领料!E:E,A5,生产领料!K:K)</f>
        <v>2000</v>
      </c>
      <c r="F5" s="15">
        <f>SUMIF(生产领料!E:E,A5,生产领料!H:H)+SUMIF(生产领料!E:E,A5,生产领料!J:J)+SUMIF(其他出库!H:H,A5,其他出库!E:E)</f>
        <v>1010</v>
      </c>
      <c r="G5" s="15">
        <f t="shared" si="0"/>
        <v>1490</v>
      </c>
      <c r="I5" s="15" t="s">
        <v>45</v>
      </c>
      <c r="J5" s="15" t="s">
        <v>163</v>
      </c>
      <c r="K5" s="15" t="s">
        <v>183</v>
      </c>
      <c r="L5" s="15">
        <f>SUMIFS(采购MC!K:K,采购MC!H:H,A5,采购MC!N:N,"跟进中")-SUMIFS(采购MC!L:L,采购MC!H:H,A5,采购MC!N:N,"跟进中")</f>
        <v>3000</v>
      </c>
      <c r="M5" s="15">
        <f>SUMIFS(到货!E:E,到货!M:M,A5,到货!K:K,"跟进中")-SUMIFS(到货!J:J,到货!M:M,A5,到货!K:K,"跟进中")</f>
        <v>0</v>
      </c>
      <c r="N5" s="15">
        <f>G5+M5+SUMIFS(乳化PC!E:E,乳化PC!C:C,A5,乳化PC!I:I,"&lt;&gt;已完结")</f>
        <v>1490</v>
      </c>
      <c r="O5" s="15">
        <f>SUMIF(物料清单!D:D,A5,物料清单!M:M)</f>
        <v>2020</v>
      </c>
      <c r="P5" s="15">
        <f t="shared" si="1"/>
        <v>0</v>
      </c>
    </row>
    <row r="6" spans="1:17" ht="27" customHeight="1" x14ac:dyDescent="0.15">
      <c r="A6" s="15" t="s">
        <v>28</v>
      </c>
      <c r="B6" s="15" t="s">
        <v>149</v>
      </c>
      <c r="C6" s="28" t="s">
        <v>156</v>
      </c>
      <c r="D6" s="15">
        <f>SUMIF(期初库存!A:A,A6,期初库存!D:D)</f>
        <v>500</v>
      </c>
      <c r="E6" s="15">
        <f>SUMIF(外购入库!I:I,A6,外购入库!E:E)+SUMIF(乳化PC!C:C,A6,乳化PC!H:H)+SUMIF(生产领料!E:E,A6,生产领料!K:K)</f>
        <v>0</v>
      </c>
      <c r="F6" s="15">
        <f>SUMIF(生产领料!E:E,A6,生产领料!H:H)+SUMIF(生产领料!E:E,A6,生产领料!J:J)+SUMIF(其他出库!H:H,A6,其他出库!E:E)</f>
        <v>1025</v>
      </c>
      <c r="G6" s="15">
        <f t="shared" si="0"/>
        <v>-525</v>
      </c>
      <c r="I6" s="15" t="s">
        <v>45</v>
      </c>
      <c r="J6" s="15" t="s">
        <v>163</v>
      </c>
      <c r="K6" s="15" t="s">
        <v>183</v>
      </c>
      <c r="L6" s="15">
        <f>SUMIFS(采购MC!K:K,采购MC!H:H,A6,采购MC!N:N,"跟进中")-SUMIFS(采购MC!L:L,采购MC!H:H,A6,采购MC!N:N,"跟进中")</f>
        <v>3000</v>
      </c>
      <c r="M6" s="15">
        <f>SUMIFS(到货!E:E,到货!M:M,A6,到货!K:K,"跟进中")-SUMIFS(到货!J:J,到货!M:M,A6,到货!K:K,"跟进中")</f>
        <v>2000</v>
      </c>
      <c r="N6" s="15">
        <f>G6+M6+SUMIFS(乳化PC!E:E,乳化PC!C:C,A6,乳化PC!I:I,"&lt;&gt;已完结")</f>
        <v>1475</v>
      </c>
      <c r="O6" s="15">
        <f>SUMIF(物料清单!D:D,A6,物料清单!M:M)</f>
        <v>2020</v>
      </c>
      <c r="P6" s="15">
        <f t="shared" si="1"/>
        <v>0</v>
      </c>
    </row>
    <row r="7" spans="1:17" ht="27" customHeight="1" x14ac:dyDescent="0.15">
      <c r="A7" s="15" t="s">
        <v>29</v>
      </c>
      <c r="B7" s="15" t="s">
        <v>154</v>
      </c>
      <c r="C7" s="28" t="s">
        <v>153</v>
      </c>
      <c r="D7" s="15">
        <f>SUMIF(期初库存!A:A,A7,期初库存!D:D)</f>
        <v>500</v>
      </c>
      <c r="E7" s="15">
        <f>SUMIF(外购入库!I:I,A7,外购入库!E:E)+SUMIF(乳化PC!C:C,A7,乳化PC!H:H)+SUMIF(生产领料!E:E,A7,生产领料!K:K)</f>
        <v>0</v>
      </c>
      <c r="F7" s="15">
        <f>SUMIF(生产领料!E:E,A7,生产领料!H:H)+SUMIF(生产领料!E:E,A7,生产领料!J:J)+SUMIF(其他出库!H:H,A7,其他出库!E:E)</f>
        <v>0</v>
      </c>
      <c r="G7" s="15">
        <f t="shared" si="0"/>
        <v>500</v>
      </c>
      <c r="I7" s="15" t="s">
        <v>45</v>
      </c>
      <c r="J7" s="15" t="s">
        <v>162</v>
      </c>
      <c r="K7" s="15" t="s">
        <v>112</v>
      </c>
      <c r="L7" s="15">
        <f>SUMIFS(采购MC!K:K,采购MC!H:H,A7,采购MC!N:N,"跟进中")-SUMIFS(采购MC!L:L,采购MC!H:H,A7,采购MC!N:N,"跟进中")</f>
        <v>0</v>
      </c>
      <c r="M7" s="15">
        <f>SUMIFS(到货!E:E,到货!M:M,A7,到货!K:K,"跟进中")-SUMIFS(到货!J:J,到货!M:M,A7,到货!K:K,"跟进中")</f>
        <v>0</v>
      </c>
      <c r="N7" s="15">
        <f>G7+M7+SUMIFS(乳化PC!E:E,乳化PC!C:C,A7,乳化PC!I:I,"&lt;&gt;已完结")</f>
        <v>500</v>
      </c>
      <c r="O7" s="15">
        <f>SUMIF(物料清单!D:D,A7,物料清单!M:M)</f>
        <v>0</v>
      </c>
      <c r="P7" s="15">
        <f t="shared" si="1"/>
        <v>0</v>
      </c>
    </row>
    <row r="8" spans="1:17" ht="27" customHeight="1" x14ac:dyDescent="0.15">
      <c r="A8" s="15" t="s">
        <v>30</v>
      </c>
      <c r="B8" s="15" t="s">
        <v>154</v>
      </c>
      <c r="C8" s="28" t="s">
        <v>155</v>
      </c>
      <c r="D8" s="15">
        <f>SUMIF(期初库存!A:A,A8,期初库存!D:D)</f>
        <v>500</v>
      </c>
      <c r="E8" s="15">
        <f>SUMIF(外购入库!I:I,A8,外购入库!E:E)+SUMIF(乳化PC!C:C,A8,乳化PC!H:H)+SUMIF(生产领料!E:E,A8,生产领料!K:K)</f>
        <v>0</v>
      </c>
      <c r="F8" s="15">
        <f>SUMIF(生产领料!E:E,A8,生产领料!H:H)+SUMIF(生产领料!E:E,A8,生产领料!J:J)+SUMIF(其他出库!H:H,A8,其他出库!E:E)</f>
        <v>0</v>
      </c>
      <c r="G8" s="15">
        <f t="shared" si="0"/>
        <v>500</v>
      </c>
      <c r="I8" s="15" t="s">
        <v>45</v>
      </c>
      <c r="J8" s="15" t="s">
        <v>162</v>
      </c>
      <c r="K8" s="15" t="s">
        <v>112</v>
      </c>
      <c r="L8" s="15">
        <f>SUMIFS(采购MC!K:K,采购MC!H:H,A8,采购MC!N:N,"跟进中")-SUMIFS(采购MC!L:L,采购MC!H:H,A8,采购MC!N:N,"跟进中")</f>
        <v>0</v>
      </c>
      <c r="M8" s="15">
        <f>SUMIFS(到货!E:E,到货!M:M,A8,到货!K:K,"跟进中")-SUMIFS(到货!J:J,到货!M:M,A8,到货!K:K,"跟进中")</f>
        <v>0</v>
      </c>
      <c r="N8" s="15">
        <f>G8+M8+SUMIFS(乳化PC!E:E,乳化PC!C:C,A8,乳化PC!I:I,"&lt;&gt;已完结")</f>
        <v>500</v>
      </c>
      <c r="O8" s="15">
        <f>SUMIF(物料清单!D:D,A8,物料清单!M:M)</f>
        <v>0</v>
      </c>
      <c r="P8" s="15">
        <f t="shared" si="1"/>
        <v>0</v>
      </c>
    </row>
    <row r="9" spans="1:17" ht="27" customHeight="1" x14ac:dyDescent="0.15">
      <c r="A9" s="15" t="s">
        <v>31</v>
      </c>
      <c r="B9" s="15" t="s">
        <v>154</v>
      </c>
      <c r="C9" s="28" t="s">
        <v>157</v>
      </c>
      <c r="D9" s="15">
        <f>SUMIF(期初库存!A:A,A9,期初库存!D:D)</f>
        <v>500</v>
      </c>
      <c r="E9" s="15">
        <f>SUMIF(外购入库!I:I,A9,外购入库!E:E)+SUMIF(乳化PC!C:C,A9,乳化PC!H:H)+SUMIF(生产领料!E:E,A9,生产领料!K:K)</f>
        <v>0</v>
      </c>
      <c r="F9" s="15">
        <f>SUMIF(生产领料!E:E,A9,生产领料!H:H)+SUMIF(生产领料!E:E,A9,生产领料!J:J)+SUMIF(其他出库!H:H,A9,其他出库!E:E)</f>
        <v>0</v>
      </c>
      <c r="G9" s="15">
        <f t="shared" si="0"/>
        <v>500</v>
      </c>
      <c r="I9" s="15" t="s">
        <v>45</v>
      </c>
      <c r="J9" s="15" t="s">
        <v>163</v>
      </c>
      <c r="K9" s="15" t="s">
        <v>112</v>
      </c>
      <c r="L9" s="15">
        <f>SUMIFS(采购MC!K:K,采购MC!H:H,A9,采购MC!N:N,"跟进中")-SUMIFS(采购MC!L:L,采购MC!H:H,A9,采购MC!N:N,"跟进中")</f>
        <v>0</v>
      </c>
      <c r="M9" s="15">
        <f>SUMIFS(到货!E:E,到货!M:M,A9,到货!K:K,"跟进中")-SUMIFS(到货!J:J,到货!M:M,A9,到货!K:K,"跟进中")</f>
        <v>0</v>
      </c>
      <c r="N9" s="15">
        <f>G9+M9+SUMIFS(乳化PC!E:E,乳化PC!C:C,A9,乳化PC!I:I,"&lt;&gt;已完结")</f>
        <v>500</v>
      </c>
      <c r="O9" s="15">
        <f>SUMIF(物料清单!D:D,A9,物料清单!M:M)</f>
        <v>0</v>
      </c>
      <c r="P9" s="15">
        <f t="shared" si="1"/>
        <v>0</v>
      </c>
    </row>
    <row r="10" spans="1:17" ht="27" customHeight="1" x14ac:dyDescent="0.15">
      <c r="A10" s="15" t="s">
        <v>32</v>
      </c>
      <c r="B10" s="15" t="s">
        <v>154</v>
      </c>
      <c r="C10" s="28" t="s">
        <v>158</v>
      </c>
      <c r="D10" s="15">
        <f>SUMIF(期初库存!A:A,A10,期初库存!D:D)</f>
        <v>500</v>
      </c>
      <c r="E10" s="15">
        <f>SUMIF(外购入库!I:I,A10,外购入库!E:E)+SUMIF(乳化PC!C:C,A10,乳化PC!H:H)+SUMIF(生产领料!E:E,A10,生产领料!K:K)</f>
        <v>0</v>
      </c>
      <c r="F10" s="15">
        <f>SUMIF(生产领料!E:E,A10,生产领料!H:H)+SUMIF(生产领料!E:E,A10,生产领料!J:J)+SUMIF(其他出库!H:H,A10,其他出库!E:E)</f>
        <v>0</v>
      </c>
      <c r="G10" s="15">
        <f t="shared" si="0"/>
        <v>500</v>
      </c>
      <c r="I10" s="15" t="s">
        <v>45</v>
      </c>
      <c r="J10" s="15" t="s">
        <v>163</v>
      </c>
      <c r="K10" s="15" t="s">
        <v>112</v>
      </c>
      <c r="L10" s="15">
        <f>SUMIFS(采购MC!K:K,采购MC!H:H,A10,采购MC!N:N,"跟进中")-SUMIFS(采购MC!L:L,采购MC!H:H,A10,采购MC!N:N,"跟进中")</f>
        <v>3000</v>
      </c>
      <c r="M10" s="15">
        <f>SUMIFS(到货!E:E,到货!M:M,A10,到货!K:K,"跟进中")-SUMIFS(到货!J:J,到货!M:M,A10,到货!K:K,"跟进中")</f>
        <v>2000</v>
      </c>
      <c r="N10" s="15">
        <f>G10+M10+SUMIFS(乳化PC!E:E,乳化PC!C:C,A10,乳化PC!I:I,"&lt;&gt;已完结")</f>
        <v>2500</v>
      </c>
      <c r="O10" s="15">
        <f>SUMIF(物料清单!D:D,A10,物料清单!M:M)</f>
        <v>0</v>
      </c>
      <c r="P10" s="15">
        <f t="shared" si="1"/>
        <v>0</v>
      </c>
    </row>
    <row r="11" spans="1:17" ht="27" customHeight="1" x14ac:dyDescent="0.15">
      <c r="A11" s="15" t="s">
        <v>36</v>
      </c>
      <c r="B11" s="15" t="s">
        <v>159</v>
      </c>
      <c r="C11" s="28" t="s">
        <v>164</v>
      </c>
      <c r="D11" s="15">
        <f>SUMIF(期初库存!A:A,A11,期初库存!D:D)</f>
        <v>500</v>
      </c>
      <c r="E11" s="15">
        <f>SUMIF(外购入库!I:I,A11,外购入库!E:E)+SUMIF(乳化PC!C:C,A11,乳化PC!H:H)+SUMIF(生产领料!E:E,A11,生产领料!K:K)</f>
        <v>0</v>
      </c>
      <c r="F11" s="15">
        <f>SUMIF(生产领料!E:E,A11,生产领料!H:H)+SUMIF(生产领料!E:E,A11,生产领料!J:J)+SUMIF(其他出库!H:H,A11,其他出库!E:E)</f>
        <v>0</v>
      </c>
      <c r="G11" s="15">
        <f t="shared" si="0"/>
        <v>500</v>
      </c>
      <c r="I11" s="15" t="s">
        <v>45</v>
      </c>
      <c r="J11" s="15" t="s">
        <v>162</v>
      </c>
      <c r="K11" s="15" t="s">
        <v>183</v>
      </c>
      <c r="L11" s="15">
        <f>SUMIFS(采购MC!K:K,采购MC!H:H,A11,采购MC!N:N,"跟进中")-SUMIFS(采购MC!L:L,采购MC!H:H,A11,采购MC!N:N,"跟进中")</f>
        <v>0</v>
      </c>
      <c r="M11" s="15">
        <f>SUMIFS(到货!E:E,到货!M:M,A11,到货!K:K,"跟进中")-SUMIFS(到货!J:J,到货!M:M,A11,到货!K:K,"跟进中")</f>
        <v>0</v>
      </c>
      <c r="N11" s="15">
        <f>G11+M11+SUMIFS(乳化PC!E:E,乳化PC!C:C,A11,乳化PC!I:I,"&lt;&gt;已完结")</f>
        <v>500</v>
      </c>
      <c r="O11" s="15">
        <f>SUMIF(物料清单!D:D,A11,物料清单!M:M)</f>
        <v>0</v>
      </c>
      <c r="P11" s="15">
        <f t="shared" si="1"/>
        <v>0</v>
      </c>
    </row>
    <row r="12" spans="1:17" ht="27" customHeight="1" x14ac:dyDescent="0.15">
      <c r="A12" s="15" t="s">
        <v>161</v>
      </c>
      <c r="B12" s="15" t="s">
        <v>159</v>
      </c>
      <c r="C12" s="28" t="s">
        <v>160</v>
      </c>
      <c r="D12" s="15">
        <f>SUMIF(期初库存!A:A,A12,期初库存!D:D)</f>
        <v>500</v>
      </c>
      <c r="E12" s="15">
        <f>SUMIF(外购入库!I:I,A12,外购入库!E:E)+SUMIF(乳化PC!C:C,A12,乳化PC!H:H)+SUMIF(生产领料!E:E,A12,生产领料!K:K)</f>
        <v>0</v>
      </c>
      <c r="F12" s="15">
        <f>SUMIF(生产领料!E:E,A12,生产领料!H:H)+SUMIF(生产领料!E:E,A12,生产领料!J:J)+SUMIF(其他出库!H:H,A12,其他出库!E:E)</f>
        <v>0</v>
      </c>
      <c r="G12" s="15">
        <f t="shared" si="0"/>
        <v>500</v>
      </c>
      <c r="I12" s="15" t="s">
        <v>45</v>
      </c>
      <c r="J12" s="15" t="s">
        <v>162</v>
      </c>
      <c r="K12" s="15" t="s">
        <v>183</v>
      </c>
      <c r="L12" s="15">
        <f>SUMIFS(采购MC!K:K,采购MC!H:H,A12,采购MC!N:N,"跟进中")-SUMIFS(采购MC!L:L,采购MC!H:H,A12,采购MC!N:N,"跟进中")</f>
        <v>0</v>
      </c>
      <c r="M12" s="15">
        <f>SUMIFS(到货!E:E,到货!M:M,A12,到货!K:K,"跟进中")-SUMIFS(到货!J:J,到货!M:M,A12,到货!K:K,"跟进中")</f>
        <v>0</v>
      </c>
      <c r="N12" s="15">
        <f>G12+M12+SUMIFS(乳化PC!E:E,乳化PC!C:C,A12,乳化PC!I:I,"&lt;&gt;已完结")</f>
        <v>500</v>
      </c>
      <c r="O12" s="15">
        <f>SUMIF(物料清单!D:D,A12,物料清单!M:M)</f>
        <v>0</v>
      </c>
      <c r="P12" s="15">
        <f t="shared" si="1"/>
        <v>0</v>
      </c>
    </row>
    <row r="13" spans="1:17" ht="27" customHeight="1" x14ac:dyDescent="0.15">
      <c r="A13" s="15" t="s">
        <v>291</v>
      </c>
      <c r="B13" s="15" t="s">
        <v>159</v>
      </c>
      <c r="C13" s="28" t="s">
        <v>165</v>
      </c>
      <c r="D13" s="15">
        <f>SUMIF(期初库存!A:A,A13,期初库存!D:D)</f>
        <v>0</v>
      </c>
      <c r="E13" s="15">
        <f>SUMIF(外购入库!I:I,A13,外购入库!E:E)+SUMIF(乳化PC!C:C,A13,乳化PC!H:H)+SUMIF(生产领料!E:E,A13,生产领料!K:K)</f>
        <v>0</v>
      </c>
      <c r="F13" s="15">
        <f>SUMIF(生产领料!E:E,A13,生产领料!H:H)+SUMIF(生产领料!E:E,A13,生产领料!J:J)+SUMIF(其他出库!H:H,A13,其他出库!E:E)</f>
        <v>0</v>
      </c>
      <c r="G13" s="15">
        <f t="shared" si="0"/>
        <v>0</v>
      </c>
      <c r="I13" s="15" t="s">
        <v>113</v>
      </c>
      <c r="J13" s="15" t="s">
        <v>290</v>
      </c>
      <c r="K13" s="15" t="s">
        <v>112</v>
      </c>
      <c r="L13" s="15">
        <f>SUMIFS(采购MC!K:K,采购MC!H:H,A13,采购MC!N:N,"跟进中")-SUMIFS(采购MC!L:L,采购MC!H:H,A13,采购MC!N:N,"跟进中")</f>
        <v>0</v>
      </c>
      <c r="M13" s="15">
        <f>SUMIFS(到货!E:E,到货!M:M,A13,到货!K:K,"跟进中")-SUMIFS(到货!J:J,到货!M:M,A13,到货!K:K,"跟进中")</f>
        <v>0</v>
      </c>
      <c r="N13" s="15">
        <f>G13+M13+SUMIFS(乳化PC!E:E,乳化PC!C:C,A13,乳化PC!I:I,"&lt;&gt;已完结")</f>
        <v>0</v>
      </c>
      <c r="O13" s="15">
        <f>SUMIF(物料清单!D:D,A13,物料清单!M:M)</f>
        <v>0</v>
      </c>
      <c r="P13" s="15">
        <f t="shared" si="1"/>
        <v>0</v>
      </c>
    </row>
    <row r="14" spans="1:17" ht="27" customHeight="1" x14ac:dyDescent="0.15">
      <c r="A14" s="15" t="s">
        <v>292</v>
      </c>
      <c r="B14" s="15" t="s">
        <v>172</v>
      </c>
      <c r="C14" s="28" t="s">
        <v>173</v>
      </c>
      <c r="D14" s="15">
        <f>SUMIF(期初库存!A:A,A14,期初库存!D:D)</f>
        <v>0</v>
      </c>
      <c r="E14" s="15">
        <f>SUMIF(外购入库!I:I,A14,外购入库!E:E)+SUMIF(乳化PC!C:C,A14,乳化PC!H:H)+SUMIF(生产领料!E:E,A14,生产领料!K:K)</f>
        <v>529.29999999999995</v>
      </c>
      <c r="F14" s="15">
        <f>SUMIF(生产领料!E:E,A14,生产领料!H:H)+SUMIF(生产领料!E:E,A14,生产领料!J:J)+SUMIF(其他出库!H:H,A14,其他出库!E:E)</f>
        <v>1</v>
      </c>
      <c r="G14" s="15">
        <f>D14+E14-F14</f>
        <v>528.29999999999995</v>
      </c>
      <c r="H14" s="18" t="s">
        <v>194</v>
      </c>
      <c r="I14" s="15" t="s">
        <v>113</v>
      </c>
      <c r="J14" s="15" t="s">
        <v>181</v>
      </c>
      <c r="K14" s="15" t="s">
        <v>182</v>
      </c>
      <c r="L14" s="15">
        <f>SUMIFS(采购MC!K:K,采购MC!H:H,A14,采购MC!N:N,"跟进中")-SUMIFS(采购MC!L:L,采购MC!H:H,A14,采购MC!N:N,"跟进中")</f>
        <v>0</v>
      </c>
      <c r="M14" s="15">
        <f>SUMIFS(到货!E:E,到货!M:M,A14,到货!K:K,"跟进中")-SUMIFS(到货!J:J,到货!M:M,A14,到货!K:K,"跟进中")</f>
        <v>0</v>
      </c>
      <c r="N14" s="15">
        <f>G14+M14+SUMIFS(乳化PC!E:E,乳化PC!C:C,A14,乳化PC!I:I,"&lt;&gt;已完结")</f>
        <v>528.29999999999995</v>
      </c>
      <c r="O14" s="15">
        <f>SUMIF(物料清单!D:D,A14,物料清单!M:M)</f>
        <v>204</v>
      </c>
      <c r="P14" s="15">
        <f t="shared" si="1"/>
        <v>0</v>
      </c>
    </row>
    <row r="15" spans="1:17" ht="27" customHeight="1" x14ac:dyDescent="0.15">
      <c r="A15" s="15" t="s">
        <v>293</v>
      </c>
      <c r="B15" s="15" t="s">
        <v>172</v>
      </c>
      <c r="C15" s="28" t="s">
        <v>174</v>
      </c>
      <c r="D15" s="15">
        <f>SUMIF(期初库存!A:A,A15,期初库存!D:D)</f>
        <v>0</v>
      </c>
      <c r="E15" s="15">
        <f>SUMIF(外购入库!I:I,A15,外购入库!E:E)+SUMIF(乳化PC!C:C,A15,乳化PC!H:H)+SUMIF(生产领料!E:E,A15,生产领料!K:K)</f>
        <v>0</v>
      </c>
      <c r="F15" s="15">
        <f>SUMIF(生产领料!E:E,A15,生产领料!H:H)+SUMIF(生产领料!E:E,A15,生产领料!J:J)+SUMIF(其他出库!H:H,A15,其他出库!E:E)</f>
        <v>0</v>
      </c>
      <c r="G15" s="15">
        <f t="shared" ref="G15:G28" si="2">D15+E15-F15</f>
        <v>0</v>
      </c>
      <c r="H15" s="18" t="s">
        <v>194</v>
      </c>
      <c r="I15" s="15" t="s">
        <v>113</v>
      </c>
      <c r="J15" s="15" t="s">
        <v>181</v>
      </c>
      <c r="K15" s="15" t="s">
        <v>182</v>
      </c>
      <c r="L15" s="15">
        <f>SUMIFS(采购MC!K:K,采购MC!H:H,A15,采购MC!N:N,"跟进中")-SUMIFS(采购MC!L:L,采购MC!H:H,A15,采购MC!N:N,"跟进中")</f>
        <v>0</v>
      </c>
      <c r="M15" s="15">
        <f>SUMIFS(到货!E:E,到货!M:M,A15,到货!K:K,"跟进中")-SUMIFS(到货!J:J,到货!M:M,A15,到货!K:K,"跟进中")</f>
        <v>0</v>
      </c>
      <c r="N15" s="15">
        <f>G15+M15+SUMIFS(乳化PC!E:E,乳化PC!C:C,A15,乳化PC!I:I,"&lt;&gt;已完结")</f>
        <v>0</v>
      </c>
      <c r="O15" s="15">
        <f>SUMIF(物料清单!D:D,A15,物料清单!M:M)</f>
        <v>0</v>
      </c>
      <c r="P15" s="15">
        <f t="shared" si="1"/>
        <v>0</v>
      </c>
    </row>
    <row r="16" spans="1:17" ht="27" customHeight="1" x14ac:dyDescent="0.15">
      <c r="A16" s="15" t="s">
        <v>294</v>
      </c>
      <c r="B16" s="15" t="s">
        <v>172</v>
      </c>
      <c r="C16" s="28" t="s">
        <v>175</v>
      </c>
      <c r="D16" s="15">
        <f>SUMIF(期初库存!A:A,A16,期初库存!D:D)</f>
        <v>0</v>
      </c>
      <c r="E16" s="15">
        <f>SUMIF(外购入库!I:I,A16,外购入库!E:E)+SUMIF(乳化PC!C:C,A16,乳化PC!H:H)+SUMIF(生产领料!E:E,A16,生产领料!K:K)</f>
        <v>0</v>
      </c>
      <c r="F16" s="15">
        <f>SUMIF(生产领料!E:E,A16,生产领料!H:H)+SUMIF(生产领料!E:E,A16,生产领料!J:J)+SUMIF(其他出库!H:H,A16,其他出库!E:E)</f>
        <v>0</v>
      </c>
      <c r="G16" s="15">
        <f t="shared" si="2"/>
        <v>0</v>
      </c>
      <c r="H16" s="18" t="s">
        <v>194</v>
      </c>
      <c r="I16" s="15" t="s">
        <v>113</v>
      </c>
      <c r="J16" s="15" t="s">
        <v>181</v>
      </c>
      <c r="K16" s="15" t="s">
        <v>183</v>
      </c>
      <c r="L16" s="15">
        <f>SUMIFS(采购MC!K:K,采购MC!H:H,A16,采购MC!N:N,"跟进中")-SUMIFS(采购MC!L:L,采购MC!H:H,A16,采购MC!N:N,"跟进中")</f>
        <v>0</v>
      </c>
      <c r="M16" s="15">
        <f>SUMIFS(到货!E:E,到货!M:M,A16,到货!K:K,"跟进中")-SUMIFS(到货!J:J,到货!M:M,A16,到货!K:K,"跟进中")</f>
        <v>0</v>
      </c>
      <c r="N16" s="15">
        <f>G16+M16+SUMIFS(乳化PC!E:E,乳化PC!C:C,A16,乳化PC!I:I,"&lt;&gt;已完结")</f>
        <v>0</v>
      </c>
      <c r="O16" s="15">
        <f>SUMIF(物料清单!D:D,A16,物料清单!M:M)</f>
        <v>0</v>
      </c>
      <c r="P16" s="15">
        <f t="shared" si="1"/>
        <v>0</v>
      </c>
    </row>
    <row r="17" spans="1:16" ht="27" customHeight="1" x14ac:dyDescent="0.15">
      <c r="A17" s="15" t="s">
        <v>180</v>
      </c>
      <c r="B17" s="15" t="s">
        <v>184</v>
      </c>
      <c r="C17" s="28" t="s">
        <v>206</v>
      </c>
      <c r="D17" s="15">
        <f>SUMIF(期初库存!A:A,A17,期初库存!D:D)</f>
        <v>80</v>
      </c>
      <c r="E17" s="15">
        <f>SUMIF(外购入库!I:I,A17,外购入库!E:E)+SUMIF(乳化PC!C:C,A17,乳化PC!H:H)+SUMIF(生产领料!E:E,A17,生产领料!K:K)</f>
        <v>0</v>
      </c>
      <c r="F17" s="15">
        <f>SUMIF(生产领料!E:E,A17,生产领料!H:H)+SUMIF(生产领料!E:E,A17,生产领料!J:J)+SUMIF(其他出库!H:H,A17,其他出库!E:E)</f>
        <v>79.5</v>
      </c>
      <c r="G17" s="15">
        <f t="shared" si="2"/>
        <v>0.5</v>
      </c>
      <c r="H17" s="18" t="s">
        <v>194</v>
      </c>
      <c r="I17" s="15" t="s">
        <v>184</v>
      </c>
      <c r="J17" s="15" t="s">
        <v>189</v>
      </c>
      <c r="K17" s="15" t="s">
        <v>183</v>
      </c>
      <c r="L17" s="15">
        <f>SUMIFS(采购MC!K:K,采购MC!H:H,A17,采购MC!N:N,"跟进中")-SUMIFS(采购MC!L:L,采购MC!H:H,A17,采购MC!N:N,"跟进中")</f>
        <v>0</v>
      </c>
      <c r="M17" s="15">
        <f>SUMIFS(到货!E:E,到货!M:M,A17,到货!K:K,"跟进中")-SUMIFS(到货!J:J,到货!M:M,A17,到货!K:K,"跟进中")</f>
        <v>0</v>
      </c>
      <c r="N17" s="15">
        <f>G17+M17+SUMIFS(乳化PC!E:E,乳化PC!C:C,A17,乳化PC!I:I,"&lt;&gt;已完结")</f>
        <v>0.5</v>
      </c>
      <c r="O17" s="15">
        <f>SUMIF(物料清单!D:D,A17,物料清单!M:M)</f>
        <v>300</v>
      </c>
      <c r="P17" s="15">
        <f t="shared" si="1"/>
        <v>-299.5</v>
      </c>
    </row>
    <row r="18" spans="1:16" ht="27" customHeight="1" x14ac:dyDescent="0.15">
      <c r="A18" s="15" t="s">
        <v>185</v>
      </c>
      <c r="B18" s="15" t="s">
        <v>184</v>
      </c>
      <c r="C18" s="28" t="s">
        <v>207</v>
      </c>
      <c r="D18" s="15">
        <f>SUMIF(期初库存!A:A,A18,期初库存!D:D)</f>
        <v>5</v>
      </c>
      <c r="E18" s="15">
        <f>SUMIF(外购入库!I:I,A18,外购入库!E:E)+SUMIF(乳化PC!C:C,A18,乳化PC!H:H)+SUMIF(生产领料!E:E,A18,生产领料!K:K)</f>
        <v>0</v>
      </c>
      <c r="F18" s="15">
        <f>SUMIF(生产领料!E:E,A18,生产领料!H:H)+SUMIF(生产领料!E:E,A18,生产领料!J:J)+SUMIF(其他出库!H:H,A18,其他出库!E:E)</f>
        <v>1.06</v>
      </c>
      <c r="G18" s="15">
        <f t="shared" si="2"/>
        <v>3.94</v>
      </c>
      <c r="H18" s="18" t="s">
        <v>194</v>
      </c>
      <c r="I18" s="15" t="s">
        <v>184</v>
      </c>
      <c r="J18" s="15" t="s">
        <v>188</v>
      </c>
      <c r="K18" s="15" t="s">
        <v>183</v>
      </c>
      <c r="L18" s="15">
        <f>SUMIFS(采购MC!K:K,采购MC!H:H,A18,采购MC!N:N,"跟进中")-SUMIFS(采购MC!L:L,采购MC!H:H,A18,采购MC!N:N,"跟进中")</f>
        <v>0</v>
      </c>
      <c r="M18" s="15">
        <f>SUMIFS(到货!E:E,到货!M:M,A18,到货!K:K,"跟进中")-SUMIFS(到货!J:J,到货!M:M,A18,到货!K:K,"跟进中")</f>
        <v>0</v>
      </c>
      <c r="N18" s="15">
        <f>G18+M18+SUMIFS(乳化PC!E:E,乳化PC!C:C,A18,乳化PC!I:I,"&lt;&gt;已完结")</f>
        <v>3.94</v>
      </c>
      <c r="O18" s="15">
        <f>SUMIF(物料清单!D:D,A18,物料清单!M:M)</f>
        <v>4</v>
      </c>
      <c r="P18" s="15">
        <f t="shared" si="1"/>
        <v>-6.0000000000000053E-2</v>
      </c>
    </row>
    <row r="19" spans="1:16" ht="27" customHeight="1" x14ac:dyDescent="0.15">
      <c r="A19" s="15" t="s">
        <v>186</v>
      </c>
      <c r="B19" s="15" t="s">
        <v>184</v>
      </c>
      <c r="C19" s="28" t="s">
        <v>208</v>
      </c>
      <c r="D19" s="15">
        <f>SUMIF(期初库存!A:A,A19,期初库存!D:D)</f>
        <v>5</v>
      </c>
      <c r="E19" s="15">
        <f>SUMIF(外购入库!I:I,A19,外购入库!E:E)+SUMIF(乳化PC!C:C,A19,乳化PC!H:H)+SUMIF(生产领料!E:E,A19,生产领料!K:K)</f>
        <v>0</v>
      </c>
      <c r="F19" s="15">
        <f>SUMIF(生产领料!E:E,A19,生产领料!H:H)+SUMIF(生产领料!E:E,A19,生产领料!J:J)+SUMIF(其他出库!H:H,A19,其他出库!E:E)</f>
        <v>5.3000000000000005E-2</v>
      </c>
      <c r="G19" s="15">
        <f t="shared" si="2"/>
        <v>4.9470000000000001</v>
      </c>
      <c r="H19" s="18" t="s">
        <v>194</v>
      </c>
      <c r="I19" s="15" t="s">
        <v>184</v>
      </c>
      <c r="J19" s="15" t="s">
        <v>188</v>
      </c>
      <c r="K19" s="15" t="s">
        <v>183</v>
      </c>
      <c r="L19" s="15">
        <f>SUMIFS(采购MC!K:K,采购MC!H:H,A19,采购MC!N:N,"跟进中")-SUMIFS(采购MC!L:L,采购MC!H:H,A19,采购MC!N:N,"跟进中")</f>
        <v>0</v>
      </c>
      <c r="M19" s="15">
        <f>SUMIFS(到货!E:E,到货!M:M,A19,到货!K:K,"跟进中")-SUMIFS(到货!J:J,到货!M:M,A19,到货!K:K,"跟进中")</f>
        <v>0</v>
      </c>
      <c r="N19" s="15">
        <f>G19+M19+SUMIFS(乳化PC!E:E,乳化PC!C:C,A19,乳化PC!I:I,"&lt;&gt;已完结")</f>
        <v>4.9470000000000001</v>
      </c>
      <c r="O19" s="15">
        <f>SUMIF(物料清单!D:D,A19,物料清单!M:M)</f>
        <v>0.2</v>
      </c>
      <c r="P19" s="15">
        <f t="shared" si="1"/>
        <v>0</v>
      </c>
    </row>
    <row r="20" spans="1:16" ht="27" customHeight="1" x14ac:dyDescent="0.15">
      <c r="A20" s="15" t="s">
        <v>187</v>
      </c>
      <c r="B20" s="15" t="s">
        <v>184</v>
      </c>
      <c r="C20" s="28" t="s">
        <v>209</v>
      </c>
      <c r="D20" s="15">
        <f>SUMIF(期初库存!A:A,A20,期初库存!D:D)</f>
        <v>500</v>
      </c>
      <c r="E20" s="15">
        <f>SUMIF(外购入库!I:I,A20,外购入库!E:E)+SUMIF(乳化PC!C:C,A20,乳化PC!H:H)+SUMIF(生产领料!E:E,A20,生产领料!K:K)</f>
        <v>0</v>
      </c>
      <c r="F20" s="15">
        <f>SUMIF(生产领料!E:E,A20,生产领料!H:H)+SUMIF(生产领料!E:E,A20,生产领料!J:J)+SUMIF(其他出库!H:H,A20,其他出库!E:E)</f>
        <v>344.5</v>
      </c>
      <c r="G20" s="15">
        <f t="shared" si="2"/>
        <v>155.5</v>
      </c>
      <c r="H20" s="18" t="s">
        <v>194</v>
      </c>
      <c r="I20" s="15" t="s">
        <v>184</v>
      </c>
      <c r="J20" s="15" t="s">
        <v>190</v>
      </c>
      <c r="K20" s="15" t="s">
        <v>183</v>
      </c>
      <c r="L20" s="15">
        <f>SUMIFS(采购MC!K:K,采购MC!H:H,A20,采购MC!N:N,"跟进中")-SUMIFS(采购MC!L:L,采购MC!H:H,A20,采购MC!N:N,"跟进中")</f>
        <v>0</v>
      </c>
      <c r="M20" s="15">
        <f>SUMIFS(到货!E:E,到货!M:M,A20,到货!K:K,"跟进中")-SUMIFS(到货!J:J,到货!M:M,A20,到货!K:K,"跟进中")</f>
        <v>0</v>
      </c>
      <c r="N20" s="15">
        <f>G20+M20+SUMIFS(乳化PC!E:E,乳化PC!C:C,A20,乳化PC!I:I,"&lt;&gt;已完结")</f>
        <v>155.5</v>
      </c>
      <c r="O20" s="15">
        <f>SUMIF(物料清单!D:D,A20,物料清单!M:M)</f>
        <v>1300</v>
      </c>
      <c r="P20" s="15">
        <f t="shared" si="1"/>
        <v>-1144.5</v>
      </c>
    </row>
    <row r="21" spans="1:16" ht="27" customHeight="1" x14ac:dyDescent="0.15">
      <c r="D21" s="15">
        <f>SUMIF(期初库存!A:A,A21,期初库存!D:D)</f>
        <v>0</v>
      </c>
      <c r="E21" s="15">
        <f>SUMIF(外购入库!I:I,A21,外购入库!E:E)+SUMIF(乳化PC!C:C,A21,乳化PC!H:H)+SUMIF(生产领料!E:E,A21,生产领料!K:K)</f>
        <v>0</v>
      </c>
      <c r="F21" s="15">
        <f>SUMIF(生产领料!E:E,A21,生产领料!H:H)+SUMIF(生产领料!E:E,A21,生产领料!J:J)+SUMIF(其他出库!H:H,A21,其他出库!E:E)</f>
        <v>0</v>
      </c>
      <c r="G21" s="15">
        <f t="shared" si="2"/>
        <v>0</v>
      </c>
      <c r="L21" s="15">
        <f>SUMIFS(采购MC!K:K,采购MC!H:H,A21,采购MC!N:N,"跟进中")-SUMIFS(采购MC!L:L,采购MC!H:H,A21,采购MC!N:N,"跟进中")</f>
        <v>0</v>
      </c>
      <c r="M21" s="15">
        <f>SUMIFS(到货!E:E,到货!M:M,A21,到货!K:K,"跟进中")-SUMIFS(到货!J:J,到货!M:M,A21,到货!K:K,"跟进中")</f>
        <v>0</v>
      </c>
      <c r="N21" s="15">
        <f>G21+M21+SUMIFS(乳化PC!E:E,乳化PC!C:C,A21,乳化PC!I:I,"&lt;&gt;已完结")</f>
        <v>0</v>
      </c>
      <c r="O21" s="15">
        <f>SUMIF(物料清单!D:D,A21,物料清单!M:M)</f>
        <v>0</v>
      </c>
      <c r="P21" s="15">
        <f t="shared" si="1"/>
        <v>0</v>
      </c>
    </row>
    <row r="22" spans="1:16" ht="27" customHeight="1" x14ac:dyDescent="0.15">
      <c r="D22" s="15">
        <f>SUMIF(期初库存!A:A,A22,期初库存!D:D)</f>
        <v>0</v>
      </c>
      <c r="E22" s="15">
        <f>SUMIF(外购入库!I:I,A22,外购入库!E:E)+SUMIF(乳化PC!C:C,A22,乳化PC!H:H)+SUMIF(生产领料!E:E,A22,生产领料!K:K)</f>
        <v>0</v>
      </c>
      <c r="F22" s="15">
        <f>SUMIF(生产领料!E:E,A22,生产领料!H:H)+SUMIF(生产领料!E:E,A22,生产领料!J:J)+SUMIF(其他出库!H:H,A22,其他出库!E:E)</f>
        <v>0</v>
      </c>
      <c r="G22" s="15">
        <f t="shared" si="2"/>
        <v>0</v>
      </c>
      <c r="L22" s="15">
        <f>SUMIFS(采购MC!K:K,采购MC!H:H,A22,采购MC!N:N,"跟进中")-SUMIFS(采购MC!L:L,采购MC!H:H,A22,采购MC!N:N,"跟进中")</f>
        <v>0</v>
      </c>
      <c r="M22" s="15">
        <f>SUMIFS(到货!E:E,到货!M:M,A22,到货!K:K,"跟进中")-SUMIFS(到货!J:J,到货!M:M,A22,到货!K:K,"跟进中")</f>
        <v>0</v>
      </c>
      <c r="N22" s="15">
        <f>G22+M22+SUMIFS(乳化PC!E:E,乳化PC!C:C,A22,乳化PC!I:I,"&lt;&gt;已完结")</f>
        <v>0</v>
      </c>
      <c r="O22" s="15">
        <f>SUMIF(物料清单!D:D,A22,物料清单!M:M)</f>
        <v>0</v>
      </c>
      <c r="P22" s="15">
        <f t="shared" si="1"/>
        <v>0</v>
      </c>
    </row>
    <row r="23" spans="1:16" ht="27" customHeight="1" x14ac:dyDescent="0.15">
      <c r="D23" s="15">
        <f>SUMIF(期初库存!A:A,A23,期初库存!D:D)</f>
        <v>0</v>
      </c>
      <c r="E23" s="15">
        <f>SUMIF(外购入库!I:I,A23,外购入库!E:E)+SUMIF(乳化PC!C:C,A23,乳化PC!H:H)+SUMIF(生产领料!E:E,A23,生产领料!K:K)</f>
        <v>0</v>
      </c>
      <c r="F23" s="15">
        <f>SUMIF(生产领料!E:E,A23,生产领料!H:H)+SUMIF(生产领料!E:E,A23,生产领料!J:J)+SUMIF(其他出库!H:H,A23,其他出库!E:E)</f>
        <v>0</v>
      </c>
      <c r="G23" s="15">
        <f t="shared" si="2"/>
        <v>0</v>
      </c>
      <c r="L23" s="15">
        <f>SUMIFS(采购MC!K:K,采购MC!H:H,A23,采购MC!N:N,"跟进中")-SUMIFS(采购MC!L:L,采购MC!H:H,A23,采购MC!N:N,"跟进中")</f>
        <v>0</v>
      </c>
      <c r="M23" s="15">
        <f>SUMIFS(到货!E:E,到货!M:M,A23,到货!K:K,"跟进中")-SUMIFS(到货!J:J,到货!M:M,A23,到货!K:K,"跟进中")</f>
        <v>0</v>
      </c>
      <c r="N23" s="15">
        <f>G23+M23+SUMIFS(乳化PC!E:E,乳化PC!C:C,A23,乳化PC!I:I,"&lt;&gt;已完结")</f>
        <v>0</v>
      </c>
      <c r="O23" s="15">
        <f>SUMIF(物料清单!D:D,A23,物料清单!M:M)</f>
        <v>0</v>
      </c>
      <c r="P23" s="15">
        <f t="shared" si="1"/>
        <v>0</v>
      </c>
    </row>
    <row r="24" spans="1:16" ht="27" customHeight="1" x14ac:dyDescent="0.15">
      <c r="D24" s="15">
        <f>SUMIF(期初库存!A:A,A24,期初库存!D:D)</f>
        <v>0</v>
      </c>
      <c r="E24" s="15">
        <f>SUMIF(外购入库!I:I,A24,外购入库!E:E)+SUMIF(乳化PC!C:C,A24,乳化PC!H:H)+SUMIF(生产领料!E:E,A24,生产领料!K:K)</f>
        <v>0</v>
      </c>
      <c r="F24" s="15">
        <f>SUMIF(生产领料!E:E,A24,生产领料!H:H)+SUMIF(生产领料!E:E,A24,生产领料!J:J)+SUMIF(其他出库!H:H,A24,其他出库!E:E)</f>
        <v>0</v>
      </c>
      <c r="G24" s="15">
        <f t="shared" si="2"/>
        <v>0</v>
      </c>
      <c r="L24" s="15">
        <f>SUMIFS(采购MC!K:K,采购MC!H:H,A24,采购MC!N:N,"跟进中")-SUMIFS(采购MC!L:L,采购MC!H:H,A24,采购MC!N:N,"跟进中")</f>
        <v>0</v>
      </c>
      <c r="M24" s="15">
        <f>SUMIFS(到货!E:E,到货!M:M,A24,到货!K:K,"跟进中")-SUMIFS(到货!J:J,到货!M:M,A24,到货!K:K,"跟进中")</f>
        <v>0</v>
      </c>
      <c r="N24" s="15">
        <f>G24+M24+SUMIFS(乳化PC!E:E,乳化PC!C:C,A24,乳化PC!I:I,"&lt;&gt;已完结")</f>
        <v>0</v>
      </c>
      <c r="O24" s="15">
        <f>SUMIF(物料清单!D:D,A24,物料清单!M:M)</f>
        <v>0</v>
      </c>
      <c r="P24" s="15">
        <f t="shared" si="1"/>
        <v>0</v>
      </c>
    </row>
    <row r="25" spans="1:16" ht="27" customHeight="1" x14ac:dyDescent="0.15">
      <c r="D25" s="15">
        <f>SUMIF(期初库存!A:A,A25,期初库存!D:D)</f>
        <v>0</v>
      </c>
      <c r="E25" s="15">
        <f>SUMIF(外购入库!I:I,A25,外购入库!E:E)+SUMIF(乳化PC!C:C,A25,乳化PC!H:H)+SUMIF(生产领料!E:E,A25,生产领料!K:K)</f>
        <v>0</v>
      </c>
      <c r="F25" s="15">
        <f>SUMIF(生产领料!E:E,A25,生产领料!H:H)+SUMIF(生产领料!E:E,A25,生产领料!J:J)+SUMIF(其他出库!H:H,A25,其他出库!E:E)</f>
        <v>0</v>
      </c>
      <c r="G25" s="15">
        <f t="shared" si="2"/>
        <v>0</v>
      </c>
      <c r="L25" s="15">
        <f>SUMIFS(采购MC!K:K,采购MC!H:H,A25,采购MC!N:N,"跟进中")-SUMIFS(采购MC!L:L,采购MC!H:H,A25,采购MC!N:N,"跟进中")</f>
        <v>0</v>
      </c>
      <c r="M25" s="15">
        <f>SUMIFS(到货!E:E,到货!M:M,A25,到货!K:K,"跟进中")-SUMIFS(到货!J:J,到货!M:M,A25,到货!K:K,"跟进中")</f>
        <v>0</v>
      </c>
      <c r="N25" s="15">
        <f>G25+M25+SUMIFS(乳化PC!E:E,乳化PC!C:C,A25,乳化PC!I:I,"&lt;&gt;已完结")</f>
        <v>0</v>
      </c>
      <c r="O25" s="15">
        <f>SUMIF(物料清单!D:D,A25,物料清单!M:M)</f>
        <v>0</v>
      </c>
      <c r="P25" s="15">
        <f t="shared" si="1"/>
        <v>0</v>
      </c>
    </row>
    <row r="26" spans="1:16" ht="27" customHeight="1" x14ac:dyDescent="0.15">
      <c r="D26" s="15">
        <f>SUMIF(期初库存!A:A,A26,期初库存!D:D)</f>
        <v>0</v>
      </c>
      <c r="E26" s="15">
        <f>SUMIF(外购入库!I:I,A26,外购入库!E:E)+SUMIF(乳化PC!C:C,A26,乳化PC!H:H)+SUMIF(生产领料!E:E,A26,生产领料!K:K)</f>
        <v>0</v>
      </c>
      <c r="F26" s="15">
        <f>SUMIF(生产领料!E:E,A26,生产领料!H:H)+SUMIF(生产领料!E:E,A26,生产领料!J:J)+SUMIF(其他出库!H:H,A26,其他出库!E:E)</f>
        <v>0</v>
      </c>
      <c r="G26" s="15">
        <f t="shared" si="2"/>
        <v>0</v>
      </c>
      <c r="L26" s="15">
        <f>SUMIFS(采购MC!K:K,采购MC!H:H,A26,采购MC!N:N,"跟进中")-SUMIFS(采购MC!L:L,采购MC!H:H,A26,采购MC!N:N,"跟进中")</f>
        <v>0</v>
      </c>
      <c r="M26" s="15">
        <f>SUMIFS(到货!E:E,到货!M:M,A26,到货!K:K,"跟进中")-SUMIFS(到货!J:J,到货!M:M,A26,到货!K:K,"跟进中")</f>
        <v>0</v>
      </c>
      <c r="N26" s="15">
        <f>G26+M26+SUMIFS(乳化PC!E:E,乳化PC!C:C,A26,乳化PC!I:I,"&lt;&gt;已完结")</f>
        <v>0</v>
      </c>
      <c r="O26" s="15">
        <f>SUMIF(物料清单!D:D,A26,物料清单!M:M)</f>
        <v>0</v>
      </c>
      <c r="P26" s="15">
        <f t="shared" si="1"/>
        <v>0</v>
      </c>
    </row>
    <row r="27" spans="1:16" ht="27" customHeight="1" x14ac:dyDescent="0.15">
      <c r="D27" s="15">
        <f>SUMIF(期初库存!A:A,A27,期初库存!D:D)</f>
        <v>0</v>
      </c>
      <c r="E27" s="15">
        <f>SUMIF(外购入库!I:I,A27,外购入库!E:E)+SUMIF(乳化PC!C:C,A27,乳化PC!H:H)+SUMIF(生产领料!E:E,A27,生产领料!K:K)</f>
        <v>0</v>
      </c>
      <c r="F27" s="15">
        <f>SUMIF(生产领料!E:E,A27,生产领料!H:H)+SUMIF(生产领料!E:E,A27,生产领料!J:J)+SUMIF(其他出库!H:H,A27,其他出库!E:E)</f>
        <v>0</v>
      </c>
      <c r="G27" s="15">
        <f t="shared" si="2"/>
        <v>0</v>
      </c>
      <c r="L27" s="15">
        <f>SUMIFS(采购MC!K:K,采购MC!H:H,A27,采购MC!N:N,"跟进中")-SUMIFS(采购MC!L:L,采购MC!H:H,A27,采购MC!N:N,"跟进中")</f>
        <v>0</v>
      </c>
      <c r="M27" s="15">
        <f>SUMIFS(到货!E:E,到货!M:M,A27,到货!K:K,"跟进中")-SUMIFS(到货!J:J,到货!M:M,A27,到货!K:K,"跟进中")</f>
        <v>0</v>
      </c>
      <c r="N27" s="15">
        <f>G27+M27+SUMIFS(乳化PC!E:E,乳化PC!C:C,A27,乳化PC!I:I,"&lt;&gt;已完结")</f>
        <v>0</v>
      </c>
      <c r="O27" s="15">
        <f>SUMIF(物料清单!D:D,A27,物料清单!M:M)</f>
        <v>0</v>
      </c>
      <c r="P27" s="15">
        <f t="shared" si="1"/>
        <v>0</v>
      </c>
    </row>
    <row r="28" spans="1:16" ht="27" customHeight="1" x14ac:dyDescent="0.15">
      <c r="D28" s="15">
        <f>SUMIF(期初库存!A:A,A28,期初库存!D:D)</f>
        <v>0</v>
      </c>
      <c r="E28" s="15">
        <f>SUMIF(外购入库!I:I,A28,外购入库!E:E)+SUMIF(乳化PC!C:C,A28,乳化PC!H:H)+SUMIF(生产领料!E:E,A28,生产领料!K:K)</f>
        <v>0</v>
      </c>
      <c r="F28" s="15">
        <f>SUMIF(生产领料!E:E,A28,生产领料!H:H)+SUMIF(生产领料!E:E,A28,生产领料!J:J)+SUMIF(其他出库!H:H,A28,其他出库!E:E)</f>
        <v>0</v>
      </c>
      <c r="G28" s="15">
        <f t="shared" si="2"/>
        <v>0</v>
      </c>
      <c r="L28" s="15">
        <f>SUMIFS(采购MC!K:K,采购MC!H:H,A28,采购MC!N:N,"跟进中")-SUMIFS(采购MC!L:L,采购MC!H:H,A28,采购MC!N:N,"跟进中")</f>
        <v>0</v>
      </c>
      <c r="M28" s="15">
        <f>SUMIFS(到货!E:E,到货!M:M,A28,到货!K:K,"跟进中")-SUMIFS(到货!J:J,到货!M:M,A28,到货!K:K,"跟进中")</f>
        <v>0</v>
      </c>
      <c r="N28" s="15">
        <f>G28+M28+SUMIFS(乳化PC!E:E,乳化PC!C:C,A28,乳化PC!I:I,"&lt;&gt;已完结")</f>
        <v>0</v>
      </c>
      <c r="O28" s="15">
        <f>SUMIF(物料清单!D:D,A28,物料清单!M:M)</f>
        <v>0</v>
      </c>
      <c r="P28" s="15">
        <f t="shared" si="1"/>
        <v>0</v>
      </c>
    </row>
  </sheetData>
  <phoneticPr fontId="1" type="noConversion"/>
  <pageMargins left="0.23622047244094491" right="0.23622047244094491" top="0.74803149606299213" bottom="0.74803149606299213" header="0.31496062992125984" footer="0.31496062992125984"/>
  <pageSetup paperSize="9" scale="72" fitToHeight="0" orientation="landscape" horizontalDpi="180" verticalDpi="180" r:id="rId1"/>
  <headerFooter scaleWithDoc="0">
    <oddFooter>&amp;C&amp;D，第 &amp;P 页，共 &amp;N 页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"/>
  <sheetViews>
    <sheetView workbookViewId="0">
      <pane ySplit="2" topLeftCell="A3" activePane="bottomLeft" state="frozen"/>
      <selection pane="bottomLeft" activeCell="H10" sqref="H10"/>
    </sheetView>
  </sheetViews>
  <sheetFormatPr defaultRowHeight="27" customHeight="1" x14ac:dyDescent="0.15"/>
  <cols>
    <col min="1" max="1" width="15.375" style="15" customWidth="1"/>
    <col min="2" max="2" width="11.75" style="16" customWidth="1"/>
    <col min="3" max="3" width="11.875" style="15" customWidth="1"/>
    <col min="4" max="4" width="37.125" style="17" customWidth="1"/>
    <col min="5" max="5" width="10" style="15" customWidth="1"/>
    <col min="6" max="6" width="12.625" style="17" customWidth="1"/>
    <col min="7" max="7" width="14.75" style="17" customWidth="1"/>
    <col min="8" max="9" width="10.25" style="15" customWidth="1"/>
    <col min="10" max="10" width="11.625" style="16" customWidth="1"/>
    <col min="11" max="14" width="10.25" style="15" customWidth="1"/>
    <col min="15" max="15" width="9" style="18"/>
    <col min="16" max="16384" width="9" style="8"/>
  </cols>
  <sheetData>
    <row r="1" spans="1:15" s="23" customFormat="1" ht="35.1" customHeight="1" x14ac:dyDescent="0.15">
      <c r="A1" s="19"/>
      <c r="B1" s="20" t="s">
        <v>33</v>
      </c>
      <c r="C1" s="19"/>
      <c r="D1" s="21"/>
      <c r="E1" s="19"/>
      <c r="F1" s="21"/>
      <c r="G1" s="21"/>
      <c r="H1" s="19"/>
      <c r="I1" s="19"/>
      <c r="J1" s="22"/>
      <c r="K1" s="19"/>
      <c r="L1" s="19"/>
      <c r="M1" s="19"/>
      <c r="N1" s="19"/>
    </row>
    <row r="2" spans="1:15" s="4" customFormat="1" ht="27" customHeight="1" x14ac:dyDescent="0.15">
      <c r="A2" s="5" t="s">
        <v>13</v>
      </c>
      <c r="B2" s="14" t="s">
        <v>20</v>
      </c>
      <c r="C2" s="5" t="s">
        <v>14</v>
      </c>
      <c r="D2" s="5" t="s">
        <v>1</v>
      </c>
      <c r="E2" s="5" t="s">
        <v>143</v>
      </c>
      <c r="F2" s="5" t="s">
        <v>96</v>
      </c>
      <c r="G2" s="5" t="s">
        <v>97</v>
      </c>
      <c r="H2" s="5" t="s">
        <v>82</v>
      </c>
      <c r="I2" s="5" t="s">
        <v>79</v>
      </c>
      <c r="J2" s="14" t="s">
        <v>145</v>
      </c>
      <c r="K2" s="5" t="s">
        <v>144</v>
      </c>
      <c r="L2" s="5" t="s">
        <v>80</v>
      </c>
      <c r="M2" s="5" t="s">
        <v>81</v>
      </c>
      <c r="N2" s="5" t="s">
        <v>19</v>
      </c>
      <c r="O2" s="5" t="s">
        <v>9</v>
      </c>
    </row>
    <row r="3" spans="1:15" ht="27" customHeight="1" x14ac:dyDescent="0.15">
      <c r="A3" s="15" t="s">
        <v>283</v>
      </c>
      <c r="B3" s="16">
        <v>44453</v>
      </c>
      <c r="C3" s="15" t="str">
        <f>VLOOKUP(H3,库存表!A:C,COLUMN(库存表!B2)-COLUMN(库存表!A2)+1,0)</f>
        <v>品牌A</v>
      </c>
      <c r="D3" s="17" t="str">
        <f>VLOOKUP(H3,库存表!A:C,COLUMN(库存表!C2)-COLUMN(库存表!A2)+1,0)</f>
        <v>100g 洁面乳 彩盒</v>
      </c>
      <c r="E3" s="15">
        <v>3000</v>
      </c>
      <c r="F3" s="17" t="s">
        <v>115</v>
      </c>
      <c r="G3" s="17" t="s">
        <v>116</v>
      </c>
      <c r="H3" s="15" t="s">
        <v>43</v>
      </c>
      <c r="I3" s="15" t="s">
        <v>114</v>
      </c>
      <c r="J3" s="16">
        <v>44457</v>
      </c>
      <c r="K3" s="15">
        <f>E3</f>
        <v>3000</v>
      </c>
      <c r="L3" s="15">
        <f>SUMIF(到货!L:L,A3,到货!E:E)</f>
        <v>3090</v>
      </c>
      <c r="M3" s="15">
        <f>SUMIF(到货!L:L,A3,到货!J:J)</f>
        <v>3090</v>
      </c>
      <c r="N3" s="15" t="str">
        <f>IF(M3&gt;K3*0.95,"已完结","跟进中")</f>
        <v>已完结</v>
      </c>
    </row>
    <row r="4" spans="1:15" ht="27" customHeight="1" x14ac:dyDescent="0.15">
      <c r="A4" s="15" t="s">
        <v>284</v>
      </c>
      <c r="B4" s="16">
        <v>44453</v>
      </c>
      <c r="C4" s="15" t="str">
        <f>VLOOKUP(H4,库存表!A:C,COLUMN(库存表!B3)-COLUMN(库存表!A3)+1,0)</f>
        <v>品牌A</v>
      </c>
      <c r="D4" s="17" t="str">
        <f>VLOOKUP(H4,库存表!A:C,3,0)</f>
        <v>100g 洁面乳 内托</v>
      </c>
      <c r="E4" s="15">
        <v>3000</v>
      </c>
      <c r="F4" s="17" t="s">
        <v>115</v>
      </c>
      <c r="G4" s="17" t="s">
        <v>116</v>
      </c>
      <c r="H4" s="15" t="s">
        <v>26</v>
      </c>
      <c r="I4" s="15" t="s">
        <v>114</v>
      </c>
      <c r="J4" s="16">
        <v>44458</v>
      </c>
      <c r="K4" s="15">
        <f t="shared" ref="K4:K18" si="0">E4</f>
        <v>3000</v>
      </c>
      <c r="L4" s="15">
        <f>SUMIF(到货!L:L,A4,到货!E:E)</f>
        <v>3060</v>
      </c>
      <c r="M4" s="15">
        <f>SUMIF(到货!L:L,A4,到货!J:J)</f>
        <v>3060</v>
      </c>
      <c r="N4" s="15" t="str">
        <f t="shared" ref="N4:N18" si="1">IF(M4&gt;K4*0.95,"已完结","跟进中")</f>
        <v>已完结</v>
      </c>
    </row>
    <row r="5" spans="1:15" ht="27" customHeight="1" x14ac:dyDescent="0.15">
      <c r="A5" s="15" t="s">
        <v>285</v>
      </c>
      <c r="B5" s="16">
        <v>44478</v>
      </c>
      <c r="C5" s="15" t="str">
        <f>VLOOKUP(H5,库存表!A:C,COLUMN(库存表!B4)-COLUMN(库存表!A4)+1,0)</f>
        <v>品牌A</v>
      </c>
      <c r="D5" s="17" t="str">
        <f>VLOOKUP(H5,库存表!A:C,3,0)</f>
        <v>100g 洁面乳 软管</v>
      </c>
      <c r="E5" s="15">
        <v>5000</v>
      </c>
      <c r="H5" s="15" t="s">
        <v>27</v>
      </c>
      <c r="I5" s="15" t="s">
        <v>135</v>
      </c>
      <c r="J5" s="16">
        <v>44459</v>
      </c>
      <c r="K5" s="15">
        <f t="shared" si="0"/>
        <v>5000</v>
      </c>
      <c r="L5" s="15">
        <f>SUMIF(到货!L:L,A5,到货!E:E)</f>
        <v>2000</v>
      </c>
      <c r="M5" s="15">
        <f>SUMIF(到货!L:L,A5,到货!J:J)</f>
        <v>2000</v>
      </c>
      <c r="N5" s="15" t="str">
        <f t="shared" si="1"/>
        <v>跟进中</v>
      </c>
    </row>
    <row r="6" spans="1:15" ht="27" customHeight="1" x14ac:dyDescent="0.15">
      <c r="A6" s="15" t="s">
        <v>286</v>
      </c>
      <c r="B6" s="16">
        <v>44478</v>
      </c>
      <c r="C6" s="15" t="str">
        <f>VLOOKUP(H6,库存表!A:C,COLUMN(库存表!B5)-COLUMN(库存表!A5)+1,0)</f>
        <v>品牌A</v>
      </c>
      <c r="D6" s="17" t="str">
        <f>VLOOKUP(H6,库存表!A:C,3,0)</f>
        <v>100g 洁面乳 软管盖</v>
      </c>
      <c r="E6" s="15">
        <v>5000</v>
      </c>
      <c r="H6" s="15" t="s">
        <v>28</v>
      </c>
      <c r="I6" s="15" t="s">
        <v>135</v>
      </c>
      <c r="J6" s="16">
        <v>44459</v>
      </c>
      <c r="K6" s="15">
        <f t="shared" si="0"/>
        <v>5000</v>
      </c>
      <c r="L6" s="15">
        <f>SUMIF(到货!L:L,A6,到货!E:E)</f>
        <v>2000</v>
      </c>
      <c r="M6" s="15">
        <f>SUMIF(到货!L:L,A6,到货!J:J)</f>
        <v>0</v>
      </c>
      <c r="N6" s="15" t="str">
        <f t="shared" si="1"/>
        <v>跟进中</v>
      </c>
    </row>
    <row r="7" spans="1:15" ht="27" customHeight="1" x14ac:dyDescent="0.15">
      <c r="A7" s="15" t="s">
        <v>287</v>
      </c>
      <c r="B7" s="16">
        <v>44478</v>
      </c>
      <c r="C7" s="15" t="str">
        <f>VLOOKUP(H7,库存表!A:C,COLUMN(库存表!B6)-COLUMN(库存表!A6)+1,0)</f>
        <v>品牌B</v>
      </c>
      <c r="D7" s="17" t="str">
        <f>VLOOKUP(H7,库存表!A:C,3,0)</f>
        <v>面膜布</v>
      </c>
      <c r="E7" s="15">
        <v>5000</v>
      </c>
      <c r="H7" s="15" t="s">
        <v>32</v>
      </c>
      <c r="I7" s="15" t="s">
        <v>135</v>
      </c>
      <c r="J7" s="16">
        <v>44459</v>
      </c>
      <c r="K7" s="15">
        <f t="shared" si="0"/>
        <v>5000</v>
      </c>
      <c r="L7" s="15">
        <f>SUMIF(到货!L:L,A7,到货!E:E)</f>
        <v>2000</v>
      </c>
      <c r="M7" s="15">
        <f>SUMIF(到货!L:L,A7,到货!J:J)</f>
        <v>0</v>
      </c>
      <c r="N7" s="15" t="str">
        <f t="shared" si="1"/>
        <v>跟进中</v>
      </c>
    </row>
    <row r="8" spans="1:15" ht="27" customHeight="1" x14ac:dyDescent="0.15">
      <c r="C8" s="15" t="e">
        <f>VLOOKUP(H8,库存表!A:C,COLUMN(库存表!B7)-COLUMN(库存表!A7)+1,0)</f>
        <v>#N/A</v>
      </c>
      <c r="D8" s="17" t="e">
        <f>VLOOKUP(H8,库存表!A:C,3,0)</f>
        <v>#N/A</v>
      </c>
      <c r="K8" s="15">
        <f t="shared" si="0"/>
        <v>0</v>
      </c>
      <c r="L8" s="15">
        <f>SUMIF(到货!L:L,A8,到货!E:E)</f>
        <v>0</v>
      </c>
      <c r="M8" s="15">
        <f>SUMIF(到货!L:L,A8,到货!J:J)</f>
        <v>0</v>
      </c>
      <c r="N8" s="15" t="str">
        <f t="shared" si="1"/>
        <v>跟进中</v>
      </c>
    </row>
    <row r="9" spans="1:15" ht="27" customHeight="1" x14ac:dyDescent="0.15">
      <c r="C9" s="15" t="e">
        <f>VLOOKUP(H9,库存表!A:C,COLUMN(库存表!B8)-COLUMN(库存表!A8)+1,0)</f>
        <v>#N/A</v>
      </c>
      <c r="D9" s="17" t="e">
        <f>VLOOKUP(H9,库存表!A:C,3,0)</f>
        <v>#N/A</v>
      </c>
      <c r="K9" s="15">
        <f t="shared" si="0"/>
        <v>0</v>
      </c>
      <c r="L9" s="15">
        <f>SUMIF(到货!L:L,A9,到货!E:E)</f>
        <v>0</v>
      </c>
      <c r="M9" s="15">
        <f>SUMIF(到货!L:L,A9,到货!J:J)</f>
        <v>0</v>
      </c>
      <c r="N9" s="15" t="str">
        <f t="shared" si="1"/>
        <v>跟进中</v>
      </c>
    </row>
    <row r="10" spans="1:15" ht="27" customHeight="1" x14ac:dyDescent="0.15">
      <c r="C10" s="15" t="e">
        <f>VLOOKUP(H10,库存表!A:C,COLUMN(库存表!B9)-COLUMN(库存表!A9)+1,0)</f>
        <v>#N/A</v>
      </c>
      <c r="D10" s="17" t="e">
        <f>VLOOKUP(H10,库存表!A:C,3,0)</f>
        <v>#N/A</v>
      </c>
      <c r="K10" s="15">
        <f t="shared" si="0"/>
        <v>0</v>
      </c>
      <c r="L10" s="15">
        <f>SUMIF(到货!L:L,A10,到货!E:E)</f>
        <v>0</v>
      </c>
      <c r="M10" s="15">
        <f>SUMIF(到货!L:L,A10,到货!J:J)</f>
        <v>0</v>
      </c>
      <c r="N10" s="15" t="str">
        <f t="shared" si="1"/>
        <v>跟进中</v>
      </c>
    </row>
    <row r="11" spans="1:15" ht="27" customHeight="1" x14ac:dyDescent="0.15">
      <c r="C11" s="15" t="e">
        <f>VLOOKUP(H11,库存表!A:C,COLUMN(库存表!B10)-COLUMN(库存表!A10)+1,0)</f>
        <v>#N/A</v>
      </c>
      <c r="D11" s="17" t="e">
        <f>VLOOKUP(H11,库存表!A:C,3,0)</f>
        <v>#N/A</v>
      </c>
      <c r="K11" s="15">
        <f t="shared" si="0"/>
        <v>0</v>
      </c>
      <c r="L11" s="15">
        <f>SUMIF(到货!L:L,A11,到货!E:E)</f>
        <v>0</v>
      </c>
      <c r="M11" s="15">
        <f>SUMIF(到货!L:L,A11,到货!J:J)</f>
        <v>0</v>
      </c>
      <c r="N11" s="15" t="str">
        <f t="shared" si="1"/>
        <v>跟进中</v>
      </c>
    </row>
    <row r="12" spans="1:15" ht="27" customHeight="1" x14ac:dyDescent="0.15">
      <c r="C12" s="15" t="e">
        <f>VLOOKUP(H12,库存表!A:C,COLUMN(库存表!B11)-COLUMN(库存表!A11)+1,0)</f>
        <v>#N/A</v>
      </c>
      <c r="D12" s="17" t="e">
        <f>VLOOKUP(H12,库存表!A:C,3,0)</f>
        <v>#N/A</v>
      </c>
      <c r="K12" s="15">
        <f t="shared" si="0"/>
        <v>0</v>
      </c>
      <c r="L12" s="15">
        <f>SUMIF(到货!L:L,A12,到货!E:E)</f>
        <v>0</v>
      </c>
      <c r="M12" s="15">
        <f>SUMIF(到货!L:L,A12,到货!J:J)</f>
        <v>0</v>
      </c>
      <c r="N12" s="15" t="str">
        <f t="shared" si="1"/>
        <v>跟进中</v>
      </c>
    </row>
    <row r="13" spans="1:15" ht="27" customHeight="1" x14ac:dyDescent="0.15">
      <c r="C13" s="15" t="e">
        <f>VLOOKUP(H13,库存表!A:C,COLUMN(库存表!B12)-COLUMN(库存表!A12)+1,0)</f>
        <v>#N/A</v>
      </c>
      <c r="D13" s="17" t="e">
        <f>VLOOKUP(H13,库存表!A:C,3,0)</f>
        <v>#N/A</v>
      </c>
      <c r="K13" s="15">
        <f t="shared" si="0"/>
        <v>0</v>
      </c>
      <c r="L13" s="15">
        <f>SUMIF(到货!L:L,A13,到货!E:E)</f>
        <v>0</v>
      </c>
      <c r="M13" s="15">
        <f>SUMIF(到货!L:L,A13,到货!J:J)</f>
        <v>0</v>
      </c>
      <c r="N13" s="15" t="str">
        <f t="shared" si="1"/>
        <v>跟进中</v>
      </c>
    </row>
    <row r="14" spans="1:15" ht="27" customHeight="1" x14ac:dyDescent="0.15">
      <c r="C14" s="15" t="e">
        <f>VLOOKUP(H14,库存表!A:C,COLUMN(库存表!B13)-COLUMN(库存表!A13)+1,0)</f>
        <v>#N/A</v>
      </c>
      <c r="D14" s="17" t="e">
        <f>VLOOKUP(H14,库存表!A:C,3,0)</f>
        <v>#N/A</v>
      </c>
      <c r="K14" s="15">
        <f t="shared" si="0"/>
        <v>0</v>
      </c>
      <c r="L14" s="15">
        <f>SUMIF(到货!L:L,A14,到货!E:E)</f>
        <v>0</v>
      </c>
      <c r="M14" s="15">
        <f>SUMIF(到货!L:L,A14,到货!J:J)</f>
        <v>0</v>
      </c>
      <c r="N14" s="15" t="str">
        <f t="shared" si="1"/>
        <v>跟进中</v>
      </c>
    </row>
    <row r="15" spans="1:15" ht="27" customHeight="1" x14ac:dyDescent="0.15">
      <c r="C15" s="15" t="e">
        <f>VLOOKUP(H15,库存表!A:C,COLUMN(库存表!B14)-COLUMN(库存表!A14)+1,0)</f>
        <v>#N/A</v>
      </c>
      <c r="D15" s="17" t="e">
        <f>VLOOKUP(H15,库存表!A:C,3,0)</f>
        <v>#N/A</v>
      </c>
      <c r="K15" s="15">
        <f t="shared" si="0"/>
        <v>0</v>
      </c>
      <c r="L15" s="15">
        <f>SUMIF(到货!L:L,A15,到货!E:E)</f>
        <v>0</v>
      </c>
      <c r="M15" s="15">
        <f>SUMIF(到货!L:L,A15,到货!J:J)</f>
        <v>0</v>
      </c>
      <c r="N15" s="15" t="str">
        <f t="shared" si="1"/>
        <v>跟进中</v>
      </c>
    </row>
    <row r="16" spans="1:15" ht="27" customHeight="1" x14ac:dyDescent="0.15">
      <c r="C16" s="15" t="e">
        <f>VLOOKUP(H16,库存表!A:C,COLUMN(库存表!B15)-COLUMN(库存表!A15)+1,0)</f>
        <v>#N/A</v>
      </c>
      <c r="D16" s="17" t="e">
        <f>VLOOKUP(H16,库存表!A:C,3,0)</f>
        <v>#N/A</v>
      </c>
      <c r="K16" s="15">
        <f t="shared" si="0"/>
        <v>0</v>
      </c>
      <c r="L16" s="15">
        <f>SUMIF(到货!L:L,A16,到货!E:E)</f>
        <v>0</v>
      </c>
      <c r="M16" s="15">
        <f>SUMIF(到货!L:L,A16,到货!J:J)</f>
        <v>0</v>
      </c>
      <c r="N16" s="15" t="str">
        <f t="shared" si="1"/>
        <v>跟进中</v>
      </c>
    </row>
    <row r="17" spans="3:14" ht="27" customHeight="1" x14ac:dyDescent="0.15">
      <c r="C17" s="15" t="e">
        <f>VLOOKUP(H17,库存表!A:C,COLUMN(库存表!B16)-COLUMN(库存表!A16)+1,0)</f>
        <v>#N/A</v>
      </c>
      <c r="D17" s="17" t="e">
        <f>VLOOKUP(H17,库存表!A:C,3,0)</f>
        <v>#N/A</v>
      </c>
      <c r="K17" s="15">
        <f t="shared" si="0"/>
        <v>0</v>
      </c>
      <c r="L17" s="15">
        <f>SUMIF(到货!L:L,A17,到货!E:E)</f>
        <v>0</v>
      </c>
      <c r="M17" s="15">
        <f>SUMIF(到货!L:L,A17,到货!J:J)</f>
        <v>0</v>
      </c>
      <c r="N17" s="15" t="str">
        <f t="shared" si="1"/>
        <v>跟进中</v>
      </c>
    </row>
    <row r="18" spans="3:14" ht="27" customHeight="1" x14ac:dyDescent="0.15">
      <c r="C18" s="15" t="e">
        <f>VLOOKUP(H18,库存表!A:C,COLUMN(库存表!B17)-COLUMN(库存表!A17)+1,0)</f>
        <v>#N/A</v>
      </c>
      <c r="D18" s="17" t="e">
        <f>VLOOKUP(H18,库存表!A:C,3,0)</f>
        <v>#N/A</v>
      </c>
      <c r="K18" s="15">
        <f t="shared" si="0"/>
        <v>0</v>
      </c>
      <c r="L18" s="15">
        <f>SUMIF(到货!L:L,A18,到货!E:E)</f>
        <v>0</v>
      </c>
      <c r="M18" s="15">
        <f>SUMIF(到货!L:L,A18,到货!J:J)</f>
        <v>0</v>
      </c>
      <c r="N18" s="15" t="str">
        <f t="shared" si="1"/>
        <v>跟进中</v>
      </c>
    </row>
  </sheetData>
  <phoneticPr fontId="1" type="noConversion"/>
  <conditionalFormatting sqref="A1:O1048576">
    <cfRule type="expression" dxfId="15" priority="1">
      <formula>AND($N1="跟进中",$L1&lt;$K1*0.95)</formula>
    </cfRule>
  </conditionalFormatting>
  <dataValidations count="1">
    <dataValidation type="list" allowBlank="1" showInputMessage="1" showErrorMessage="1" sqref="N3:N1048576">
      <formula1>"""已完结"",""跟进中"""</formula1>
    </dataValidation>
  </dataValidations>
  <pageMargins left="0.23622047244094491" right="0.23622047244094491" top="0.35433070866141736" bottom="0.55118110236220474" header="0.31496062992125984" footer="0.31496062992125984"/>
  <pageSetup paperSize="9" scale="73" fitToHeight="0" orientation="landscape" horizontalDpi="180" verticalDpi="180" r:id="rId1"/>
  <headerFooter scaleWithDoc="0">
    <oddFooter>&amp;C&amp;D，第 &amp;P 页，共 &amp;N 页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"/>
  <sheetViews>
    <sheetView workbookViewId="0">
      <pane ySplit="2" topLeftCell="A3" activePane="bottomLeft" state="frozen"/>
      <selection pane="bottomLeft" activeCell="F12" sqref="F12"/>
    </sheetView>
  </sheetViews>
  <sheetFormatPr defaultRowHeight="27" customHeight="1" x14ac:dyDescent="0.15"/>
  <cols>
    <col min="1" max="1" width="15.5" style="15" customWidth="1"/>
    <col min="2" max="2" width="11.75" style="16" customWidth="1"/>
    <col min="3" max="3" width="11.875" style="15" customWidth="1"/>
    <col min="4" max="4" width="25.125" style="18" customWidth="1"/>
    <col min="5" max="5" width="9.25" style="15" customWidth="1"/>
    <col min="6" max="6" width="15.375" style="15" customWidth="1"/>
    <col min="7" max="7" width="11.75" style="15" customWidth="1"/>
    <col min="8" max="11" width="10.25" style="15" customWidth="1"/>
    <col min="12" max="12" width="15.25" style="15" customWidth="1"/>
    <col min="13" max="13" width="10.25" style="15" customWidth="1"/>
    <col min="14" max="14" width="9" style="18"/>
    <col min="15" max="16384" width="9" style="8"/>
  </cols>
  <sheetData>
    <row r="1" spans="1:14" s="24" customFormat="1" ht="35.1" customHeight="1" x14ac:dyDescent="0.15">
      <c r="B1" s="25" t="s">
        <v>264</v>
      </c>
    </row>
    <row r="2" spans="1:14" s="4" customFormat="1" ht="27" customHeight="1" x14ac:dyDescent="0.15">
      <c r="A2" s="5" t="s">
        <v>268</v>
      </c>
      <c r="B2" s="14" t="s">
        <v>83</v>
      </c>
      <c r="C2" s="5" t="s">
        <v>87</v>
      </c>
      <c r="D2" s="5" t="s">
        <v>1</v>
      </c>
      <c r="E2" s="5" t="s">
        <v>84</v>
      </c>
      <c r="F2" s="5" t="s">
        <v>85</v>
      </c>
      <c r="G2" s="5" t="s">
        <v>96</v>
      </c>
      <c r="H2" s="5" t="s">
        <v>88</v>
      </c>
      <c r="I2" s="5" t="s">
        <v>89</v>
      </c>
      <c r="J2" s="5" t="s">
        <v>90</v>
      </c>
      <c r="K2" s="5" t="s">
        <v>86</v>
      </c>
      <c r="L2" s="5" t="s">
        <v>91</v>
      </c>
      <c r="M2" s="5" t="s">
        <v>0</v>
      </c>
      <c r="N2" s="5" t="s">
        <v>9</v>
      </c>
    </row>
    <row r="3" spans="1:14" ht="27" customHeight="1" x14ac:dyDescent="0.15">
      <c r="A3" s="15" t="s">
        <v>117</v>
      </c>
      <c r="B3" s="16">
        <v>44463</v>
      </c>
      <c r="C3" s="15" t="str">
        <f>VLOOKUP(L3,采购MC!A:I,3,0)</f>
        <v>品牌A</v>
      </c>
      <c r="D3" s="18" t="str">
        <f>VLOOKUP(L3,采购MC!A:I,4,0)</f>
        <v>100g 洁面乳 彩盒</v>
      </c>
      <c r="E3" s="15">
        <f>1030*3</f>
        <v>3090</v>
      </c>
      <c r="F3" s="15" t="s">
        <v>122</v>
      </c>
      <c r="G3" s="15" t="s">
        <v>124</v>
      </c>
      <c r="H3" s="15" t="str">
        <f>VLOOKUP(L3,采购MC!A:I,9,0)</f>
        <v>创亿</v>
      </c>
      <c r="I3" s="15" t="str">
        <f>IFERROR(VLOOKUP(A3,IQC放行记录!A:I,9,0)&amp;"","待检")</f>
        <v>合格</v>
      </c>
      <c r="J3" s="15">
        <f>SUMIF(外购入库!G:G,A3,外购入库!E:E)</f>
        <v>3090</v>
      </c>
      <c r="K3" s="15" t="str">
        <f>IF(AND(J3&gt;0,J3=E3),"已完结","跟进中")</f>
        <v>已完结</v>
      </c>
      <c r="L3" s="15" t="s">
        <v>282</v>
      </c>
      <c r="M3" s="15" t="str">
        <f>VLOOKUP(L3,采购MC!A:I,8,0)</f>
        <v>B0001</v>
      </c>
    </row>
    <row r="4" spans="1:14" ht="27" customHeight="1" x14ac:dyDescent="0.15">
      <c r="A4" s="15" t="s">
        <v>118</v>
      </c>
      <c r="B4" s="16">
        <v>44463</v>
      </c>
      <c r="C4" s="15" t="str">
        <f>VLOOKUP(L4,采购MC!A:I,3,0)</f>
        <v>品牌A</v>
      </c>
      <c r="D4" s="18" t="str">
        <f>VLOOKUP(L4,采购MC!A:I,4,0)</f>
        <v>100g 洁面乳 内托</v>
      </c>
      <c r="E4" s="15">
        <f>2050+1010</f>
        <v>3060</v>
      </c>
      <c r="F4" s="15" t="s">
        <v>123</v>
      </c>
      <c r="H4" s="15" t="str">
        <f>VLOOKUP(L4,采购MC!A:I,9,0)</f>
        <v>创亿</v>
      </c>
      <c r="I4" s="15" t="str">
        <f>IFERROR(VLOOKUP(A4,IQC放行记录!A:I,9,0)&amp;"","待检")</f>
        <v>特采放行</v>
      </c>
      <c r="J4" s="15">
        <f>SUMIF(外购入库!G:G,A4,外购入库!E:E)</f>
        <v>3060</v>
      </c>
      <c r="K4" s="15" t="str">
        <f t="shared" ref="K4:K18" si="0">IF(AND(J4&gt;0,J4=E4),"已完结","跟进中")</f>
        <v>已完结</v>
      </c>
      <c r="L4" s="15" t="s">
        <v>284</v>
      </c>
      <c r="M4" s="15" t="str">
        <f>VLOOKUP(L4,采购MC!A:I,8,0)</f>
        <v>B0002</v>
      </c>
    </row>
    <row r="5" spans="1:14" ht="27" customHeight="1" x14ac:dyDescent="0.15">
      <c r="A5" s="15" t="s">
        <v>137</v>
      </c>
      <c r="B5" s="16">
        <v>44494</v>
      </c>
      <c r="C5" s="15" t="str">
        <f>VLOOKUP(L5,采购MC!A:I,3,0)</f>
        <v>品牌A</v>
      </c>
      <c r="D5" s="18" t="str">
        <f>VLOOKUP(L5,采购MC!A:I,4,0)</f>
        <v>100g 洁面乳 软管</v>
      </c>
      <c r="E5" s="15">
        <v>2000</v>
      </c>
      <c r="H5" s="15" t="str">
        <f>VLOOKUP(L5,采购MC!A:I,9,0)</f>
        <v>客供</v>
      </c>
      <c r="I5" s="15" t="str">
        <f>IFERROR(VLOOKUP(A5,IQC放行记录!A:I,9,0)&amp;"","待检")</f>
        <v>生产挑选</v>
      </c>
      <c r="J5" s="15">
        <f>SUMIF(外购入库!G:G,A5,外购入库!E:E)</f>
        <v>2000</v>
      </c>
      <c r="K5" s="15" t="str">
        <f t="shared" si="0"/>
        <v>已完结</v>
      </c>
      <c r="L5" s="15" t="s">
        <v>285</v>
      </c>
      <c r="M5" s="15" t="str">
        <f>VLOOKUP(L5,采购MC!A:I,8,0)</f>
        <v>B0003</v>
      </c>
    </row>
    <row r="6" spans="1:14" ht="27" customHeight="1" x14ac:dyDescent="0.15">
      <c r="A6" s="15" t="s">
        <v>138</v>
      </c>
      <c r="B6" s="16">
        <v>44494</v>
      </c>
      <c r="C6" s="15" t="str">
        <f>VLOOKUP(L6,采购MC!A:I,3,0)</f>
        <v>品牌A</v>
      </c>
      <c r="D6" s="18" t="str">
        <f>VLOOKUP(L6,采购MC!A:I,4,0)</f>
        <v>100g 洁面乳 软管盖</v>
      </c>
      <c r="E6" s="15">
        <v>2000</v>
      </c>
      <c r="H6" s="15" t="str">
        <f>VLOOKUP(L6,采购MC!A:I,9,0)</f>
        <v>客供</v>
      </c>
      <c r="I6" s="15" t="str">
        <f>IFERROR(VLOOKUP(A6,IQC放行记录!A:I,9,0)&amp;"","待检")</f>
        <v>不合格</v>
      </c>
      <c r="J6" s="15">
        <f>SUMIF(外购入库!G:G,A6,外购入库!E:E)</f>
        <v>0</v>
      </c>
      <c r="K6" s="15" t="str">
        <f t="shared" si="0"/>
        <v>跟进中</v>
      </c>
      <c r="L6" s="15" t="s">
        <v>286</v>
      </c>
      <c r="M6" s="15" t="str">
        <f>VLOOKUP(L6,采购MC!A:I,8,0)</f>
        <v>B0004</v>
      </c>
    </row>
    <row r="7" spans="1:14" ht="27" customHeight="1" x14ac:dyDescent="0.15">
      <c r="A7" s="15" t="s">
        <v>139</v>
      </c>
      <c r="B7" s="16">
        <v>44494</v>
      </c>
      <c r="C7" s="15" t="str">
        <f>VLOOKUP(L7,采购MC!A:I,3,0)</f>
        <v>品牌B</v>
      </c>
      <c r="D7" s="18" t="str">
        <f>VLOOKUP(L7,采购MC!A:I,4,0)</f>
        <v>面膜布</v>
      </c>
      <c r="E7" s="15">
        <v>2000</v>
      </c>
      <c r="H7" s="15" t="str">
        <f>VLOOKUP(L7,采购MC!A:I,9,0)</f>
        <v>客供</v>
      </c>
      <c r="I7" s="15" t="str">
        <f>IFERROR(VLOOKUP(A7,IQC放行记录!A:I,9,0)&amp;"","待检")</f>
        <v>退货</v>
      </c>
      <c r="J7" s="15">
        <f>SUMIF(外购入库!G:G,A7,外购入库!E:E)</f>
        <v>0</v>
      </c>
      <c r="K7" s="15" t="str">
        <f t="shared" si="0"/>
        <v>跟进中</v>
      </c>
      <c r="L7" s="15" t="s">
        <v>287</v>
      </c>
      <c r="M7" s="15" t="str">
        <f>VLOOKUP(L7,采购MC!A:I,8,0)</f>
        <v>B0008</v>
      </c>
    </row>
    <row r="8" spans="1:14" ht="27" customHeight="1" x14ac:dyDescent="0.15">
      <c r="C8" s="15" t="e">
        <f>VLOOKUP(L8,采购MC!A:I,3,0)</f>
        <v>#N/A</v>
      </c>
      <c r="D8" s="18" t="e">
        <f>VLOOKUP(L8,采购MC!A:I,4,0)</f>
        <v>#N/A</v>
      </c>
      <c r="H8" s="15" t="e">
        <f>VLOOKUP(L8,采购MC!A:I,9,0)</f>
        <v>#N/A</v>
      </c>
      <c r="I8" s="15" t="str">
        <f>IFERROR(VLOOKUP(A8,IQC放行记录!A:I,9,0)&amp;"","待检")</f>
        <v>待检</v>
      </c>
      <c r="J8" s="15">
        <f>SUMIF(外购入库!G:G,A8,外购入库!E:E)</f>
        <v>0</v>
      </c>
      <c r="K8" s="15" t="str">
        <f t="shared" si="0"/>
        <v>跟进中</v>
      </c>
      <c r="M8" s="15" t="e">
        <f>VLOOKUP(L8,采购MC!A:I,8,0)</f>
        <v>#N/A</v>
      </c>
    </row>
    <row r="9" spans="1:14" ht="27" customHeight="1" x14ac:dyDescent="0.15">
      <c r="C9" s="15" t="e">
        <f>VLOOKUP(L9,采购MC!A:I,3,0)</f>
        <v>#N/A</v>
      </c>
      <c r="D9" s="18" t="e">
        <f>VLOOKUP(L9,采购MC!A:I,4,0)</f>
        <v>#N/A</v>
      </c>
      <c r="H9" s="15" t="e">
        <f>VLOOKUP(L9,采购MC!A:I,9,0)</f>
        <v>#N/A</v>
      </c>
      <c r="I9" s="15" t="str">
        <f>IFERROR(VLOOKUP(A9,IQC放行记录!A:I,9,0)&amp;"","待检")</f>
        <v>待检</v>
      </c>
      <c r="J9" s="15">
        <f>SUMIF(外购入库!G:G,A9,外购入库!E:E)</f>
        <v>0</v>
      </c>
      <c r="K9" s="15" t="str">
        <f t="shared" si="0"/>
        <v>跟进中</v>
      </c>
      <c r="M9" s="15" t="e">
        <f>VLOOKUP(L9,采购MC!A:I,8,0)</f>
        <v>#N/A</v>
      </c>
    </row>
    <row r="10" spans="1:14" ht="27" customHeight="1" x14ac:dyDescent="0.15">
      <c r="C10" s="15" t="e">
        <f>VLOOKUP(L10,采购MC!A:I,3,0)</f>
        <v>#N/A</v>
      </c>
      <c r="D10" s="18" t="e">
        <f>VLOOKUP(L10,采购MC!A:I,4,0)</f>
        <v>#N/A</v>
      </c>
      <c r="H10" s="15" t="e">
        <f>VLOOKUP(L10,采购MC!A:I,9,0)</f>
        <v>#N/A</v>
      </c>
      <c r="I10" s="15" t="str">
        <f>IFERROR(VLOOKUP(A10,IQC放行记录!A:I,9,0)&amp;"","待检")</f>
        <v>待检</v>
      </c>
      <c r="J10" s="15">
        <f>SUMIF(外购入库!G:G,A10,外购入库!E:E)</f>
        <v>0</v>
      </c>
      <c r="K10" s="15" t="str">
        <f t="shared" si="0"/>
        <v>跟进中</v>
      </c>
      <c r="M10" s="15" t="e">
        <f>VLOOKUP(L10,采购MC!A:I,8,0)</f>
        <v>#N/A</v>
      </c>
    </row>
    <row r="11" spans="1:14" ht="27" customHeight="1" x14ac:dyDescent="0.15">
      <c r="C11" s="15" t="e">
        <f>VLOOKUP(L11,采购MC!A:I,3,0)</f>
        <v>#N/A</v>
      </c>
      <c r="D11" s="18" t="e">
        <f>VLOOKUP(L11,采购MC!A:I,4,0)</f>
        <v>#N/A</v>
      </c>
      <c r="H11" s="15" t="e">
        <f>VLOOKUP(L11,采购MC!A:I,9,0)</f>
        <v>#N/A</v>
      </c>
      <c r="I11" s="15" t="str">
        <f>IFERROR(VLOOKUP(A11,IQC放行记录!A:I,9,0)&amp;"","待检")</f>
        <v>待检</v>
      </c>
      <c r="J11" s="15">
        <f>SUMIF(外购入库!G:G,A11,外购入库!E:E)</f>
        <v>0</v>
      </c>
      <c r="K11" s="15" t="str">
        <f t="shared" si="0"/>
        <v>跟进中</v>
      </c>
      <c r="M11" s="15" t="e">
        <f>VLOOKUP(L11,采购MC!A:I,8,0)</f>
        <v>#N/A</v>
      </c>
    </row>
    <row r="12" spans="1:14" ht="27" customHeight="1" x14ac:dyDescent="0.15">
      <c r="C12" s="15" t="e">
        <f>VLOOKUP(L12,采购MC!A:I,3,0)</f>
        <v>#N/A</v>
      </c>
      <c r="D12" s="18" t="e">
        <f>VLOOKUP(L12,采购MC!A:I,4,0)</f>
        <v>#N/A</v>
      </c>
      <c r="H12" s="15" t="e">
        <f>VLOOKUP(L12,采购MC!A:I,9,0)</f>
        <v>#N/A</v>
      </c>
      <c r="I12" s="15" t="str">
        <f>IFERROR(VLOOKUP(A12,IQC放行记录!A:I,9,0)&amp;"","待检")</f>
        <v>待检</v>
      </c>
      <c r="J12" s="15">
        <f>SUMIF(外购入库!G:G,A12,外购入库!E:E)</f>
        <v>0</v>
      </c>
      <c r="K12" s="15" t="str">
        <f t="shared" si="0"/>
        <v>跟进中</v>
      </c>
      <c r="M12" s="15" t="e">
        <f>VLOOKUP(L12,采购MC!A:I,8,0)</f>
        <v>#N/A</v>
      </c>
    </row>
    <row r="13" spans="1:14" ht="27" customHeight="1" x14ac:dyDescent="0.15">
      <c r="C13" s="15" t="e">
        <f>VLOOKUP(L13,采购MC!A:I,3,0)</f>
        <v>#N/A</v>
      </c>
      <c r="D13" s="18" t="e">
        <f>VLOOKUP(L13,采购MC!A:I,4,0)</f>
        <v>#N/A</v>
      </c>
      <c r="H13" s="15" t="e">
        <f>VLOOKUP(L13,采购MC!A:I,9,0)</f>
        <v>#N/A</v>
      </c>
      <c r="I13" s="15" t="str">
        <f>IFERROR(VLOOKUP(A13,IQC放行记录!A:I,9,0)&amp;"","待检")</f>
        <v>待检</v>
      </c>
      <c r="J13" s="15">
        <f>SUMIF(外购入库!G:G,A13,外购入库!E:E)</f>
        <v>0</v>
      </c>
      <c r="K13" s="15" t="str">
        <f t="shared" si="0"/>
        <v>跟进中</v>
      </c>
      <c r="M13" s="15" t="e">
        <f>VLOOKUP(L13,采购MC!A:I,8,0)</f>
        <v>#N/A</v>
      </c>
    </row>
    <row r="14" spans="1:14" ht="27" customHeight="1" x14ac:dyDescent="0.15">
      <c r="C14" s="15" t="e">
        <f>VLOOKUP(L14,采购MC!A:I,3,0)</f>
        <v>#N/A</v>
      </c>
      <c r="D14" s="18" t="e">
        <f>VLOOKUP(L14,采购MC!A:I,4,0)</f>
        <v>#N/A</v>
      </c>
      <c r="H14" s="15" t="e">
        <f>VLOOKUP(L14,采购MC!A:I,9,0)</f>
        <v>#N/A</v>
      </c>
      <c r="I14" s="15" t="str">
        <f>IFERROR(VLOOKUP(A14,IQC放行记录!A:I,9,0)&amp;"","待检")</f>
        <v>待检</v>
      </c>
      <c r="J14" s="15">
        <f>SUMIF(外购入库!G:G,A14,外购入库!E:E)</f>
        <v>0</v>
      </c>
      <c r="K14" s="15" t="str">
        <f t="shared" si="0"/>
        <v>跟进中</v>
      </c>
      <c r="M14" s="15" t="e">
        <f>VLOOKUP(L14,采购MC!A:I,8,0)</f>
        <v>#N/A</v>
      </c>
    </row>
    <row r="15" spans="1:14" ht="27" customHeight="1" x14ac:dyDescent="0.15">
      <c r="C15" s="15" t="e">
        <f>VLOOKUP(L15,采购MC!A:I,3,0)</f>
        <v>#N/A</v>
      </c>
      <c r="D15" s="18" t="e">
        <f>VLOOKUP(L15,采购MC!A:I,4,0)</f>
        <v>#N/A</v>
      </c>
      <c r="H15" s="15" t="e">
        <f>VLOOKUP(L15,采购MC!A:I,9,0)</f>
        <v>#N/A</v>
      </c>
      <c r="I15" s="15" t="str">
        <f>IFERROR(VLOOKUP(A15,IQC放行记录!A:I,9,0)&amp;"","待检")</f>
        <v>待检</v>
      </c>
      <c r="J15" s="15">
        <f>SUMIF(外购入库!G:G,A15,外购入库!E:E)</f>
        <v>0</v>
      </c>
      <c r="K15" s="15" t="str">
        <f t="shared" si="0"/>
        <v>跟进中</v>
      </c>
      <c r="M15" s="15" t="e">
        <f>VLOOKUP(L15,采购MC!A:I,8,0)</f>
        <v>#N/A</v>
      </c>
    </row>
    <row r="16" spans="1:14" ht="27" customHeight="1" x14ac:dyDescent="0.15">
      <c r="C16" s="15" t="e">
        <f>VLOOKUP(L16,采购MC!A:I,3,0)</f>
        <v>#N/A</v>
      </c>
      <c r="D16" s="18" t="e">
        <f>VLOOKUP(L16,采购MC!A:I,4,0)</f>
        <v>#N/A</v>
      </c>
      <c r="H16" s="15" t="e">
        <f>VLOOKUP(L16,采购MC!A:I,9,0)</f>
        <v>#N/A</v>
      </c>
      <c r="I16" s="15" t="str">
        <f>IFERROR(VLOOKUP(A16,IQC放行记录!A:I,9,0)&amp;"","待检")</f>
        <v>待检</v>
      </c>
      <c r="J16" s="15">
        <f>SUMIF(外购入库!G:G,A16,外购入库!E:E)</f>
        <v>0</v>
      </c>
      <c r="K16" s="15" t="str">
        <f t="shared" si="0"/>
        <v>跟进中</v>
      </c>
      <c r="M16" s="15" t="e">
        <f>VLOOKUP(L16,采购MC!A:I,8,0)</f>
        <v>#N/A</v>
      </c>
    </row>
    <row r="17" spans="3:13" ht="27" customHeight="1" x14ac:dyDescent="0.15">
      <c r="C17" s="15" t="e">
        <f>VLOOKUP(L17,采购MC!A:I,3,0)</f>
        <v>#N/A</v>
      </c>
      <c r="D17" s="18" t="e">
        <f>VLOOKUP(L17,采购MC!A:I,4,0)</f>
        <v>#N/A</v>
      </c>
      <c r="H17" s="15" t="e">
        <f>VLOOKUP(L17,采购MC!A:I,9,0)</f>
        <v>#N/A</v>
      </c>
      <c r="I17" s="15" t="str">
        <f>IFERROR(VLOOKUP(A17,IQC放行记录!A:I,9,0)&amp;"","待检")</f>
        <v>待检</v>
      </c>
      <c r="J17" s="15">
        <f>SUMIF(外购入库!G:G,A17,外购入库!E:E)</f>
        <v>0</v>
      </c>
      <c r="K17" s="15" t="str">
        <f t="shared" si="0"/>
        <v>跟进中</v>
      </c>
      <c r="M17" s="15" t="e">
        <f>VLOOKUP(L17,采购MC!A:I,8,0)</f>
        <v>#N/A</v>
      </c>
    </row>
    <row r="18" spans="3:13" ht="27" customHeight="1" x14ac:dyDescent="0.15">
      <c r="C18" s="15" t="e">
        <f>VLOOKUP(L18,采购MC!A:I,3,0)</f>
        <v>#N/A</v>
      </c>
      <c r="D18" s="18" t="e">
        <f>VLOOKUP(L18,采购MC!A:I,4,0)</f>
        <v>#N/A</v>
      </c>
      <c r="H18" s="15" t="e">
        <f>VLOOKUP(L18,采购MC!A:I,9,0)</f>
        <v>#N/A</v>
      </c>
      <c r="I18" s="15" t="str">
        <f>IFERROR(VLOOKUP(A18,IQC放行记录!A:I,9,0)&amp;"","待检")</f>
        <v>待检</v>
      </c>
      <c r="J18" s="15">
        <f>SUMIF(外购入库!G:G,A18,外购入库!E:E)</f>
        <v>0</v>
      </c>
      <c r="K18" s="15" t="str">
        <f t="shared" si="0"/>
        <v>跟进中</v>
      </c>
      <c r="M18" s="15" t="e">
        <f>VLOOKUP(L18,采购MC!A:I,8,0)</f>
        <v>#N/A</v>
      </c>
    </row>
  </sheetData>
  <phoneticPr fontId="1" type="noConversion"/>
  <conditionalFormatting sqref="A1:N1048576">
    <cfRule type="expression" dxfId="14" priority="1">
      <formula>AND($K1="跟进中",OR($I1="不合格",$I1="退货"))</formula>
    </cfRule>
    <cfRule type="expression" dxfId="13" priority="2">
      <formula>AND($K1="跟进中",OR($I1="合格",$I1="特采放行",$I1="车间挑选"))</formula>
    </cfRule>
    <cfRule type="expression" dxfId="12" priority="3">
      <formula>$K1="跟进中"</formula>
    </cfRule>
  </conditionalFormatting>
  <dataValidations count="1">
    <dataValidation type="list" allowBlank="1" showInputMessage="1" showErrorMessage="1" sqref="K3:K1048576">
      <formula1>"已完结,跟进中"</formula1>
    </dataValidation>
  </dataValidations>
  <pageMargins left="0.23622047244094491" right="0.23622047244094491" top="0.35433070866141736" bottom="0.55118110236220474" header="0.31496062992125984" footer="0.31496062992125984"/>
  <pageSetup paperSize="9" scale="81" fitToHeight="0" orientation="landscape" horizontalDpi="180" verticalDpi="180" r:id="rId1"/>
  <headerFooter scaleWithDoc="0">
    <oddFooter>&amp;C&amp;D，第 &amp;P 页，共 &amp;N 页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workbookViewId="0">
      <pane ySplit="2" topLeftCell="A3" activePane="bottomLeft" state="frozen"/>
      <selection pane="bottomLeft" activeCell="J10" sqref="J10"/>
    </sheetView>
  </sheetViews>
  <sheetFormatPr defaultRowHeight="27" customHeight="1" x14ac:dyDescent="0.15"/>
  <cols>
    <col min="1" max="1" width="15.5" style="15" customWidth="1"/>
    <col min="2" max="2" width="11.75" style="16" customWidth="1"/>
    <col min="3" max="3" width="11.875" style="15" customWidth="1"/>
    <col min="4" max="4" width="36.375" style="26" customWidth="1"/>
    <col min="5" max="5" width="11.125" style="15" customWidth="1"/>
    <col min="6" max="6" width="13.5" style="15" customWidth="1"/>
    <col min="7" max="7" width="10.375" style="18" customWidth="1"/>
    <col min="8" max="9" width="10.25" style="15" customWidth="1"/>
    <col min="10" max="10" width="11.5" style="16" customWidth="1"/>
    <col min="11" max="11" width="10.25" style="18" customWidth="1"/>
    <col min="12" max="12" width="9" style="18"/>
    <col min="13" max="16384" width="9" style="8"/>
  </cols>
  <sheetData>
    <row r="1" spans="1:12" s="23" customFormat="1" ht="35.1" customHeight="1" x14ac:dyDescent="0.15">
      <c r="A1" s="19"/>
      <c r="B1" s="20" t="s">
        <v>266</v>
      </c>
      <c r="C1" s="19"/>
      <c r="D1" s="27"/>
      <c r="E1" s="29" t="s">
        <v>142</v>
      </c>
      <c r="F1" s="19"/>
      <c r="G1" s="19"/>
      <c r="H1" s="19"/>
      <c r="I1" s="19"/>
      <c r="J1" s="22"/>
    </row>
    <row r="2" spans="1:12" s="4" customFormat="1" ht="27" customHeight="1" x14ac:dyDescent="0.15">
      <c r="A2" s="5" t="s">
        <v>267</v>
      </c>
      <c r="B2" s="14" t="s">
        <v>83</v>
      </c>
      <c r="C2" s="5" t="s">
        <v>87</v>
      </c>
      <c r="D2" s="5" t="s">
        <v>1</v>
      </c>
      <c r="E2" s="5" t="s">
        <v>84</v>
      </c>
      <c r="F2" s="5" t="s">
        <v>85</v>
      </c>
      <c r="G2" s="5" t="s">
        <v>120</v>
      </c>
      <c r="H2" s="5" t="s">
        <v>88</v>
      </c>
      <c r="I2" s="5" t="s">
        <v>89</v>
      </c>
      <c r="J2" s="14" t="s">
        <v>92</v>
      </c>
      <c r="K2" s="5" t="s">
        <v>98</v>
      </c>
      <c r="L2" s="5" t="s">
        <v>9</v>
      </c>
    </row>
    <row r="3" spans="1:12" ht="27" customHeight="1" x14ac:dyDescent="0.15">
      <c r="A3" s="15" t="s">
        <v>119</v>
      </c>
      <c r="B3" s="16">
        <f>VLOOKUP(A3,到货!A:H,2,0)</f>
        <v>44463</v>
      </c>
      <c r="C3" s="15" t="str">
        <f>VLOOKUP(A3,到货!A:H,3,0)</f>
        <v>品牌A</v>
      </c>
      <c r="D3" s="26" t="str">
        <f>VLOOKUP(A3,到货!A:H,4,0)</f>
        <v>100g 洁面乳 彩盒</v>
      </c>
      <c r="E3" s="15">
        <f>VLOOKUP(A3,到货!A:H,5,0)</f>
        <v>3090</v>
      </c>
      <c r="F3" s="15" t="str">
        <f>VLOOKUP(A3,到货!A:H,6,0)&amp;""</f>
        <v>1030*3</v>
      </c>
      <c r="G3" s="18" t="str">
        <f>VLOOKUP(A3,到货!A:H,7,0)&amp;""</f>
        <v>新版</v>
      </c>
      <c r="H3" s="15" t="str">
        <f>VLOOKUP(A3,到货!A:H,8,0)&amp;""</f>
        <v>创亿</v>
      </c>
      <c r="I3" s="15" t="s">
        <v>121</v>
      </c>
      <c r="J3" s="16">
        <v>44464</v>
      </c>
    </row>
    <row r="4" spans="1:12" ht="27" customHeight="1" x14ac:dyDescent="0.15">
      <c r="A4" s="15" t="s">
        <v>118</v>
      </c>
      <c r="B4" s="16">
        <f>VLOOKUP(A4,到货!A:H,2,0)</f>
        <v>44463</v>
      </c>
      <c r="C4" s="15" t="str">
        <f>VLOOKUP(A4,到货!A:H,3,0)</f>
        <v>品牌A</v>
      </c>
      <c r="D4" s="26" t="str">
        <f>VLOOKUP(A4,到货!A:H,4,0)</f>
        <v>100g 洁面乳 内托</v>
      </c>
      <c r="E4" s="15">
        <f>VLOOKUP(A4,到货!A:H,5,0)</f>
        <v>3060</v>
      </c>
      <c r="F4" s="15" t="str">
        <f>VLOOKUP(A4,到货!A:H,6,0)&amp;""</f>
        <v>2050+1010</v>
      </c>
      <c r="G4" s="18" t="str">
        <f>VLOOKUP(A4,到货!A:H,7,0)&amp;""</f>
        <v/>
      </c>
      <c r="H4" s="15" t="str">
        <f>VLOOKUP(A4,到货!A:H,8,0)&amp;""</f>
        <v>创亿</v>
      </c>
      <c r="I4" s="15" t="s">
        <v>140</v>
      </c>
      <c r="J4" s="16">
        <v>44464</v>
      </c>
      <c r="K4" s="18" t="s">
        <v>134</v>
      </c>
    </row>
    <row r="5" spans="1:12" ht="27" customHeight="1" x14ac:dyDescent="0.15">
      <c r="A5" s="15" t="s">
        <v>136</v>
      </c>
      <c r="B5" s="16">
        <f>VLOOKUP(A5,到货!A:H,2,0)</f>
        <v>44494</v>
      </c>
      <c r="C5" s="15" t="str">
        <f>VLOOKUP(A5,到货!A:H,3,0)</f>
        <v>品牌A</v>
      </c>
      <c r="D5" s="26" t="str">
        <f>VLOOKUP(A5,到货!A:H,4,0)</f>
        <v>100g 洁面乳 软管</v>
      </c>
      <c r="E5" s="15">
        <f>VLOOKUP(A5,到货!A:H,5,0)</f>
        <v>2000</v>
      </c>
      <c r="F5" s="15" t="str">
        <f>VLOOKUP(A5,到货!A:H,6,0)&amp;""</f>
        <v/>
      </c>
      <c r="G5" s="18" t="str">
        <f>VLOOKUP(A5,到货!A:H,7,0)&amp;""</f>
        <v/>
      </c>
      <c r="H5" s="15" t="str">
        <f>VLOOKUP(A5,到货!A:H,8,0)&amp;""</f>
        <v>客供</v>
      </c>
      <c r="I5" s="15" t="s">
        <v>133</v>
      </c>
      <c r="K5" s="18" t="s">
        <v>141</v>
      </c>
    </row>
    <row r="6" spans="1:12" ht="27" customHeight="1" x14ac:dyDescent="0.15">
      <c r="A6" s="15" t="s">
        <v>138</v>
      </c>
      <c r="B6" s="16">
        <f>VLOOKUP(A6,到货!A:H,2,0)</f>
        <v>44494</v>
      </c>
      <c r="C6" s="15" t="str">
        <f>VLOOKUP(A6,到货!A:H,3,0)</f>
        <v>品牌A</v>
      </c>
      <c r="D6" s="26" t="str">
        <f>VLOOKUP(A6,到货!A:H,4,0)</f>
        <v>100g 洁面乳 软管盖</v>
      </c>
      <c r="E6" s="15">
        <f>VLOOKUP(A6,到货!A:H,5,0)</f>
        <v>2000</v>
      </c>
      <c r="F6" s="15" t="str">
        <f>VLOOKUP(A6,到货!A:H,6,0)&amp;""</f>
        <v/>
      </c>
      <c r="G6" s="18" t="str">
        <f>VLOOKUP(A6,到货!A:H,7,0)&amp;""</f>
        <v/>
      </c>
      <c r="H6" s="15" t="str">
        <f>VLOOKUP(A6,到货!A:H,8,0)&amp;""</f>
        <v>客供</v>
      </c>
      <c r="I6" s="15" t="s">
        <v>269</v>
      </c>
      <c r="K6" s="18" t="s">
        <v>271</v>
      </c>
    </row>
    <row r="7" spans="1:12" ht="27" customHeight="1" x14ac:dyDescent="0.15">
      <c r="A7" s="15" t="s">
        <v>139</v>
      </c>
      <c r="B7" s="16">
        <f>VLOOKUP(A7,到货!A:H,2,0)</f>
        <v>44494</v>
      </c>
      <c r="C7" s="15" t="str">
        <f>VLOOKUP(A7,到货!A:H,3,0)</f>
        <v>品牌B</v>
      </c>
      <c r="D7" s="26" t="str">
        <f>VLOOKUP(A7,到货!A:H,4,0)</f>
        <v>面膜布</v>
      </c>
      <c r="E7" s="15">
        <f>VLOOKUP(A7,到货!A:H,5,0)</f>
        <v>2000</v>
      </c>
      <c r="F7" s="15" t="str">
        <f>VLOOKUP(A7,到货!A:H,6,0)&amp;""</f>
        <v/>
      </c>
      <c r="G7" s="18" t="str">
        <f>VLOOKUP(A7,到货!A:H,7,0)&amp;""</f>
        <v/>
      </c>
      <c r="H7" s="15" t="str">
        <f>VLOOKUP(A7,到货!A:H,8,0)&amp;""</f>
        <v>客供</v>
      </c>
      <c r="I7" s="15" t="s">
        <v>270</v>
      </c>
      <c r="K7" s="18" t="s">
        <v>141</v>
      </c>
    </row>
    <row r="8" spans="1:12" ht="27" customHeight="1" x14ac:dyDescent="0.15">
      <c r="B8" s="16" t="e">
        <f>VLOOKUP(A8,到货!A:H,2,0)</f>
        <v>#N/A</v>
      </c>
      <c r="C8" s="15" t="e">
        <f>VLOOKUP(A8,到货!A:H,3,0)</f>
        <v>#N/A</v>
      </c>
      <c r="D8" s="26" t="e">
        <f>VLOOKUP(A8,到货!A:H,4,0)</f>
        <v>#N/A</v>
      </c>
      <c r="E8" s="15" t="e">
        <f>VLOOKUP(A8,到货!A:H,5,0)</f>
        <v>#N/A</v>
      </c>
      <c r="F8" s="15" t="e">
        <f>VLOOKUP(A8,到货!A:H,6,0)&amp;""</f>
        <v>#N/A</v>
      </c>
      <c r="G8" s="18" t="e">
        <f>VLOOKUP(A8,到货!A:H,7,0)&amp;""</f>
        <v>#N/A</v>
      </c>
      <c r="H8" s="15" t="e">
        <f>VLOOKUP(A8,到货!A:H,8,0)&amp;""</f>
        <v>#N/A</v>
      </c>
    </row>
    <row r="9" spans="1:12" ht="27" customHeight="1" x14ac:dyDescent="0.15">
      <c r="B9" s="16" t="e">
        <f>VLOOKUP(A9,到货!A:H,2,0)</f>
        <v>#N/A</v>
      </c>
      <c r="C9" s="15" t="e">
        <f>VLOOKUP(A9,到货!A:H,3,0)</f>
        <v>#N/A</v>
      </c>
      <c r="D9" s="26" t="e">
        <f>VLOOKUP(A9,到货!A:H,4,0)</f>
        <v>#N/A</v>
      </c>
      <c r="E9" s="15" t="e">
        <f>VLOOKUP(A9,到货!A:H,5,0)</f>
        <v>#N/A</v>
      </c>
      <c r="F9" s="15" t="e">
        <f>VLOOKUP(A9,到货!A:H,6,0)&amp;""</f>
        <v>#N/A</v>
      </c>
      <c r="G9" s="18" t="e">
        <f>VLOOKUP(A9,到货!A:H,7,0)&amp;""</f>
        <v>#N/A</v>
      </c>
      <c r="H9" s="15" t="e">
        <f>VLOOKUP(A9,到货!A:H,8,0)&amp;""</f>
        <v>#N/A</v>
      </c>
    </row>
    <row r="10" spans="1:12" ht="27" customHeight="1" x14ac:dyDescent="0.15">
      <c r="B10" s="16" t="e">
        <f>VLOOKUP(A10,到货!A:H,2,0)</f>
        <v>#N/A</v>
      </c>
      <c r="C10" s="15" t="e">
        <f>VLOOKUP(A10,到货!A:H,3,0)</f>
        <v>#N/A</v>
      </c>
      <c r="D10" s="26" t="e">
        <f>VLOOKUP(A10,到货!A:H,4,0)</f>
        <v>#N/A</v>
      </c>
      <c r="E10" s="15" t="e">
        <f>VLOOKUP(A10,到货!A:H,5,0)</f>
        <v>#N/A</v>
      </c>
      <c r="F10" s="15" t="e">
        <f>VLOOKUP(A10,到货!A:H,6,0)&amp;""</f>
        <v>#N/A</v>
      </c>
      <c r="G10" s="18" t="e">
        <f>VLOOKUP(A10,到货!A:H,7,0)&amp;""</f>
        <v>#N/A</v>
      </c>
      <c r="H10" s="15" t="e">
        <f>VLOOKUP(A10,到货!A:H,8,0)&amp;""</f>
        <v>#N/A</v>
      </c>
    </row>
    <row r="11" spans="1:12" ht="27" customHeight="1" x14ac:dyDescent="0.15">
      <c r="B11" s="16" t="e">
        <f>VLOOKUP(A11,到货!A:H,2,0)</f>
        <v>#N/A</v>
      </c>
      <c r="C11" s="15" t="e">
        <f>VLOOKUP(A11,到货!A:H,3,0)</f>
        <v>#N/A</v>
      </c>
      <c r="D11" s="26" t="e">
        <f>VLOOKUP(A11,到货!A:H,4,0)</f>
        <v>#N/A</v>
      </c>
      <c r="E11" s="15" t="e">
        <f>VLOOKUP(A11,到货!A:H,5,0)</f>
        <v>#N/A</v>
      </c>
      <c r="F11" s="15" t="e">
        <f>VLOOKUP(A11,到货!A:H,6,0)&amp;""</f>
        <v>#N/A</v>
      </c>
      <c r="G11" s="18" t="e">
        <f>VLOOKUP(A11,到货!A:H,7,0)&amp;""</f>
        <v>#N/A</v>
      </c>
      <c r="H11" s="15" t="e">
        <f>VLOOKUP(A11,到货!A:H,8,0)&amp;""</f>
        <v>#N/A</v>
      </c>
    </row>
    <row r="12" spans="1:12" ht="27" customHeight="1" x14ac:dyDescent="0.15">
      <c r="B12" s="16" t="e">
        <f>VLOOKUP(A12,到货!A:H,2,0)</f>
        <v>#N/A</v>
      </c>
      <c r="C12" s="15" t="e">
        <f>VLOOKUP(A12,到货!A:H,3,0)</f>
        <v>#N/A</v>
      </c>
      <c r="D12" s="26" t="e">
        <f>VLOOKUP(A12,到货!A:H,4,0)</f>
        <v>#N/A</v>
      </c>
      <c r="E12" s="15" t="e">
        <f>VLOOKUP(A12,到货!A:H,5,0)</f>
        <v>#N/A</v>
      </c>
      <c r="F12" s="15" t="e">
        <f>VLOOKUP(A12,到货!A:H,6,0)&amp;""</f>
        <v>#N/A</v>
      </c>
      <c r="G12" s="18" t="e">
        <f>VLOOKUP(A12,到货!A:H,7,0)&amp;""</f>
        <v>#N/A</v>
      </c>
      <c r="H12" s="15" t="e">
        <f>VLOOKUP(A12,到货!A:H,8,0)&amp;""</f>
        <v>#N/A</v>
      </c>
    </row>
    <row r="13" spans="1:12" ht="27" customHeight="1" x14ac:dyDescent="0.15">
      <c r="B13" s="16" t="e">
        <f>VLOOKUP(A13,到货!A:H,2,0)</f>
        <v>#N/A</v>
      </c>
      <c r="C13" s="15" t="e">
        <f>VLOOKUP(A13,到货!A:H,3,0)</f>
        <v>#N/A</v>
      </c>
      <c r="D13" s="26" t="e">
        <f>VLOOKUP(A13,到货!A:H,4,0)</f>
        <v>#N/A</v>
      </c>
      <c r="E13" s="15" t="e">
        <f>VLOOKUP(A13,到货!A:H,5,0)</f>
        <v>#N/A</v>
      </c>
      <c r="F13" s="15" t="e">
        <f>VLOOKUP(A13,到货!A:H,6,0)&amp;""</f>
        <v>#N/A</v>
      </c>
      <c r="G13" s="18" t="e">
        <f>VLOOKUP(A13,到货!A:H,7,0)&amp;""</f>
        <v>#N/A</v>
      </c>
      <c r="H13" s="15" t="e">
        <f>VLOOKUP(A13,到货!A:H,8,0)&amp;""</f>
        <v>#N/A</v>
      </c>
    </row>
    <row r="14" spans="1:12" ht="27" customHeight="1" x14ac:dyDescent="0.15">
      <c r="B14" s="16" t="e">
        <f>VLOOKUP(A14,到货!A:H,2,0)</f>
        <v>#N/A</v>
      </c>
      <c r="C14" s="15" t="e">
        <f>VLOOKUP(A14,到货!A:H,3,0)</f>
        <v>#N/A</v>
      </c>
      <c r="D14" s="26" t="e">
        <f>VLOOKUP(A14,到货!A:H,4,0)</f>
        <v>#N/A</v>
      </c>
      <c r="E14" s="15" t="e">
        <f>VLOOKUP(A14,到货!A:H,5,0)</f>
        <v>#N/A</v>
      </c>
      <c r="F14" s="15" t="e">
        <f>VLOOKUP(A14,到货!A:H,6,0)&amp;""</f>
        <v>#N/A</v>
      </c>
      <c r="G14" s="18" t="e">
        <f>VLOOKUP(A14,到货!A:H,7,0)&amp;""</f>
        <v>#N/A</v>
      </c>
      <c r="H14" s="15" t="e">
        <f>VLOOKUP(A14,到货!A:H,8,0)&amp;""</f>
        <v>#N/A</v>
      </c>
    </row>
    <row r="15" spans="1:12" ht="27" customHeight="1" x14ac:dyDescent="0.15">
      <c r="B15" s="16" t="e">
        <f>VLOOKUP(A15,到货!A:H,2,0)</f>
        <v>#N/A</v>
      </c>
      <c r="C15" s="15" t="e">
        <f>VLOOKUP(A15,到货!A:H,3,0)</f>
        <v>#N/A</v>
      </c>
      <c r="D15" s="26" t="e">
        <f>VLOOKUP(A15,到货!A:H,4,0)</f>
        <v>#N/A</v>
      </c>
      <c r="E15" s="15" t="e">
        <f>VLOOKUP(A15,到货!A:H,5,0)</f>
        <v>#N/A</v>
      </c>
      <c r="F15" s="15" t="e">
        <f>VLOOKUP(A15,到货!A:H,6,0)&amp;""</f>
        <v>#N/A</v>
      </c>
      <c r="G15" s="18" t="e">
        <f>VLOOKUP(A15,到货!A:H,7,0)&amp;""</f>
        <v>#N/A</v>
      </c>
      <c r="H15" s="15" t="e">
        <f>VLOOKUP(A15,到货!A:H,8,0)&amp;""</f>
        <v>#N/A</v>
      </c>
    </row>
    <row r="16" spans="1:12" ht="27" customHeight="1" x14ac:dyDescent="0.15">
      <c r="B16" s="16" t="e">
        <f>VLOOKUP(A16,到货!A:H,2,0)</f>
        <v>#N/A</v>
      </c>
      <c r="C16" s="15" t="e">
        <f>VLOOKUP(A16,到货!A:H,3,0)</f>
        <v>#N/A</v>
      </c>
      <c r="D16" s="26" t="e">
        <f>VLOOKUP(A16,到货!A:H,4,0)</f>
        <v>#N/A</v>
      </c>
      <c r="E16" s="15" t="e">
        <f>VLOOKUP(A16,到货!A:H,5,0)</f>
        <v>#N/A</v>
      </c>
      <c r="F16" s="15" t="e">
        <f>VLOOKUP(A16,到货!A:H,6,0)&amp;""</f>
        <v>#N/A</v>
      </c>
      <c r="G16" s="18" t="e">
        <f>VLOOKUP(A16,到货!A:H,7,0)&amp;""</f>
        <v>#N/A</v>
      </c>
      <c r="H16" s="15" t="e">
        <f>VLOOKUP(A16,到货!A:H,8,0)&amp;""</f>
        <v>#N/A</v>
      </c>
    </row>
    <row r="17" spans="2:8" ht="27" customHeight="1" x14ac:dyDescent="0.15">
      <c r="B17" s="16" t="e">
        <f>VLOOKUP(A17,到货!A:H,2,0)</f>
        <v>#N/A</v>
      </c>
      <c r="C17" s="15" t="e">
        <f>VLOOKUP(A17,到货!A:H,3,0)</f>
        <v>#N/A</v>
      </c>
      <c r="D17" s="26" t="e">
        <f>VLOOKUP(A17,到货!A:H,4,0)</f>
        <v>#N/A</v>
      </c>
      <c r="E17" s="15" t="e">
        <f>VLOOKUP(A17,到货!A:H,5,0)</f>
        <v>#N/A</v>
      </c>
      <c r="F17" s="15" t="e">
        <f>VLOOKUP(A17,到货!A:H,6,0)&amp;""</f>
        <v>#N/A</v>
      </c>
      <c r="G17" s="18" t="e">
        <f>VLOOKUP(A17,到货!A:H,7,0)&amp;""</f>
        <v>#N/A</v>
      </c>
      <c r="H17" s="15" t="e">
        <f>VLOOKUP(A17,到货!A:H,8,0)&amp;""</f>
        <v>#N/A</v>
      </c>
    </row>
    <row r="18" spans="2:8" ht="27" customHeight="1" x14ac:dyDescent="0.15">
      <c r="B18" s="16" t="e">
        <f>VLOOKUP(A18,到货!A:H,2,0)</f>
        <v>#N/A</v>
      </c>
      <c r="C18" s="15" t="e">
        <f>VLOOKUP(A18,到货!A:H,3,0)</f>
        <v>#N/A</v>
      </c>
      <c r="D18" s="26" t="e">
        <f>VLOOKUP(A18,到货!A:H,4,0)</f>
        <v>#N/A</v>
      </c>
      <c r="E18" s="15" t="e">
        <f>VLOOKUP(A18,到货!A:H,5,0)</f>
        <v>#N/A</v>
      </c>
      <c r="F18" s="15" t="e">
        <f>VLOOKUP(A18,到货!A:H,6,0)&amp;""</f>
        <v>#N/A</v>
      </c>
      <c r="G18" s="18" t="e">
        <f>VLOOKUP(A18,到货!A:H,7,0)&amp;""</f>
        <v>#N/A</v>
      </c>
      <c r="H18" s="15" t="e">
        <f>VLOOKUP(A18,到货!A:H,8,0)&amp;""</f>
        <v>#N/A</v>
      </c>
    </row>
    <row r="19" spans="2:8" ht="27" customHeight="1" x14ac:dyDescent="0.15">
      <c r="B19" s="16" t="e">
        <f>VLOOKUP(A19,到货!A:H,2,0)</f>
        <v>#N/A</v>
      </c>
      <c r="C19" s="15" t="e">
        <f>VLOOKUP(A19,到货!A:H,3,0)</f>
        <v>#N/A</v>
      </c>
      <c r="D19" s="26" t="e">
        <f>VLOOKUP(A19,到货!A:H,4,0)</f>
        <v>#N/A</v>
      </c>
      <c r="E19" s="15" t="e">
        <f>VLOOKUP(A19,到货!A:H,5,0)</f>
        <v>#N/A</v>
      </c>
      <c r="F19" s="15" t="e">
        <f>VLOOKUP(A19,到货!A:H,6,0)&amp;""</f>
        <v>#N/A</v>
      </c>
      <c r="G19" s="18" t="e">
        <f>VLOOKUP(A19,到货!A:H,7,0)&amp;""</f>
        <v>#N/A</v>
      </c>
      <c r="H19" s="15" t="e">
        <f>VLOOKUP(A19,到货!A:H,8,0)&amp;""</f>
        <v>#N/A</v>
      </c>
    </row>
  </sheetData>
  <phoneticPr fontId="1" type="noConversion"/>
  <conditionalFormatting sqref="A1:L1048576">
    <cfRule type="expression" dxfId="11" priority="3">
      <formula>OR($I1="不合格",$I1="退货")</formula>
    </cfRule>
  </conditionalFormatting>
  <conditionalFormatting sqref="A1:A1048576">
    <cfRule type="duplicateValues" dxfId="10" priority="2"/>
  </conditionalFormatting>
  <dataValidations count="1">
    <dataValidation type="list" allowBlank="1" showInputMessage="1" showErrorMessage="1" sqref="I3:I1048576">
      <formula1>"合格,不合格,退货,特采放行,生产挑选"</formula1>
    </dataValidation>
  </dataValidations>
  <pageMargins left="0.23622047244094491" right="0.23622047244094491" top="0.35433070866141736" bottom="0.55118110236220474" header="0.31496062992125984" footer="0.31496062992125984"/>
  <pageSetup paperSize="9" scale="89" fitToHeight="0" orientation="landscape" horizontalDpi="180" verticalDpi="180" r:id="rId1"/>
  <headerFooter scaleWithDoc="0">
    <oddFooter>&amp;C&amp;D，第 &amp;P 页，共 &amp;N 页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workbookViewId="0">
      <pane ySplit="2" topLeftCell="A3" activePane="bottomLeft" state="frozen"/>
      <selection pane="bottomLeft" activeCell="B8" sqref="B8"/>
    </sheetView>
  </sheetViews>
  <sheetFormatPr defaultRowHeight="27" customHeight="1" x14ac:dyDescent="0.15"/>
  <cols>
    <col min="1" max="1" width="15.5" style="15" customWidth="1"/>
    <col min="2" max="2" width="11.75" style="16" customWidth="1"/>
    <col min="3" max="3" width="13" style="15" customWidth="1"/>
    <col min="4" max="4" width="28.25" style="26" customWidth="1"/>
    <col min="5" max="5" width="11.125" style="15" customWidth="1"/>
    <col min="6" max="6" width="14.5" style="28" customWidth="1"/>
    <col min="7" max="8" width="14.5" style="15" customWidth="1"/>
    <col min="9" max="9" width="11.5" style="15" customWidth="1"/>
    <col min="10" max="10" width="10.25" style="15" customWidth="1"/>
    <col min="11" max="11" width="15.5" style="15" customWidth="1"/>
    <col min="12" max="12" width="11" style="15" customWidth="1"/>
    <col min="13" max="13" width="9.5" style="18" customWidth="1"/>
    <col min="14" max="16384" width="9" style="8"/>
  </cols>
  <sheetData>
    <row r="1" spans="1:13" s="23" customFormat="1" ht="35.1" customHeight="1" x14ac:dyDescent="0.15">
      <c r="A1" s="19"/>
      <c r="B1" s="20" t="s">
        <v>272</v>
      </c>
      <c r="C1" s="19"/>
      <c r="D1" s="19"/>
      <c r="E1" s="29" t="s">
        <v>95</v>
      </c>
      <c r="F1" s="24"/>
      <c r="G1" s="19"/>
      <c r="H1" s="19"/>
      <c r="I1" s="19"/>
      <c r="J1" s="19"/>
      <c r="K1" s="19"/>
      <c r="L1" s="19"/>
    </row>
    <row r="2" spans="1:13" s="4" customFormat="1" ht="27" customHeight="1" x14ac:dyDescent="0.15">
      <c r="A2" s="5" t="s">
        <v>93</v>
      </c>
      <c r="B2" s="14" t="s">
        <v>94</v>
      </c>
      <c r="C2" s="5" t="s">
        <v>87</v>
      </c>
      <c r="D2" s="5" t="s">
        <v>54</v>
      </c>
      <c r="E2" s="5" t="s">
        <v>90</v>
      </c>
      <c r="F2" s="5" t="s">
        <v>85</v>
      </c>
      <c r="G2" s="5" t="s">
        <v>128</v>
      </c>
      <c r="H2" s="5" t="s">
        <v>96</v>
      </c>
      <c r="I2" s="5" t="s">
        <v>0</v>
      </c>
      <c r="J2" s="5" t="s">
        <v>88</v>
      </c>
      <c r="K2" s="5" t="s">
        <v>91</v>
      </c>
      <c r="L2" s="5" t="s">
        <v>244</v>
      </c>
      <c r="M2" s="5" t="s">
        <v>9</v>
      </c>
    </row>
    <row r="3" spans="1:13" ht="27" customHeight="1" x14ac:dyDescent="0.15">
      <c r="A3" s="15" t="s">
        <v>295</v>
      </c>
      <c r="B3" s="16">
        <v>44464</v>
      </c>
      <c r="C3" s="15" t="str">
        <f>VLOOKUP(G3,到货!A:M,3,0)</f>
        <v>品牌A</v>
      </c>
      <c r="D3" s="26" t="str">
        <f>VLOOKUP(G3,到货!A:M,4,0)</f>
        <v>100g 洁面乳 彩盒</v>
      </c>
      <c r="E3" s="15">
        <f>VLOOKUP(G3,到货!A:M,5,0)</f>
        <v>3090</v>
      </c>
      <c r="F3" s="28" t="str">
        <f>IF(VLOOKUP(G3,到货!A:M,5,0)&lt;&gt;E3,"",VLOOKUP(G3,到货!A:M,6,0)&amp;"")</f>
        <v>1030*3</v>
      </c>
      <c r="G3" s="15" t="s">
        <v>119</v>
      </c>
      <c r="H3" s="15" t="str">
        <f>VLOOKUP(G3,到货!A:M,7,0)&amp;""</f>
        <v>新版</v>
      </c>
      <c r="I3" s="15" t="str">
        <f>VLOOKUP(G3,到货!A:M,13,0)</f>
        <v>B0001</v>
      </c>
      <c r="J3" s="15" t="str">
        <f>VLOOKUP(G3,到货!A:M,8,0)</f>
        <v>创亿</v>
      </c>
      <c r="K3" s="15" t="str">
        <f>VLOOKUP(G3,到货!A:M,12,0)</f>
        <v>PO210001</v>
      </c>
    </row>
    <row r="4" spans="1:13" ht="27" customHeight="1" x14ac:dyDescent="0.15">
      <c r="A4" s="15" t="s">
        <v>295</v>
      </c>
      <c r="B4" s="16">
        <v>44464</v>
      </c>
      <c r="C4" s="15" t="str">
        <f>VLOOKUP(G4,到货!A:M,3,0)</f>
        <v>品牌A</v>
      </c>
      <c r="D4" s="26" t="str">
        <f>VLOOKUP(G4,到货!A:M,4,0)</f>
        <v>100g 洁面乳 内托</v>
      </c>
      <c r="E4" s="15">
        <f>VLOOKUP(G4,到货!A:M,5,0)</f>
        <v>3060</v>
      </c>
      <c r="F4" s="28" t="str">
        <f>IF(VLOOKUP(G4,到货!A:M,5,0)&lt;&gt;E4,"",VLOOKUP(G4,到货!A:M,6,0)&amp;"")</f>
        <v>2050+1010</v>
      </c>
      <c r="G4" s="15" t="s">
        <v>118</v>
      </c>
      <c r="H4" s="15" t="str">
        <f>VLOOKUP(G4,到货!A:M,7,0)&amp;""</f>
        <v/>
      </c>
      <c r="I4" s="15" t="str">
        <f>VLOOKUP(G4,到货!A:M,13,0)</f>
        <v>B0002</v>
      </c>
      <c r="J4" s="15" t="str">
        <f>VLOOKUP(G4,到货!A:M,8,0)</f>
        <v>创亿</v>
      </c>
      <c r="K4" s="15" t="str">
        <f>VLOOKUP(G4,到货!A:M,12,0)</f>
        <v>PO210002</v>
      </c>
    </row>
    <row r="5" spans="1:13" ht="27" customHeight="1" x14ac:dyDescent="0.15">
      <c r="A5" s="15" t="s">
        <v>296</v>
      </c>
      <c r="B5" s="16">
        <v>44465</v>
      </c>
      <c r="C5" s="15" t="str">
        <f>VLOOKUP(G5,到货!A:M,3,0)</f>
        <v>品牌A</v>
      </c>
      <c r="D5" s="26" t="str">
        <f>VLOOKUP(G5,到货!A:M,4,0)</f>
        <v>100g 洁面乳 软管</v>
      </c>
      <c r="E5" s="15">
        <f>VLOOKUP(G5,到货!A:M,5,0)</f>
        <v>2000</v>
      </c>
      <c r="F5" s="28" t="str">
        <f>IF(VLOOKUP(G5,到货!A:M,5,0)&lt;&gt;E5,"",VLOOKUP(G5,到货!A:M,6,0)&amp;"")</f>
        <v/>
      </c>
      <c r="G5" s="15" t="s">
        <v>136</v>
      </c>
      <c r="H5" s="15" t="str">
        <f>VLOOKUP(G5,到货!A:M,7,0)&amp;""</f>
        <v/>
      </c>
      <c r="I5" s="15" t="str">
        <f>VLOOKUP(G5,到货!A:M,13,0)</f>
        <v>B0003</v>
      </c>
      <c r="J5" s="15" t="str">
        <f>VLOOKUP(G5,到货!A:M,8,0)</f>
        <v>客供</v>
      </c>
      <c r="K5" s="15" t="str">
        <f>VLOOKUP(G5,到货!A:M,12,0)</f>
        <v>PO210003</v>
      </c>
    </row>
    <row r="6" spans="1:13" ht="27" customHeight="1" x14ac:dyDescent="0.15">
      <c r="C6" s="15" t="e">
        <f>VLOOKUP(G6,到货!A:M,3,0)</f>
        <v>#N/A</v>
      </c>
      <c r="D6" s="26" t="e">
        <f>VLOOKUP(G6,到货!A:M,4,0)</f>
        <v>#N/A</v>
      </c>
      <c r="E6" s="15" t="e">
        <f>VLOOKUP(G6,到货!A:M,5,0)</f>
        <v>#N/A</v>
      </c>
      <c r="F6" s="28" t="e">
        <f>IF(VLOOKUP(G6,到货!A:M,5,0)&lt;&gt;E6,"",VLOOKUP(G6,到货!A:M,6,0)&amp;"")</f>
        <v>#N/A</v>
      </c>
      <c r="H6" s="15" t="e">
        <f>VLOOKUP(G6,到货!A:M,7,0)&amp;""</f>
        <v>#N/A</v>
      </c>
      <c r="I6" s="15" t="e">
        <f>VLOOKUP(G6,到货!A:M,13,0)</f>
        <v>#N/A</v>
      </c>
      <c r="J6" s="15" t="e">
        <f>VLOOKUP(G6,到货!A:M,8,0)</f>
        <v>#N/A</v>
      </c>
      <c r="K6" s="15" t="e">
        <f>VLOOKUP(G6,到货!A:M,12,0)</f>
        <v>#N/A</v>
      </c>
    </row>
    <row r="7" spans="1:13" ht="27" customHeight="1" x14ac:dyDescent="0.15">
      <c r="C7" s="15" t="e">
        <f>VLOOKUP(G7,到货!A:M,3,0)</f>
        <v>#N/A</v>
      </c>
      <c r="D7" s="26" t="e">
        <f>VLOOKUP(G7,到货!A:M,4,0)</f>
        <v>#N/A</v>
      </c>
      <c r="E7" s="15" t="e">
        <f>VLOOKUP(G7,到货!A:M,5,0)</f>
        <v>#N/A</v>
      </c>
      <c r="F7" s="28" t="e">
        <f>IF(VLOOKUP(G7,到货!A:M,5,0)&lt;&gt;E7,"",VLOOKUP(G7,到货!A:M,6,0)&amp;"")</f>
        <v>#N/A</v>
      </c>
      <c r="H7" s="15" t="e">
        <f>VLOOKUP(G7,到货!A:M,7,0)&amp;""</f>
        <v>#N/A</v>
      </c>
      <c r="I7" s="15" t="e">
        <f>VLOOKUP(G7,到货!A:M,13,0)</f>
        <v>#N/A</v>
      </c>
      <c r="J7" s="15" t="e">
        <f>VLOOKUP(G7,到货!A:M,8,0)</f>
        <v>#N/A</v>
      </c>
      <c r="K7" s="15" t="e">
        <f>VLOOKUP(G7,到货!A:M,12,0)</f>
        <v>#N/A</v>
      </c>
    </row>
    <row r="8" spans="1:13" ht="27" customHeight="1" x14ac:dyDescent="0.15">
      <c r="C8" s="15" t="e">
        <f>VLOOKUP(G8,到货!A:M,3,0)</f>
        <v>#N/A</v>
      </c>
      <c r="D8" s="26" t="e">
        <f>VLOOKUP(G8,到货!A:M,4,0)</f>
        <v>#N/A</v>
      </c>
      <c r="E8" s="15" t="e">
        <f>VLOOKUP(G8,到货!A:M,5,0)</f>
        <v>#N/A</v>
      </c>
      <c r="F8" s="28" t="e">
        <f>IF(VLOOKUP(G8,到货!A:M,5,0)&lt;&gt;E8,"",VLOOKUP(G8,到货!A:M,6,0)&amp;"")</f>
        <v>#N/A</v>
      </c>
      <c r="H8" s="15" t="e">
        <f>VLOOKUP(G8,到货!A:M,7,0)&amp;""</f>
        <v>#N/A</v>
      </c>
      <c r="I8" s="15" t="e">
        <f>VLOOKUP(G8,到货!A:M,13,0)</f>
        <v>#N/A</v>
      </c>
      <c r="J8" s="15" t="e">
        <f>VLOOKUP(G8,到货!A:M,8,0)</f>
        <v>#N/A</v>
      </c>
      <c r="K8" s="15" t="e">
        <f>VLOOKUP(G8,到货!A:M,12,0)</f>
        <v>#N/A</v>
      </c>
    </row>
    <row r="9" spans="1:13" ht="27" customHeight="1" x14ac:dyDescent="0.15">
      <c r="C9" s="15" t="e">
        <f>VLOOKUP(G9,到货!A:M,3,0)</f>
        <v>#N/A</v>
      </c>
      <c r="D9" s="26" t="e">
        <f>VLOOKUP(G9,到货!A:M,4,0)</f>
        <v>#N/A</v>
      </c>
      <c r="E9" s="15" t="e">
        <f>VLOOKUP(G9,到货!A:M,5,0)</f>
        <v>#N/A</v>
      </c>
      <c r="F9" s="28" t="e">
        <f>IF(VLOOKUP(G9,到货!A:M,5,0)&lt;&gt;E9,"",VLOOKUP(G9,到货!A:M,6,0)&amp;"")</f>
        <v>#N/A</v>
      </c>
      <c r="H9" s="15" t="e">
        <f>VLOOKUP(G9,到货!A:M,7,0)&amp;""</f>
        <v>#N/A</v>
      </c>
      <c r="I9" s="15" t="e">
        <f>VLOOKUP(G9,到货!A:M,13,0)</f>
        <v>#N/A</v>
      </c>
      <c r="J9" s="15" t="e">
        <f>VLOOKUP(G9,到货!A:M,8,0)</f>
        <v>#N/A</v>
      </c>
      <c r="K9" s="15" t="e">
        <f>VLOOKUP(G9,到货!A:M,12,0)</f>
        <v>#N/A</v>
      </c>
    </row>
    <row r="10" spans="1:13" ht="27" customHeight="1" x14ac:dyDescent="0.15">
      <c r="C10" s="15" t="e">
        <f>VLOOKUP(G10,到货!A:M,3,0)</f>
        <v>#N/A</v>
      </c>
      <c r="D10" s="26" t="e">
        <f>VLOOKUP(G10,到货!A:M,4,0)</f>
        <v>#N/A</v>
      </c>
      <c r="E10" s="15" t="e">
        <f>VLOOKUP(G10,到货!A:M,5,0)</f>
        <v>#N/A</v>
      </c>
      <c r="F10" s="28" t="e">
        <f>IF(VLOOKUP(G10,到货!A:M,5,0)&lt;&gt;E10,"",VLOOKUP(G10,到货!A:M,6,0)&amp;"")</f>
        <v>#N/A</v>
      </c>
      <c r="H10" s="15" t="e">
        <f>VLOOKUP(G10,到货!A:M,7,0)&amp;""</f>
        <v>#N/A</v>
      </c>
      <c r="I10" s="15" t="e">
        <f>VLOOKUP(G10,到货!A:M,13,0)</f>
        <v>#N/A</v>
      </c>
      <c r="J10" s="15" t="e">
        <f>VLOOKUP(G10,到货!A:M,8,0)</f>
        <v>#N/A</v>
      </c>
      <c r="K10" s="15" t="e">
        <f>VLOOKUP(G10,到货!A:M,12,0)</f>
        <v>#N/A</v>
      </c>
    </row>
    <row r="11" spans="1:13" ht="27" customHeight="1" x14ac:dyDescent="0.15">
      <c r="C11" s="15" t="e">
        <f>VLOOKUP(G11,到货!A:M,3,0)</f>
        <v>#N/A</v>
      </c>
      <c r="D11" s="26" t="e">
        <f>VLOOKUP(G11,到货!A:M,4,0)</f>
        <v>#N/A</v>
      </c>
      <c r="E11" s="15" t="e">
        <f>VLOOKUP(G11,到货!A:M,5,0)</f>
        <v>#N/A</v>
      </c>
      <c r="F11" s="28" t="e">
        <f>IF(VLOOKUP(G11,到货!A:M,5,0)&lt;&gt;E11,"",VLOOKUP(G11,到货!A:M,6,0)&amp;"")</f>
        <v>#N/A</v>
      </c>
      <c r="H11" s="15" t="e">
        <f>VLOOKUP(G11,到货!A:M,7,0)&amp;""</f>
        <v>#N/A</v>
      </c>
      <c r="I11" s="15" t="e">
        <f>VLOOKUP(G11,到货!A:M,13,0)</f>
        <v>#N/A</v>
      </c>
      <c r="J11" s="15" t="e">
        <f>VLOOKUP(G11,到货!A:M,8,0)</f>
        <v>#N/A</v>
      </c>
      <c r="K11" s="15" t="e">
        <f>VLOOKUP(G11,到货!A:M,12,0)</f>
        <v>#N/A</v>
      </c>
    </row>
    <row r="12" spans="1:13" ht="27" customHeight="1" x14ac:dyDescent="0.15">
      <c r="C12" s="15" t="e">
        <f>VLOOKUP(G12,到货!A:M,3,0)</f>
        <v>#N/A</v>
      </c>
      <c r="D12" s="26" t="e">
        <f>VLOOKUP(G12,到货!A:M,4,0)</f>
        <v>#N/A</v>
      </c>
      <c r="E12" s="15" t="e">
        <f>VLOOKUP(G12,到货!A:M,5,0)</f>
        <v>#N/A</v>
      </c>
      <c r="F12" s="28" t="e">
        <f>IF(VLOOKUP(G12,到货!A:M,5,0)&lt;&gt;E12,"",VLOOKUP(G12,到货!A:M,6,0)&amp;"")</f>
        <v>#N/A</v>
      </c>
      <c r="H12" s="15" t="e">
        <f>VLOOKUP(G12,到货!A:M,7,0)&amp;""</f>
        <v>#N/A</v>
      </c>
      <c r="I12" s="15" t="e">
        <f>VLOOKUP(G12,到货!A:M,13,0)</f>
        <v>#N/A</v>
      </c>
      <c r="J12" s="15" t="e">
        <f>VLOOKUP(G12,到货!A:M,8,0)</f>
        <v>#N/A</v>
      </c>
      <c r="K12" s="15" t="e">
        <f>VLOOKUP(G12,到货!A:M,12,0)</f>
        <v>#N/A</v>
      </c>
    </row>
    <row r="13" spans="1:13" ht="27" customHeight="1" x14ac:dyDescent="0.15">
      <c r="C13" s="15" t="e">
        <f>VLOOKUP(G13,到货!A:M,3,0)</f>
        <v>#N/A</v>
      </c>
      <c r="D13" s="26" t="e">
        <f>VLOOKUP(G13,到货!A:M,4,0)</f>
        <v>#N/A</v>
      </c>
      <c r="E13" s="15" t="e">
        <f>VLOOKUP(G13,到货!A:M,5,0)</f>
        <v>#N/A</v>
      </c>
      <c r="F13" s="28" t="e">
        <f>IF(VLOOKUP(G13,到货!A:M,5,0)&lt;&gt;E13,"",VLOOKUP(G13,到货!A:M,6,0)&amp;"")</f>
        <v>#N/A</v>
      </c>
      <c r="H13" s="15" t="e">
        <f>VLOOKUP(G13,到货!A:M,7,0)&amp;""</f>
        <v>#N/A</v>
      </c>
      <c r="I13" s="15" t="e">
        <f>VLOOKUP(G13,到货!A:M,13,0)</f>
        <v>#N/A</v>
      </c>
      <c r="J13" s="15" t="e">
        <f>VLOOKUP(G13,到货!A:M,8,0)</f>
        <v>#N/A</v>
      </c>
      <c r="K13" s="15" t="e">
        <f>VLOOKUP(G13,到货!A:M,12,0)</f>
        <v>#N/A</v>
      </c>
    </row>
    <row r="14" spans="1:13" ht="27" customHeight="1" x14ac:dyDescent="0.15">
      <c r="C14" s="15" t="e">
        <f>VLOOKUP(G14,到货!A:M,3,0)</f>
        <v>#N/A</v>
      </c>
      <c r="D14" s="26" t="e">
        <f>VLOOKUP(G14,到货!A:M,4,0)</f>
        <v>#N/A</v>
      </c>
      <c r="E14" s="15" t="e">
        <f>VLOOKUP(G14,到货!A:M,5,0)</f>
        <v>#N/A</v>
      </c>
      <c r="F14" s="28" t="e">
        <f>IF(VLOOKUP(G14,到货!A:M,5,0)&lt;&gt;E14,"",VLOOKUP(G14,到货!A:M,6,0)&amp;"")</f>
        <v>#N/A</v>
      </c>
      <c r="H14" s="15" t="e">
        <f>VLOOKUP(G14,到货!A:M,7,0)&amp;""</f>
        <v>#N/A</v>
      </c>
      <c r="I14" s="15" t="e">
        <f>VLOOKUP(G14,到货!A:M,13,0)</f>
        <v>#N/A</v>
      </c>
      <c r="J14" s="15" t="e">
        <f>VLOOKUP(G14,到货!A:M,8,0)</f>
        <v>#N/A</v>
      </c>
      <c r="K14" s="15" t="e">
        <f>VLOOKUP(G14,到货!A:M,12,0)</f>
        <v>#N/A</v>
      </c>
    </row>
    <row r="15" spans="1:13" ht="27" customHeight="1" x14ac:dyDescent="0.15">
      <c r="C15" s="15" t="e">
        <f>VLOOKUP(G15,到货!A:M,3,0)</f>
        <v>#N/A</v>
      </c>
      <c r="D15" s="26" t="e">
        <f>VLOOKUP(G15,到货!A:M,4,0)</f>
        <v>#N/A</v>
      </c>
      <c r="E15" s="15" t="e">
        <f>VLOOKUP(G15,到货!A:M,5,0)</f>
        <v>#N/A</v>
      </c>
      <c r="F15" s="28" t="e">
        <f>IF(VLOOKUP(G15,到货!A:M,5,0)&lt;&gt;E15,"",VLOOKUP(G15,到货!A:M,6,0)&amp;"")</f>
        <v>#N/A</v>
      </c>
      <c r="H15" s="15" t="e">
        <f>VLOOKUP(G15,到货!A:M,7,0)&amp;""</f>
        <v>#N/A</v>
      </c>
      <c r="I15" s="15" t="e">
        <f>VLOOKUP(G15,到货!A:M,13,0)</f>
        <v>#N/A</v>
      </c>
      <c r="J15" s="15" t="e">
        <f>VLOOKUP(G15,到货!A:M,8,0)</f>
        <v>#N/A</v>
      </c>
      <c r="K15" s="15" t="e">
        <f>VLOOKUP(G15,到货!A:M,12,0)</f>
        <v>#N/A</v>
      </c>
    </row>
    <row r="16" spans="1:13" ht="27" customHeight="1" x14ac:dyDescent="0.15">
      <c r="C16" s="15" t="e">
        <f>VLOOKUP(G16,到货!A:M,3,0)</f>
        <v>#N/A</v>
      </c>
      <c r="D16" s="26" t="e">
        <f>VLOOKUP(G16,到货!A:M,4,0)</f>
        <v>#N/A</v>
      </c>
      <c r="E16" s="15" t="e">
        <f>VLOOKUP(G16,到货!A:M,5,0)</f>
        <v>#N/A</v>
      </c>
      <c r="F16" s="28" t="e">
        <f>IF(VLOOKUP(G16,到货!A:M,5,0)&lt;&gt;E16,"",VLOOKUP(G16,到货!A:M,6,0)&amp;"")</f>
        <v>#N/A</v>
      </c>
      <c r="H16" s="15" t="e">
        <f>VLOOKUP(G16,到货!A:M,7,0)&amp;""</f>
        <v>#N/A</v>
      </c>
      <c r="I16" s="15" t="e">
        <f>VLOOKUP(G16,到货!A:M,13,0)</f>
        <v>#N/A</v>
      </c>
      <c r="J16" s="15" t="e">
        <f>VLOOKUP(G16,到货!A:M,8,0)</f>
        <v>#N/A</v>
      </c>
      <c r="K16" s="15" t="e">
        <f>VLOOKUP(G16,到货!A:M,12,0)</f>
        <v>#N/A</v>
      </c>
    </row>
    <row r="17" spans="3:11" ht="27" customHeight="1" x14ac:dyDescent="0.15">
      <c r="C17" s="15" t="e">
        <f>VLOOKUP(G17,到货!A:M,3,0)</f>
        <v>#N/A</v>
      </c>
      <c r="D17" s="26" t="e">
        <f>VLOOKUP(G17,到货!A:M,4,0)</f>
        <v>#N/A</v>
      </c>
      <c r="E17" s="15" t="e">
        <f>VLOOKUP(G17,到货!A:M,5,0)</f>
        <v>#N/A</v>
      </c>
      <c r="F17" s="28" t="e">
        <f>IF(VLOOKUP(G17,到货!A:M,5,0)&lt;&gt;E17,"",VLOOKUP(G17,到货!A:M,6,0)&amp;"")</f>
        <v>#N/A</v>
      </c>
      <c r="H17" s="15" t="e">
        <f>VLOOKUP(G17,到货!A:M,7,0)&amp;""</f>
        <v>#N/A</v>
      </c>
      <c r="I17" s="15" t="e">
        <f>VLOOKUP(G17,到货!A:M,13,0)</f>
        <v>#N/A</v>
      </c>
      <c r="J17" s="15" t="e">
        <f>VLOOKUP(G17,到货!A:M,8,0)</f>
        <v>#N/A</v>
      </c>
      <c r="K17" s="15" t="e">
        <f>VLOOKUP(G17,到货!A:M,12,0)</f>
        <v>#N/A</v>
      </c>
    </row>
    <row r="18" spans="3:11" ht="27" customHeight="1" x14ac:dyDescent="0.15">
      <c r="C18" s="15" t="e">
        <f>VLOOKUP(G18,到货!A:M,3,0)</f>
        <v>#N/A</v>
      </c>
      <c r="D18" s="26" t="e">
        <f>VLOOKUP(G18,到货!A:M,4,0)</f>
        <v>#N/A</v>
      </c>
      <c r="E18" s="15" t="e">
        <f>VLOOKUP(G18,到货!A:M,5,0)</f>
        <v>#N/A</v>
      </c>
      <c r="F18" s="28" t="e">
        <f>IF(VLOOKUP(G18,到货!A:M,5,0)&lt;&gt;E18,"",VLOOKUP(G18,到货!A:M,6,0)&amp;"")</f>
        <v>#N/A</v>
      </c>
      <c r="H18" s="15" t="e">
        <f>VLOOKUP(G18,到货!A:M,7,0)&amp;""</f>
        <v>#N/A</v>
      </c>
      <c r="I18" s="15" t="e">
        <f>VLOOKUP(G18,到货!A:M,13,0)</f>
        <v>#N/A</v>
      </c>
      <c r="J18" s="15" t="e">
        <f>VLOOKUP(G18,到货!A:M,8,0)</f>
        <v>#N/A</v>
      </c>
      <c r="K18" s="15" t="e">
        <f>VLOOKUP(G18,到货!A:M,12,0)</f>
        <v>#N/A</v>
      </c>
    </row>
    <row r="19" spans="3:11" ht="27" customHeight="1" x14ac:dyDescent="0.15">
      <c r="C19" s="15" t="e">
        <f>VLOOKUP(G19,到货!A:M,3,0)</f>
        <v>#N/A</v>
      </c>
      <c r="D19" s="26" t="e">
        <f>VLOOKUP(G19,到货!A:M,4,0)</f>
        <v>#N/A</v>
      </c>
      <c r="E19" s="15" t="e">
        <f>VLOOKUP(G19,到货!A:M,5,0)</f>
        <v>#N/A</v>
      </c>
      <c r="F19" s="28" t="e">
        <f>IF(VLOOKUP(G19,到货!A:M,5,0)&lt;&gt;E19,"",VLOOKUP(G19,到货!A:M,6,0)&amp;"")</f>
        <v>#N/A</v>
      </c>
      <c r="H19" s="15" t="e">
        <f>VLOOKUP(G19,到货!A:M,7,0)&amp;""</f>
        <v>#N/A</v>
      </c>
      <c r="I19" s="15" t="e">
        <f>VLOOKUP(G19,到货!A:M,13,0)</f>
        <v>#N/A</v>
      </c>
      <c r="J19" s="15" t="e">
        <f>VLOOKUP(G19,到货!A:M,8,0)</f>
        <v>#N/A</v>
      </c>
      <c r="K19" s="15" t="e">
        <f>VLOOKUP(G19,到货!A:M,12,0)</f>
        <v>#N/A</v>
      </c>
    </row>
    <row r="20" spans="3:11" ht="27" customHeight="1" x14ac:dyDescent="0.15">
      <c r="C20" s="15" t="e">
        <f>VLOOKUP(G20,到货!A:M,3,0)</f>
        <v>#N/A</v>
      </c>
      <c r="D20" s="26" t="e">
        <f>VLOOKUP(G20,到货!A:M,4,0)</f>
        <v>#N/A</v>
      </c>
      <c r="E20" s="15" t="e">
        <f>VLOOKUP(G20,到货!A:M,5,0)</f>
        <v>#N/A</v>
      </c>
      <c r="F20" s="28" t="e">
        <f>IF(VLOOKUP(G20,到货!A:M,5,0)&lt;&gt;E20,"",VLOOKUP(G20,到货!A:M,6,0)&amp;"")</f>
        <v>#N/A</v>
      </c>
      <c r="H20" s="15" t="e">
        <f>VLOOKUP(G20,到货!A:M,7,0)&amp;""</f>
        <v>#N/A</v>
      </c>
      <c r="I20" s="15" t="e">
        <f>VLOOKUP(G20,到货!A:M,13,0)</f>
        <v>#N/A</v>
      </c>
      <c r="J20" s="15" t="e">
        <f>VLOOKUP(G20,到货!A:M,8,0)</f>
        <v>#N/A</v>
      </c>
      <c r="K20" s="15" t="e">
        <f>VLOOKUP(G20,到货!A:M,12,0)</f>
        <v>#N/A</v>
      </c>
    </row>
    <row r="21" spans="3:11" ht="27" customHeight="1" x14ac:dyDescent="0.15">
      <c r="C21" s="15" t="e">
        <f>VLOOKUP(G21,到货!A:M,3,0)</f>
        <v>#N/A</v>
      </c>
      <c r="D21" s="26" t="e">
        <f>VLOOKUP(G21,到货!A:M,4,0)</f>
        <v>#N/A</v>
      </c>
      <c r="E21" s="15" t="e">
        <f>VLOOKUP(G21,到货!A:M,5,0)</f>
        <v>#N/A</v>
      </c>
      <c r="F21" s="28" t="e">
        <f>IF(VLOOKUP(G21,到货!A:M,5,0)&lt;&gt;E21,"",VLOOKUP(G21,到货!A:M,6,0)&amp;"")</f>
        <v>#N/A</v>
      </c>
      <c r="H21" s="15" t="e">
        <f>VLOOKUP(G21,到货!A:M,7,0)&amp;""</f>
        <v>#N/A</v>
      </c>
      <c r="I21" s="15" t="e">
        <f>VLOOKUP(G21,到货!A:M,13,0)</f>
        <v>#N/A</v>
      </c>
      <c r="J21" s="15" t="e">
        <f>VLOOKUP(G21,到货!A:M,8,0)</f>
        <v>#N/A</v>
      </c>
      <c r="K21" s="15" t="e">
        <f>VLOOKUP(G21,到货!A:M,12,0)</f>
        <v>#N/A</v>
      </c>
    </row>
  </sheetData>
  <phoneticPr fontId="1" type="noConversion"/>
  <conditionalFormatting sqref="A1:M1048576">
    <cfRule type="expression" dxfId="9" priority="1">
      <formula>$E1&lt;0</formula>
    </cfRule>
  </conditionalFormatting>
  <pageMargins left="0.23622047244094491" right="0.23622047244094491" top="0.35433070866141736" bottom="0.55118110236220474" header="0.31496062992125984" footer="0.31496062992125984"/>
  <pageSetup paperSize="9" scale="79" fitToHeight="0" orientation="landscape" horizontalDpi="180" verticalDpi="180" r:id="rId1"/>
  <headerFooter scaleWithDoc="0">
    <oddFooter>&amp;C&amp;D，第 &amp;P 页，共 &amp;N 页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20"/>
  <sheetViews>
    <sheetView tabSelected="1" workbookViewId="0">
      <pane xSplit="7" ySplit="2" topLeftCell="J3" activePane="bottomRight" state="frozen"/>
      <selection pane="topRight" activeCell="H1" sqref="H1"/>
      <selection pane="bottomLeft" activeCell="A3" sqref="A3"/>
      <selection pane="bottomRight" activeCell="J9" sqref="J9"/>
    </sheetView>
  </sheetViews>
  <sheetFormatPr defaultRowHeight="27" customHeight="1" x14ac:dyDescent="0.15"/>
  <cols>
    <col min="1" max="1" width="15.5" style="15" customWidth="1"/>
    <col min="2" max="2" width="11.75" style="16" customWidth="1"/>
    <col min="3" max="3" width="10.875" style="15" customWidth="1"/>
    <col min="4" max="4" width="11.875" style="15" customWidth="1"/>
    <col min="5" max="5" width="10" style="15" customWidth="1"/>
    <col min="6" max="6" width="18.375" style="18" customWidth="1"/>
    <col min="7" max="7" width="10" style="15" customWidth="1"/>
    <col min="8" max="8" width="11" style="17" customWidth="1"/>
    <col min="9" max="9" width="9.625" style="15" customWidth="1"/>
    <col min="10" max="10" width="11.5" style="16" customWidth="1"/>
    <col min="11" max="11" width="8.125" style="15" customWidth="1"/>
    <col min="12" max="12" width="13.75" style="15" customWidth="1"/>
    <col min="13" max="13" width="9.875" style="15" customWidth="1"/>
    <col min="14" max="14" width="11.75" style="15" customWidth="1"/>
    <col min="15" max="17" width="11.5" style="15" customWidth="1"/>
    <col min="18" max="21" width="10.25" style="15" customWidth="1"/>
    <col min="22" max="22" width="9" style="18"/>
    <col min="23" max="16384" width="9" style="8"/>
  </cols>
  <sheetData>
    <row r="1" spans="1:22" s="23" customFormat="1" ht="35.1" customHeight="1" x14ac:dyDescent="0.15">
      <c r="A1" s="19"/>
      <c r="B1" s="20" t="s">
        <v>192</v>
      </c>
      <c r="C1" s="19"/>
      <c r="D1" s="19"/>
      <c r="E1" s="19"/>
      <c r="G1" s="19"/>
      <c r="H1" s="21"/>
      <c r="I1" s="19"/>
      <c r="J1" s="22"/>
      <c r="K1" s="19"/>
      <c r="L1" s="19"/>
      <c r="M1" s="19"/>
      <c r="N1" s="19"/>
      <c r="O1" s="19"/>
      <c r="P1" s="29" t="s">
        <v>212</v>
      </c>
      <c r="Q1" s="19"/>
      <c r="R1" s="19"/>
      <c r="S1" s="19"/>
      <c r="T1" s="19"/>
      <c r="U1" s="19"/>
    </row>
    <row r="2" spans="1:22" s="4" customFormat="1" ht="27" customHeight="1" x14ac:dyDescent="0.15">
      <c r="A2" s="5" t="s">
        <v>37</v>
      </c>
      <c r="B2" s="14" t="s">
        <v>20</v>
      </c>
      <c r="C2" s="5" t="s">
        <v>22</v>
      </c>
      <c r="D2" s="5" t="s">
        <v>14</v>
      </c>
      <c r="E2" s="5" t="s">
        <v>15</v>
      </c>
      <c r="F2" s="5" t="s">
        <v>16</v>
      </c>
      <c r="G2" s="5" t="s">
        <v>17</v>
      </c>
      <c r="H2" s="30" t="s">
        <v>18</v>
      </c>
      <c r="I2" s="5" t="s">
        <v>21</v>
      </c>
      <c r="J2" s="14" t="s">
        <v>132</v>
      </c>
      <c r="K2" s="5" t="s">
        <v>23</v>
      </c>
      <c r="L2" s="5" t="s">
        <v>147</v>
      </c>
      <c r="M2" s="5" t="s">
        <v>146</v>
      </c>
      <c r="N2" s="5" t="s">
        <v>24</v>
      </c>
      <c r="O2" s="5" t="s">
        <v>203</v>
      </c>
      <c r="P2" s="5" t="s">
        <v>202</v>
      </c>
      <c r="Q2" s="5" t="s">
        <v>204</v>
      </c>
      <c r="R2" s="5" t="s">
        <v>198</v>
      </c>
      <c r="S2" s="5" t="s">
        <v>230</v>
      </c>
      <c r="T2" s="5" t="s">
        <v>231</v>
      </c>
      <c r="U2" s="5" t="s">
        <v>86</v>
      </c>
      <c r="V2" s="5" t="s">
        <v>9</v>
      </c>
    </row>
    <row r="3" spans="1:22" ht="27" customHeight="1" x14ac:dyDescent="0.15">
      <c r="A3" s="15" t="s">
        <v>281</v>
      </c>
      <c r="B3" s="16">
        <v>44453</v>
      </c>
      <c r="C3" s="15" t="s">
        <v>213</v>
      </c>
      <c r="D3" s="15" t="s">
        <v>148</v>
      </c>
      <c r="E3" s="15" t="s">
        <v>129</v>
      </c>
      <c r="F3" s="18" t="s">
        <v>191</v>
      </c>
      <c r="G3" s="15">
        <v>1000</v>
      </c>
      <c r="H3" s="17" t="s">
        <v>130</v>
      </c>
      <c r="I3" s="15" t="s">
        <v>205</v>
      </c>
      <c r="J3" s="16">
        <v>44505</v>
      </c>
      <c r="K3" s="15">
        <v>102</v>
      </c>
      <c r="L3" s="15" t="str">
        <f>VLOOKUP(M3,库存表!A:C,COLUMN(库存表!C2)-COLUMN(库存表!A2)+1,0)</f>
        <v>3号洁面乳</v>
      </c>
      <c r="M3" s="15" t="s">
        <v>292</v>
      </c>
      <c r="N3" s="15" t="s">
        <v>288</v>
      </c>
      <c r="O3" s="15">
        <f ca="1">MIN(OFFSET(物料清单!$K$1,MATCH(N3,物料清单!A:A,0)-1,0,COUNTIF(物料清单!A:A,N3)-1))</f>
        <v>-520</v>
      </c>
      <c r="P3" s="15">
        <f>INT(SUMIF(库存表!A:A,M3,库存表!G:G)*1000/K3)</f>
        <v>5179</v>
      </c>
      <c r="Q3" s="15">
        <f ca="1">MIN(OFFSET(物料清单!$K$1,MATCH(M3,物料清单!A:A,0)-1,0,COUNTIF(物料清单!A:A,M3)))</f>
        <v>3</v>
      </c>
      <c r="R3" s="15">
        <v>1000</v>
      </c>
      <c r="S3" s="15">
        <f>SUMIF(成品进仓!A:A,A3,成品进仓!G:G)</f>
        <v>1012</v>
      </c>
      <c r="T3" s="15">
        <f>SUMIF(销售出库!K:K,A3,销售出库!G:G)</f>
        <v>957</v>
      </c>
      <c r="U3" s="15" t="str">
        <f>IF(T3&gt;G3*0.95,"已完结","跟进中")</f>
        <v>已完结</v>
      </c>
    </row>
    <row r="4" spans="1:22" ht="27" customHeight="1" x14ac:dyDescent="0.15">
      <c r="A4" s="15" t="s">
        <v>304</v>
      </c>
      <c r="B4" s="16">
        <v>44454</v>
      </c>
      <c r="C4" s="15" t="s">
        <v>213</v>
      </c>
      <c r="D4" s="15" t="s">
        <v>148</v>
      </c>
      <c r="E4" s="15" t="s">
        <v>129</v>
      </c>
      <c r="F4" s="18" t="s">
        <v>191</v>
      </c>
      <c r="G4" s="15">
        <v>1000</v>
      </c>
      <c r="I4" s="15" t="s">
        <v>205</v>
      </c>
      <c r="J4" s="16">
        <v>44506</v>
      </c>
      <c r="K4" s="15">
        <v>102</v>
      </c>
      <c r="L4" s="15" t="str">
        <f>VLOOKUP(M4,库存表!A:C,COLUMN(库存表!C3)-COLUMN(库存表!A3)+1,0)</f>
        <v>3号洁面乳</v>
      </c>
      <c r="M4" s="15" t="s">
        <v>292</v>
      </c>
      <c r="N4" s="15" t="s">
        <v>288</v>
      </c>
      <c r="O4" s="15">
        <f ca="1">MIN(OFFSET(物料清单!$K$1,MATCH(N4,物料清单!A:A,0)-1,0,COUNTIF(物料清单!A:A,N4)-1))</f>
        <v>-520</v>
      </c>
      <c r="P4" s="15">
        <f>INT(SUMIF(库存表!A:A,M4,库存表!G:G)*1000/K4)</f>
        <v>5179</v>
      </c>
      <c r="Q4" s="15">
        <f ca="1">MIN(OFFSET(物料清单!$K$1,MATCH(M4,物料清单!A:A,0)-1,0,COUNTIF(物料清单!A:A,M4)))</f>
        <v>3</v>
      </c>
      <c r="S4" s="15">
        <f>SUMIF(成品进仓!A:A,A4,成品进仓!G:G)</f>
        <v>0</v>
      </c>
      <c r="T4" s="15">
        <f>SUMIF(销售出库!K:K,A4,销售出库!G:G)</f>
        <v>0</v>
      </c>
      <c r="U4" s="15" t="str">
        <f t="shared" ref="U4:U20" si="0">IF(T4&gt;G4*0.95,"已完结","跟进中")</f>
        <v>跟进中</v>
      </c>
    </row>
    <row r="5" spans="1:22" ht="27" customHeight="1" x14ac:dyDescent="0.15">
      <c r="A5" s="15" t="s">
        <v>305</v>
      </c>
      <c r="B5" s="16">
        <v>44455</v>
      </c>
      <c r="C5" s="15" t="s">
        <v>213</v>
      </c>
      <c r="D5" s="15" t="s">
        <v>148</v>
      </c>
      <c r="E5" s="15" t="s">
        <v>129</v>
      </c>
      <c r="F5" s="18" t="s">
        <v>191</v>
      </c>
      <c r="G5" s="15">
        <v>1000</v>
      </c>
      <c r="I5" s="15" t="s">
        <v>205</v>
      </c>
      <c r="J5" s="16">
        <v>44507</v>
      </c>
      <c r="K5" s="15">
        <v>102</v>
      </c>
      <c r="L5" s="15" t="str">
        <f>VLOOKUP(M5,库存表!A:C,COLUMN(库存表!C4)-COLUMN(库存表!A4)+1,0)</f>
        <v>3号洁面乳</v>
      </c>
      <c r="M5" s="15" t="s">
        <v>292</v>
      </c>
      <c r="N5" s="15" t="s">
        <v>288</v>
      </c>
      <c r="O5" s="15">
        <f ca="1">MIN(OFFSET(物料清单!$K$1,MATCH(N5,物料清单!A:A,0)-1,0,COUNTIF(物料清单!A:A,N5)-1))</f>
        <v>-520</v>
      </c>
      <c r="P5" s="15">
        <f>INT(SUMIF(库存表!A:A,M5,库存表!G:G)*1000/K5)</f>
        <v>5179</v>
      </c>
      <c r="Q5" s="15">
        <f ca="1">MIN(OFFSET(物料清单!$K$1,MATCH(M5,物料清单!A:A,0)-1,0,COUNTIF(物料清单!A:A,M5)))</f>
        <v>3</v>
      </c>
      <c r="S5" s="15">
        <f>SUMIF(成品进仓!A:A,A5,成品进仓!G:G)</f>
        <v>0</v>
      </c>
      <c r="T5" s="15">
        <f>SUMIF(销售出库!K:K,A5,销售出库!G:G)</f>
        <v>0</v>
      </c>
      <c r="U5" s="15" t="str">
        <f t="shared" si="0"/>
        <v>跟进中</v>
      </c>
    </row>
    <row r="6" spans="1:22" ht="27" customHeight="1" x14ac:dyDescent="0.15">
      <c r="L6" s="15" t="e">
        <f>VLOOKUP(M6,库存表!A:C,COLUMN(库存表!C5)-COLUMN(库存表!A5)+1,0)</f>
        <v>#N/A</v>
      </c>
      <c r="O6" s="15" t="e">
        <f ca="1">MIN(OFFSET(物料清单!$K$1,MATCH(N6,物料清单!A:A,0)-1,0,COUNTIF(物料清单!A:A,N6)-1))</f>
        <v>#N/A</v>
      </c>
      <c r="P6" s="15" t="e">
        <f>INT(SUMIF(库存表!A:A,M6,库存表!G:G)*1000/K6)</f>
        <v>#DIV/0!</v>
      </c>
      <c r="Q6" s="15" t="e">
        <f ca="1">MIN(OFFSET(物料清单!$K$1,MATCH(M6,物料清单!A:A,0)-1,0,COUNTIF(物料清单!A:A,M6)))</f>
        <v>#N/A</v>
      </c>
      <c r="S6" s="15">
        <f>SUMIF(成品进仓!A:A,A6,成品进仓!G:G)</f>
        <v>0</v>
      </c>
      <c r="T6" s="15">
        <f>SUMIF(销售出库!K:K,A6,销售出库!G:G)</f>
        <v>0</v>
      </c>
      <c r="U6" s="15" t="str">
        <f t="shared" si="0"/>
        <v>跟进中</v>
      </c>
    </row>
    <row r="7" spans="1:22" ht="27" customHeight="1" x14ac:dyDescent="0.15">
      <c r="L7" s="15" t="e">
        <f>VLOOKUP(M7,库存表!A:C,COLUMN(库存表!C6)-COLUMN(库存表!A6)+1,0)</f>
        <v>#N/A</v>
      </c>
      <c r="O7" s="15" t="e">
        <f ca="1">MIN(OFFSET(物料清单!$K$1,MATCH(N7,物料清单!A:A,0)-1,0,COUNTIF(物料清单!A:A,N7)-1))</f>
        <v>#N/A</v>
      </c>
      <c r="P7" s="15" t="e">
        <f>INT(SUMIF(库存表!A:A,M7,库存表!G:G)*1000/K7)</f>
        <v>#DIV/0!</v>
      </c>
      <c r="Q7" s="15" t="e">
        <f ca="1">MIN(OFFSET(物料清单!$K$1,MATCH(M7,物料清单!A:A,0)-1,0,COUNTIF(物料清单!A:A,M7)))</f>
        <v>#N/A</v>
      </c>
      <c r="S7" s="15">
        <f>SUMIF(成品进仓!A:A,A7,成品进仓!G:G)</f>
        <v>0</v>
      </c>
      <c r="T7" s="15">
        <f>SUMIF(销售出库!K:K,A7,销售出库!G:G)</f>
        <v>0</v>
      </c>
      <c r="U7" s="15" t="str">
        <f t="shared" si="0"/>
        <v>跟进中</v>
      </c>
    </row>
    <row r="8" spans="1:22" ht="27" customHeight="1" x14ac:dyDescent="0.15">
      <c r="L8" s="15" t="e">
        <f>VLOOKUP(M8,库存表!A:C,COLUMN(库存表!C7)-COLUMN(库存表!A7)+1,0)</f>
        <v>#N/A</v>
      </c>
      <c r="O8" s="15" t="e">
        <f ca="1">MIN(OFFSET(物料清单!$K$1,MATCH(N8,物料清单!A:A,0)-1,0,COUNTIF(物料清单!A:A,N8)-1))</f>
        <v>#N/A</v>
      </c>
      <c r="P8" s="15" t="e">
        <f>INT(SUMIF(库存表!A:A,M8,库存表!G:G)*1000/K8)</f>
        <v>#DIV/0!</v>
      </c>
      <c r="Q8" s="15" t="e">
        <f ca="1">MIN(OFFSET(物料清单!$K$1,MATCH(M8,物料清单!A:A,0)-1,0,COUNTIF(物料清单!A:A,M8)))</f>
        <v>#N/A</v>
      </c>
      <c r="S8" s="15">
        <f>SUMIF(成品进仓!A:A,A8,成品进仓!G:G)</f>
        <v>0</v>
      </c>
      <c r="T8" s="15">
        <f>SUMIF(销售出库!K:K,A8,销售出库!G:G)</f>
        <v>0</v>
      </c>
      <c r="U8" s="15" t="str">
        <f t="shared" si="0"/>
        <v>跟进中</v>
      </c>
    </row>
    <row r="9" spans="1:22" ht="27" customHeight="1" x14ac:dyDescent="0.15">
      <c r="L9" s="15" t="e">
        <f>VLOOKUP(M9,库存表!A:C,COLUMN(库存表!C8)-COLUMN(库存表!A8)+1,0)</f>
        <v>#N/A</v>
      </c>
      <c r="O9" s="15" t="e">
        <f ca="1">MIN(OFFSET(物料清单!$K$1,MATCH(N9,物料清单!A:A,0)-1,0,COUNTIF(物料清单!A:A,N9)-1))</f>
        <v>#N/A</v>
      </c>
      <c r="P9" s="15" t="e">
        <f>INT(SUMIF(库存表!A:A,M9,库存表!G:G)*1000/K9)</f>
        <v>#DIV/0!</v>
      </c>
      <c r="Q9" s="15" t="e">
        <f ca="1">MIN(OFFSET(物料清单!$K$1,MATCH(M9,物料清单!A:A,0)-1,0,COUNTIF(物料清单!A:A,M9)))</f>
        <v>#N/A</v>
      </c>
      <c r="S9" s="15">
        <f>SUMIF(成品进仓!A:A,A9,成品进仓!G:G)</f>
        <v>0</v>
      </c>
      <c r="T9" s="15">
        <f>SUMIF(销售出库!K:K,A9,销售出库!G:G)</f>
        <v>0</v>
      </c>
      <c r="U9" s="15" t="str">
        <f t="shared" si="0"/>
        <v>跟进中</v>
      </c>
    </row>
    <row r="10" spans="1:22" ht="27" customHeight="1" x14ac:dyDescent="0.15">
      <c r="L10" s="15" t="e">
        <f>VLOOKUP(M10,库存表!A:C,COLUMN(库存表!C9)-COLUMN(库存表!A9)+1,0)</f>
        <v>#N/A</v>
      </c>
      <c r="O10" s="15" t="e">
        <f ca="1">MIN(OFFSET(物料清单!$K$1,MATCH(N10,物料清单!A:A,0)-1,0,COUNTIF(物料清单!A:A,N10)-1))</f>
        <v>#N/A</v>
      </c>
      <c r="P10" s="15" t="e">
        <f>INT(SUMIF(库存表!A:A,M10,库存表!G:G)*1000/K10)</f>
        <v>#DIV/0!</v>
      </c>
      <c r="Q10" s="15" t="e">
        <f ca="1">MIN(OFFSET(物料清单!$K$1,MATCH(M10,物料清单!A:A,0)-1,0,COUNTIF(物料清单!A:A,M10)))</f>
        <v>#N/A</v>
      </c>
      <c r="S10" s="15">
        <f>SUMIF(成品进仓!A:A,A10,成品进仓!G:G)</f>
        <v>0</v>
      </c>
      <c r="T10" s="15">
        <f>SUMIF(销售出库!K:K,A10,销售出库!G:G)</f>
        <v>0</v>
      </c>
      <c r="U10" s="15" t="str">
        <f t="shared" si="0"/>
        <v>跟进中</v>
      </c>
    </row>
    <row r="11" spans="1:22" ht="27" customHeight="1" x14ac:dyDescent="0.15">
      <c r="L11" s="15" t="e">
        <f>VLOOKUP(M11,库存表!A:C,COLUMN(库存表!C10)-COLUMN(库存表!A10)+1,0)</f>
        <v>#N/A</v>
      </c>
      <c r="O11" s="15" t="e">
        <f ca="1">MIN(OFFSET(物料清单!$K$1,MATCH(N11,物料清单!A:A,0)-1,0,COUNTIF(物料清单!A:A,N11)-1))</f>
        <v>#N/A</v>
      </c>
      <c r="P11" s="15" t="e">
        <f>INT(SUMIF(库存表!A:A,M11,库存表!G:G)*1000/K11)</f>
        <v>#DIV/0!</v>
      </c>
      <c r="Q11" s="15" t="e">
        <f ca="1">MIN(OFFSET(物料清单!$K$1,MATCH(M11,物料清单!A:A,0)-1,0,COUNTIF(物料清单!A:A,M11)))</f>
        <v>#N/A</v>
      </c>
      <c r="S11" s="15">
        <f>SUMIF(成品进仓!A:A,A11,成品进仓!G:G)</f>
        <v>0</v>
      </c>
      <c r="T11" s="15">
        <f>SUMIF(销售出库!K:K,A11,销售出库!G:G)</f>
        <v>0</v>
      </c>
      <c r="U11" s="15" t="str">
        <f t="shared" si="0"/>
        <v>跟进中</v>
      </c>
    </row>
    <row r="12" spans="1:22" ht="27" customHeight="1" x14ac:dyDescent="0.15">
      <c r="L12" s="15" t="e">
        <f>VLOOKUP(M12,库存表!A:C,COLUMN(库存表!C11)-COLUMN(库存表!A11)+1,0)</f>
        <v>#N/A</v>
      </c>
      <c r="O12" s="15" t="e">
        <f ca="1">MIN(OFFSET(物料清单!$K$1,MATCH(N12,物料清单!A:A,0)-1,0,COUNTIF(物料清单!A:A,N12)-1))</f>
        <v>#N/A</v>
      </c>
      <c r="P12" s="15" t="e">
        <f>INT(SUMIF(库存表!A:A,M12,库存表!G:G)*1000/K12)</f>
        <v>#DIV/0!</v>
      </c>
      <c r="Q12" s="15" t="e">
        <f ca="1">MIN(OFFSET(物料清单!$K$1,MATCH(M12,物料清单!A:A,0)-1,0,COUNTIF(物料清单!A:A,M12)))</f>
        <v>#N/A</v>
      </c>
      <c r="S12" s="15">
        <f>SUMIF(成品进仓!A:A,A12,成品进仓!G:G)</f>
        <v>0</v>
      </c>
      <c r="T12" s="15">
        <f>SUMIF(销售出库!K:K,A12,销售出库!G:G)</f>
        <v>0</v>
      </c>
      <c r="U12" s="15" t="str">
        <f t="shared" si="0"/>
        <v>跟进中</v>
      </c>
    </row>
    <row r="13" spans="1:22" ht="27" customHeight="1" x14ac:dyDescent="0.15">
      <c r="L13" s="15" t="e">
        <f>VLOOKUP(M13,库存表!A:C,COLUMN(库存表!C12)-COLUMN(库存表!A12)+1,0)</f>
        <v>#N/A</v>
      </c>
      <c r="O13" s="15" t="e">
        <f ca="1">MIN(OFFSET(物料清单!$K$1,MATCH(N13,物料清单!A:A,0)-1,0,COUNTIF(物料清单!A:A,N13)-1))</f>
        <v>#N/A</v>
      </c>
      <c r="P13" s="15" t="e">
        <f>INT(SUMIF(库存表!A:A,M13,库存表!G:G)*1000/K13)</f>
        <v>#DIV/0!</v>
      </c>
      <c r="Q13" s="15" t="e">
        <f ca="1">MIN(OFFSET(物料清单!$K$1,MATCH(M13,物料清单!A:A,0)-1,0,COUNTIF(物料清单!A:A,M13)))</f>
        <v>#N/A</v>
      </c>
      <c r="S13" s="15">
        <f>SUMIF(成品进仓!A:A,A13,成品进仓!G:G)</f>
        <v>0</v>
      </c>
      <c r="T13" s="15">
        <f>SUMIF(销售出库!K:K,A13,销售出库!G:G)</f>
        <v>0</v>
      </c>
      <c r="U13" s="15" t="str">
        <f t="shared" si="0"/>
        <v>跟进中</v>
      </c>
    </row>
    <row r="14" spans="1:22" ht="27" customHeight="1" x14ac:dyDescent="0.15">
      <c r="L14" s="15" t="e">
        <f>VLOOKUP(M14,库存表!A:C,COLUMN(库存表!C13)-COLUMN(库存表!A13)+1,0)</f>
        <v>#N/A</v>
      </c>
      <c r="O14" s="15" t="e">
        <f ca="1">MIN(OFFSET(物料清单!$K$1,MATCH(N14,物料清单!A:A,0)-1,0,COUNTIF(物料清单!A:A,N14)-1))</f>
        <v>#N/A</v>
      </c>
      <c r="P14" s="15" t="e">
        <f>INT(SUMIF(库存表!A:A,M14,库存表!G:G)*1000/K14)</f>
        <v>#DIV/0!</v>
      </c>
      <c r="Q14" s="15" t="e">
        <f ca="1">MIN(OFFSET(物料清单!$K$1,MATCH(M14,物料清单!A:A,0)-1,0,COUNTIF(物料清单!A:A,M14)))</f>
        <v>#N/A</v>
      </c>
      <c r="S14" s="15">
        <f>SUMIF(成品进仓!A:A,A14,成品进仓!G:G)</f>
        <v>0</v>
      </c>
      <c r="T14" s="15">
        <f>SUMIF(销售出库!K:K,A14,销售出库!G:G)</f>
        <v>0</v>
      </c>
      <c r="U14" s="15" t="str">
        <f t="shared" si="0"/>
        <v>跟进中</v>
      </c>
    </row>
    <row r="15" spans="1:22" ht="27" customHeight="1" x14ac:dyDescent="0.15">
      <c r="L15" s="15" t="e">
        <f>VLOOKUP(M15,库存表!A:C,COLUMN(库存表!C14)-COLUMN(库存表!A14)+1,0)</f>
        <v>#N/A</v>
      </c>
      <c r="O15" s="15" t="e">
        <f ca="1">MIN(OFFSET(物料清单!$K$1,MATCH(N15,物料清单!A:A,0)-1,0,COUNTIF(物料清单!A:A,N15)-1))</f>
        <v>#N/A</v>
      </c>
      <c r="P15" s="15" t="e">
        <f>INT(SUMIF(库存表!A:A,M15,库存表!G:G)*1000/K15)</f>
        <v>#DIV/0!</v>
      </c>
      <c r="Q15" s="15" t="e">
        <f ca="1">MIN(OFFSET(物料清单!$K$1,MATCH(M15,物料清单!A:A,0)-1,0,COUNTIF(物料清单!A:A,M15)))</f>
        <v>#N/A</v>
      </c>
      <c r="S15" s="15">
        <f>SUMIF(成品进仓!A:A,A15,成品进仓!G:G)</f>
        <v>0</v>
      </c>
      <c r="T15" s="15">
        <f>SUMIF(销售出库!K:K,A15,销售出库!G:G)</f>
        <v>0</v>
      </c>
      <c r="U15" s="15" t="str">
        <f t="shared" si="0"/>
        <v>跟进中</v>
      </c>
    </row>
    <row r="16" spans="1:22" ht="27" customHeight="1" x14ac:dyDescent="0.15">
      <c r="L16" s="15" t="e">
        <f>VLOOKUP(M16,库存表!A:C,COLUMN(库存表!C15)-COLUMN(库存表!A15)+1,0)</f>
        <v>#N/A</v>
      </c>
      <c r="O16" s="15" t="e">
        <f ca="1">MIN(OFFSET(物料清单!$K$1,MATCH(N16,物料清单!A:A,0)-1,0,COUNTIF(物料清单!A:A,N16)-1))</f>
        <v>#N/A</v>
      </c>
      <c r="P16" s="15" t="e">
        <f>INT(SUMIF(库存表!A:A,M16,库存表!G:G)*1000/K16)</f>
        <v>#DIV/0!</v>
      </c>
      <c r="Q16" s="15" t="e">
        <f ca="1">MIN(OFFSET(物料清单!$K$1,MATCH(M16,物料清单!A:A,0)-1,0,COUNTIF(物料清单!A:A,M16)))</f>
        <v>#N/A</v>
      </c>
      <c r="S16" s="15">
        <f>SUMIF(成品进仓!A:A,A16,成品进仓!G:G)</f>
        <v>0</v>
      </c>
      <c r="T16" s="15">
        <f>SUMIF(销售出库!K:K,A16,销售出库!G:G)</f>
        <v>0</v>
      </c>
      <c r="U16" s="15" t="str">
        <f t="shared" si="0"/>
        <v>跟进中</v>
      </c>
    </row>
    <row r="17" spans="12:21" ht="27" customHeight="1" x14ac:dyDescent="0.15">
      <c r="L17" s="15" t="e">
        <f>VLOOKUP(M17,库存表!A:C,COLUMN(库存表!C16)-COLUMN(库存表!A16)+1,0)</f>
        <v>#N/A</v>
      </c>
      <c r="O17" s="15" t="e">
        <f ca="1">MIN(OFFSET(物料清单!$K$1,MATCH(N17,物料清单!A:A,0)-1,0,COUNTIF(物料清单!A:A,N17)-1))</f>
        <v>#N/A</v>
      </c>
      <c r="P17" s="15" t="e">
        <f>INT(SUMIF(库存表!A:A,M17,库存表!G:G)*1000/K17)</f>
        <v>#DIV/0!</v>
      </c>
      <c r="Q17" s="15" t="e">
        <f ca="1">MIN(OFFSET(物料清单!$K$1,MATCH(M17,物料清单!A:A,0)-1,0,COUNTIF(物料清单!A:A,M17)))</f>
        <v>#N/A</v>
      </c>
      <c r="S17" s="15">
        <f>SUMIF(成品进仓!A:A,A17,成品进仓!G:G)</f>
        <v>0</v>
      </c>
      <c r="T17" s="15">
        <f>SUMIF(销售出库!K:K,A17,销售出库!G:G)</f>
        <v>0</v>
      </c>
      <c r="U17" s="15" t="str">
        <f t="shared" si="0"/>
        <v>跟进中</v>
      </c>
    </row>
    <row r="18" spans="12:21" ht="27" customHeight="1" x14ac:dyDescent="0.15">
      <c r="L18" s="15" t="e">
        <f>VLOOKUP(M18,库存表!A:C,COLUMN(库存表!C17)-COLUMN(库存表!A17)+1,0)</f>
        <v>#N/A</v>
      </c>
      <c r="O18" s="15" t="e">
        <f ca="1">MIN(OFFSET(物料清单!$K$1,MATCH(N18,物料清单!A:A,0)-1,0,COUNTIF(物料清单!A:A,N18)-1))</f>
        <v>#N/A</v>
      </c>
      <c r="P18" s="15" t="e">
        <f>INT(SUMIF(库存表!A:A,M18,库存表!G:G)*1000/K18)</f>
        <v>#DIV/0!</v>
      </c>
      <c r="Q18" s="15" t="e">
        <f ca="1">MIN(OFFSET(物料清单!$K$1,MATCH(M18,物料清单!A:A,0)-1,0,COUNTIF(物料清单!A:A,M18)))</f>
        <v>#N/A</v>
      </c>
      <c r="S18" s="15">
        <f>SUMIF(成品进仓!A:A,A18,成品进仓!G:G)</f>
        <v>0</v>
      </c>
      <c r="T18" s="15">
        <f>SUMIF(销售出库!K:K,A18,销售出库!G:G)</f>
        <v>0</v>
      </c>
      <c r="U18" s="15" t="str">
        <f t="shared" si="0"/>
        <v>跟进中</v>
      </c>
    </row>
    <row r="19" spans="12:21" ht="27" customHeight="1" x14ac:dyDescent="0.15">
      <c r="L19" s="15" t="e">
        <f>VLOOKUP(M19,库存表!A:C,COLUMN(库存表!C18)-COLUMN(库存表!A18)+1,0)</f>
        <v>#N/A</v>
      </c>
      <c r="O19" s="15" t="e">
        <f ca="1">MIN(OFFSET(物料清单!$K$1,MATCH(N19,物料清单!A:A,0)-1,0,COUNTIF(物料清单!A:A,N19)-1))</f>
        <v>#N/A</v>
      </c>
      <c r="P19" s="15" t="e">
        <f>INT(SUMIF(库存表!A:A,M19,库存表!G:G)*1000/K19)</f>
        <v>#DIV/0!</v>
      </c>
      <c r="Q19" s="15" t="e">
        <f ca="1">MIN(OFFSET(物料清单!$K$1,MATCH(M19,物料清单!A:A,0)-1,0,COUNTIF(物料清单!A:A,M19)))</f>
        <v>#N/A</v>
      </c>
      <c r="S19" s="15">
        <f>SUMIF(成品进仓!A:A,A19,成品进仓!G:G)</f>
        <v>0</v>
      </c>
      <c r="T19" s="15">
        <f>SUMIF(销售出库!K:K,A19,销售出库!G:G)</f>
        <v>0</v>
      </c>
      <c r="U19" s="15" t="str">
        <f t="shared" si="0"/>
        <v>跟进中</v>
      </c>
    </row>
    <row r="20" spans="12:21" ht="27" customHeight="1" x14ac:dyDescent="0.15">
      <c r="L20" s="15" t="e">
        <f>VLOOKUP(M20,库存表!A:C,COLUMN(库存表!C19)-COLUMN(库存表!A19)+1,0)</f>
        <v>#N/A</v>
      </c>
      <c r="O20" s="15" t="e">
        <f ca="1">MIN(OFFSET(物料清单!$K$1,MATCH(N20,物料清单!A:A,0)-1,0,COUNTIF(物料清单!A:A,N20)-1))</f>
        <v>#N/A</v>
      </c>
      <c r="P20" s="15" t="e">
        <f>INT(SUMIF(库存表!A:A,M20,库存表!G:G)*1000/K20)</f>
        <v>#DIV/0!</v>
      </c>
      <c r="Q20" s="15" t="e">
        <f ca="1">MIN(OFFSET(物料清单!$K$1,MATCH(M20,物料清单!A:A,0)-1,0,COUNTIF(物料清单!A:A,M20)))</f>
        <v>#N/A</v>
      </c>
      <c r="S20" s="15">
        <f>SUMIF(成品进仓!A:A,A20,成品进仓!G:G)</f>
        <v>0</v>
      </c>
      <c r="T20" s="15">
        <f>SUMIF(销售出库!K:K,A20,销售出库!G:G)</f>
        <v>0</v>
      </c>
      <c r="U20" s="15" t="str">
        <f t="shared" si="0"/>
        <v>跟进中</v>
      </c>
    </row>
  </sheetData>
  <phoneticPr fontId="1" type="noConversion"/>
  <conditionalFormatting sqref="O1:O1048576">
    <cfRule type="expression" dxfId="8" priority="2">
      <formula>AND($O1&gt;$G1*0.95,$U1="跟进中")</formula>
    </cfRule>
  </conditionalFormatting>
  <conditionalFormatting sqref="P1:P1048576">
    <cfRule type="expression" dxfId="7" priority="4">
      <formula>AND($P1&gt;$G1*0.95,$U1="跟进中")</formula>
    </cfRule>
  </conditionalFormatting>
  <conditionalFormatting sqref="Q1:Q1048576">
    <cfRule type="expression" dxfId="6" priority="3">
      <formula>AND($Q1&gt;($G1-$P1)*0.95,$U1="跟进中")</formula>
    </cfRule>
  </conditionalFormatting>
  <dataValidations count="1">
    <dataValidation type="list" allowBlank="1" showInputMessage="1" showErrorMessage="1" sqref="U3:U1048576">
      <formula1>"已完结,跟进中"</formula1>
    </dataValidation>
  </dataValidations>
  <pageMargins left="0.23622047244094491" right="0.23622047244094491" top="0.55118110236220474" bottom="0.35433070866141736" header="0.31496062992125984" footer="0.31496062992125984"/>
  <pageSetup paperSize="9" scale="57" fitToHeight="0" orientation="landscape" horizontalDpi="180" verticalDpi="180" r:id="rId1"/>
  <headerFooter scaleWithDoc="0">
    <oddFooter>&amp;C&amp;D，第 &amp;P 页，共 &amp;N 页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workbookViewId="0">
      <pane ySplit="2" topLeftCell="A3" activePane="bottomLeft" state="frozen"/>
      <selection pane="bottomLeft" activeCell="G14" sqref="G14"/>
    </sheetView>
  </sheetViews>
  <sheetFormatPr defaultRowHeight="27" customHeight="1" x14ac:dyDescent="0.15"/>
  <cols>
    <col min="1" max="1" width="16.5" style="15" customWidth="1"/>
    <col min="2" max="2" width="12" style="16" customWidth="1"/>
    <col min="3" max="3" width="14.25" style="15" customWidth="1"/>
    <col min="4" max="4" width="22.75" style="18" customWidth="1"/>
    <col min="5" max="5" width="10.25" style="15" customWidth="1"/>
    <col min="6" max="7" width="13.25" style="15" customWidth="1"/>
    <col min="8" max="9" width="10.25" style="15" customWidth="1"/>
    <col min="10" max="10" width="11.125" style="15" customWidth="1"/>
    <col min="11" max="11" width="10.25" style="18" customWidth="1"/>
    <col min="12" max="12" width="10.25" style="8" customWidth="1"/>
    <col min="13" max="16384" width="9" style="8"/>
  </cols>
  <sheetData>
    <row r="1" spans="1:11" s="23" customFormat="1" ht="35.1" customHeight="1" x14ac:dyDescent="0.15">
      <c r="A1" s="19"/>
      <c r="B1" s="20" t="s">
        <v>245</v>
      </c>
      <c r="C1" s="19"/>
      <c r="E1" s="19"/>
      <c r="F1" s="19"/>
      <c r="G1" s="19"/>
      <c r="H1" s="19"/>
      <c r="I1" s="19"/>
      <c r="J1" s="19"/>
    </row>
    <row r="2" spans="1:11" s="4" customFormat="1" ht="27" customHeight="1" x14ac:dyDescent="0.15">
      <c r="A2" s="5" t="s">
        <v>234</v>
      </c>
      <c r="B2" s="5" t="s">
        <v>107</v>
      </c>
      <c r="C2" s="5" t="s">
        <v>197</v>
      </c>
      <c r="D2" s="5" t="s">
        <v>200</v>
      </c>
      <c r="E2" s="5" t="s">
        <v>198</v>
      </c>
      <c r="F2" s="5" t="s">
        <v>232</v>
      </c>
      <c r="G2" s="5" t="s">
        <v>233</v>
      </c>
      <c r="H2" s="5" t="s">
        <v>199</v>
      </c>
      <c r="I2" s="5" t="s">
        <v>214</v>
      </c>
      <c r="J2" s="5" t="s">
        <v>244</v>
      </c>
      <c r="K2" s="5" t="s">
        <v>9</v>
      </c>
    </row>
    <row r="3" spans="1:11" ht="27" customHeight="1" x14ac:dyDescent="0.15">
      <c r="A3" s="15" t="s">
        <v>235</v>
      </c>
      <c r="B3" s="16">
        <v>44464</v>
      </c>
      <c r="C3" s="15" t="str">
        <f>VLOOKUP(F3,生产指令单!A:N,13,0)</f>
        <v>P001</v>
      </c>
      <c r="D3" s="18" t="str">
        <f>VLOOKUP(F3,生产指令单!A:N,12,0)</f>
        <v>3号洁面乳</v>
      </c>
      <c r="E3" s="15">
        <v>530</v>
      </c>
      <c r="F3" s="15" t="s">
        <v>280</v>
      </c>
      <c r="G3" s="15" t="s">
        <v>242</v>
      </c>
      <c r="H3" s="15">
        <v>529.29999999999995</v>
      </c>
      <c r="I3" s="15" t="str">
        <f>IF(H3&gt;E3*0.95,"已完结","跟进中")</f>
        <v>已完结</v>
      </c>
      <c r="J3" s="15">
        <f>H3-SUMIF(生产领料!I:I,G3,生产领料!H:H)-SUMIF(生产领料!I:I,G3,生产领料!J:J)+SUMIF(生产领料!I:I,G3,生产领料!K:K)</f>
        <v>425.79999999999995</v>
      </c>
    </row>
    <row r="4" spans="1:11" ht="27" customHeight="1" x14ac:dyDescent="0.15">
      <c r="C4" s="15" t="e">
        <f>VLOOKUP(F4,生产指令单!A:N,13,0)</f>
        <v>#N/A</v>
      </c>
      <c r="D4" s="18" t="e">
        <f>VLOOKUP(F4,生产指令单!A:N,12,0)</f>
        <v>#N/A</v>
      </c>
      <c r="I4" s="15" t="str">
        <f t="shared" ref="I4:I19" si="0">IF(H4&gt;E4*0.95,"已完结","跟进中")</f>
        <v>跟进中</v>
      </c>
      <c r="J4" s="15">
        <f>H4-SUMIF(生产领料!I:I,G4,生产领料!H:H)-SUMIF(生产领料!I:I,G4,生产领料!J:J)+SUMIF(生产领料!I:I,G4,生产领料!K:K)</f>
        <v>0</v>
      </c>
    </row>
    <row r="5" spans="1:11" ht="27" customHeight="1" x14ac:dyDescent="0.15">
      <c r="C5" s="15" t="e">
        <f>VLOOKUP(F5,生产指令单!A:N,13,0)</f>
        <v>#N/A</v>
      </c>
      <c r="D5" s="18" t="e">
        <f>VLOOKUP(F5,生产指令单!A:N,12,0)</f>
        <v>#N/A</v>
      </c>
      <c r="I5" s="15" t="str">
        <f t="shared" si="0"/>
        <v>跟进中</v>
      </c>
      <c r="J5" s="15">
        <f>H5-SUMIF(生产领料!I:I,G5,生产领料!H:H)-SUMIF(生产领料!I:I,G5,生产领料!J:J)+SUMIF(生产领料!I:I,G5,生产领料!K:K)</f>
        <v>0</v>
      </c>
    </row>
    <row r="6" spans="1:11" ht="27" customHeight="1" x14ac:dyDescent="0.15">
      <c r="C6" s="15" t="e">
        <f>VLOOKUP(F6,生产指令单!A:N,13,0)</f>
        <v>#N/A</v>
      </c>
      <c r="D6" s="18" t="e">
        <f>VLOOKUP(F6,生产指令单!A:N,12,0)</f>
        <v>#N/A</v>
      </c>
      <c r="I6" s="15" t="str">
        <f t="shared" si="0"/>
        <v>跟进中</v>
      </c>
      <c r="J6" s="15">
        <f>H6-SUMIF(生产领料!I:I,G6,生产领料!H:H)-SUMIF(生产领料!I:I,G6,生产领料!J:J)+SUMIF(生产领料!I:I,G6,生产领料!K:K)</f>
        <v>0</v>
      </c>
    </row>
    <row r="7" spans="1:11" ht="27" customHeight="1" x14ac:dyDescent="0.15">
      <c r="C7" s="15" t="e">
        <f>VLOOKUP(F7,生产指令单!A:N,13,0)</f>
        <v>#N/A</v>
      </c>
      <c r="D7" s="18" t="e">
        <f>VLOOKUP(F7,生产指令单!A:N,12,0)</f>
        <v>#N/A</v>
      </c>
      <c r="I7" s="15" t="str">
        <f t="shared" si="0"/>
        <v>跟进中</v>
      </c>
      <c r="J7" s="15">
        <f>H7-SUMIF(生产领料!I:I,G7,生产领料!H:H)-SUMIF(生产领料!I:I,G7,生产领料!J:J)+SUMIF(生产领料!I:I,G7,生产领料!K:K)</f>
        <v>0</v>
      </c>
    </row>
    <row r="8" spans="1:11" ht="27" customHeight="1" x14ac:dyDescent="0.15">
      <c r="C8" s="15" t="e">
        <f>VLOOKUP(F8,生产指令单!A:N,13,0)</f>
        <v>#N/A</v>
      </c>
      <c r="D8" s="18" t="e">
        <f>VLOOKUP(F8,生产指令单!A:N,12,0)</f>
        <v>#N/A</v>
      </c>
      <c r="I8" s="15" t="str">
        <f t="shared" si="0"/>
        <v>跟进中</v>
      </c>
      <c r="J8" s="15">
        <f>H8-SUMIF(生产领料!I:I,G8,生产领料!H:H)-SUMIF(生产领料!I:I,G8,生产领料!J:J)+SUMIF(生产领料!I:I,G8,生产领料!K:K)</f>
        <v>0</v>
      </c>
    </row>
    <row r="9" spans="1:11" ht="27" customHeight="1" x14ac:dyDescent="0.15">
      <c r="C9" s="15" t="e">
        <f>VLOOKUP(F9,生产指令单!A:N,13,0)</f>
        <v>#N/A</v>
      </c>
      <c r="D9" s="18" t="e">
        <f>VLOOKUP(F9,生产指令单!A:N,12,0)</f>
        <v>#N/A</v>
      </c>
      <c r="I9" s="15" t="str">
        <f t="shared" si="0"/>
        <v>跟进中</v>
      </c>
      <c r="J9" s="15">
        <f>H9-SUMIF(生产领料!I:I,G9,生产领料!H:H)-SUMIF(生产领料!I:I,G9,生产领料!J:J)+SUMIF(生产领料!I:I,G9,生产领料!K:K)</f>
        <v>0</v>
      </c>
    </row>
    <row r="10" spans="1:11" ht="27" customHeight="1" x14ac:dyDescent="0.15">
      <c r="C10" s="15" t="e">
        <f>VLOOKUP(F10,生产指令单!A:N,13,0)</f>
        <v>#N/A</v>
      </c>
      <c r="D10" s="18" t="e">
        <f>VLOOKUP(F10,生产指令单!A:N,12,0)</f>
        <v>#N/A</v>
      </c>
      <c r="I10" s="15" t="str">
        <f t="shared" si="0"/>
        <v>跟进中</v>
      </c>
      <c r="J10" s="15">
        <f>H10-SUMIF(生产领料!I:I,G10,生产领料!H:H)-SUMIF(生产领料!I:I,G10,生产领料!J:J)+SUMIF(生产领料!I:I,G10,生产领料!K:K)</f>
        <v>0</v>
      </c>
    </row>
    <row r="11" spans="1:11" ht="27" customHeight="1" x14ac:dyDescent="0.15">
      <c r="C11" s="15" t="e">
        <f>VLOOKUP(F11,生产指令单!A:N,13,0)</f>
        <v>#N/A</v>
      </c>
      <c r="D11" s="18" t="e">
        <f>VLOOKUP(F11,生产指令单!A:N,12,0)</f>
        <v>#N/A</v>
      </c>
      <c r="I11" s="15" t="str">
        <f t="shared" si="0"/>
        <v>跟进中</v>
      </c>
      <c r="J11" s="15">
        <f>H11-SUMIF(生产领料!I:I,G11,生产领料!H:H)-SUMIF(生产领料!I:I,G11,生产领料!J:J)+SUMIF(生产领料!I:I,G11,生产领料!K:K)</f>
        <v>0</v>
      </c>
    </row>
    <row r="12" spans="1:11" ht="27" customHeight="1" x14ac:dyDescent="0.15">
      <c r="C12" s="15" t="e">
        <f>VLOOKUP(F12,生产指令单!A:N,13,0)</f>
        <v>#N/A</v>
      </c>
      <c r="D12" s="18" t="e">
        <f>VLOOKUP(F12,生产指令单!A:N,12,0)</f>
        <v>#N/A</v>
      </c>
      <c r="I12" s="15" t="str">
        <f t="shared" si="0"/>
        <v>跟进中</v>
      </c>
      <c r="J12" s="15">
        <f>H12-SUMIF(生产领料!I:I,G12,生产领料!H:H)-SUMIF(生产领料!I:I,G12,生产领料!J:J)+SUMIF(生产领料!I:I,G12,生产领料!K:K)</f>
        <v>0</v>
      </c>
    </row>
    <row r="13" spans="1:11" ht="27" customHeight="1" x14ac:dyDescent="0.15">
      <c r="C13" s="15" t="e">
        <f>VLOOKUP(F13,生产指令单!A:N,13,0)</f>
        <v>#N/A</v>
      </c>
      <c r="D13" s="18" t="e">
        <f>VLOOKUP(F13,生产指令单!A:N,12,0)</f>
        <v>#N/A</v>
      </c>
      <c r="I13" s="15" t="str">
        <f t="shared" si="0"/>
        <v>跟进中</v>
      </c>
      <c r="J13" s="15">
        <f>H13-SUMIF(生产领料!I:I,G13,生产领料!H:H)-SUMIF(生产领料!I:I,G13,生产领料!J:J)+SUMIF(生产领料!I:I,G13,生产领料!K:K)</f>
        <v>0</v>
      </c>
    </row>
    <row r="14" spans="1:11" ht="27" customHeight="1" x14ac:dyDescent="0.15">
      <c r="C14" s="15" t="e">
        <f>VLOOKUP(F14,生产指令单!A:N,13,0)</f>
        <v>#N/A</v>
      </c>
      <c r="D14" s="18" t="e">
        <f>VLOOKUP(F14,生产指令单!A:N,12,0)</f>
        <v>#N/A</v>
      </c>
      <c r="I14" s="15" t="str">
        <f t="shared" si="0"/>
        <v>跟进中</v>
      </c>
      <c r="J14" s="15">
        <f>H14-SUMIF(生产领料!I:I,G14,生产领料!H:H)-SUMIF(生产领料!I:I,G14,生产领料!J:J)+SUMIF(生产领料!I:I,G14,生产领料!K:K)</f>
        <v>0</v>
      </c>
    </row>
    <row r="15" spans="1:11" ht="27" customHeight="1" x14ac:dyDescent="0.15">
      <c r="C15" s="15" t="e">
        <f>VLOOKUP(F15,生产指令单!A:N,13,0)</f>
        <v>#N/A</v>
      </c>
      <c r="D15" s="18" t="e">
        <f>VLOOKUP(F15,生产指令单!A:N,12,0)</f>
        <v>#N/A</v>
      </c>
      <c r="I15" s="15" t="str">
        <f t="shared" si="0"/>
        <v>跟进中</v>
      </c>
      <c r="J15" s="15">
        <f>H15-SUMIF(生产领料!I:I,G15,生产领料!H:H)-SUMIF(生产领料!I:I,G15,生产领料!J:J)+SUMIF(生产领料!I:I,G15,生产领料!K:K)</f>
        <v>0</v>
      </c>
    </row>
    <row r="16" spans="1:11" ht="27" customHeight="1" x14ac:dyDescent="0.15">
      <c r="C16" s="15" t="e">
        <f>VLOOKUP(F16,生产指令单!A:N,13,0)</f>
        <v>#N/A</v>
      </c>
      <c r="D16" s="18" t="e">
        <f>VLOOKUP(F16,生产指令单!A:N,12,0)</f>
        <v>#N/A</v>
      </c>
      <c r="I16" s="15" t="str">
        <f t="shared" si="0"/>
        <v>跟进中</v>
      </c>
      <c r="J16" s="15">
        <f>H16-SUMIF(生产领料!I:I,G16,生产领料!H:H)-SUMIF(生产领料!I:I,G16,生产领料!J:J)+SUMIF(生产领料!I:I,G16,生产领料!K:K)</f>
        <v>0</v>
      </c>
    </row>
    <row r="17" spans="3:10" ht="27" customHeight="1" x14ac:dyDescent="0.15">
      <c r="C17" s="15" t="e">
        <f>VLOOKUP(F17,生产指令单!A:N,13,0)</f>
        <v>#N/A</v>
      </c>
      <c r="D17" s="18" t="e">
        <f>VLOOKUP(F17,生产指令单!A:N,12,0)</f>
        <v>#N/A</v>
      </c>
      <c r="I17" s="15" t="str">
        <f t="shared" si="0"/>
        <v>跟进中</v>
      </c>
      <c r="J17" s="15">
        <f>H17-SUMIF(生产领料!I:I,G17,生产领料!H:H)-SUMIF(生产领料!I:I,G17,生产领料!J:J)+SUMIF(生产领料!I:I,G17,生产领料!K:K)</f>
        <v>0</v>
      </c>
    </row>
    <row r="18" spans="3:10" ht="27" customHeight="1" x14ac:dyDescent="0.15">
      <c r="C18" s="15" t="e">
        <f>VLOOKUP(F18,生产指令单!A:N,13,0)</f>
        <v>#N/A</v>
      </c>
      <c r="D18" s="18" t="e">
        <f>VLOOKUP(F18,生产指令单!A:N,12,0)</f>
        <v>#N/A</v>
      </c>
      <c r="I18" s="15" t="str">
        <f t="shared" si="0"/>
        <v>跟进中</v>
      </c>
      <c r="J18" s="15">
        <f>H18-SUMIF(生产领料!I:I,G18,生产领料!H:H)-SUMIF(生产领料!I:I,G18,生产领料!J:J)+SUMIF(生产领料!I:I,G18,生产领料!K:K)</f>
        <v>0</v>
      </c>
    </row>
    <row r="19" spans="3:10" ht="27" customHeight="1" x14ac:dyDescent="0.15">
      <c r="C19" s="15" t="e">
        <f>VLOOKUP(F19,生产指令单!A:N,13,0)</f>
        <v>#N/A</v>
      </c>
      <c r="D19" s="18" t="e">
        <f>VLOOKUP(F19,生产指令单!A:N,12,0)</f>
        <v>#N/A</v>
      </c>
      <c r="I19" s="15" t="str">
        <f t="shared" si="0"/>
        <v>跟进中</v>
      </c>
      <c r="J19" s="15">
        <f>H19-SUMIF(生产领料!I:I,G19,生产领料!H:H)-SUMIF(生产领料!I:I,G19,生产领料!J:J)+SUMIF(生产领料!I:I,G19,生产领料!K:K)</f>
        <v>0</v>
      </c>
    </row>
  </sheetData>
  <phoneticPr fontId="1" type="noConversion"/>
  <pageMargins left="0.23622047244094491" right="0.23622047244094491" top="0.35433070866141736" bottom="0.55118110236220474" header="0.31496062992125984" footer="0.31496062992125984"/>
  <pageSetup paperSize="9" scale="99" fitToHeight="0" orientation="landscape" horizontalDpi="180" verticalDpi="180" r:id="rId1"/>
  <headerFooter scaleWithDoc="0">
    <oddFooter>&amp;C&amp;D，第 &amp;P 页，共 &amp;N 页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15</vt:i4>
      </vt:variant>
    </vt:vector>
  </HeadingPairs>
  <TitlesOfParts>
    <vt:vector size="30" baseType="lpstr">
      <vt:lpstr>名称生成</vt:lpstr>
      <vt:lpstr>物料清单</vt:lpstr>
      <vt:lpstr>库存表</vt:lpstr>
      <vt:lpstr>采购MC</vt:lpstr>
      <vt:lpstr>到货</vt:lpstr>
      <vt:lpstr>IQC放行记录</vt:lpstr>
      <vt:lpstr>外购入库</vt:lpstr>
      <vt:lpstr>生产指令单</vt:lpstr>
      <vt:lpstr>乳化PC</vt:lpstr>
      <vt:lpstr>生产领料</vt:lpstr>
      <vt:lpstr>成品进仓</vt:lpstr>
      <vt:lpstr>OQC放行记录</vt:lpstr>
      <vt:lpstr>销售出库</vt:lpstr>
      <vt:lpstr>其他出库</vt:lpstr>
      <vt:lpstr>期初库存</vt:lpstr>
      <vt:lpstr>IQC放行记录!Print_Titles</vt:lpstr>
      <vt:lpstr>OQC放行记录!Print_Titles</vt:lpstr>
      <vt:lpstr>采购MC!Print_Titles</vt:lpstr>
      <vt:lpstr>成品进仓!Print_Titles</vt:lpstr>
      <vt:lpstr>到货!Print_Titles</vt:lpstr>
      <vt:lpstr>库存表!Print_Titles</vt:lpstr>
      <vt:lpstr>期初库存!Print_Titles</vt:lpstr>
      <vt:lpstr>其他出库!Print_Titles</vt:lpstr>
      <vt:lpstr>乳化PC!Print_Titles</vt:lpstr>
      <vt:lpstr>生产领料!Print_Titles</vt:lpstr>
      <vt:lpstr>生产指令单!Print_Titles</vt:lpstr>
      <vt:lpstr>外购入库!Print_Titles</vt:lpstr>
      <vt:lpstr>物料清单!Print_Titles</vt:lpstr>
      <vt:lpstr>销售出库!Print_Titles</vt:lpstr>
      <vt:lpstr>包材种类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2021-11-10T11:26:20Z</dcterms:modified>
</cp:coreProperties>
</file>