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breúvaSP" sheetId="1" r:id="rId4"/>
    <sheet state="visible" name="Cabreuva cepsruas etc" sheetId="2" r:id="rId5"/>
    <sheet state="visible" name="Página1" sheetId="3" r:id="rId6"/>
    <sheet state="visible" name="Porto FelizSP" sheetId="4" r:id="rId7"/>
  </sheets>
  <definedNames>
    <definedName hidden="1" localSheetId="0" name="_xlnm._FilterDatabase">'CabreúvaSP'!$L$1:$L$527</definedName>
    <definedName hidden="1" localSheetId="3" name="_xlnm._FilterDatabase">'Porto FelizSP'!$A$1:$D$937</definedName>
    <definedName hidden="1" localSheetId="0" name="Z_6A32D83D_904B_4837_9596_43D94869AF50_.wvu.FilterData">'CabreúvaSP'!$J$1:$J$527</definedName>
  </definedNames>
  <calcPr/>
  <customWorkbookViews>
    <customWorkbookView activeSheetId="0" maximized="1" windowHeight="0" windowWidth="0" guid="{6A32D83D-904B-4837-9596-43D94869AF50}" name="Filtro 1"/>
  </customWorkbookViews>
</workbook>
</file>

<file path=xl/sharedStrings.xml><?xml version="1.0" encoding="utf-8"?>
<sst xmlns="http://schemas.openxmlformats.org/spreadsheetml/2006/main" count="12218" uniqueCount="4684">
  <si>
    <t>Logradouro/Nome</t>
  </si>
  <si>
    <t>Bairro/Distrito</t>
  </si>
  <si>
    <t>Localidade/UF</t>
  </si>
  <si>
    <t>CEP</t>
  </si>
  <si>
    <t xml:space="preserve">Carteira </t>
  </si>
  <si>
    <t xml:space="preserve">Consultor </t>
  </si>
  <si>
    <t>UF</t>
  </si>
  <si>
    <t>codigo ibge</t>
  </si>
  <si>
    <t>Alameda    das Spathodeas</t>
  </si>
  <si>
    <t>Portal da Concórdia (Jacaré)</t>
  </si>
  <si>
    <t>Cabreúva</t>
  </si>
  <si>
    <t>13318-322</t>
  </si>
  <si>
    <t>Amanda Pires</t>
  </si>
  <si>
    <t>SP</t>
  </si>
  <si>
    <t xml:space="preserve">-23.245618 -47.064924   Avenida    Vereador José Donato    Jardim da Serra (Jacaré)    Cabreúva   SP    13318-154 </t>
  </si>
  <si>
    <t>Estrada    Antonio Spina</t>
  </si>
  <si>
    <t>Caí</t>
  </si>
  <si>
    <t>13317-004</t>
  </si>
  <si>
    <t xml:space="preserve">-23.307366 -47.133678   Rua       I    Fazenda Sossego (São Francisco)    Cabreúva   SP    13316-708 </t>
  </si>
  <si>
    <t>Rua       Alberto Spina</t>
  </si>
  <si>
    <t>Vila dos Mineiros</t>
  </si>
  <si>
    <t>13317-102</t>
  </si>
  <si>
    <t xml:space="preserve">-23.255741 -47.049237   Alameda    das Sibipirunas    Portal da Concórdia (Jacaré)    Cabreúva   SP    13318-316 </t>
  </si>
  <si>
    <t>Rua       Andrelino Spina</t>
  </si>
  <si>
    <t>Jacaré</t>
  </si>
  <si>
    <t>13318-118</t>
  </si>
  <si>
    <t xml:space="preserve">-23.30897 -47.131949   Estrada    da Cerâmica    Centro    Cabreúva   SP    13315-018 </t>
  </si>
  <si>
    <t>Rua       Armando Spina</t>
  </si>
  <si>
    <t>13317-104</t>
  </si>
  <si>
    <t xml:space="preserve">-23.25729 -47.09146   Rua       dos Ipês    Chácaras do Pinhal (Pinhal)    Cabreúva   SP    13317-294 </t>
  </si>
  <si>
    <t>Via    André Spina</t>
  </si>
  <si>
    <t>Nova Chácara do Pinhal IV (Pinhal)</t>
  </si>
  <si>
    <t>13317-002</t>
  </si>
  <si>
    <t xml:space="preserve">-23.25456 -47.059625   Rua       Ceará    Jacaré    Cabreúva   SP    13318-092 </t>
  </si>
  <si>
    <t>Alameda    Algarve</t>
  </si>
  <si>
    <t>Portal da Concórdia II (Jacaré)</t>
  </si>
  <si>
    <t>13318-292</t>
  </si>
  <si>
    <t xml:space="preserve">-23.30897 -47.131949   Avenida    Vale Verde    Vale Verde (Centro)    Cabreúva   SP    13315-240 </t>
  </si>
  <si>
    <t>Alameda    Aníbal Geraldo</t>
  </si>
  <si>
    <t>CECOM (Jacaré)</t>
  </si>
  <si>
    <t>13318-350</t>
  </si>
  <si>
    <t xml:space="preserve">-23.307366 -47.133678   Rua       Sinézio Xavier Souza    Vila dos Mineiros    Cabreúva   SP    13317-100 </t>
  </si>
  <si>
    <t>Alameda    Cinco</t>
  </si>
  <si>
    <t>13318-344</t>
  </si>
  <si>
    <t xml:space="preserve">-23.224933 -45.804546   Estrada    das Araucárias    Chácaras Boa Esperança (Guaxatuba)    Cabreúva   SP    13316-518 </t>
  </si>
  <si>
    <t>Alameda    das Andorinhas</t>
  </si>
  <si>
    <t>Quinta do Japi (Jacaré)</t>
  </si>
  <si>
    <t>13318-434</t>
  </si>
  <si>
    <t>-23.247509 -47.065963   Rua       Vereador Yassuo Hirano    Jacaré    Cabreúva   SP    13318-043</t>
  </si>
  <si>
    <t>Alameda    das Grevileas</t>
  </si>
  <si>
    <t>13318-320</t>
  </si>
  <si>
    <t xml:space="preserve">-23.224933 -45.804546   Estrada    do Mirante    Chácaras Boa Esperança (Guaxatuba)    Cabreúva   SP    13316-512 </t>
  </si>
  <si>
    <t>Alameda    das Palmeiras</t>
  </si>
  <si>
    <t>13318-330</t>
  </si>
  <si>
    <t xml:space="preserve">-23.305539 -47.128993   Rua       Victório Mori    Jardim Zicatti (Centro)    Cabreúva   SP    13315-182 </t>
  </si>
  <si>
    <t>Alameda    das Quaresmeiras</t>
  </si>
  <si>
    <t>13318-326</t>
  </si>
  <si>
    <t xml:space="preserve">-23.30104 -47.134764   Rua       Sapucaia    Vale Verde (Centro)    Cabreúva   SP    13315-256 </t>
  </si>
  <si>
    <t>Alameda    das Sibipirunas</t>
  </si>
  <si>
    <t>13318-316</t>
  </si>
  <si>
    <t xml:space="preserve">-23.257909 -47.051612   Alameda    dos Pinheiros    Portal da Concórdia (Jacaré)    Cabreúva   SP    13318-328 </t>
  </si>
  <si>
    <t>Alameda    Dois</t>
  </si>
  <si>
    <t>13318-348</t>
  </si>
  <si>
    <t xml:space="preserve">-23.307366 -47.133678   Rua       J    Fazenda Sossego (São Francisco)    Cabreúva   SP    13316-709 </t>
  </si>
  <si>
    <t>Alameda    dos Acássias</t>
  </si>
  <si>
    <t>13318-312</t>
  </si>
  <si>
    <t xml:space="preserve">-23.251305 -47.060595   Rua       Mato Grosso    Jacaré    Cabreúva   SP    13318-082 </t>
  </si>
  <si>
    <t>Alameda    dos Cedros</t>
  </si>
  <si>
    <t>13318-336</t>
  </si>
  <si>
    <t xml:space="preserve">-23.256615 -47.060394   Rua       São João Del Rey    Parque Santo Antônio (Jacaré)    Cabreúva   SP    13318-172 </t>
  </si>
  <si>
    <t>Alameda    dos Ciprestes</t>
  </si>
  <si>
    <t>13318-332</t>
  </si>
  <si>
    <t xml:space="preserve">-23.252651 -47.055005   Rua       Japi    Jardim da Serra (Jacaré)    Cabreúva   SP    13318-134 </t>
  </si>
  <si>
    <t>Alameda    dos Coqueiros</t>
  </si>
  <si>
    <t>13318-324</t>
  </si>
  <si>
    <t xml:space="preserve">-23.301505 -47.13546   Rua       dos Coqueiros    Vale Verde (Centro)    Cabreúva   SP    13315-254 </t>
  </si>
  <si>
    <t>Alameda    dos Eucalyptus</t>
  </si>
  <si>
    <t>13318-338</t>
  </si>
  <si>
    <t xml:space="preserve">-23.251473 -47.062634   Rua       Rio Grande do Sul    Jacaré    Cabreúva   SP    13318-048 </t>
  </si>
  <si>
    <t>Alameda    dos Jacarandás</t>
  </si>
  <si>
    <t>13318-310</t>
  </si>
  <si>
    <t xml:space="preserve">-23.307366 -47.133678   Estrada    Particular    Guaxatuba    Cabreúva   SP    13316-504 </t>
  </si>
  <si>
    <t>Alameda    dos Pinheiros</t>
  </si>
  <si>
    <t>13318-328</t>
  </si>
  <si>
    <t xml:space="preserve">-23.307366 -47.133678   Rua       Tunísia    Jardim Residencial Bela Vista (Vilarejo)    Cabreúva   SP    13317-734 </t>
  </si>
  <si>
    <t>Alameda    dos Sabiás</t>
  </si>
  <si>
    <t>13318-432</t>
  </si>
  <si>
    <t xml:space="preserve">-23.266813 -47.061593   Rua       Mônaco    Villarejo Sopé da Serra (Vilarejo)    Cabreúva   SP    13317-636 </t>
  </si>
  <si>
    <t>Alameda    dos Tucanos</t>
  </si>
  <si>
    <t>13318-430</t>
  </si>
  <si>
    <t xml:space="preserve">-23.097247 -47.714462   Rua       Seis    Alpes do Tietê    Cabreúva   SP    13316-605 </t>
  </si>
  <si>
    <t>Alameda    Morfantaine</t>
  </si>
  <si>
    <t>13318-306</t>
  </si>
  <si>
    <t xml:space="preserve">-23.253074 -47.088722   Rua       das Orquídeas    Pinhal Mirim (Pinhal)    Cabreúva   SP    13317-278 </t>
  </si>
  <si>
    <t>Alameda    Saint George's</t>
  </si>
  <si>
    <t>13318-300</t>
  </si>
  <si>
    <t xml:space="preserve">-23.250212 -47.056133   Rua       Maranhão    Jacaré    Cabreúva   SP    13318-122 </t>
  </si>
  <si>
    <t>Alameda    San Isidro</t>
  </si>
  <si>
    <t>13318-290</t>
  </si>
  <si>
    <t xml:space="preserve">-23.253074 -47.088722   Rua       Alecrim    Jardim das Paineiras (Pinhal)    Cabreúva   SP    13317-224 </t>
  </si>
  <si>
    <t>Alameda    São Paulo Golf</t>
  </si>
  <si>
    <t>13318-304</t>
  </si>
  <si>
    <t xml:space="preserve">-23.254382 -47.04751   Alameda    dos Eucalyptus    Portal da Concórdia (Jacaré)    Cabreúva   SP    13318-338 </t>
  </si>
  <si>
    <t>Alameda    Seis</t>
  </si>
  <si>
    <t>13318-346</t>
  </si>
  <si>
    <t xml:space="preserve">-23.266813 -47.061593   Rua       Groelândia    Villarejo Sopé da Serra (Vilarejo)    Cabreúva   SP    13317-638 </t>
  </si>
  <si>
    <t>Alameda    Sete</t>
  </si>
  <si>
    <t>13318-342</t>
  </si>
  <si>
    <t xml:space="preserve">-23.30897 -47.131949   Rua       Conselheiro Rodrigues Alves    Centro    Cabreúva   SP    13315-015 </t>
  </si>
  <si>
    <t>Alameda    Três</t>
  </si>
  <si>
    <t>13318-352</t>
  </si>
  <si>
    <t xml:space="preserve">-23.307366 -47.133678   Rua       Grécia    Jardim Residencial Bela Vista (Vilarejo)    Cabreúva   SP    13317-738 </t>
  </si>
  <si>
    <t>Alameda    Um</t>
  </si>
  <si>
    <t>13318-356</t>
  </si>
  <si>
    <t xml:space="preserve">-23.278797 -47.105872   Via    AndréSPina    Nova Chácara do Pinhal IV (Pinhal)    Cabreúva   SP    13317-002 </t>
  </si>
  <si>
    <t>Área    Rural</t>
  </si>
  <si>
    <t>Área    Rural de Bonfim do Bom Jesus</t>
  </si>
  <si>
    <t>13319-899</t>
  </si>
  <si>
    <t xml:space="preserve">-23.224933 -45.804546   Praça       das Cabreúvas    Chácaras Boa Esperança (Guaxatuba)    Cabreúva   SP    13316-513 </t>
  </si>
  <si>
    <t>Área    Rural de Cabreúva</t>
  </si>
  <si>
    <t>13317-899</t>
  </si>
  <si>
    <t xml:space="preserve">-23.309169 -47.131867   Travessa    Independência    Centro    Cabreúva   SP    13315-039 </t>
  </si>
  <si>
    <t>Área    Rural de Jacaré</t>
  </si>
  <si>
    <t>13318-899</t>
  </si>
  <si>
    <t xml:space="preserve">-23.307366 -47.133678   Rua       Onze    Alpes do Tietê    Cabreúva   SP    13316-610 </t>
  </si>
  <si>
    <t>Avenida    Adolpho João Traldi</t>
  </si>
  <si>
    <t>13318-010</t>
  </si>
  <si>
    <t xml:space="preserve">-23.301153 -47.123923   Estrada    do Barreiro    Centro    Cabreúva   SP    13315-001 </t>
  </si>
  <si>
    <t>Avenida    Alberto Peratello</t>
  </si>
  <si>
    <t>13318-002</t>
  </si>
  <si>
    <t xml:space="preserve">-23.318161 -47.132259   Rua       Itatiba    Nova Cabreúva (Centro)    Cabreúva   SP    13315-120 </t>
  </si>
  <si>
    <t>Avenida    Antonio Ortega</t>
  </si>
  <si>
    <t>Pinhal</t>
  </si>
  <si>
    <t>13317-212</t>
  </si>
  <si>
    <t xml:space="preserve">-23.245618 -47.064924   Alameda    Três    CECOM (Jacaré)    Cabreúva   SP    13318-352 </t>
  </si>
  <si>
    <t>Avenida    Augusta National</t>
  </si>
  <si>
    <t>13318-296</t>
  </si>
  <si>
    <t xml:space="preserve">-23.252254 -47.089769   RodoVia    Dom Gabriel Paulino Bueno Couto    Pinhal    Cabreúva   SP    13317-204 </t>
  </si>
  <si>
    <t>Avenida    Benedito Bicudo Galvão</t>
  </si>
  <si>
    <t>13318-354</t>
  </si>
  <si>
    <t xml:space="preserve">-23.245618 -47.064924   Rua       Moscatel    Reserva da Quinta (Jacaré)    Cabreúva   SP    13318-466 </t>
  </si>
  <si>
    <t>Avenida    Cabernet</t>
  </si>
  <si>
    <t>Reserva da Quinta (Jacaré)</t>
  </si>
  <si>
    <t>13318-440</t>
  </si>
  <si>
    <t xml:space="preserve">-23.247381 -47.056605   Rua       Marajó    Jacaré    Cabreúva   SP    13318-123 </t>
  </si>
  <si>
    <t>Avenida    Cabreúva</t>
  </si>
  <si>
    <t>13318-060</t>
  </si>
  <si>
    <t xml:space="preserve">-23.287004 -47.058414   Área    Rural    Área Rural de Bonfim do Bom Jesus    Cabreúva   SP    13319-899 </t>
  </si>
  <si>
    <t>Avenida    Cláudio Giannini</t>
  </si>
  <si>
    <t>Jardim Colina da Serra (Jacaré)</t>
  </si>
  <si>
    <t>13318-230</t>
  </si>
  <si>
    <t xml:space="preserve">-23.287089 -47.05739   Rua       Antonio Adenir Federsoni    Bonfim    Cabreúva   SP    13319-020 </t>
  </si>
  <si>
    <t>Avenida    do Parque</t>
  </si>
  <si>
    <t>Jardim Colina da Serra II (Jacaré)</t>
  </si>
  <si>
    <t>13318-272</t>
  </si>
  <si>
    <t xml:space="preserve">-23.287089 -47.05739   Praça       Irmãos Zacchi    Bonfim    Cabreúva   SP    13319-014 </t>
  </si>
  <si>
    <t>Avenida    Engenheiro Afonso Botti</t>
  </si>
  <si>
    <t>13317-208</t>
  </si>
  <si>
    <t xml:space="preserve">-23.280752 -47.059265   Avenida    Pascoal Santi    Novo Bonfim (Vilarejo)    Cabreúva   SP    13317-770 </t>
  </si>
  <si>
    <t>Avenida    Espanha</t>
  </si>
  <si>
    <t>Villarejo Sopé da Serra (Vilarejo)</t>
  </si>
  <si>
    <t>13317-630</t>
  </si>
  <si>
    <t xml:space="preserve">-23.307366 -47.133678   Rua       Quinze    Alpes do Tietê    Cabreúva   SP    13316-614 </t>
  </si>
  <si>
    <t>Avenida    Henrique Sório</t>
  </si>
  <si>
    <t>Bananal</t>
  </si>
  <si>
    <t>13316-801</t>
  </si>
  <si>
    <t xml:space="preserve">-23.255829 -47.058935   Rua       Ouro Preto    Parque Santo Antônio (Jacaré)    Cabreúva   SP    13318-170 </t>
  </si>
  <si>
    <t>Avenida    Hirono</t>
  </si>
  <si>
    <t>13318-294</t>
  </si>
  <si>
    <t xml:space="preserve">-23.245618 -47.064924   Rua       Irajá    Residencial Haras Pindorama I (Jacaré)    Cabreúva   SP    13318-406 </t>
  </si>
  <si>
    <t>Avenida    Itália</t>
  </si>
  <si>
    <t>13318-076</t>
  </si>
  <si>
    <t xml:space="preserve">-23.25553 -47.056529   Rua       Vereador João Pedro da Silva    Jacaré    Cabreúva   SP    13318-127 </t>
  </si>
  <si>
    <t>Avenida    Joaquim Monteiro</t>
  </si>
  <si>
    <t>13318-358</t>
  </si>
  <si>
    <t xml:space="preserve">-23.249242 -47.05744   Rua       Acre    Jacaré    Cabreúva   SP    13318-100 </t>
  </si>
  <si>
    <t>Avenida    José Daniel Tosi</t>
  </si>
  <si>
    <t>13317-244</t>
  </si>
  <si>
    <t xml:space="preserve">-23.257909 -47.051612   Alameda    Saint Georges    Portal da Concórdia II (Jacaré)    Cabreúva   SP    13318-300 </t>
  </si>
  <si>
    <t>Avenida    Major Antonio da Silveira Camargo</t>
  </si>
  <si>
    <t>Centro</t>
  </si>
  <si>
    <t>13315-005</t>
  </si>
  <si>
    <t xml:space="preserve">-23.246077 -47.055898   Rua       Juvenal Bicudo Galvão    Jacaré    Cabreúva   SP    13318-120 </t>
  </si>
  <si>
    <t>Avenida    Marciano Xavier Oliveira</t>
  </si>
  <si>
    <t>13315-045</t>
  </si>
  <si>
    <t xml:space="preserve">-23.243468 -47.041439   Avenida    Joaquim Monteiro    CECOM (Jacaré)    Cabreúva   SP    13318-358 </t>
  </si>
  <si>
    <t>Avenida    Miguel da Cruz</t>
  </si>
  <si>
    <t>13316-802</t>
  </si>
  <si>
    <t xml:space="preserve">-23.305986 -47.136791   Rua       Izidoro Franceschini    Jardim Alice (Centro)    Cabreúva   SP    13315-176 </t>
  </si>
  <si>
    <t>Avenida    Pascoal Santi</t>
  </si>
  <si>
    <t>Jardim Fazendinha Real (Vilarejo)</t>
  </si>
  <si>
    <t>13317-766</t>
  </si>
  <si>
    <t xml:space="preserve">-23.364334 -47.099753   Rua       A    Fazenda Sossego (São Francisco)    Cabreúva   SP    13316-700 </t>
  </si>
  <si>
    <t>Novo Bonfim (Vilarejo)</t>
  </si>
  <si>
    <t>13317-770</t>
  </si>
  <si>
    <t xml:space="preserve">-23.296793 -47.080657   Estrada    Ribeirão dos Padres    Bananal    Cabreúva   SP    13316-810 </t>
  </si>
  <si>
    <t>13317-654</t>
  </si>
  <si>
    <t xml:space="preserve">-23.305244 -47.128515   Rua       Doutor Hermogenes Godoy    Jardim Zicatti (Centro)    Cabreúva   SP    13315-188 </t>
  </si>
  <si>
    <t>Avenida    Portugal</t>
  </si>
  <si>
    <t>Jardim das Paineiras (Pinhal)</t>
  </si>
  <si>
    <t>13317-216</t>
  </si>
  <si>
    <t xml:space="preserve">-23.278669 -47.061364   Rua       Campo Belo    Novo Bonfim (Vilarejo)    Cabreúva   SP    13317-780 </t>
  </si>
  <si>
    <t>Avenida    Saint Andrews</t>
  </si>
  <si>
    <t>13318-298</t>
  </si>
  <si>
    <t xml:space="preserve">-23.315225 -47.132355   Rua       Jundiaí    Nova Cabreúva (Centro)    Cabreúva   SP    13315-102 </t>
  </si>
  <si>
    <t>Avenida    São Paulo</t>
  </si>
  <si>
    <t>13318-040</t>
  </si>
  <si>
    <t xml:space="preserve">-23.307366 -47.133678   Rua       Rodésia    Jardim Residencial Bela Vista (Vilarejo)    Cabreúva   SP    13317-728 </t>
  </si>
  <si>
    <t>Avenida    Valderrama</t>
  </si>
  <si>
    <t>13318-302</t>
  </si>
  <si>
    <t xml:space="preserve">-23.314617 -47.131064   Rua       Princesa Isabel    Jardim SantAna (Centro)    Cabreúva   SP    13315-088 </t>
  </si>
  <si>
    <t>Avenida    Vale Verde</t>
  </si>
  <si>
    <t>Vale Verde (Centro)</t>
  </si>
  <si>
    <t>13315-240</t>
  </si>
  <si>
    <t xml:space="preserve">-23.26786 -47.06481   Rua       Montreal    Ambrósio Castalde Neto (Vilarejo)    Cabreúva   SP    13317-600 </t>
  </si>
  <si>
    <t>Avenida    Vereador Durval Amirat</t>
  </si>
  <si>
    <t>Nova Cabreúva (Centro)</t>
  </si>
  <si>
    <t>13315-100</t>
  </si>
  <si>
    <t xml:space="preserve">-23.260756 -47.052891   Rua       Cristal    Jardim Colina da Serra (Jacaré)    Cabreúva   SP    13318-244 </t>
  </si>
  <si>
    <t>Avenida    Vereador Ermelindo Zacchi</t>
  </si>
  <si>
    <t>13317-228</t>
  </si>
  <si>
    <t xml:space="preserve">-23.30897 -47.131949   Rua       Lauro Amirat    Centro    Cabreúva   SP    13315-007 </t>
  </si>
  <si>
    <t>Avenida    Vereador José Donato</t>
  </si>
  <si>
    <t>Bonfim</t>
  </si>
  <si>
    <t>13319-010</t>
  </si>
  <si>
    <t xml:space="preserve">-23.307366 -47.133678   Rua       Angola    Jardim Residencial Bela Vista (Vilarejo)    Cabreúva   SP    13317-712 </t>
  </si>
  <si>
    <t>Cururú</t>
  </si>
  <si>
    <t>13317-850</t>
  </si>
  <si>
    <t xml:space="preserve">-23.307366 -47.133678   Rua       China    Villarejo Sopé da Serra (Vilarejo)    Cabreúva   SP    13317-622 </t>
  </si>
  <si>
    <t>13318-112</t>
  </si>
  <si>
    <t xml:space="preserve">-23.254445 -47.049245   Alameda    das Quaresmeiras    Portal da Concórdia (Jacaré)    Cabreúva   SP    13318-326 </t>
  </si>
  <si>
    <t>Jardim da Serra (Jacaré)</t>
  </si>
  <si>
    <t>13318-154</t>
  </si>
  <si>
    <t xml:space="preserve">-23.307366 -47.133678   Rua       Congo    Jardim Residencial Bela Vista (Vilarejo)    Cabreúva   SP    13317-716 </t>
  </si>
  <si>
    <t>13317-680</t>
  </si>
  <si>
    <t xml:space="preserve">-23.287089 -47.05739   Rua       Luiz Panzarini    Bonfim    Cabreúva   SP    13319-034 </t>
  </si>
  <si>
    <t>Avenida    Vereador José Donato    567
AC Jacaré</t>
  </si>
  <si>
    <t>13318-971</t>
  </si>
  <si>
    <t xml:space="preserve">-23.245618 -47.064924   Travessa    Natal    Jacaré    Cabreúva   SP    13318-056 </t>
  </si>
  <si>
    <t>Avenida    Vereador José Donato    567 Clique e Retire Correios
AC Jacaré Clique e Retire</t>
  </si>
  <si>
    <t>13318-959</t>
  </si>
  <si>
    <t xml:space="preserve">-23.253074 -47.088722   Via    dos Pinhais    Pinhal    Cabreúva   SP    13317-258 </t>
  </si>
  <si>
    <t>Estrada    da Adutora</t>
  </si>
  <si>
    <t>13319-036</t>
  </si>
  <si>
    <t>-23.239465 -47.066836   Alameda    das Andorinhas    Quinta do Japi (Jacaré)    Cabreúva   SP    13318-434</t>
  </si>
  <si>
    <t>Estrada    da Boa Esperança</t>
  </si>
  <si>
    <t>Guaxatuba</t>
  </si>
  <si>
    <t>13316-508</t>
  </si>
  <si>
    <t xml:space="preserve">-23.259814 -47.051662   Rua       Ademir dos Santos    Jardim Colina da Serra II (Jacaré)    Cabreúva   SP    13318-258 </t>
  </si>
  <si>
    <t>Estrada    da Cerâmica</t>
  </si>
  <si>
    <t>13315-018</t>
  </si>
  <si>
    <t xml:space="preserve">-23.271275 -47.057546   Rua       Escócia    Villarejo Sopé da Serra (Vilarejo)    Cabreúva   SP    13317-674 </t>
  </si>
  <si>
    <t>Estrada    da Concórdia</t>
  </si>
  <si>
    <t>13317-206</t>
  </si>
  <si>
    <t xml:space="preserve">-23.224933 -45.804546   Estrada    Manacás    Chácaras Boa Esperança (Guaxatuba)    Cabreúva   SP    13316-516 </t>
  </si>
  <si>
    <t>Estrada    da Fazenda Campininha</t>
  </si>
  <si>
    <t>Campininha</t>
  </si>
  <si>
    <t>13316-820</t>
  </si>
  <si>
    <t xml:space="preserve">-23.257029 -47.093065   Travessa    das Rosas    Chácaras do Pinhal (Pinhal)    Cabreúva   SP    13317-236 </t>
  </si>
  <si>
    <t>Estrada    da Fazenda Cristal</t>
  </si>
  <si>
    <t>13316-502</t>
  </si>
  <si>
    <t xml:space="preserve">-23.312936 -47.132255   Rua       Iperó    Nova Cabreúva (Centro)    Cabreúva   SP    13315-114 </t>
  </si>
  <si>
    <t>Estrada    da Figueira</t>
  </si>
  <si>
    <t>Piraí</t>
  </si>
  <si>
    <t>13315-302</t>
  </si>
  <si>
    <t xml:space="preserve">-23.270532 -47.049735   Rua       Moçambique    Villarejo Sopé da Serra (Vilarejo)    Cabreúva   SP    13317-698 </t>
  </si>
  <si>
    <t>Estrada    das Araucárias</t>
  </si>
  <si>
    <t>Chácaras Boa Esperança (Guaxatuba)</t>
  </si>
  <si>
    <t>13316-518</t>
  </si>
  <si>
    <t xml:space="preserve">-23.257909 -47.051612   Alameda    dasSPathodeas    Portal da Concórdia (Jacaré)    Cabreúva   SP    13318-322 </t>
  </si>
  <si>
    <t>Estrada    do Barreiro</t>
  </si>
  <si>
    <t>13315-001</t>
  </si>
  <si>
    <t xml:space="preserve">-23.24984 -47.056524   Rua       Pernambuco    Jacaré    Cabreúva   SP    13318-125 </t>
  </si>
  <si>
    <t>Estrada    do Bonfim</t>
  </si>
  <si>
    <t>13317-296</t>
  </si>
  <si>
    <t xml:space="preserve">-23.097247 -47.714462   Rua       Três    Alpes do Tietê    Cabreúva   SP    13316-602 </t>
  </si>
  <si>
    <t>Estrada    do Flamboian</t>
  </si>
  <si>
    <t>13316-510</t>
  </si>
  <si>
    <t xml:space="preserve">-23.307366 -47.133678   Rua       L    Fazenda Sossego (São Francisco)    Cabreúva   SP    13316-711 </t>
  </si>
  <si>
    <t>Estrada    do Gavitti</t>
  </si>
  <si>
    <t>13319-038</t>
  </si>
  <si>
    <t xml:space="preserve">-23.577855 -46.84471   Rua       Austrália    Villarejo Sopé da Serra (Vilarejo)    Cabreúva   SP    13317-640 </t>
  </si>
  <si>
    <t>Estrada    do Guaxatuba</t>
  </si>
  <si>
    <t>13316-500</t>
  </si>
  <si>
    <t xml:space="preserve">-23.300392 -47.135774   Rua       Aroeira    Vale Verde (Centro)    Cabreúva   SP    13315-260 </t>
  </si>
  <si>
    <t>Estrada    do Kajita</t>
  </si>
  <si>
    <t>13318-054</t>
  </si>
  <si>
    <t xml:space="preserve">-23.307366 -47.133678   Rua       G    Fazenda Sossego (São Francisco)    Cabreúva   SP    13316-706 </t>
  </si>
  <si>
    <t>Estrada    do Mirante</t>
  </si>
  <si>
    <t>13316-512</t>
  </si>
  <si>
    <t xml:space="preserve">-23.30897 -47.131949   Rua       Renato de Barros Camargo    Centro    Cabreúva   SP    13315-033 </t>
  </si>
  <si>
    <t>Estrada    do Piraí</t>
  </si>
  <si>
    <t>13315-300</t>
  </si>
  <si>
    <t xml:space="preserve">-23.251018 -47.058874   Rua       Cuiabá    Jacaré    Cabreúva   SP    13318-086 </t>
  </si>
  <si>
    <t>Estrada    do Quito Gordo</t>
  </si>
  <si>
    <t>13317-274</t>
  </si>
  <si>
    <t xml:space="preserve">-23.313604 -47.131425   Rua       Benedito Mesquita da Silveira    Jardim Santana (Centro)    Cabreúva   SP    13315-086 </t>
  </si>
  <si>
    <t>Estrada    do Sumidouro</t>
  </si>
  <si>
    <t>13319-028</t>
  </si>
  <si>
    <t xml:space="preserve">-23.30952 -47.134647   Rua       Oscar Vilela    Jardim Pedroso (Centro)    Cabreúva   SP    13315-150 </t>
  </si>
  <si>
    <t>Estrada    dos Eucaliptos</t>
  </si>
  <si>
    <t>13316-514</t>
  </si>
  <si>
    <t xml:space="preserve">-23.250523 -47.05444   Praça       da Bíblia    Jardim da Serra (Jacaré)    Cabreúva   SP    13318-156 </t>
  </si>
  <si>
    <t>Estrada    dos Romeiros</t>
  </si>
  <si>
    <t>13316-808</t>
  </si>
  <si>
    <t xml:space="preserve">-23.307366 -47.133678   Rua       Líbia    Villarejo Sopé da Serra (Vilarejo)    Cabreúva   SP    13317-661 </t>
  </si>
  <si>
    <t>Estrada    Garrafinha</t>
  </si>
  <si>
    <t>13316-809</t>
  </si>
  <si>
    <t xml:space="preserve">-23.240266 -47.053585   Rua       Ipanema    Residencial Haras Pindorama I (Jacaré)    Cabreúva   SP    13318-408 </t>
  </si>
  <si>
    <t>Estrada    Luiz Ferreira de Oliveira</t>
  </si>
  <si>
    <t>13317-864</t>
  </si>
  <si>
    <t xml:space="preserve">-23.245618 -47.064924   Rua       Carmenére    Reserva da Quinta (Jacaré)    Cabreúva   SP    13318-444 </t>
  </si>
  <si>
    <t>Estrada    Manacás</t>
  </si>
  <si>
    <t>13316-516</t>
  </si>
  <si>
    <t xml:space="preserve">-23.250609 -47.055049   Rua       Fernando Nunes    Jardim da Serra (Jacaré)    Cabreúva   SP    13318-130 </t>
  </si>
  <si>
    <t>Estrada    Municipal Caracol</t>
  </si>
  <si>
    <t>13318-340</t>
  </si>
  <si>
    <t xml:space="preserve">-23.246262 -47.0611   Rua       Goiás    Jacaré    Cabreúva   SP    13318-072 </t>
  </si>
  <si>
    <t>Estrada    Parque</t>
  </si>
  <si>
    <t>Barrinha</t>
  </si>
  <si>
    <t>13315-295</t>
  </si>
  <si>
    <t xml:space="preserve">-23.310244 -47.135428   Rua       José Corazza    Jardim Pedroso (Centro)    Cabreúva   SP    13315-152 </t>
  </si>
  <si>
    <t>Estrada    Particular</t>
  </si>
  <si>
    <t>13316-504</t>
  </si>
  <si>
    <t xml:space="preserve">-23.255814 -47.04546   Avenida    Valderrama    Portal da Concórdia II (Jacaré)    Cabreúva   SP    13318-302 </t>
  </si>
  <si>
    <t>Estrada    Ribeirão dos Padres</t>
  </si>
  <si>
    <t>13316-810</t>
  </si>
  <si>
    <t xml:space="preserve">-23.245618 -47.064924   Avenida    Vereador José Donato 567 Clique e Retire Correios  AC Jacaré Clique e Retire    Jacaré    Cabreúva   SP   13318-959 </t>
  </si>
  <si>
    <t>Estrada    Rio Abaixo</t>
  </si>
  <si>
    <t>13316-800</t>
  </si>
  <si>
    <t xml:space="preserve">-23.364334 -47.099753   Rua       D    Fazenda Sossego (São Francisco)    Cabreúva   SP    13316-703 </t>
  </si>
  <si>
    <t>Praça       Alberto Mesquita de Camargo</t>
  </si>
  <si>
    <t>13315-019</t>
  </si>
  <si>
    <t xml:space="preserve">-23.274515 -47.058766   Rua       Taiti    Villarejo Sopé da Serra (Vilarejo)    Cabreúva   SP    13317-664 </t>
  </si>
  <si>
    <t>Praça       Comendador Martins</t>
  </si>
  <si>
    <t>13315-035</t>
  </si>
  <si>
    <t xml:space="preserve">-23.314575 -47.133471   Avenida    Vereador Durval Amirat    Nova Cabreúva (Centro)    Cabreúva   SP    13315-100 </t>
  </si>
  <si>
    <t>Praça       da Bíblia</t>
  </si>
  <si>
    <t>13318-156</t>
  </si>
  <si>
    <t xml:space="preserve">-23.351176 -47.083048   Rua       Salvador Pinto da Silva    Bananal    Cabreúva   SP    13316-804 </t>
  </si>
  <si>
    <t>Praça       das Cabreúvas</t>
  </si>
  <si>
    <t>13316-513</t>
  </si>
  <si>
    <t xml:space="preserve">-23.272962 -47.09802   Via    Desembargador Luiz Carlos de Araújo    Pinhal    Cabreúva   SP    13317-252 </t>
  </si>
  <si>
    <t>Praça       Guerino Malvezzi</t>
  </si>
  <si>
    <t>13319-002</t>
  </si>
  <si>
    <t xml:space="preserve">-23.297543 -47.13876   Rua       da Paineira    Vale Verde (Centro)    Cabreúva   SP    13315-268 </t>
  </si>
  <si>
    <t>Praça       Irmãos Zacchi</t>
  </si>
  <si>
    <t>13319-014</t>
  </si>
  <si>
    <t xml:space="preserve">-23.307366 -47.133678   Rua       Rubi    Vila Preciosa (Vilarejo)    Cabreúva   SP    13317-520 </t>
  </si>
  <si>
    <t>Praça       Santa Catarina</t>
  </si>
  <si>
    <t>13317-218</t>
  </si>
  <si>
    <t xml:space="preserve">-23.26118 -47.050798   Rua       Pirita    Jardim Colina da Serra II (Jacaré)    Cabreúva   SP    13318-264 </t>
  </si>
  <si>
    <t>RodoVia    Dom Gabriel Paulino Bueno Couto</t>
  </si>
  <si>
    <t>13318-001</t>
  </si>
  <si>
    <t xml:space="preserve">-23.25724 -47.05915   Rua       Mariana    Parque Santo Antônio (Jacaré)    Cabreúva   SP    13318-176 </t>
  </si>
  <si>
    <t>13317-204</t>
  </si>
  <si>
    <t xml:space="preserve">-23.294821 -47.054836   Estrada    da Adutora    Bonfim    Cabreúva   SP    13319-036 </t>
  </si>
  <si>
    <t>RodoVia    Dom Gabriel Paulino Bueno Couto    Km 803 Área    C Quadra GL
ENJOEI PRO</t>
  </si>
  <si>
    <t>13315-900</t>
  </si>
  <si>
    <t xml:space="preserve">-23.306537 -47.132059   Rua       Mário Faccioli    Centro    Cabreúva   SP    13315-013 </t>
  </si>
  <si>
    <t>RodoVia    Prefeito João Zacchi</t>
  </si>
  <si>
    <t>13319-016</t>
  </si>
  <si>
    <t xml:space="preserve">-23.307366 -47.133678   Estrada    da Boa Esperança    Guaxatuba    Cabreúva   SP    13316-508 </t>
  </si>
  <si>
    <t>13317-000</t>
  </si>
  <si>
    <t xml:space="preserve">-23.259419 -47.052878   Rua       Berilo    Jacaré    Cabreúva   SP    13318-250 </t>
  </si>
  <si>
    <t>13317-202</t>
  </si>
  <si>
    <t xml:space="preserve">-23.307366 -47.133678   Rua       Mauritânia    Jardim Residencial Bela Vista (Vilarejo)    Cabreúva   SP    13317-736 </t>
  </si>
  <si>
    <t>Rua       A</t>
  </si>
  <si>
    <t>Fazenda Sossego (São Francisco)</t>
  </si>
  <si>
    <t>13316-700</t>
  </si>
  <si>
    <t xml:space="preserve">-23.306712 -47.132691   Rua       Cônego Motta    Centro    Cabreúva   SP    13315-017 </t>
  </si>
  <si>
    <t>Rua       Abissínia</t>
  </si>
  <si>
    <t>Jardim Residencial Bela Vista (Vilarejo)</t>
  </si>
  <si>
    <t>13317-710</t>
  </si>
  <si>
    <t xml:space="preserve">-23.307366 -47.133678   Rua       Otília Iansen Castaldi    Jardim Residencial Bela Vista (Vilarejo)    Cabreúva   SP    13317-722 </t>
  </si>
  <si>
    <t>Rua       Acre</t>
  </si>
  <si>
    <t>13318-100</t>
  </si>
  <si>
    <t xml:space="preserve">-23.569342 -46.671936   Rua       Colômbia    Jardim Fazendinha Real (Vilarejo)    Cabreúva   SP    13317-764 </t>
  </si>
  <si>
    <t>Rua       Adélia Barbosa Oliveira</t>
  </si>
  <si>
    <t>13317-620</t>
  </si>
  <si>
    <t xml:space="preserve">-23.249392 -47.052551   Rua       Rogério da Silveira Camargo    Jardim da Serra II (Jacaré)    Cabreúva   SP    13318-148 </t>
  </si>
  <si>
    <t>Rua       Ademar Clemente Nunes</t>
  </si>
  <si>
    <t>13318-136</t>
  </si>
  <si>
    <t xml:space="preserve">-23.240266 -47.053585   Rua       Ceci    Residencial Haras Pindorama I (Jacaré)    Cabreúva   SP    13318-400 </t>
  </si>
  <si>
    <t>Rua       Ademir dos Santos</t>
  </si>
  <si>
    <t>13318-258</t>
  </si>
  <si>
    <t xml:space="preserve">-23.286829 -47.056264   Rua       Fideles José Oliveira Netto    Bonfim    Cabreúva   SP    13319-008 </t>
  </si>
  <si>
    <t>Rua       Adolfo Calegari</t>
  </si>
  <si>
    <t>13315-047</t>
  </si>
  <si>
    <t xml:space="preserve">-23.251305 -47.060595   Rua       Mato Grosso do Sul    Jacaré    Cabreúva   SP    13318-064 </t>
  </si>
  <si>
    <t>Rua       África do Sul</t>
  </si>
  <si>
    <t>13317-742</t>
  </si>
  <si>
    <t xml:space="preserve">-23.307366 -47.133678   Rua       ArmandoSPina    Vila dos Mineiros    Cabreúva   SP    13317-104 </t>
  </si>
  <si>
    <t>Rua       Ágata</t>
  </si>
  <si>
    <t>Vila Preciosa (Vilarejo)</t>
  </si>
  <si>
    <t>13317-524</t>
  </si>
  <si>
    <t xml:space="preserve">-23.239465 -47.066836   Alameda    dos Tucanos    Quinta do Japi (Jacaré)    Cabreúva   SP    13318-430 </t>
  </si>
  <si>
    <t>Rua       Água Marinha</t>
  </si>
  <si>
    <t>13318-280</t>
  </si>
  <si>
    <t xml:space="preserve">-23.300484 -47.140219   Rua       Amoreira    Vale Verde (Centro)    Cabreúva   SP    13315-266 </t>
  </si>
  <si>
    <t>Rua       Alagoas</t>
  </si>
  <si>
    <t>13318-121</t>
  </si>
  <si>
    <t xml:space="preserve">-23.307366 -47.133678   Rua       K    Fazenda Sossego (São Francisco)    Cabreúva   SP    13316-710 </t>
  </si>
  <si>
    <t>Rua       Albânia</t>
  </si>
  <si>
    <t>13317-676</t>
  </si>
  <si>
    <t xml:space="preserve">-23.245618 -47.064924   Rua       Nebbiolo    Reserva da Quinta (Jacaré)    Cabreúva   SP    13318-460 </t>
  </si>
  <si>
    <t>Rua       Alecrim</t>
  </si>
  <si>
    <t>13317-224</t>
  </si>
  <si>
    <t xml:space="preserve">-23.299868 -47.119616   Estrada    AntonioSPina    Caí    Cabreúva   SP    13317-004 </t>
  </si>
  <si>
    <t>Rua       Alexandrita</t>
  </si>
  <si>
    <t>13318-274</t>
  </si>
  <si>
    <t xml:space="preserve">-23.245618 -47.064924   Alameda    Sete    CECOM (Jacaré)    Cabreúva   SP    13318-342 </t>
  </si>
  <si>
    <t>Rua       Amanari</t>
  </si>
  <si>
    <t>Residencial Haras Pindorama I (Jacaré)</t>
  </si>
  <si>
    <t>13318-402</t>
  </si>
  <si>
    <t xml:space="preserve">-23.300584 -47.141974   Rua       Jequitibá    Vale Verde (Centro)    Cabreúva   SP    13315-282 </t>
  </si>
  <si>
    <t>Rua       Amapá</t>
  </si>
  <si>
    <t>13318-044</t>
  </si>
  <si>
    <t xml:space="preserve">-23.567568 -46.67355   Rua       Venezuela    Jardim Fazendinha Real (Vilarejo)    Cabreúva   SP    13317-756 </t>
  </si>
  <si>
    <t>Rua       Amazonas</t>
  </si>
  <si>
    <t>13318-074</t>
  </si>
  <si>
    <t xml:space="preserve">-23.270184 -47.056504   Rua       Mongólia    Villarejo Sopé da Serra (Vilarejo)    Cabreúva   SP    13317-678 </t>
  </si>
  <si>
    <t>Rua       Amazonita</t>
  </si>
  <si>
    <t>13318-270</t>
  </si>
  <si>
    <t xml:space="preserve">-23.097247 -47.714462   Rua       Dez    Alpes do Tietê    Cabreúva   SP    13316-609 </t>
  </si>
  <si>
    <t>Rua       Ambrósio Castaldi Filho</t>
  </si>
  <si>
    <t>13317-704</t>
  </si>
  <si>
    <t xml:space="preserve">-23.31552 -47.130524   Rua       Regente Feijó    Jardim SantAna (Centro)    Cabreúva   SP    13315-090 </t>
  </si>
  <si>
    <t>Rua       Amélia Sório da Cruz</t>
  </si>
  <si>
    <t>13316-811</t>
  </si>
  <si>
    <t xml:space="preserve">-23.263299 -47.056308   Rua       Iraque    Villarejo Sopé da Serra (Vilarejo)    Cabreúva   SP    13317-694 </t>
  </si>
  <si>
    <t>Rua       Ametista</t>
  </si>
  <si>
    <t>13317-514</t>
  </si>
  <si>
    <t xml:space="preserve">-23.255742 -47.096053   Rua       Vereador Alexandre Barbosa Nogueira    Pinhal    Cabreúva   SP    13317-214 </t>
  </si>
  <si>
    <t>Rua       Amoreira</t>
  </si>
  <si>
    <t>13315-266</t>
  </si>
  <si>
    <t xml:space="preserve">-23.302879 -45.967476   Alameda    Cinco    CECOM (Jacaré)    Cabreúva   SP    13318-344 </t>
  </si>
  <si>
    <t>Rua       Ângelo Mezalira</t>
  </si>
  <si>
    <t>13317-858</t>
  </si>
  <si>
    <t xml:space="preserve">-23.307366 -47.133678   Rua       Topázio    Vila Preciosa (Vilarejo)    Cabreúva   SP    13317-516 </t>
  </si>
  <si>
    <t>Rua       Angola</t>
  </si>
  <si>
    <t>13317-712</t>
  </si>
  <si>
    <t xml:space="preserve">-23.307366 -47.133678   Rua       Maria Nadir Rosa Barroso    Jacaré    Cabreúva   SP    13318-098 </t>
  </si>
  <si>
    <t>Rua       Anita Maria Botti Pedroso</t>
  </si>
  <si>
    <t>13317-210</t>
  </si>
  <si>
    <t xml:space="preserve">-23.250604 -47.05384   Rua       Luis Nunes    Jardim da Serra (Jacaré)    Cabreúva   SP    13318-152 </t>
  </si>
  <si>
    <t>Rua       Anízio da Silveira</t>
  </si>
  <si>
    <t>13317-862</t>
  </si>
  <si>
    <t xml:space="preserve">-23.249062 -47.060059   Avenida    Itália    Jacaré    Cabreúva   SP    13318-076 </t>
  </si>
  <si>
    <t>Rua       Antonio Adenir Federsoni</t>
  </si>
  <si>
    <t>13319-020</t>
  </si>
  <si>
    <t xml:space="preserve">-23.656141 -46.77406   Rua       Ângelo Mezalira    Cururú    Cabreúva   SP    13317-858 </t>
  </si>
  <si>
    <t>Rua       Antonio Furquim</t>
  </si>
  <si>
    <t>13318-108</t>
  </si>
  <si>
    <t xml:space="preserve">-23.265829 -47.061342   Rua       Dinamarca    Villarejo Sopé da Serra (Vilarejo)    Cabreúva   SP    13317-626 </t>
  </si>
  <si>
    <t>Rua       Antonio Pavani</t>
  </si>
  <si>
    <t>Jardim Pedroso (Centro)</t>
  </si>
  <si>
    <t>13315-154</t>
  </si>
  <si>
    <t xml:space="preserve">-23.271528 -47.055962   Rua       Albânia    Villarejo Sopé da Serra (Vilarejo)    Cabreúva   SP    13317-676 </t>
  </si>
  <si>
    <t>Rua       Araçatuba</t>
  </si>
  <si>
    <t>13317-800</t>
  </si>
  <si>
    <t xml:space="preserve">-23.245618 -47.064924   Alameda    Seis    CECOM (Jacaré)    Cabreúva   SP    13318-346 </t>
  </si>
  <si>
    <t>Rua       Araguaina</t>
  </si>
  <si>
    <t>Vale Verde II (Jacaré)</t>
  </si>
  <si>
    <t>13318-160</t>
  </si>
  <si>
    <t xml:space="preserve">-23.245618 -47.064924   Rua       Brunello    Reserva da Quinta (Jacaré)    Cabreúva   SP    13318-454 </t>
  </si>
  <si>
    <t>Rua       Araxá</t>
  </si>
  <si>
    <t>13317-774</t>
  </si>
  <si>
    <t xml:space="preserve">-23.257524 -47.048024   Alameda    dos Jacarandás    Portal da Concórdia (Jacaré)    Cabreúva   SP    13318-310 </t>
  </si>
  <si>
    <t>Rua       Argélia</t>
  </si>
  <si>
    <t>13317-714</t>
  </si>
  <si>
    <t xml:space="preserve">-23.258608 -47.050187   Rua       Água Marinha    Jacaré    Cabreúva   SP    13318-280 </t>
  </si>
  <si>
    <t>Rua       Argentina</t>
  </si>
  <si>
    <t>13317-750</t>
  </si>
  <si>
    <t xml:space="preserve">-23.307463 -47.135637   Rua       Campo Limpo    Nova Cabreúva (Centro)    Cabreúva   SP    13315-104 </t>
  </si>
  <si>
    <t>Rua       Arminda da Costa Soares</t>
  </si>
  <si>
    <t>Jardim Zicatti (Centro)</t>
  </si>
  <si>
    <t>13315-180</t>
  </si>
  <si>
    <t xml:space="preserve">-23.258763 -47.053329   Rua       Turmalina    Jardim Colina da Serra (Jacaré)    Cabreúva   SP    13318-242 </t>
  </si>
  <si>
    <t>Rua       Aroeira</t>
  </si>
  <si>
    <t>13315-260</t>
  </si>
  <si>
    <t xml:space="preserve">-23.253332 -47.102278   Rua       Anita Maria Botti Pedroso    Pinhal    Cabreúva   SP    13317-210 </t>
  </si>
  <si>
    <t>Rua       Atibaia</t>
  </si>
  <si>
    <t>13317-798</t>
  </si>
  <si>
    <t xml:space="preserve">-23.257909 -47.051612   Alameda    Morfantaine    Portal da Concórdia II (Jacaré)    Cabreúva   SP    13318-306 </t>
  </si>
  <si>
    <t>Rua       Augelita</t>
  </si>
  <si>
    <t>13318-268</t>
  </si>
  <si>
    <t xml:space="preserve">-23.244503 -47.062564   Avenida    Alberto Peratello    Jacaré    Cabreúva   SP    13318-002 </t>
  </si>
  <si>
    <t>Rua       Austrália</t>
  </si>
  <si>
    <t>13317-640</t>
  </si>
  <si>
    <t xml:space="preserve">-23.289426 -47.088971   RodoVia    Prefeito João Zacchi    Pinhal    Cabreúva   SP    13317-202 </t>
  </si>
  <si>
    <t>Rua       Áustria</t>
  </si>
  <si>
    <t>13317-720</t>
  </si>
  <si>
    <t xml:space="preserve">-23.245618 -47.064924   Rua       Georgios Kordoutis    Jacaré    Cabreúva   SP    13318-020 </t>
  </si>
  <si>
    <t>Rua       B</t>
  </si>
  <si>
    <t>13316-701</t>
  </si>
  <si>
    <t xml:space="preserve">-23.246327 -47.05406   Rua       AndrelinoSPina    Jacaré    Cabreúva   SP    13318-118 </t>
  </si>
  <si>
    <t>Rua       Bahia</t>
  </si>
  <si>
    <t>13318-124</t>
  </si>
  <si>
    <t xml:space="preserve">-23.306632 -47.134365   Rua       Joaquim Rabello Cintra    Centro    Cabreúva   SP    13315-023 </t>
  </si>
  <si>
    <t>Rua       Barão do Rio Branco</t>
  </si>
  <si>
    <t>Jardim Sant'Ana (Centro)</t>
  </si>
  <si>
    <t>13315-084</t>
  </si>
  <si>
    <t xml:space="preserve">-23.269641 -47.059634   Rua       Madagascar    Villarejo Sopé da Serra (Vilarejo)    Cabreúva   SP    13317-648 </t>
  </si>
  <si>
    <t>Rua       Barcelona</t>
  </si>
  <si>
    <t>Ambrósio Castalde Neto (Vilarejo)</t>
  </si>
  <si>
    <t>13317-602</t>
  </si>
  <si>
    <t xml:space="preserve">-23.305567 -47.12963   Rua       Idalina Russo Câmara    Jardim Zicatti (Centro)    Cabreúva   SP    13315-184 </t>
  </si>
  <si>
    <t>Rua       Bélgica</t>
  </si>
  <si>
    <t>13317-656</t>
  </si>
  <si>
    <t xml:space="preserve">-23.254569 -47.095717   Praça       Santa Catarina    Jardim das Paineiras (Pinhal)    Cabreúva   SP    13317-218 </t>
  </si>
  <si>
    <t>Rua       Belo Horizonte</t>
  </si>
  <si>
    <t>13318-088</t>
  </si>
  <si>
    <t xml:space="preserve">-23.307366 -47.133678   Rua       Dois    Alpes do Tietê    Cabreúva   SP    13316-601 </t>
  </si>
  <si>
    <t>Rua       Benedito Alves dos Santos</t>
  </si>
  <si>
    <t>Jardim Ipê (Centro)</t>
  </si>
  <si>
    <t>13315-160</t>
  </si>
  <si>
    <t xml:space="preserve">-23.570462 -46.663571   Rua       Paraguai    Jardim Fazendinha Real (Vilarejo)    Cabreúva   SP    13317-758 </t>
  </si>
  <si>
    <t>Rua       Benedito Mesquita Camargo</t>
  </si>
  <si>
    <t>13315-162</t>
  </si>
  <si>
    <t xml:space="preserve">-23.31083 -47.136199   Rua       Antonio Pavani    Jardim Pedroso (Centro)    Cabreúva   SP    13315-154 </t>
  </si>
  <si>
    <t>Rua       Benedito Mesquita da Silveira</t>
  </si>
  <si>
    <t>13315-086</t>
  </si>
  <si>
    <t xml:space="preserve">-23.25729 -47.09146   Rua       dos Bem-Te-Vis    Chácaras do Pinhal (Pinhal)    Cabreúva   SP    13317-242 </t>
  </si>
  <si>
    <t>Rua       Benevenuto Faccioli</t>
  </si>
  <si>
    <t>13315-031</t>
  </si>
  <si>
    <t xml:space="preserve">-23.273439 -47.059836   Rua       Bélgica    Villarejo Sopé da Serra (Vilarejo)    Cabreúva   SP    13317-656 </t>
  </si>
  <si>
    <t>Rua       Berilo</t>
  </si>
  <si>
    <t>13318-250</t>
  </si>
  <si>
    <t xml:space="preserve">-23.25729 -47.09146   Rua       dos Jasmins    Chácaras do Pinhal (Pinhal)    Cabreúva   SP    13317-272 </t>
  </si>
  <si>
    <t xml:space="preserve">Rua       BolíVia   </t>
  </si>
  <si>
    <t>13317-762</t>
  </si>
  <si>
    <t xml:space="preserve">-23.278211 -47.060863   Rua       Itajubá    Novo Bonfim (Vilarejo)    Cabreúva   SP    13317-778 </t>
  </si>
  <si>
    <t>Rua       Braz Lopes Filho</t>
  </si>
  <si>
    <t>13318-078</t>
  </si>
  <si>
    <t xml:space="preserve">-23.256424 -47.048345   Alameda    dos Acássias    Portal da Concórdia (Jacaré)    Cabreúva   SP    13318-312 </t>
  </si>
  <si>
    <t>Rua       Brunello</t>
  </si>
  <si>
    <t>13318-454</t>
  </si>
  <si>
    <t xml:space="preserve">-23.270225 -47.102882   Alameda    Dois    CECOM (Jacaré)    Cabreúva   SP    13318-348 </t>
  </si>
  <si>
    <t>Rua       Bulgária</t>
  </si>
  <si>
    <t>13317-616</t>
  </si>
  <si>
    <t xml:space="preserve">-23.566677 -46.670845   Rua       Uruguai    Jardim Fazendinha Real (Vilarejo)    Cabreúva   SP    13317-760 </t>
  </si>
  <si>
    <t>Rua       C</t>
  </si>
  <si>
    <t>13316-702</t>
  </si>
  <si>
    <t xml:space="preserve">-23.281132 -47.060127   Rua       Rio Claro    Novo Bonfim (Vilarejo)    Cabreúva   SP    13317-784 </t>
  </si>
  <si>
    <t>Rua       Cabo Verde</t>
  </si>
  <si>
    <t>13317-642</t>
  </si>
  <si>
    <t xml:space="preserve">-23.260302 -47.051612   Rua       Opala    Jardim Colina da Serra (Jacaré)    Cabreúva   SP    13318-234 </t>
  </si>
  <si>
    <t>Rua       Cafelândia</t>
  </si>
  <si>
    <t>13317-796</t>
  </si>
  <si>
    <t xml:space="preserve">-23.244411 -47.05535   Rua       dos Oliveiras    Jacaré    Cabreúva   SP    13318-114 </t>
  </si>
  <si>
    <t>Rua       Caí</t>
  </si>
  <si>
    <t>13318-132</t>
  </si>
  <si>
    <t xml:space="preserve">-23.255741 -47.049237   Travessa    dos Ipês    Portal da Concórdia (Jacaré)    Cabreúva   SP    13318-314 </t>
  </si>
  <si>
    <t>Rua       Calcita</t>
  </si>
  <si>
    <t>13318-276</t>
  </si>
  <si>
    <t xml:space="preserve">-23.26604 -47.100669   Via    das Tulipas    Chácaras do Pinhal (Pinhal)    Cabreúva   SP    13317-264 </t>
  </si>
  <si>
    <t>Rua       Cambará</t>
  </si>
  <si>
    <t>13315-286</t>
  </si>
  <si>
    <t xml:space="preserve">-23.310661 -47.129337   Travessa    Ivo Facioli    Centro    Cabreúva   SP    13315-049 </t>
  </si>
  <si>
    <t>Rua       Campinas</t>
  </si>
  <si>
    <t>13315-116</t>
  </si>
  <si>
    <t xml:space="preserve">-23.571526 -46.668903   Rua       Argentina    Jardim Fazendinha Real (Vilarejo)    Cabreúva   SP    13317-750 </t>
  </si>
  <si>
    <t>Rua       Campo Belo</t>
  </si>
  <si>
    <t>13317-780</t>
  </si>
  <si>
    <t xml:space="preserve">-23.309299 -47.130218   Rua       Adolfo Calegari    Centro    Cabreúva   SP    13315-047 </t>
  </si>
  <si>
    <t>Rua       Campo Grande</t>
  </si>
  <si>
    <t>13318-018</t>
  </si>
  <si>
    <t xml:space="preserve">-23.257909 -47.051612   Alameda    dos Cedros    Portal da Concórdia (Jacaré)    Cabreúva   SP    13318-336 </t>
  </si>
  <si>
    <t>Rua       Campo Limpo</t>
  </si>
  <si>
    <t>13315-104</t>
  </si>
  <si>
    <t xml:space="preserve">-23.275347 -47.051086   Rua       José Soares Silva Neto    Cururú    Cabreúva   SP    13317-852 </t>
  </si>
  <si>
    <t>Rua       Caracol</t>
  </si>
  <si>
    <t>Jardim da Serra II (Jacaré)</t>
  </si>
  <si>
    <t>13318-150</t>
  </si>
  <si>
    <t xml:space="preserve">-23.295174 -47.137384   Rua       Quaresmeira    Vale Verde (Centro)    Cabreúva   SP    13315-284 </t>
  </si>
  <si>
    <t>Rua       Carlos Silveira Franco Neto</t>
  </si>
  <si>
    <t>Jardim Primavera (Jacaré)</t>
  </si>
  <si>
    <t>13318-420</t>
  </si>
  <si>
    <t xml:space="preserve">-23.269314 -47.093396   Rua       das Camélias    Chácaras do Pinhal (Pinhal)    Cabreúva   SP    13317-270 </t>
  </si>
  <si>
    <t>Rua       Carmenére</t>
  </si>
  <si>
    <t>13318-444</t>
  </si>
  <si>
    <t xml:space="preserve">-23.307463 -47.135637   Rua       Erothides de Campos    Jardim Ipê (Centro)    Cabreúva   SP    13315-166 </t>
  </si>
  <si>
    <t>Rua       Cássio Xavier de Mendonça</t>
  </si>
  <si>
    <t>13315-011</t>
  </si>
  <si>
    <t xml:space="preserve">-23.307366 -47.133678   Rua       Nigéria    Jardim Residencial Bela Vista (Vilarejo)    Cabreúva   SP    13317-724 </t>
  </si>
  <si>
    <t>Rua       Cassiterita</t>
  </si>
  <si>
    <t>13318-282</t>
  </si>
  <si>
    <t xml:space="preserve">-23.287089 -47.05739   Rua       Pedro Federsoni  225    AGC Bonfim do Bom Jesus Bonfim    Cabreúva   SP    13319-970 </t>
  </si>
  <si>
    <t>Rua       Ceará</t>
  </si>
  <si>
    <t>13318-092</t>
  </si>
  <si>
    <t xml:space="preserve">-23.262545 -47.048996   Rua       Zircônio    Jardim Colina da Serra II (Jacaré)    Cabreúva   SP    13318-284 </t>
  </si>
  <si>
    <t>Rua       Ceci</t>
  </si>
  <si>
    <t>13318-400</t>
  </si>
  <si>
    <t xml:space="preserve">-23.263205 -47.064147   Rua       Hungria    Villarejo Sopé da Serra (Vilarejo)    Cabreúva   SP    13317-612 </t>
  </si>
  <si>
    <t>Rua       Cerejeira</t>
  </si>
  <si>
    <t>13315-292</t>
  </si>
  <si>
    <t xml:space="preserve">-23.251016 -47.057402   Rua       Paraíba    Jacaré    Cabreúva   SP    13318-104 </t>
  </si>
  <si>
    <t>Rua       Chapéu de Sol</t>
  </si>
  <si>
    <t>13315-272</t>
  </si>
  <si>
    <t xml:space="preserve">-23.259822 -47.056104   Avenida    Vereador José Donato    Bonfim    Cabreúva   SP    13319-010 </t>
  </si>
  <si>
    <t>Rua       Chardonnay</t>
  </si>
  <si>
    <t>13318-462</t>
  </si>
  <si>
    <t xml:space="preserve">-23.253074 -47.088722   Estrada    da Concórdia    Pinhal    Cabreúva   SP    13317-206 </t>
  </si>
  <si>
    <t>Rua       Chile</t>
  </si>
  <si>
    <t>13317-754</t>
  </si>
  <si>
    <t xml:space="preserve">-23.307366 -47.133678   Rua       Safira    Vila Preciosa (Vilarejo)    Cabreúva   SP    13317-512 </t>
  </si>
  <si>
    <t>Rua       China</t>
  </si>
  <si>
    <t>13317-622</t>
  </si>
  <si>
    <t xml:space="preserve">-23.536632 -46.677175   Rua       Vereador Renardi Peratello    Flor de Ipê (Jacaré)    Cabreúva   SP    13318-412 </t>
  </si>
  <si>
    <t>Rua       Cinco</t>
  </si>
  <si>
    <t>Alpes do Tietê</t>
  </si>
  <si>
    <t>13316-604</t>
  </si>
  <si>
    <t xml:space="preserve">-23.279262 -47.061116   Rua       Uberlândia    Novo Bonfim (Vilarejo)    Cabreúva   SP    13317-782 </t>
  </si>
  <si>
    <t>Rua       Citrino</t>
  </si>
  <si>
    <t>13318-254</t>
  </si>
  <si>
    <t xml:space="preserve">-23.270554 -47.053416   Rua       Turquia    Villarejo Sopé da Serra (Vilarejo)    Cabreúva   SP    13317-682 </t>
  </si>
  <si>
    <t>Rua       Colômbia</t>
  </si>
  <si>
    <t>13317-764</t>
  </si>
  <si>
    <t xml:space="preserve">-23.307366 -47.133678   Rua       C    Fazenda Sossego (São Francisco)    Cabreúva   SP    13316-702 </t>
  </si>
  <si>
    <t>Rua       Concórdia</t>
  </si>
  <si>
    <t>13318-140</t>
  </si>
  <si>
    <t xml:space="preserve">-23.307366 -47.133678   Estrada    da Fazenda Cristal    Guaxatuba    Cabreúva   SP    13316-502 </t>
  </si>
  <si>
    <t>Rua       Cônego Motta</t>
  </si>
  <si>
    <t>13315-017</t>
  </si>
  <si>
    <t xml:space="preserve">-23.245618 -47.064924   Rua       Merlot    Reserva da Quinta (Jacaré)    Cabreúva   SP    13318-458 </t>
  </si>
  <si>
    <t>Rua       Cônego Motta    84
AC Cabreúva</t>
  </si>
  <si>
    <t>13315-970</t>
  </si>
  <si>
    <t xml:space="preserve">-23.28103 -47.060922   Rua       Itapetininga    Novo Bonfim (Vilarejo)    Cabreúva   SP    13317-794 </t>
  </si>
  <si>
    <t>Rua       Cônego Motta    84 Clique e Retire Correios
AC Cabreúva Clique e Retire</t>
  </si>
  <si>
    <t>13315-959</t>
  </si>
  <si>
    <t xml:space="preserve">-23.307026 -47.131545   Rua       Cônego Motta    84 AC Cabreúva  Centro    Cabreúva   SP    13315-970 </t>
  </si>
  <si>
    <t>Rua       Congo</t>
  </si>
  <si>
    <t>13317-716</t>
  </si>
  <si>
    <t xml:space="preserve">-23.256832 -47.058119   Rua       Tiradentes    Parque Santo Antônio (Jacaré)    Cabreúva   SP    13318-178 </t>
  </si>
  <si>
    <t>Rua       Conselheiro Rodrigues Alves</t>
  </si>
  <si>
    <t>13315-015</t>
  </si>
  <si>
    <t xml:space="preserve">-23.295531 -47.141772   Rua       Cerejeira    Vale Verde (Centro)    Cabreúva   SP    13315-292 </t>
  </si>
  <si>
    <t>Rua       Cristal</t>
  </si>
  <si>
    <t>13318-244</t>
  </si>
  <si>
    <t xml:space="preserve">-23.309687 -47.130745   Avenida    Marciano Xavier Oliveira    Centro    Cabreúva   SP    13315-045 </t>
  </si>
  <si>
    <t>Rua       Cuiabá</t>
  </si>
  <si>
    <t>13318-086</t>
  </si>
  <si>
    <t xml:space="preserve">-23.253074 -47.088722   Rua       das Palmeiras    Jardim das Paineiras (Pinhal)    Cabreúva   SP    13317-226 </t>
  </si>
  <si>
    <t>Rua       Cururu</t>
  </si>
  <si>
    <t>13318-153</t>
  </si>
  <si>
    <t xml:space="preserve">-23.316271 -47.131882   Rua       Pirapóra    Nova Cabreúva (Centro)    Cabreúva   SP    13315-110 </t>
  </si>
  <si>
    <t>Rua       D</t>
  </si>
  <si>
    <t>13316-703</t>
  </si>
  <si>
    <t xml:space="preserve">-23.275933 -47.054263   Rua       Ambrósio Castaldi Filho    Jardim Residencial Bela Vista (Vilarejo)    Cabreúva   SP    13317-704 </t>
  </si>
  <si>
    <t>Rua       da Paineira</t>
  </si>
  <si>
    <t>13315-268</t>
  </si>
  <si>
    <t xml:space="preserve">-23.354134 -47.083171   Rua       Amélia Sório da Cruz    Bananal    Cabreúva   SP    13316-811 </t>
  </si>
  <si>
    <t>Rua       das Avencas</t>
  </si>
  <si>
    <t>Pinhal Mirim (Pinhal)</t>
  </si>
  <si>
    <t>13317-280</t>
  </si>
  <si>
    <t xml:space="preserve">-23.253074 -47.088722   Rua       Ipê    Jardim das Paineiras (Pinhal)    Cabreúva   SP    13317-222 </t>
  </si>
  <si>
    <t>Rua       das Azaléias</t>
  </si>
  <si>
    <t>Chácaras do Pinhal (Pinhal)</t>
  </si>
  <si>
    <t>13317-262</t>
  </si>
  <si>
    <t xml:space="preserve">-23.307366 -47.133678   Rua       F    Fazenda Sossego (São Francisco)    Cabreúva   SP    13316-705 </t>
  </si>
  <si>
    <t>Rua       das Camélias</t>
  </si>
  <si>
    <t>13317-270</t>
  </si>
  <si>
    <t xml:space="preserve">-23.307366 -47.133678   Rua       Uganda    Villarejo Sopé da Serra (Vilarejo)    Cabreúva   SP    13317-632 </t>
  </si>
  <si>
    <t>Rua       das Candeias</t>
  </si>
  <si>
    <t>13315-242</t>
  </si>
  <si>
    <t xml:space="preserve">-23.570561 -46.673199   Rua       Peru    Jardim Fazendinha Real (Vilarejo)    Cabreúva   SP    13317-752 </t>
  </si>
  <si>
    <t>Rua       das Casuarinas</t>
  </si>
  <si>
    <t>13318-334</t>
  </si>
  <si>
    <t xml:space="preserve">-23.267306 -47.103876   Via    dos Miosótis    Chácaras do Pinhal (Pinhal)    Cabreúva   SP    13317-254 </t>
  </si>
  <si>
    <t>Rua       das CotoVia   s</t>
  </si>
  <si>
    <t>13317-238</t>
  </si>
  <si>
    <t xml:space="preserve">-23.253911 -47.059561   Rua       Pará    Jacaré    Cabreúva   SP    13318-090 </t>
  </si>
  <si>
    <t>Rua       das Dálias</t>
  </si>
  <si>
    <t>13317-248</t>
  </si>
  <si>
    <t xml:space="preserve">-23.260149 -47.052721   Rua       Platina    Jacaré    Cabreúva   SP    13318-246 </t>
  </si>
  <si>
    <t>Rua       das Flores</t>
  </si>
  <si>
    <t>13317-276</t>
  </si>
  <si>
    <t xml:space="preserve">-23.282 -47.059652   Rua       Araçatuba    Novo Bonfim (Vilarejo)    Cabreúva   SP    13317-800 </t>
  </si>
  <si>
    <t>Rua       das Gardenias</t>
  </si>
  <si>
    <t>13317-284</t>
  </si>
  <si>
    <t xml:space="preserve">-23.269639 -47.053007   Rua       Jordânia    Villarejo Sopé da Serra (Vilarejo)    Cabreúva   SP    13317-686 </t>
  </si>
  <si>
    <t>Rua       das Magnólias</t>
  </si>
  <si>
    <t>13317-290</t>
  </si>
  <si>
    <t xml:space="preserve">-23.249467 -47.052575   Rua       Caracol    Jardim da Serra II (Jacaré)    Cabreúva   SP    13318-150 </t>
  </si>
  <si>
    <t>Rua       das Orquídeas</t>
  </si>
  <si>
    <t>13317-278</t>
  </si>
  <si>
    <t xml:space="preserve">-23.252664 -47.05696   Rua       Joinville    Jacaré    Cabreúva   SP    13318-062 </t>
  </si>
  <si>
    <t>Rua       das Palmeiras</t>
  </si>
  <si>
    <t>13317-226</t>
  </si>
  <si>
    <t xml:space="preserve">-23.256466 -47.071555   Rua       das Pérolas    Vila Preciosa (Vilarejo)    Cabreúva   SP    13317-504 </t>
  </si>
  <si>
    <t>13315-270</t>
  </si>
  <si>
    <t xml:space="preserve">-23.251611 -47.053156   Rua       Francisco Henrique Faber    Cururú    Cabreúva   SP    13317-860 </t>
  </si>
  <si>
    <t>Rua       das Pérolas</t>
  </si>
  <si>
    <t>13317-504</t>
  </si>
  <si>
    <t xml:space="preserve">-23.307366 -47.133678   Rua       França    Villarejo Sopé da Serra (Vilarejo)    Cabreúva   SP    13317-634 </t>
  </si>
  <si>
    <t>Rua       das Samambaias</t>
  </si>
  <si>
    <t>13317-282</t>
  </si>
  <si>
    <t xml:space="preserve">-23.257909 -47.051612   Avenida    Saint Andrews    Portal da Concórdia II (Jacaré)    Cabreúva   SP    13318-298 </t>
  </si>
  <si>
    <t>Rua       das Violetas</t>
  </si>
  <si>
    <t>13317-246</t>
  </si>
  <si>
    <t xml:space="preserve">-23.252254 -47.089769   RodoVia    Dom Gabriel Paulino Bueno Couto    Jacaré    Cabreúva   SP    13318-001 </t>
  </si>
  <si>
    <t>Rua       David Marcassa Lopes</t>
  </si>
  <si>
    <t>13317-234</t>
  </si>
  <si>
    <t xml:space="preserve">-23.568481 -46.630916   Rua       Espírito Santo    Jacaré    Cabreúva   SP    13318-080 </t>
  </si>
  <si>
    <t>Rua       Dez</t>
  </si>
  <si>
    <t>13316-609</t>
  </si>
  <si>
    <t xml:space="preserve">-23.307366 -47.133678   Rua       Ágata    Vila Preciosa (Vilarejo)    Cabreúva   SP    13317-524 </t>
  </si>
  <si>
    <t>Rua       Dezesseis</t>
  </si>
  <si>
    <t>13316-615</t>
  </si>
  <si>
    <t xml:space="preserve">-23.267882 -47.053852   Rua       Jamaica    Villarejo Sopé da Serra (Vilarejo)    Cabreúva   SP    13317-688 </t>
  </si>
  <si>
    <t>Rua       Dezessete</t>
  </si>
  <si>
    <t>13316-616</t>
  </si>
  <si>
    <t xml:space="preserve">-23.575834 -46.670302   Rua       Chile    Jardim Fazendinha Real (Vilarejo)    Cabreúva   SP    13317-754 </t>
  </si>
  <si>
    <t>Rua       Dezoito</t>
  </si>
  <si>
    <t>13316-617</t>
  </si>
  <si>
    <t xml:space="preserve">-23.250354 -47.087054   Rua       Lauro Pinto Toledo    Pinhal    Cabreúva   SP    13317-300 </t>
  </si>
  <si>
    <t>Rua       Diamante</t>
  </si>
  <si>
    <t>13317-506</t>
  </si>
  <si>
    <t xml:space="preserve">-23.307366 -47.133678   Rua       Somália    Jardim Residencial Bela Vista (Vilarejo)    Cabreúva   SP    13317-730 </t>
  </si>
  <si>
    <t>Rua       Dinamarca</t>
  </si>
  <si>
    <t>13317-626</t>
  </si>
  <si>
    <t xml:space="preserve">-23.249392 -47.052551   Rua       Pirahy    Jardim da Serra II (Jacaré)    Cabreúva   SP    13318-144 </t>
  </si>
  <si>
    <t>Rua       do Carvalho</t>
  </si>
  <si>
    <t>13315-252</t>
  </si>
  <si>
    <t xml:space="preserve">-23.31147 -47.131062   Rua       Duque de Caxias    Jardim Santana (Centro)    Cabreúva   SP    13315-082 </t>
  </si>
  <si>
    <t>Rua       do Cedro</t>
  </si>
  <si>
    <t>13315-246</t>
  </si>
  <si>
    <t xml:space="preserve">-23.243178 -47.062866   Rua       Maceió    Flor de Ipê (Jacaré)    Cabreúva   SP    13318-414 </t>
  </si>
  <si>
    <t>Rua       do Comércio</t>
  </si>
  <si>
    <t>13318-422</t>
  </si>
  <si>
    <t xml:space="preserve">-23.243688 -47.05768   Alameda    São Paulo Golf    Portal da Concórdia II (Jacaré)    Cabreúva   SP    13318-304 </t>
  </si>
  <si>
    <t>Rua       do Cruzeiro</t>
  </si>
  <si>
    <t>13316-805</t>
  </si>
  <si>
    <t xml:space="preserve">-23.28181 -47.061217   Rua       Lorena    Novo Bonfim (Vilarejo)    Cabreúva   SP    13317-792 </t>
  </si>
  <si>
    <t>Rua       do Pinheiro</t>
  </si>
  <si>
    <t>13315-290</t>
  </si>
  <si>
    <t xml:space="preserve">-23.248179 -47.052575   Rua       Santa Terezinha    Jardim da Serra II (Jacaré)    Cabreúva   SP    13318-146 </t>
  </si>
  <si>
    <t>Rua       do Vale</t>
  </si>
  <si>
    <t>13319-032</t>
  </si>
  <si>
    <t xml:space="preserve">-23.305911 -47.132435   Rua       Cássio Xavier de Mendonça    Centro    Cabreúva   SP    13315-011 </t>
  </si>
  <si>
    <t>Rua       Dois</t>
  </si>
  <si>
    <t>13316-601</t>
  </si>
  <si>
    <t xml:space="preserve">-23.305405 -47.135841   Rua       dos Eucaliptos    Vale Verde (Centro)    Cabreúva   SP    13315-244 </t>
  </si>
  <si>
    <t>Rua       Domingos Archija</t>
  </si>
  <si>
    <t>13318-016</t>
  </si>
  <si>
    <t xml:space="preserve">-23.257034 -47.09111   Rua       dos Beija-Flores    Chácaras do Pinhal (Pinhal)    Cabreúva   SP    13317-240 </t>
  </si>
  <si>
    <t>Rua       Domingos Malvezzi</t>
  </si>
  <si>
    <t>13319-004</t>
  </si>
  <si>
    <t xml:space="preserve">-23.302887 -47.135895   Rua       dos Ipês    Vale Verde (Centro)    Cabreúva   SP    13315-250 </t>
  </si>
  <si>
    <t>Rua       dos Ávilas</t>
  </si>
  <si>
    <t>13316-803</t>
  </si>
  <si>
    <t xml:space="preserve">-23.307935 -47.131802   Rua       Manoel Martins de Melo    Centro    Cabreúva   SP    13315-037 </t>
  </si>
  <si>
    <t>Rua       dos Beija-Flores</t>
  </si>
  <si>
    <t>13317-240</t>
  </si>
  <si>
    <t xml:space="preserve">-23.255963 -47.091482   Rua       David Marcassa Lopes    Pinhal    Cabreúva   SP    13317-234 </t>
  </si>
  <si>
    <t>Rua       dos Bem-Te-Vis</t>
  </si>
  <si>
    <t>13317-242</t>
  </si>
  <si>
    <t xml:space="preserve">-23.257185 -47.086032   Rua       Solaris    Chácaras do Pinhal (Pinhal)    Cabreúva   SP    13317-292 </t>
  </si>
  <si>
    <t>Rua       dos Coqueiros</t>
  </si>
  <si>
    <t>13315-254</t>
  </si>
  <si>
    <t xml:space="preserve">-23.288092 -47.057281   Rua       Pedro Federsoni    Bonfim    Cabreúva   SP    13319-011 </t>
  </si>
  <si>
    <t>Rua       dos Estados</t>
  </si>
  <si>
    <t>13318-058</t>
  </si>
  <si>
    <t xml:space="preserve">-23.353356 -47.082587   Estrada    Garrafinha    Bananal    Cabreúva   SP    13316-809 </t>
  </si>
  <si>
    <t>Rua       dos Estudantes</t>
  </si>
  <si>
    <t>13318-014</t>
  </si>
  <si>
    <t xml:space="preserve">-23.287089 -47.05739   Rua       Marcelina Pereira da Costa    Bonfim    Cabreúva   SP    13319-024 </t>
  </si>
  <si>
    <t>Rua       dos Eucaliptos</t>
  </si>
  <si>
    <t>13315-244</t>
  </si>
  <si>
    <t xml:space="preserve">-23.279033 -47.062305   Rua       Pirassununga    Novo Bonfim (Vilarejo)    Cabreúva   SP    13317-776 </t>
  </si>
  <si>
    <t>Rua       dos Ipês</t>
  </si>
  <si>
    <t>13317-294</t>
  </si>
  <si>
    <t xml:space="preserve">-23.280683 -47.061516   Rua       Montes Claros    Novo Bonfim (Vilarejo)    Cabreúva   SP    13317-788 </t>
  </si>
  <si>
    <t>13315-250</t>
  </si>
  <si>
    <t xml:space="preserve">-23.257909 -47.051612   Avenida    Augusta National    Portal da Concórdia II (Jacaré)    Cabreúva   SP    13318-296 </t>
  </si>
  <si>
    <t>Rua       dos Jasmins</t>
  </si>
  <si>
    <t>13317-272</t>
  </si>
  <si>
    <t xml:space="preserve">-23.307366 -47.133678   Rua       Miguel Castarde    Flor de Ipê (Jacaré)    Cabreúva   SP    13318-418 </t>
  </si>
  <si>
    <t>Rua       dos Oliveiras</t>
  </si>
  <si>
    <t>13318-114</t>
  </si>
  <si>
    <t xml:space="preserve">-23.307026 -47.131545   Rua       Cônego Motta    84 Clique e Retire Correios AC Cabreúva Clique e Retire  Centro    Cabreúva   SP    13315-959 </t>
  </si>
  <si>
    <t>Rua       Doutor Hermogenes Godoy</t>
  </si>
  <si>
    <t>13315-188</t>
  </si>
  <si>
    <t xml:space="preserve">-23.307366 -47.133678   Estrada    Parque    Barrinha    Cabreúva   SP    13315-295 </t>
  </si>
  <si>
    <t>Rua       Doze</t>
  </si>
  <si>
    <t>13316-611</t>
  </si>
  <si>
    <t xml:space="preserve">-23.29866 -47.138093   Rua       Mógno    Vale Verde (Centro)    Cabreúva   SP    13315-276 </t>
  </si>
  <si>
    <t>Rua       Duque de Caxias</t>
  </si>
  <si>
    <t>13315-082</t>
  </si>
  <si>
    <t xml:space="preserve">-23.318411 -47.117333   Rua       Paulo Takohei Yokoyama    Bananal    Cabreúva   SP    13316-807 </t>
  </si>
  <si>
    <t>Rua       E</t>
  </si>
  <si>
    <t>13316-704</t>
  </si>
  <si>
    <t xml:space="preserve">-23.309596 -47.106666   Estrada    da Fazenda Campininha    Campininha    Cabreúva   SP    13316-820 </t>
  </si>
  <si>
    <t>Rua       Egito</t>
  </si>
  <si>
    <t>13317-718</t>
  </si>
  <si>
    <t xml:space="preserve">-23.307366 -47.133678   Área    Rural    Área Rural de Cabreúva    Cabreúva   SP    13317-899 </t>
  </si>
  <si>
    <t>Rua       Egydio Mori</t>
  </si>
  <si>
    <t>13315-186</t>
  </si>
  <si>
    <t xml:space="preserve">-23.281316 -47.060959   Rua       Monte Verde    Novo Bonfim (Vilarejo)    Cabreúva   SP    13317-790 </t>
  </si>
  <si>
    <t>Rua       Ernesto Gavitti</t>
  </si>
  <si>
    <t>13319-018</t>
  </si>
  <si>
    <t xml:space="preserve">-23.356699 -47.066678   Estrada    dos Romeiros    Bananal    Cabreúva   SP    13316-808 </t>
  </si>
  <si>
    <t>Rua       Erothides de Campos</t>
  </si>
  <si>
    <t>13315-166</t>
  </si>
  <si>
    <t xml:space="preserve">-23.281548 -47.059186   Rua       Juiz de Fora    Novo Bonfim (Vilarejo)    Cabreúva   SP    13317-772 </t>
  </si>
  <si>
    <t>Rua       Escócia</t>
  </si>
  <si>
    <t>13317-674</t>
  </si>
  <si>
    <t xml:space="preserve">-23.353279 -47.081633   Rua       Manoel Ávila    Bananal    Cabreúva   SP    13316-806 </t>
  </si>
  <si>
    <t>Rua       Esmeralda</t>
  </si>
  <si>
    <t>13318-232</t>
  </si>
  <si>
    <t xml:space="preserve">-23.313825 -47.131869   Rua       Benedito Mesquita Camargo    Jardim Ipê (Centro)    Cabreúva   SP    13315-162 </t>
  </si>
  <si>
    <t>Rua       Espírito Santo</t>
  </si>
  <si>
    <t>13318-080</t>
  </si>
  <si>
    <t xml:space="preserve">-23.308172 -47.131949   Rua       João Eupideo da Costa    Bonfim    Cabreúva   SP    13319-022 </t>
  </si>
  <si>
    <t>Rua       Everaldo Martins de Mello</t>
  </si>
  <si>
    <t>13315-043</t>
  </si>
  <si>
    <t xml:space="preserve">-23.237792 -47.067413   Avenida    Adolpho João Traldi    Jacaré    Cabreúva   SP    13318-010 </t>
  </si>
  <si>
    <t>Rua       Existente</t>
  </si>
  <si>
    <t>13318-115</t>
  </si>
  <si>
    <t xml:space="preserve">-23.295433 -47.141161   Rua       Jacarandá    Vale Verde (Centro)    Cabreúva   SP    13315-288 </t>
  </si>
  <si>
    <t>Rua       F</t>
  </si>
  <si>
    <t>13316-705</t>
  </si>
  <si>
    <t xml:space="preserve">-23.307366 -47.133678   Rua       Jade    Vila Preciosa (Vilarejo)    Cabreúva   SP    13317-500 </t>
  </si>
  <si>
    <t>Rua       Felicita Manzoli Peratello</t>
  </si>
  <si>
    <t>Flor de Ipê (Jacaré)</t>
  </si>
  <si>
    <t>13318-416</t>
  </si>
  <si>
    <t xml:space="preserve">-23.251611 -47.053156   Travessa    Ercília Peratello    Cururú    Cabreúva   SP    13317-856 </t>
  </si>
  <si>
    <t>Rua       Fernando Nunes</t>
  </si>
  <si>
    <t>13318-130</t>
  </si>
  <si>
    <t xml:space="preserve">-23.263745 -47.061311   Rua       Adélia Barbosa Oliveira    Villarejo Sopé da Serra (Vilarejo)    Cabreúva   SP    13317-620 </t>
  </si>
  <si>
    <t>Rua       Fideles José Oliveira Netto</t>
  </si>
  <si>
    <t>13319-008</t>
  </si>
  <si>
    <t xml:space="preserve">-23.286554 -47.058293   Rua       Domingos Malvezzi    Bonfim    Cabreúva   SP    13319-004 </t>
  </si>
  <si>
    <t>Rua       Filipinas</t>
  </si>
  <si>
    <t>13317-740</t>
  </si>
  <si>
    <t xml:space="preserve">-23.245191 -47.057159   Rua       Francisco Nery de Souza    Jacaré    Cabreúva   SP    13318-110 </t>
  </si>
  <si>
    <t>Rua       Finlândia</t>
  </si>
  <si>
    <t>13317-672</t>
  </si>
  <si>
    <t xml:space="preserve">-23.354123 -47.081687   Rua       dos Ávilas    Bananal    Cabreúva   SP    13316-803 </t>
  </si>
  <si>
    <t>Rua       Flamboiã</t>
  </si>
  <si>
    <t>13315-274</t>
  </si>
  <si>
    <t xml:space="preserve">-23.307366 -47.133678   Estrada    do Guaxatuba    Guaxatuba    Cabreúva   SP    13316-500 </t>
  </si>
  <si>
    <t>Rua       Floriano Peixoto</t>
  </si>
  <si>
    <t>13315-027</t>
  </si>
  <si>
    <t xml:space="preserve">-23.282832 -47.124511   Via    de Acesso Vereador José de Moraes    Pinhal    Cabreúva   SP    13317-200 </t>
  </si>
  <si>
    <t>Rua       Florianópolis</t>
  </si>
  <si>
    <t>13318-084</t>
  </si>
  <si>
    <t xml:space="preserve">-23.600996 -46.747871   Rua       José Pedro da Silva    Pinhal    Cabreúva   SP    13317-232 </t>
  </si>
  <si>
    <t>Rua       França</t>
  </si>
  <si>
    <t>13317-634</t>
  </si>
  <si>
    <t xml:space="preserve">-23.261789 -47.051577   Rua       Hematita    Jardim Colina da Serra II (Jacaré)    Cabreúva   SP    13318-262 </t>
  </si>
  <si>
    <t>Rua       Francisco Henrique Faber</t>
  </si>
  <si>
    <t>13317-860</t>
  </si>
  <si>
    <t xml:space="preserve">-23.296317 -47.139908   Rua       do Pinheiro    Vale Verde (Centro)    Cabreúva   SP    13315-290 </t>
  </si>
  <si>
    <t>Rua       Francisco Lopes</t>
  </si>
  <si>
    <t>13317-250</t>
  </si>
  <si>
    <t xml:space="preserve">-23.318365 -47.130531   Rua       Itupeva    Nova Cabreúva (Centro)    Cabreúva   SP    13315-108 </t>
  </si>
  <si>
    <t>Rua       Francisco Nery de Souza</t>
  </si>
  <si>
    <t>13318-110</t>
  </si>
  <si>
    <t xml:space="preserve">-23.259038 -47.050582   Rua       Calcita    Jardim Colina da Serra II (Jacaré)    Cabreúva   SP    13318-276 </t>
  </si>
  <si>
    <t>Rua       Francisco Nunes</t>
  </si>
  <si>
    <t>13318-142</t>
  </si>
  <si>
    <t xml:space="preserve">-23.259822 -47.056104   Avenida    Vereador José Donato    Villarejo Sopé da Serra (Vilarejo)    Cabreúva   SP    13317-680 </t>
  </si>
  <si>
    <t>Rua       Frei Galvão</t>
  </si>
  <si>
    <t>13318-022</t>
  </si>
  <si>
    <t xml:space="preserve">-23.298217 -47.136936   Rua       Seringueira    Vale Verde (Centro)    Cabreúva   SP    13315-278 </t>
  </si>
  <si>
    <t>Rua       G</t>
  </si>
  <si>
    <t>13316-706</t>
  </si>
  <si>
    <t xml:space="preserve">-23.097247 -47.714462   Rua       Um    Alpes do Tietê    Cabreúva   SP    13316-600 </t>
  </si>
  <si>
    <t>Rua       Gana</t>
  </si>
  <si>
    <t>13317-744</t>
  </si>
  <si>
    <t xml:space="preserve">-23.307366 -47.133678   Rua       Quênia    Jardim Residencial Bela Vista (Vilarejo)    Cabreúva   SP    13317-706 </t>
  </si>
  <si>
    <t>Rua       Georgios Kordoutis</t>
  </si>
  <si>
    <t>13318-020</t>
  </si>
  <si>
    <t xml:space="preserve">-23.246934 -47.05945   Rua       Rotary    Jacaré    Cabreúva   SP    13318-102 </t>
  </si>
  <si>
    <t>Rua       Gláucio Silvio Cardoso</t>
  </si>
  <si>
    <t>13318-410</t>
  </si>
  <si>
    <t xml:space="preserve">-23.298898 -47.134442   Rua       Peróba    Vale Verde (Centro)    Cabreúva   SP    13315-280 </t>
  </si>
  <si>
    <t>Rua       Goiás</t>
  </si>
  <si>
    <t>13318-072</t>
  </si>
  <si>
    <t xml:space="preserve">-23.260563 -47.048165   Rua       Cassiterita    Jardim Colina da Serra II (Jacaré)    Cabreúva   SP    13318-282 </t>
  </si>
  <si>
    <t>Rua       Granada</t>
  </si>
  <si>
    <t>13317-508</t>
  </si>
  <si>
    <t xml:space="preserve">-23.261103 -47.047289   Rua       Lazuli    Jardim Colina da Serra II (Jacaré)    Cabreúva   SP    13318-286 </t>
  </si>
  <si>
    <t>Rua       Grécia</t>
  </si>
  <si>
    <t>13317-738</t>
  </si>
  <si>
    <t xml:space="preserve">-23.261717 -47.064942   Estrada    do Kajita    Jacaré    Cabreúva   SP    13318-054 </t>
  </si>
  <si>
    <t>Rua       Groelândia</t>
  </si>
  <si>
    <t>13317-638</t>
  </si>
  <si>
    <t xml:space="preserve">-23.297817 -47.140846   Rua       Chapéu de Sol    Vale Verde (Centro)    Cabreúva   SP    13315-272 </t>
  </si>
  <si>
    <t>Rua       Guaxinduva</t>
  </si>
  <si>
    <t>13318-138</t>
  </si>
  <si>
    <t xml:space="preserve">-23.280174 -47.061265   Rua       Pouso Alegre    Novo Bonfim (Vilarejo)    Cabreúva   SP    13317-786 </t>
  </si>
  <si>
    <t>Rua       H</t>
  </si>
  <si>
    <t>13316-707</t>
  </si>
  <si>
    <t xml:space="preserve">-23.251137 -47.056923   Rua       José Bertagni    Jacaré    Cabreúva   SP    13318-126 </t>
  </si>
  <si>
    <t>Rua       Hematita</t>
  </si>
  <si>
    <t>13318-262</t>
  </si>
  <si>
    <t xml:space="preserve">-23.249028 -47.061846   Rua       Humberto Pelegrini    Jacaré    Cabreúva   SP    13318-050 </t>
  </si>
  <si>
    <t>Rua       Holanda</t>
  </si>
  <si>
    <t>13317-662</t>
  </si>
  <si>
    <t xml:space="preserve">-23.291046 -47.054663   Estrada    do Sumidouro    Bonfim    Cabreúva   SP    13319-028 </t>
  </si>
  <si>
    <t>Rua       Humberto Donatti</t>
  </si>
  <si>
    <t>13319-012</t>
  </si>
  <si>
    <t xml:space="preserve">-23.268579 -47.064532   Rua       Barcelona    Ambrósio Castalde Neto (Vilarejo)    Cabreúva   SP    13317-602 </t>
  </si>
  <si>
    <t>Rua       Humberto Pelegrini</t>
  </si>
  <si>
    <t>13318-050</t>
  </si>
  <si>
    <t xml:space="preserve">-23.245245 -47.050782   Avenida    Benedito Bicudo Galvão    CECOM (Jacaré)    Cabreúva   SP    13318-354 </t>
  </si>
  <si>
    <t>Rua       Hungria</t>
  </si>
  <si>
    <t>13317-612</t>
  </si>
  <si>
    <t xml:space="preserve">-23.246052 -47.057515   Rua       Antonio Furquim    Jacaré    Cabreúva   SP    13318-108 </t>
  </si>
  <si>
    <t>Rua       I</t>
  </si>
  <si>
    <t>13316-708</t>
  </si>
  <si>
    <t xml:space="preserve">-23.307366 -47.133678   Rua       Holanda    Villarejo Sopé da Serra (Vilarejo)    Cabreúva   SP    13317-662 </t>
  </si>
  <si>
    <t>Rua       Idalina Russo Câmara</t>
  </si>
  <si>
    <t>13315-184</t>
  </si>
  <si>
    <t xml:space="preserve">-23.307366 -47.133678   Rua       Kuwait    Villarejo Sopé da Serra (Vilarejo)    Cabreúva   SP    13317-692 </t>
  </si>
  <si>
    <t>Rua       Imbuia</t>
  </si>
  <si>
    <t>13315-262</t>
  </si>
  <si>
    <t xml:space="preserve">-23.287089 -47.05739   RodoVia    Prefeito João Zacchi    Bonfim    Cabreúva   SP    13319-016 </t>
  </si>
  <si>
    <t>Rua       Índia</t>
  </si>
  <si>
    <t>13317-702</t>
  </si>
  <si>
    <t xml:space="preserve">-23.289426 -47.088971   RodoVia    Prefeito João Zacchi    Caí    Cabreúva   SP    13317-000 </t>
  </si>
  <si>
    <t>Rua       Indonésia</t>
  </si>
  <si>
    <t>13317-700</t>
  </si>
  <si>
    <t xml:space="preserve">-23.259822 -47.056104   Avenida    Vereador José Donato    Jacaré    Cabreúva   SP    13318-112 </t>
  </si>
  <si>
    <t>Rua       Inglaterra</t>
  </si>
  <si>
    <t>13317-660</t>
  </si>
  <si>
    <t xml:space="preserve">-23.307019 -47.136822   Rua       Pedro Singulani    Jardim Alice (Centro)    Cabreúva   SP    13315-178 </t>
  </si>
  <si>
    <t>Rua       Intendente Manoel Gaspar de Abreu</t>
  </si>
  <si>
    <t>13318-052</t>
  </si>
  <si>
    <t xml:space="preserve">-23.260403 -47.050694   Rua       Quartzo    Jardim Colina da Serra II (Jacaré)    Cabreúva   SP    13318-260 </t>
  </si>
  <si>
    <t>Rua       Ipanema</t>
  </si>
  <si>
    <t>13318-408</t>
  </si>
  <si>
    <t xml:space="preserve">-23.307366 -47.133678   Rua       Oito    Alpes do Tietê    Cabreúva   SP    13316-607 </t>
  </si>
  <si>
    <t>Rua       Ipê</t>
  </si>
  <si>
    <t>13317-222</t>
  </si>
  <si>
    <t xml:space="preserve">-23.256856 -47.091768   Rua       das CotoVias    Chácaras do Pinhal (Pinhal)    Cabreúva   SP    13317-238 </t>
  </si>
  <si>
    <t>Rua       Iperó</t>
  </si>
  <si>
    <t>13315-114</t>
  </si>
  <si>
    <t xml:space="preserve">-23.259822 -47.056104   Avenida    Vereador José Donato    567AC Jacaré    Cabreúva   SP    13318-971 </t>
  </si>
  <si>
    <t>Rua       Irã</t>
  </si>
  <si>
    <t>13317-646</t>
  </si>
  <si>
    <t xml:space="preserve">-23.307366 -47.133678   Rua       Turmalina    Vila Preciosa (Vilarejo)    Cabreúva   SP    13317-518 </t>
  </si>
  <si>
    <t>Rua       Irajá</t>
  </si>
  <si>
    <t>13318-406</t>
  </si>
  <si>
    <t xml:space="preserve">-23.253074 -47.088722   Rua       das Samambaias    Pinhal Mirim (Pinhal)    Cabreúva   SP    13317-282 </t>
  </si>
  <si>
    <t>Rua       Iraque</t>
  </si>
  <si>
    <t>13317-694</t>
  </si>
  <si>
    <t xml:space="preserve">-23.307366 -47.133678   Rua       Gana    Jardim Residencial Bela Vista (Vilarejo)    Cabreúva   SP    13317-744 </t>
  </si>
  <si>
    <t>Rua       Israel</t>
  </si>
  <si>
    <t>13317-670</t>
  </si>
  <si>
    <t xml:space="preserve">-23.255041 -47.095315   Rua       Onofre Sakamoto 71    AGC Pinhal   Cabreúva   SP    13315-971 </t>
  </si>
  <si>
    <t>Rua       Itajubá</t>
  </si>
  <si>
    <t>13317-778</t>
  </si>
  <si>
    <t xml:space="preserve">-23.314575 -47.133471   Rua       Maestro Benedicto Xisto Leite Sabugo    Nova Cabreúva (Centro)    Cabreúva   SP    13315-122 </t>
  </si>
  <si>
    <t>Rua       Itapetininga</t>
  </si>
  <si>
    <t>13317-794</t>
  </si>
  <si>
    <t xml:space="preserve">-23.302817 -47.140574   Rua       do Cedro    Vale Verde (Centro)    Cabreúva   SP    13315-246 </t>
  </si>
  <si>
    <t>Rua       Itatiba</t>
  </si>
  <si>
    <t>13315-120</t>
  </si>
  <si>
    <t xml:space="preserve">-23.307366 -47.133678   Rua       Abissínia    Jardim Residencial Bela Vista (Vilarejo)    Cabreúva   SP    13317-710 </t>
  </si>
  <si>
    <t>Rua       Itupeva</t>
  </si>
  <si>
    <t>13315-108</t>
  </si>
  <si>
    <t xml:space="preserve">-23.307366 -47.133678   Rua       África do Sul    Jardim Residencial Bela Vista (Vilarejo)    Cabreúva   SP    13317-742 </t>
  </si>
  <si>
    <t>Rua       Ituverava</t>
  </si>
  <si>
    <t>13315-118</t>
  </si>
  <si>
    <t xml:space="preserve">-23.243194 -47.064269   Rua       Nicodemos Pincinato    Jacaré    Cabreúva   SP    13318-006 </t>
  </si>
  <si>
    <t xml:space="preserve">Rua       IugosláVia   </t>
  </si>
  <si>
    <t>13317-652</t>
  </si>
  <si>
    <t xml:space="preserve">-23.307366 -47.133678   Rua       B    Fazenda Sossego (São Francisco)    Cabreúva   SP    13316-701 </t>
  </si>
  <si>
    <t>Rua       Izidoro Franceschini</t>
  </si>
  <si>
    <t>Jardim Alice (Centro)</t>
  </si>
  <si>
    <t>13315-176</t>
  </si>
  <si>
    <t xml:space="preserve">-23.307366 -47.133678   Avenida    Pascoal Santi    Jardim Fazendinha Real (Vilarejo)    Cabreúva   SP    13317-766 </t>
  </si>
  <si>
    <t>Rua       J</t>
  </si>
  <si>
    <t>13316-709</t>
  </si>
  <si>
    <t xml:space="preserve">-23.257909 -47.051612   Avenida    Hirono    Portal da Concórdia II (Jacaré)    Cabreúva   SP    13318-294 </t>
  </si>
  <si>
    <t>Rua       Jacarandá</t>
  </si>
  <si>
    <t>13315-288</t>
  </si>
  <si>
    <t xml:space="preserve">-23.280364 -47.0765   Rua       Francisco Lopes    Pinhal    Cabreúva   SP    13317-250 </t>
  </si>
  <si>
    <t>Rua       Jade</t>
  </si>
  <si>
    <t>13317-500</t>
  </si>
  <si>
    <t xml:space="preserve">-23.282059 -47.06021   Rua       Atibaia    Novo Bonfim (Vilarejo)    Cabreúva   SP    13317-798 </t>
  </si>
  <si>
    <t>Rua       Jamaica</t>
  </si>
  <si>
    <t>13317-688</t>
  </si>
  <si>
    <t xml:space="preserve">-23.307366 -47.133678   Rua       Argélia    Jardim Residencial Bela Vista (Vilarejo)    Cabreúva   SP    13317-714 </t>
  </si>
  <si>
    <t>Rua       Japi</t>
  </si>
  <si>
    <t>13318-134</t>
  </si>
  <si>
    <t xml:space="preserve">-23.305021 -47.129791   Rua       Arminda da Costa Soares    Jardim Zicatti (Centro)    Cabreúva   SP    13315-180 </t>
  </si>
  <si>
    <t>Rua       Jasmim</t>
  </si>
  <si>
    <t>13315-248</t>
  </si>
  <si>
    <t xml:space="preserve">-23.307366 -47.133678   Rua       Dezessete    Alpes do Tietê    Cabreúva   SP    13316-616 </t>
  </si>
  <si>
    <t>Rua       Jequitibá</t>
  </si>
  <si>
    <t>13315-282</t>
  </si>
  <si>
    <t xml:space="preserve">-23.287018 -47.058413   Rua       Humberto Donatti    Bonfim    Cabreúva   SP    13319-012 </t>
  </si>
  <si>
    <t>Rua       João Batista Rosa</t>
  </si>
  <si>
    <t>13315-174</t>
  </si>
  <si>
    <t xml:space="preserve">-23.245618 -47.064924   Rua       Tannat    Reserva da Quinta (Jacaré)    Cabreúva   SP    13318-450 </t>
  </si>
  <si>
    <t>Rua       João de Campos</t>
  </si>
  <si>
    <t>13318-106</t>
  </si>
  <si>
    <t xml:space="preserve">-23.249039 -47.055736   Rua       Bahia    Jacaré    Cabreúva   SP    13318-124 </t>
  </si>
  <si>
    <t>Rua       João Eupideo da Costa</t>
  </si>
  <si>
    <t>13319-022</t>
  </si>
  <si>
    <t xml:space="preserve">-23.28274 -47.060418   Rua       Cafelândia    Novo Bonfim (Vilarejo)    Cabreúva   SP    13317-796 </t>
  </si>
  <si>
    <t>Rua       Joaquim Rabello Cintra</t>
  </si>
  <si>
    <t>13315-023</t>
  </si>
  <si>
    <t xml:space="preserve">-23.272114 -47.050891   Rua       Índia    Villarejo Sopé da Serra (Vilarejo)    Cabreúva   SP    13317-702 </t>
  </si>
  <si>
    <t>Rua       Joinville</t>
  </si>
  <si>
    <t>13318-062</t>
  </si>
  <si>
    <t xml:space="preserve">-23.257909 -47.051612   Rua       das Casuarinas    Portal da Concórdia (Jacaré)    Cabreúva   SP    13318-334 </t>
  </si>
  <si>
    <t>Rua       Jordânia</t>
  </si>
  <si>
    <t>13317-686</t>
  </si>
  <si>
    <t xml:space="preserve">-23.307366 -47.133678   Rua       Tchecoeslováquia    Villarejo Sopé da Serra (Vilarejo)    Cabreúva   SP    13317-614 </t>
  </si>
  <si>
    <t>Rua       José Bertagni</t>
  </si>
  <si>
    <t>13318-126</t>
  </si>
  <si>
    <t xml:space="preserve">-23.239907 -47.061608   Rua       Vitória    Jacaré    Cabreúva   SP    13318-008 </t>
  </si>
  <si>
    <t>Rua       José Bonifácio</t>
  </si>
  <si>
    <t>13315-092</t>
  </si>
  <si>
    <t xml:space="preserve">-23.307366 -47.133678   Rua       Cinco    Alpes do Tietê    Cabreúva   SP    13316-604 </t>
  </si>
  <si>
    <t>Rua       José Corazza</t>
  </si>
  <si>
    <t>13315-152</t>
  </si>
  <si>
    <t xml:space="preserve">-23.265569 -47.095698   Rua       das Dálias    Chácaras do Pinhal (Pinhal)    Cabreúva   SP    13317-248 </t>
  </si>
  <si>
    <t>Rua       José Fermiano</t>
  </si>
  <si>
    <t>13318-116</t>
  </si>
  <si>
    <t xml:space="preserve">-23.245618 -47.064924   Rua       Pinot    Reserva da Quinta (Jacaré)    Cabreúva   SP    13318-446 </t>
  </si>
  <si>
    <t>Rua       José Pedro da Silva</t>
  </si>
  <si>
    <t>13317-232</t>
  </si>
  <si>
    <t xml:space="preserve">-23.25729 -47.09146   Via    das Vitórias-Régia    Chácaras do Pinhal V (Pinhal)    Cabreúva   SP    13317-260 </t>
  </si>
  <si>
    <t>Rua       José Soares Silva Neto</t>
  </si>
  <si>
    <t>13317-852</t>
  </si>
  <si>
    <t xml:space="preserve">-23.258005 -47.050855   Avenida    Cláudio Giannini    Jardim Colina da Serra (Jacaré)    Cabreúva   SP    13318-230 </t>
  </si>
  <si>
    <t>Rua       Juiz de Fora</t>
  </si>
  <si>
    <t>13317-772</t>
  </si>
  <si>
    <t xml:space="preserve">-23.305863 -47.138427   Rua       João Batista Rosa    Jardim Alice (Centro)    Cabreúva   SP    13315-174 </t>
  </si>
  <si>
    <t>Rua       Jundiaí</t>
  </si>
  <si>
    <t>13315-102</t>
  </si>
  <si>
    <t xml:space="preserve">-23.250617 -47.054445   Rua       Francisco Nunes    Jardim da Serra (Jacaré)    Cabreúva   SP    13318-142 </t>
  </si>
  <si>
    <t>Rua       Juvenal Bicudo Galvão</t>
  </si>
  <si>
    <t>13318-120</t>
  </si>
  <si>
    <t xml:space="preserve">-21.292246 -50.342843   Rua       Manoel Ribeiro Leal    Jardim Primavera (Jacaré)    Cabreúva   SP    13318-424 </t>
  </si>
  <si>
    <t>Rua       K</t>
  </si>
  <si>
    <t>13316-710</t>
  </si>
  <si>
    <t xml:space="preserve">-23.240266 -47.053585   Rua       Moema    Residencial Haras Pindorama I (Jacaré)    Cabreúva   SP    13318-404 </t>
  </si>
  <si>
    <t>Rua       Kuwait</t>
  </si>
  <si>
    <t>13317-692</t>
  </si>
  <si>
    <t xml:space="preserve">-23.307201 -47.136676   Rua       Benedito Alves dos Santos    Jardim Ipê (Centro)    Cabreúva   SP    13315-160 </t>
  </si>
  <si>
    <t>Rua       L</t>
  </si>
  <si>
    <t>13316-711</t>
  </si>
  <si>
    <t xml:space="preserve">-23.287089 -47.05739   Rua       Virgínia    Bonfim    Cabreúva   SP    13319-030 </t>
  </si>
  <si>
    <t>Rua       Laos</t>
  </si>
  <si>
    <t>13317-650</t>
  </si>
  <si>
    <t xml:space="preserve">-23.30897 -47.131949   Rua       Sargento Antonio Santa Rosa    Centro    Cabreúva   SP    13315-020 </t>
  </si>
  <si>
    <t>Rua       Lauro Amirat</t>
  </si>
  <si>
    <t>13315-007</t>
  </si>
  <si>
    <t xml:space="preserve">-23.300756 -47.136936   Rua       Imbuia    Vale Verde (Centro)    Cabreúva   SP    13315-262 </t>
  </si>
  <si>
    <t>Rua       Lauro Pinto Toledo</t>
  </si>
  <si>
    <t>13317-300</t>
  </si>
  <si>
    <t xml:space="preserve">-23.316451 -47.130043   Rua       José Bonifácio    Jardim SantAna (Centro)    Cabreúva   SP    13315-092 </t>
  </si>
  <si>
    <t>Rua       Lazuli</t>
  </si>
  <si>
    <t>13318-286</t>
  </si>
  <si>
    <t xml:space="preserve">-23.305993 -47.132988   Rua       Mansueto Mesquita Togni    Centro    Cabreúva   SP    13315-009 </t>
  </si>
  <si>
    <t>Rua       Líbano</t>
  </si>
  <si>
    <t>13317-696</t>
  </si>
  <si>
    <t xml:space="preserve">-23.306642 -47.136539   Rua       24 de Março    Jardim Alice (Centro)    Cabreúva   SP    13315-172 </t>
  </si>
  <si>
    <t>Rua       Líbia</t>
  </si>
  <si>
    <t>13317-661</t>
  </si>
  <si>
    <t xml:space="preserve">-23.307366 -47.133678   Avenida    José Daniel Tosi    Pinhal    Cabreúva   SP    13317-244 </t>
  </si>
  <si>
    <t>Rua       Lituânia</t>
  </si>
  <si>
    <t>13317-666</t>
  </si>
  <si>
    <t xml:space="preserve">-23.35383 -47.082512   Avenida    Miguel da Cruz    Bananal    Cabreúva   SP    13316-802 </t>
  </si>
  <si>
    <t>Rua       Lorena</t>
  </si>
  <si>
    <t>13317-792</t>
  </si>
  <si>
    <t xml:space="preserve">-23.269975 -47.061401   Rua       Irã    Villarejo Sopé da Serra (Vilarejo)    Cabreúva   SP    13317-646 </t>
  </si>
  <si>
    <t>Rua       Luis Nunes</t>
  </si>
  <si>
    <t>13318-152</t>
  </si>
  <si>
    <t xml:space="preserve">-23.269963 -47.0603   Rua       Laos    Villarejo Sopé da Serra (Vilarejo)    Cabreúva   SP    13317-650 </t>
  </si>
  <si>
    <t>Rua       Luiz Panzarini</t>
  </si>
  <si>
    <t>13319-034</t>
  </si>
  <si>
    <t xml:space="preserve">-23.397834 -46.424257   Rua       Alagoas    Jacaré    Cabreúva   SP    13318-121 </t>
  </si>
  <si>
    <t>Rua       M</t>
  </si>
  <si>
    <t>13316-712</t>
  </si>
  <si>
    <t xml:space="preserve">-23.262616 -47.061614   Rua       Bulgária    Villarejo Sopé da Serra (Vilarejo)    Cabreúva   SP    13317-616 </t>
  </si>
  <si>
    <t>Rua       Maceió</t>
  </si>
  <si>
    <t>13318-414</t>
  </si>
  <si>
    <t xml:space="preserve">-23.312277 -47.130426   Rua       Barão do Rio Branco    Jardim Santana (Centro)    Cabreúva   SP    13315-084 </t>
  </si>
  <si>
    <t>Rua       Madagascar</t>
  </si>
  <si>
    <t>13317-648</t>
  </si>
  <si>
    <t xml:space="preserve">-23.255829 -47.058935   Rua       Minas Gerais    Parque Santo Antônio (Jacaré)    Cabreúva   SP    13318-174 </t>
  </si>
  <si>
    <t>Rua       Maestro Benedicto Xisto Leite Sabugo</t>
  </si>
  <si>
    <t>13315-122</t>
  </si>
  <si>
    <t xml:space="preserve">-23.307366 -47.133678   Rua       Egito    Jardim Residencial Bela Vista (Vilarejo)    Cabreúva   SP    13317-718 </t>
  </si>
  <si>
    <t>Rua       Magnetita</t>
  </si>
  <si>
    <t>Jardim Paraíso (Jacaré)</t>
  </si>
  <si>
    <t>13318-236</t>
  </si>
  <si>
    <t xml:space="preserve">-23.252877 -47.062255   Rua       Araguaina    Vale Verde II (Jacaré)    Cabreúva   SP    13318-160 </t>
  </si>
  <si>
    <t>Rua       Malbec</t>
  </si>
  <si>
    <t>13318-442</t>
  </si>
  <si>
    <t xml:space="preserve">-23.256466 -47.071555   Travessa    das Pérolas    Vila Preciosa (Vilarejo)    Cabreúva   SP    13317-502 </t>
  </si>
  <si>
    <t>Rua       Malvasia</t>
  </si>
  <si>
    <t>13318-464</t>
  </si>
  <si>
    <t xml:space="preserve">-23.261148 -47.053328   Rua       Topázio Imperial    Jacaré    Cabreúva   SP    13318-240 </t>
  </si>
  <si>
    <t>Rua       Manoel Ávila</t>
  </si>
  <si>
    <t>13316-806</t>
  </si>
  <si>
    <t xml:space="preserve">-21.292246 -50.342843   Rua       Intendente Manoel Gaspar de Abreu    Jacaré    Cabreúva   SP    13318-052 </t>
  </si>
  <si>
    <t>Rua       Manoel Martins de Melo</t>
  </si>
  <si>
    <t>13315-037</t>
  </si>
  <si>
    <t xml:space="preserve">-23.253179 -47.061676   Rua       Tocantins    Vale Verde II (Jacaré)    Cabreúva   SP    13318-162 </t>
  </si>
  <si>
    <t>Rua       Manoel Ribeiro Leal</t>
  </si>
  <si>
    <t>13318-424</t>
  </si>
  <si>
    <t xml:space="preserve">-23.259419 -47.052878   Rua       Safira    Jardim Colina da Serra (Jacaré)    Cabreúva   SP    13318-252 </t>
  </si>
  <si>
    <t>Rua       Mansueto Mesquita Togni</t>
  </si>
  <si>
    <t>13315-009</t>
  </si>
  <si>
    <t xml:space="preserve">-23.265149 -47.063572   Rua       Suécia    Villarejo Sopé da Serra (Vilarejo)    Cabreúva   SP    13317-628 </t>
  </si>
  <si>
    <t>Rua       Marajó</t>
  </si>
  <si>
    <t>13318-123</t>
  </si>
  <si>
    <t xml:space="preserve">-23.248473 -47.06072   Travessa    Manaus    Jacaré    Cabreúva   SP    13318-068 </t>
  </si>
  <si>
    <t>Rua       Maranhão</t>
  </si>
  <si>
    <t>13318-122</t>
  </si>
  <si>
    <t xml:space="preserve">-23.243904 -47.05856   Avenida    Cabernet    Reserva da Quinta (Jacaré)    Cabreúva   SP    13318-440 </t>
  </si>
  <si>
    <t>Rua       Marcelina Pereira da Costa</t>
  </si>
  <si>
    <t>13319-024</t>
  </si>
  <si>
    <t xml:space="preserve">-23.245618 -47.064924   Alameda    Aníbal Geraldo    CECOM (Jacaré)    Cabreúva   SP    13318-350 </t>
  </si>
  <si>
    <t>Rua       Marechal Deodoro da Fonseca</t>
  </si>
  <si>
    <t>13315-025</t>
  </si>
  <si>
    <t xml:space="preserve">-23.255022 -47.071242   Rua       Turquesa    Jardim Paraíso (Jacaré)    Cabreúva   SP    13318-238 </t>
  </si>
  <si>
    <t>Rua       Maria Nadir Rosa Barroso</t>
  </si>
  <si>
    <t>13318-098</t>
  </si>
  <si>
    <t xml:space="preserve">-23.318411 -47.117333   Rua       do Cruzeiro    Bananal    Cabreúva   SP    13316-805 </t>
  </si>
  <si>
    <t>Rua       Mariana</t>
  </si>
  <si>
    <t>Parque Santo Antônio (Jacaré)</t>
  </si>
  <si>
    <t>13318-176</t>
  </si>
  <si>
    <t xml:space="preserve">-23.256466 -47.071555   Rua       Turquesa    Vila Preciosa (Vilarejo)    Cabreúva   SP    13317-510 </t>
  </si>
  <si>
    <t>Rua       Mário Faccioli</t>
  </si>
  <si>
    <t>13315-013</t>
  </si>
  <si>
    <t xml:space="preserve">-23.252395 -47.062088   Rua       dos Estados    Jacaré    Cabreúva   SP    13318-058 </t>
  </si>
  <si>
    <t>Rua       Marrocos</t>
  </si>
  <si>
    <t>13317-726</t>
  </si>
  <si>
    <t xml:space="preserve">-23.267079 -47.060744   Rua       Monsenhor André Mortari    Villarejo Sopé da Serra (Vilarejo)    Cabreúva   SP    13317-644 </t>
  </si>
  <si>
    <t>Rua       Mato Grosso</t>
  </si>
  <si>
    <t>13318-082</t>
  </si>
  <si>
    <t xml:space="preserve">-23.25729 -47.09146   Via    dos Girassóis    Chácaras do Pinhal (Pinhal)    Cabreúva   SP    13317-268 </t>
  </si>
  <si>
    <t>Rua       Mato Grosso do Sul</t>
  </si>
  <si>
    <t>13318-064</t>
  </si>
  <si>
    <t xml:space="preserve">-23.307366 -47.133678   Rua       Quatorze    Alpes do Tietê    Cabreúva   SP    13316-613 </t>
  </si>
  <si>
    <t>Rua       Mauritânia</t>
  </si>
  <si>
    <t>13317-736</t>
  </si>
  <si>
    <t xml:space="preserve">-23.303778 -47.136454   Rua       das Candeias    Vale Verde (Centro)    Cabreúva   SP    13315-242 </t>
  </si>
  <si>
    <t>Rua       Merlot</t>
  </si>
  <si>
    <t>13318-458</t>
  </si>
  <si>
    <t xml:space="preserve">-23.31923 -47.132348   Rua       Valinhos    Nova Cabreúva (Centro)    Cabreúva   SP    13315-106 </t>
  </si>
  <si>
    <t>Rua       Miguel Castarde</t>
  </si>
  <si>
    <t>13318-418</t>
  </si>
  <si>
    <t xml:space="preserve">-23.246848 -47.064429   Rua       Amapá    Jacaré    Cabreúva   SP    13318-044 </t>
  </si>
  <si>
    <t>Rua       Minas Gerais</t>
  </si>
  <si>
    <t>13318-096</t>
  </si>
  <si>
    <t xml:space="preserve">-23.276802 -47.060185   Avenida    Pascoal Santi    Villarejo Sopé da Serra (Vilarejo)    Cabreúva   SP    13317-654 </t>
  </si>
  <si>
    <t>13318-174</t>
  </si>
  <si>
    <t xml:space="preserve">-23.307366 -47.133678   Rua       H    Fazenda Sossego (São Francisco)    Cabreúva   SP    13316-707 </t>
  </si>
  <si>
    <t>Rua       Moçambique</t>
  </si>
  <si>
    <t>13317-698</t>
  </si>
  <si>
    <t xml:space="preserve">-23.245618 -47.064924   Via    Antonio Mesquita Togni    Jacaré    Cabreúva   SP    13318-024 </t>
  </si>
  <si>
    <t>Rua       Moema</t>
  </si>
  <si>
    <t>13318-404</t>
  </si>
  <si>
    <t xml:space="preserve">-23.240412 -47.065431   Alameda    dos Sabiás    Quinta do Japi (Jacaré)    Cabreúva   SP    13318-432 </t>
  </si>
  <si>
    <t>Rua       Mógno</t>
  </si>
  <si>
    <t>13315-276</t>
  </si>
  <si>
    <t xml:space="preserve">-23.251611 -47.053156   Rua       Cururu    Jardim da Serra (Jacaré)    Cabreúva   SP    13318-153 </t>
  </si>
  <si>
    <t>Rua       Mônaco</t>
  </si>
  <si>
    <t>13317-636</t>
  </si>
  <si>
    <t xml:space="preserve">-23.243282 -47.061833   Rua       Domingos Archija    Jacaré    Cabreúva   SP    13318-016 </t>
  </si>
  <si>
    <t>Rua       Mongólia</t>
  </si>
  <si>
    <t>13317-678</t>
  </si>
  <si>
    <t xml:space="preserve">-23.30897 -47.131949   Praça       Alberto Mesquita de Camargo    Centro    Cabreúva   SP    13315-019 </t>
  </si>
  <si>
    <t>Rua       Monsenhor André Mortari</t>
  </si>
  <si>
    <t>13317-644</t>
  </si>
  <si>
    <t xml:space="preserve">-23.309706 -47.132043   Travessa    Dom Pedro I    Centro    Cabreúva   SP    13315-041 </t>
  </si>
  <si>
    <t>Rua       Monte Verde</t>
  </si>
  <si>
    <t>13317-790</t>
  </si>
  <si>
    <t xml:space="preserve">-23.311618 -47.116724   Estrada    da Figueira    Piraí    Cabreúva   SP    13315-302 </t>
  </si>
  <si>
    <t>Rua       Montes Claros</t>
  </si>
  <si>
    <t>13317-788</t>
  </si>
  <si>
    <t xml:space="preserve">-23.257909 -47.051612   Alameda    Algarve    Portal da Concórdia II (Jacaré)    Cabreúva   SP    13318-292 </t>
  </si>
  <si>
    <t>Rua       Montreal</t>
  </si>
  <si>
    <t>13317-600</t>
  </si>
  <si>
    <t xml:space="preserve">-23.277676 -47.060666   Rua       Araxá    Novo Bonfim (Vilarejo)    Cabreúva   SP    13317-774 </t>
  </si>
  <si>
    <t>Rua       Moscatel</t>
  </si>
  <si>
    <t>13318-466</t>
  </si>
  <si>
    <t xml:space="preserve">-23.258801 -47.053955   Rua       Esmeralda    Jardim Colina da Serra (Jacaré)    Cabreúva   SP    13318-232 </t>
  </si>
  <si>
    <t>Rua       Namíbia</t>
  </si>
  <si>
    <t>13317-610</t>
  </si>
  <si>
    <t xml:space="preserve">-23.307366 -47.133678   Rua       Ametista    Vila Preciosa (Vilarejo)    Cabreúva   SP    13317-514 </t>
  </si>
  <si>
    <t>Rua       Nebbiolo</t>
  </si>
  <si>
    <t>13318-460</t>
  </si>
  <si>
    <t xml:space="preserve">-23.307366 -47.133678   Rua       Dezesseis    Alpes do Tietê    Cabreúva   SP    13316-615 </t>
  </si>
  <si>
    <t>Rua       Nicodemos Pincinato</t>
  </si>
  <si>
    <t>13318-006</t>
  </si>
  <si>
    <t xml:space="preserve">-23.243904 -47.05856   Avenida    São Paulo    Jacaré    Cabreúva   SP    13318-040 </t>
  </si>
  <si>
    <t>Rua       Nigéria</t>
  </si>
  <si>
    <t>13317-724</t>
  </si>
  <si>
    <t xml:space="preserve">-23.245618 -47.064924   Rua       Touriga    Reserva da Quinta (Jacaré)    Cabreúva   SP    13318-456 </t>
  </si>
  <si>
    <t>Rua       Norberto Soares da Silva</t>
  </si>
  <si>
    <t>13317-854</t>
  </si>
  <si>
    <t xml:space="preserve">-23.254311 -47.049966   Alameda    dos Ciprestes    Portal da Concórdia (Jacaré)    Cabreúva   SP    13318-332 </t>
  </si>
  <si>
    <t>Rua       Noruega</t>
  </si>
  <si>
    <t>13317-668</t>
  </si>
  <si>
    <t xml:space="preserve">-23.307597 -47.137397   Rua       Roque Mesquita Camargo    Jardim Ipê (Centro)    Cabreúva   SP    13315-164 </t>
  </si>
  <si>
    <t>Rua       Nove</t>
  </si>
  <si>
    <t>13316-608</t>
  </si>
  <si>
    <t xml:space="preserve">-23.274341 -47.055974   Rua       Inglaterra    Villarejo Sopé da Serra (Vilarejo)    Cabreúva   SP    13317-660 </t>
  </si>
  <si>
    <t>Rua       Oito</t>
  </si>
  <si>
    <t>13316-607</t>
  </si>
  <si>
    <t xml:space="preserve">-23.306784 -47.137634   Rua       Otoni Rodrigues da Silveira    Jardim Alice (Centro)    Cabreúva   SP    13315-170 </t>
  </si>
  <si>
    <t>Rua       Olinda Vieira</t>
  </si>
  <si>
    <t>13317-235</t>
  </si>
  <si>
    <t xml:space="preserve">-23.253074 -47.088722   Rua       das Flores    Pinhal Mirim (Pinhal)    Cabreúva   SP    13317-276 </t>
  </si>
  <si>
    <t>Rua       Onix</t>
  </si>
  <si>
    <t>13317-522</t>
  </si>
  <si>
    <t xml:space="preserve">-23.307366 -47.133678   Rua       Dezoito    Alpes do Tietê    Cabreúva   SP    13316-617 </t>
  </si>
  <si>
    <t>Rua       Onofre Sakamoto</t>
  </si>
  <si>
    <t>13317-220</t>
  </si>
  <si>
    <t xml:space="preserve">-23.260234 -47.049774   Avenida    do Parque    Jardim Colina da Serra II (Jacaré)    Cabreúva   SP    13318-272 </t>
  </si>
  <si>
    <t>Rua       Onofre Sakamoto    71
AGC Pinhal</t>
  </si>
  <si>
    <t>13315-971</t>
  </si>
  <si>
    <t xml:space="preserve">-23.308172 -47.131949   Estrada    Municipal Caracol    CECOM (Jacaré)    Cabreúva   SP    13318-340 </t>
  </si>
  <si>
    <t>Rua       Onze</t>
  </si>
  <si>
    <t>13316-610</t>
  </si>
  <si>
    <t xml:space="preserve">-23.25729 -47.09146   Rua       das Magnólias    Chácaras do Pinhal (Pinhal)    Cabreúva   SP    13317-290 </t>
  </si>
  <si>
    <t>Rua       Opala</t>
  </si>
  <si>
    <t>13318-234</t>
  </si>
  <si>
    <t xml:space="preserve">-23.256466 -47.071555   Rua       Diamante    Vila Preciosa (Vilarejo)    Cabreúva   SP    13317-506 </t>
  </si>
  <si>
    <t>Rua       Oscar Vilela</t>
  </si>
  <si>
    <t>13315-150</t>
  </si>
  <si>
    <t xml:space="preserve">-23.246554 -47.063765   Rua       Roraima    Jacaré    Cabreúva   SP    13318-046 </t>
  </si>
  <si>
    <t>Rua       Otília Iansen Castaldi</t>
  </si>
  <si>
    <t>13317-722</t>
  </si>
  <si>
    <t xml:space="preserve">-23.307366 -47.133678   Rua       Sudão    Jardim Residencial Bela Vista (Vilarejo)    Cabreúva   SP    13317-732 </t>
  </si>
  <si>
    <t>Rua       Otoni Rodrigues da Silveira</t>
  </si>
  <si>
    <t>13315-170</t>
  </si>
  <si>
    <t xml:space="preserve">-23.797738 -46.914636   Rua       Campinas    Nova Cabreúva (Centro)    Cabreúva   SP    13315-116 </t>
  </si>
  <si>
    <t>Rua       Ouro Preto</t>
  </si>
  <si>
    <t>13318-170</t>
  </si>
  <si>
    <t xml:space="preserve">-23.287013 -47.057783   Praça       Guerino Malvezzi    Bonfim    Cabreúva   SP    13319-002 </t>
  </si>
  <si>
    <t>Rua       Pará</t>
  </si>
  <si>
    <t>13318-090</t>
  </si>
  <si>
    <t xml:space="preserve">-23.307352 -47.133709   Rua       Floriano Peixoto    Centro    Cabreúva   SP    13315-027 </t>
  </si>
  <si>
    <t>Rua       Paraguai</t>
  </si>
  <si>
    <t>13317-758</t>
  </si>
  <si>
    <t xml:space="preserve">-23.257478 -47.081487   Estrada    do Quito Gordo    Pinhal    Cabreúva   SP    13317-274 </t>
  </si>
  <si>
    <t>Rua       Paraíba</t>
  </si>
  <si>
    <t>13318-104</t>
  </si>
  <si>
    <t xml:space="preserve">-23.306537 -47.132059   Rua       Benevenuto Faccioli    Centro    Cabreúva   SP    13315-031 </t>
  </si>
  <si>
    <t>Rua       Particular</t>
  </si>
  <si>
    <t>13319-026</t>
  </si>
  <si>
    <t xml:space="preserve">-23.307366 -47.133678   Rua       Doze    Alpes do Tietê    Cabreúva   SP    13316-611 </t>
  </si>
  <si>
    <t>Rua       Paulo Emmanoelli</t>
  </si>
  <si>
    <t>13317-230</t>
  </si>
  <si>
    <t xml:space="preserve">-23.256486 -47.057136   Rua       Sabará    Parque Santo Antônio (Jacaré)    Cabreúva   SP    13318-180 </t>
  </si>
  <si>
    <t>Rua       Paulo Takohei Yokoyama</t>
  </si>
  <si>
    <t>13316-807</t>
  </si>
  <si>
    <t xml:space="preserve">-23.245041 -47.059686   Rua       Braz Lopes Filho    Jacaré    Cabreúva   SP    13318-078 </t>
  </si>
  <si>
    <t>Rua       Pedro Federsoni</t>
  </si>
  <si>
    <t>13319-011</t>
  </si>
  <si>
    <t xml:space="preserve">-23.253074 -47.088722   Avenida    Portugal    Jardim das Paineiras (Pinhal)    Cabreúva   SP    13317-216 </t>
  </si>
  <si>
    <t>Rua       Pedro Federsoni    225
AGC Bonfim do Bom Jesus</t>
  </si>
  <si>
    <t>13319-970</t>
  </si>
  <si>
    <t xml:space="preserve">-23.245618 -47.064924   Rua       Um    Residencial Haras Pindorama II (Jacaré)    Cabreúva   SP    13318-409 </t>
  </si>
  <si>
    <t>Rua       Pedro Singulani</t>
  </si>
  <si>
    <t>13315-178</t>
  </si>
  <si>
    <t xml:space="preserve">-23.252397 -47.051543   Alameda    das Palmeiras    Portal da Concórdia (Jacaré)    Cabreúva   SP    13318-330 </t>
  </si>
  <si>
    <t>Rua       Pernambuco</t>
  </si>
  <si>
    <t>13318-125</t>
  </si>
  <si>
    <t xml:space="preserve">-23.797738 -46.914636   Rua       José Fermiano    Jacaré    Cabreúva   SP    13318-116 </t>
  </si>
  <si>
    <t>Rua       Peróba</t>
  </si>
  <si>
    <t>13315-280</t>
  </si>
  <si>
    <t xml:space="preserve">-23.307366 -47.133678   Rua       Treze    Alpes do Tietê    Cabreúva   SP    13316-612 </t>
  </si>
  <si>
    <t>Rua       Peru</t>
  </si>
  <si>
    <t>13317-752</t>
  </si>
  <si>
    <t xml:space="preserve">-23.353356 -47.082587   Avenida    Henrique Sório    Bananal    Cabreúva   SP    13316-801 </t>
  </si>
  <si>
    <t>Rua       Piauí</t>
  </si>
  <si>
    <t>13318-070</t>
  </si>
  <si>
    <t xml:space="preserve">-23.25729 -47.09146   Rua       das Azaléias    Chácaras do Pinhal (Pinhal)    Cabreúva   SP    13317-262 </t>
  </si>
  <si>
    <t>Rua       Pinot</t>
  </si>
  <si>
    <t>13318-446</t>
  </si>
  <si>
    <t xml:space="preserve">-23.318411 -47.117333   Estrada    Rio Abaixo    Bananal    Cabreúva   SP    13316-800 </t>
  </si>
  <si>
    <t>Rua       Pinotage</t>
  </si>
  <si>
    <t>13318-452</t>
  </si>
  <si>
    <t xml:space="preserve">-23.224933 -45.804546   Estrada    do Flamboian    Chácaras Boa Esperança (Guaxatuba)    Cabreúva   SP    13316-510 </t>
  </si>
  <si>
    <t>Rua       Piqui</t>
  </si>
  <si>
    <t>13315-258</t>
  </si>
  <si>
    <t xml:space="preserve">-23.307366 -47.133678   Rua       João de Campos    Jacaré    Cabreúva   SP    13318-106 </t>
  </si>
  <si>
    <t>Rua       Pirahy</t>
  </si>
  <si>
    <t>13318-144</t>
  </si>
  <si>
    <t xml:space="preserve">-23.26948 -47.097757   Via    das Margaridas    Pinhal    Cabreúva   SP    13317-266 </t>
  </si>
  <si>
    <t>Rua       Pirapóra</t>
  </si>
  <si>
    <t>13315-110</t>
  </si>
  <si>
    <t xml:space="preserve">-23.265744 -47.10676   Via    dos Indaiás    Chácaras do Pinhal V (Pinhal)    Cabreúva   SP    13317-256 </t>
  </si>
  <si>
    <t>Rua       Pirassununga</t>
  </si>
  <si>
    <t>13317-776</t>
  </si>
  <si>
    <t xml:space="preserve">-23.224933 -45.804546   Estrada    dos Eucaliptos    Chácaras Boa Esperança (Guaxatuba)    Cabreúva   SP    13316-514 </t>
  </si>
  <si>
    <t>Rua       Pirita</t>
  </si>
  <si>
    <t>13318-264</t>
  </si>
  <si>
    <t xml:space="preserve">-23.245628 -47.061158   Rua       Amazonas    Jacaré    Cabreúva   SP    13318-074 </t>
  </si>
  <si>
    <t>Rua       Platina</t>
  </si>
  <si>
    <t>13318-246</t>
  </si>
  <si>
    <t xml:space="preserve">-23.307366 -47.133678   Rua       Tailândia    Villarejo Sopé da Serra (Vilarejo)    Cabreúva   SP    13317-618 </t>
  </si>
  <si>
    <t>Rua       Pouso Alegre</t>
  </si>
  <si>
    <t>13317-786</t>
  </si>
  <si>
    <t xml:space="preserve">-23.303114 -47.138776   Rua       do Carvalho    Vale Verde (Centro)    Cabreúva   SP    13315-252 </t>
  </si>
  <si>
    <t>Rua       Primavera</t>
  </si>
  <si>
    <t>13315-264</t>
  </si>
  <si>
    <t xml:space="preserve">-23.2587 -47.05203   Rua       Citrino    Jacaré    Cabreúva   SP    13318-254 </t>
  </si>
  <si>
    <t>Rua       Primo Polo</t>
  </si>
  <si>
    <t>13315-021</t>
  </si>
  <si>
    <t xml:space="preserve">-23.307366 -47.133678   Rua       Israel    Villarejo Sopé da Serra (Vilarejo)    Cabreúva   SP    13317-670 </t>
  </si>
  <si>
    <t>Rua       Princesa Isabel</t>
  </si>
  <si>
    <t>13315-088</t>
  </si>
  <si>
    <t xml:space="preserve">-23.307366 -47.133678   Rua       Norberto Soares da Silva    Cururú    Cabreúva   SP    13317-854 </t>
  </si>
  <si>
    <t>Rua       Quaresmeira</t>
  </si>
  <si>
    <t>13315-284</t>
  </si>
  <si>
    <t xml:space="preserve">-22.626989 -43.90028   Estrada    do Piraí    Piraí    Cabreúva   SP    13315-300 </t>
  </si>
  <si>
    <t>Rua       Quartzo</t>
  </si>
  <si>
    <t>13318-260</t>
  </si>
  <si>
    <t xml:space="preserve">-23.255094 -47.059556   Rua       Rio de Janeiro    Jacaré    Cabreúva   SP    13318-094 </t>
  </si>
  <si>
    <t>Rua       Quatorze</t>
  </si>
  <si>
    <t>13316-613</t>
  </si>
  <si>
    <t xml:space="preserve">-23.245618 -47.064924   Rua       Pinotage    Reserva da Quinta (Jacaré)    Cabreúva   SP    13318-452 </t>
  </si>
  <si>
    <t>Rua       Quatro</t>
  </si>
  <si>
    <t>13316-603</t>
  </si>
  <si>
    <t xml:space="preserve">-23.256083 -47.056961   Rua       Vila Rica    Parque Santo Antônio (Jacaré)    Cabreúva   SP    13318-182 </t>
  </si>
  <si>
    <t>Rua       Quênia</t>
  </si>
  <si>
    <t>13317-706</t>
  </si>
  <si>
    <t xml:space="preserve">-23.256054 -47.052219   Alameda    dos Coqueiros    Portal da Concórdia (Jacaré)    Cabreúva   SP    13318-324 </t>
  </si>
  <si>
    <t>Rua       Quinze</t>
  </si>
  <si>
    <t>13316-614</t>
  </si>
  <si>
    <t xml:space="preserve">-23.307366 -47.133678   Rua       Ernesto Gavitti    Bonfim    Cabreúva   SP    13319-018 </t>
  </si>
  <si>
    <t>Rua       Regente Feijó</t>
  </si>
  <si>
    <t>13315-090</t>
  </si>
  <si>
    <t xml:space="preserve">-23.307106 -47.132924   Rua       Marechal Deodoro da Fonseca    Centro    Cabreúva   SP    13315-025 </t>
  </si>
  <si>
    <t>Rua       Renato de Barros Camargo</t>
  </si>
  <si>
    <t>13315-033</t>
  </si>
  <si>
    <t xml:space="preserve">-23.253695 -47.054675   Rua       Caí    Jardim da Serra (Jacaré)    Cabreúva   SP    13318-132 </t>
  </si>
  <si>
    <t>Rua       Renato Niuderauer Zanchi</t>
  </si>
  <si>
    <t>13319-001</t>
  </si>
  <si>
    <t xml:space="preserve">-23.245618 -47.064924   Rua       Chardonnay    Reserva da Quinta (Jacaré)    Cabreúva   SP    13318-462 </t>
  </si>
  <si>
    <t>Rua       Rio Claro</t>
  </si>
  <si>
    <t>13317-784</t>
  </si>
  <si>
    <t xml:space="preserve">-23.364334 -47.099753   Rua       E    Fazenda Sossego (São Francisco)    Cabreúva   SP    13316-704 </t>
  </si>
  <si>
    <t>Rua       Rio de Janeiro</t>
  </si>
  <si>
    <t>13318-094</t>
  </si>
  <si>
    <t xml:space="preserve">-23.273341 -47.056922   Rua       Noruega    Villarejo Sopé da Serra (Vilarejo)    Cabreúva   SP    13317-668 </t>
  </si>
  <si>
    <t>Rua       Rio Grande do Sul</t>
  </si>
  <si>
    <t>13318-048</t>
  </si>
  <si>
    <t xml:space="preserve">-23.301511 -47.133399   Rua       Piqui    Vale Verde (Centro)    Cabreúva   SP    13315-258 </t>
  </si>
  <si>
    <t>Rua       Rodésia</t>
  </si>
  <si>
    <t>13317-728</t>
  </si>
  <si>
    <t xml:space="preserve">-23.243196 -47.066182   Rua       Carlos Silveira Franco Neto    Jardim Primavera (Jacaré)    Cabreúva   SP    13318-420 </t>
  </si>
  <si>
    <t>Rua       Rodonita</t>
  </si>
  <si>
    <t>13318-266</t>
  </si>
  <si>
    <t xml:space="preserve">-23.249573 -47.054442   Rua       Guaxinduva    Jardim da Serra (Jacaré)    Cabreúva   SP    13318-138 </t>
  </si>
  <si>
    <t>Rua       Rogério da Silveira Camargo</t>
  </si>
  <si>
    <t>13318-148</t>
  </si>
  <si>
    <t xml:space="preserve">-23.308373 -47.132554   Praça       Comendador Martins    Centro    Cabreúva   SP    13315-035 </t>
  </si>
  <si>
    <t>Rua       Rogério Vieira</t>
  </si>
  <si>
    <t>13317-237</t>
  </si>
  <si>
    <t xml:space="preserve">-23.558884 -46.793   Rua       Anízio da Silveira    Cururú    Cabreúva   SP    13317-862 </t>
  </si>
  <si>
    <t>Rua       Rondônia</t>
  </si>
  <si>
    <t>13318-066</t>
  </si>
  <si>
    <t xml:space="preserve">-23.314584 -47.132441   Rua       São Roque    Nova Cabreúva (Centro)    Cabreúva   SP    13315-112 </t>
  </si>
  <si>
    <t>Rua       Roque Mesquita Camargo</t>
  </si>
  <si>
    <t>13315-164</t>
  </si>
  <si>
    <t xml:space="preserve">-23.313384 -47.130981   Rua       São Judas Tadeu    Jardim SantAna (Centro)    Cabreúva   SP    13315-080 </t>
  </si>
  <si>
    <t>Rua       Roraima</t>
  </si>
  <si>
    <t>13318-046</t>
  </si>
  <si>
    <t xml:space="preserve">-23.307366 -47.133678   Rua       Sete    Alpes do Tietê    Cabreúva   SP    13316-606 </t>
  </si>
  <si>
    <t>Rua       Rotary</t>
  </si>
  <si>
    <t>13318-102</t>
  </si>
  <si>
    <t xml:space="preserve">-23.262058 -47.051402   Rua       Rodonita    Jardim Colina da Serra II (Jacaré)    Cabreúva   SP    13318-266 </t>
  </si>
  <si>
    <t>Rua       Rubelita</t>
  </si>
  <si>
    <t>13318-278</t>
  </si>
  <si>
    <t xml:space="preserve">-23.256511 -47.051333   Alameda    das Grevileas    Portal da Concórdia (Jacaré)    Cabreúva   SP    13318-320 </t>
  </si>
  <si>
    <t>Rua       Rubi</t>
  </si>
  <si>
    <t>13317-520</t>
  </si>
  <si>
    <t xml:space="preserve">-23.261758 -47.046828   Travessa    Marina    Jardim Colina da Serra II (Jacaré)    Cabreúva   SP    13318-288 </t>
  </si>
  <si>
    <t>Rua       Rússia</t>
  </si>
  <si>
    <t>13317-658</t>
  </si>
  <si>
    <t xml:space="preserve">-23.267882 -47.053852   Rua       Líbano    Villarejo Sopé da Serra (Vilarejo)    Cabreúva   SP    13317-696 </t>
  </si>
  <si>
    <t>Rua       Sabará</t>
  </si>
  <si>
    <t>13318-180</t>
  </si>
  <si>
    <t xml:space="preserve">-23.255156 -47.093628   Rua       Paulo Emmanoelli    Pinhal    Cabreúva   SP    13317-230 </t>
  </si>
  <si>
    <t>Rua       Safira</t>
  </si>
  <si>
    <t>13318-252</t>
  </si>
  <si>
    <t xml:space="preserve">-23.303315 -47.135791   Rua       Jasmim    Vale Verde (Centro)    Cabreúva   SP    13315-248 </t>
  </si>
  <si>
    <t>13317-512</t>
  </si>
  <si>
    <t xml:space="preserve">-23.313825 -47.131869   Avenida    Major Antonio da Silveira Camargo    Centro    Cabreúva   SP    13315-005 </t>
  </si>
  <si>
    <t>Rua       Salvador Pinto da Silva</t>
  </si>
  <si>
    <t>13316-804</t>
  </si>
  <si>
    <t xml:space="preserve">-23.307366 -47.133678   Rua       do Comércio    Jardim Primavera (Jacaré)    Cabreúva   SP    13318-422 </t>
  </si>
  <si>
    <t>Rua       Santa Terezinha</t>
  </si>
  <si>
    <t>13318-146</t>
  </si>
  <si>
    <t xml:space="preserve">-23.307366 -47.133678   Rua       Tanzânia    Jardim Residencial Bela Vista (Vilarejo)    Cabreúva   SP    13317-708 </t>
  </si>
  <si>
    <t>Rua       São João Del Rey</t>
  </si>
  <si>
    <t>13318-172</t>
  </si>
  <si>
    <t xml:space="preserve">-23.491599 -48.416912   Rua       Áustria    Jardim Residencial Bela Vista (Vilarejo)    Cabreúva   SP    13317-720 </t>
  </si>
  <si>
    <t>Rua       São Judas Tadeu</t>
  </si>
  <si>
    <t>13315-080</t>
  </si>
  <si>
    <t xml:space="preserve">-23.307366 -47.133678   Rua       M    Fazenda Sossego (São Francisco)    Cabreúva   SP    13316-712 </t>
  </si>
  <si>
    <t>Rua       São Roque</t>
  </si>
  <si>
    <t>13315-112</t>
  </si>
  <si>
    <t xml:space="preserve">-23.271411 -47.062241   Avenida    Espanha    Villarejo Sopé da Serra (Vilarejo)    Cabreúva   SP    13317-630 </t>
  </si>
  <si>
    <t>Rua       Sapucaia</t>
  </si>
  <si>
    <t>13315-256</t>
  </si>
  <si>
    <t xml:space="preserve">-23.242665 -47.059892   Rua       Frei Galvão    Jacaré    Cabreúva   SP    13318-022 </t>
  </si>
  <si>
    <t>Rua       Sargento Antonio Santa Rosa</t>
  </si>
  <si>
    <t>13315-020</t>
  </si>
  <si>
    <t xml:space="preserve">-23.307366 -47.133678   Rua       Nove    Alpes do Tietê    Cabreúva   SP    13316-608 </t>
  </si>
  <si>
    <t>Rua       Seis</t>
  </si>
  <si>
    <t>13316-605</t>
  </si>
  <si>
    <t xml:space="preserve">-23.315383 -47.132827   Rua       Ituverava    Nova Cabreúva (Centro)    Cabreúva   SP    13315-118 </t>
  </si>
  <si>
    <t>Rua       Seringueira</t>
  </si>
  <si>
    <t>13315-278</t>
  </si>
  <si>
    <t xml:space="preserve">-23.30897 -47.131949   Rua       Primo Polo    Centro    Cabreúva   SP    13315-021 </t>
  </si>
  <si>
    <t>Rua       Sete</t>
  </si>
  <si>
    <t>13316-606</t>
  </si>
  <si>
    <t xml:space="preserve">-23.307366 -47.133678   Rua       Belo Horizonte    Jacaré    Cabreúva   SP    13318-088 </t>
  </si>
  <si>
    <t>Rua       Sinézio Xavier Souza</t>
  </si>
  <si>
    <t>13317-100</t>
  </si>
  <si>
    <t xml:space="preserve">-23.245618 -47.064924   Área    Rural    Área Rural de Jacaré    Cabreúva   SP    13318-899 </t>
  </si>
  <si>
    <t>Rua       Solaris</t>
  </si>
  <si>
    <t>13317-292</t>
  </si>
  <si>
    <t xml:space="preserve">-23.26272 -47.051262   Rua       Augelita    Jardim Colina da Serra II (Jacaré)    Cabreúva   SP    13318-268 </t>
  </si>
  <si>
    <t>Rua       Somália</t>
  </si>
  <si>
    <t>13317-730</t>
  </si>
  <si>
    <t xml:space="preserve">-23.262888 -47.095032   Rua       das Violetas    Chácaras do Pinhal (Pinhal)    Cabreúva   SP    13317-246 </t>
  </si>
  <si>
    <t>Rua       Sudão</t>
  </si>
  <si>
    <t>13317-732</t>
  </si>
  <si>
    <t xml:space="preserve">-23.271848 -47.049551   Rua       Indonésia    Villarejo Sopé da Serra (Vilarejo)    Cabreúva   SP    13317-700 </t>
  </si>
  <si>
    <t>Rua       Suécia</t>
  </si>
  <si>
    <t>13317-628</t>
  </si>
  <si>
    <t xml:space="preserve">-23.307366 -47.133678   Estrada    Luiz Ferreira de Oliveira    Cururú    Cabreúva   SP    13317-864 </t>
  </si>
  <si>
    <t>Rua       Suíça</t>
  </si>
  <si>
    <t>13317-624</t>
  </si>
  <si>
    <t xml:space="preserve">-23.250857 -47.058039   Rua       Minas Gerais    Jacaré    Cabreúva   SP    13318-096 </t>
  </si>
  <si>
    <t>Rua       Syrah</t>
  </si>
  <si>
    <t>13318-448</t>
  </si>
  <si>
    <t xml:space="preserve">-23.307366 -47.133678   Rua       Concórdia    Jardim da Serra (Jacaré)    Cabreúva   SP    13318-140 </t>
  </si>
  <si>
    <t>Rua       Tailândia</t>
  </si>
  <si>
    <t>13317-618</t>
  </si>
  <si>
    <t xml:space="preserve">-23.299611 -47.137454   Rua       Primavera    Vale Verde (Centro)    Cabreúva   SP    13315-264 </t>
  </si>
  <si>
    <t>Rua       Taiti</t>
  </si>
  <si>
    <t>13317-664</t>
  </si>
  <si>
    <t xml:space="preserve">-23.25729 -47.09146   Rua       das Gardenias    Chácaras do Pinhal (Pinhal)    Cabreúva   SP    13317-284 </t>
  </si>
  <si>
    <t>Rua       Tannat</t>
  </si>
  <si>
    <t>13318-450</t>
  </si>
  <si>
    <t xml:space="preserve">-23.256466 -47.071555   Rua       Granada    Vila Preciosa (Vilarejo)    Cabreúva   SP    13317-508 </t>
  </si>
  <si>
    <t>Rua       Tanzânia</t>
  </si>
  <si>
    <t>13317-708</t>
  </si>
  <si>
    <t xml:space="preserve">-23.245618 -47.064924   Rua       Syrah    Reserva da Quinta (Jacaré)    Cabreúva   SP    13318-448 </t>
  </si>
  <si>
    <t>Rua       Tchecoeslováquia</t>
  </si>
  <si>
    <t>13317-614</t>
  </si>
  <si>
    <t xml:space="preserve">-23.261365 -47.049968   Rua       Amazonita    Jardim Colina da Serra II (Jacaré)    Cabreúva   SP    13318-270 </t>
  </si>
  <si>
    <t>Rua       Tiradentes</t>
  </si>
  <si>
    <t>13318-178</t>
  </si>
  <si>
    <t xml:space="preserve">-23.307366 -47.133678   Rua       Filipinas    Jardim Residencial Bela Vista (Vilarejo)    Cabreúva   SP    13317-740 </t>
  </si>
  <si>
    <t>Rua       Tocantins</t>
  </si>
  <si>
    <t>13318-162</t>
  </si>
  <si>
    <t xml:space="preserve">-23.253074 -47.088722   Avenida    Vereador Ermelindo Zacchi    Jardim das Paineiras (Pinhal)    Cabreúva   SP    13317-228 </t>
  </si>
  <si>
    <t>Rua       Topázio</t>
  </si>
  <si>
    <t>13317-516</t>
  </si>
  <si>
    <t xml:space="preserve">-23.243433 -47.061307   Rua       Campo Grande    Jacaré    Cabreúva   SP    13318-018 </t>
  </si>
  <si>
    <t>Rua       Topázio Imperial</t>
  </si>
  <si>
    <t>13318-240</t>
  </si>
  <si>
    <t xml:space="preserve">-23.253074 -47.088722   Via    Antonio Arnaldo de Queiroz e Silva    Pinhal    Cabreúva   SP    13317-288 </t>
  </si>
  <si>
    <t>Rua       Touriga</t>
  </si>
  <si>
    <t>13318-456</t>
  </si>
  <si>
    <t xml:space="preserve">-23.25729 -47.09146   Rua       Olinda Vieira    Chácaras do Pinhal (Pinhal)    Cabreúva   SP    13317-235 </t>
  </si>
  <si>
    <t>Rua       Três</t>
  </si>
  <si>
    <t>13316-602</t>
  </si>
  <si>
    <t xml:space="preserve">-23.287089 -47.05739   Rua       Particular    Bonfim    Cabreúva   SP    13319-026 </t>
  </si>
  <si>
    <t>Rua       Treze</t>
  </si>
  <si>
    <t>13316-612</t>
  </si>
  <si>
    <t xml:space="preserve">-23.307366 -47.133678   Rua       IugosláVia       Villarejo Sopé da Serra (Vilarejo)    Cabreúva   SP    13317-652 </t>
  </si>
  <si>
    <t>Rua       Tunísia</t>
  </si>
  <si>
    <t>13317-734</t>
  </si>
  <si>
    <t xml:space="preserve">-23.263171 -47.064347   Rua       Namíbia    Villarejo Sopé da Serra (Vilarejo)    Cabreúva   SP    13317-610 </t>
  </si>
  <si>
    <t>Rua       Turmalina</t>
  </si>
  <si>
    <t>13318-242</t>
  </si>
  <si>
    <t xml:space="preserve">-23.256466 -47.071555   Rua       Onix    Vila Preciosa (Vilarejo)    Cabreúva   SP    13317-522 </t>
  </si>
  <si>
    <t>13317-518</t>
  </si>
  <si>
    <t xml:space="preserve">-23.245618 -47.064924   Rua       Malvasia    Reserva da Quinta (Jacaré)    Cabreúva   SP    13318-464 </t>
  </si>
  <si>
    <t>Rua       Turquesa</t>
  </si>
  <si>
    <t>13318-238</t>
  </si>
  <si>
    <t xml:space="preserve">-23.305108 -47.130414   Via    de Acesso Vereador José de Moraes    Centro    Cabreúva   SP    13315-002 </t>
  </si>
  <si>
    <t>13317-510</t>
  </si>
  <si>
    <t xml:space="preserve">-23.253074 -47.088722   Rua       das Avencas    Pinhal Mirim (Pinhal)    Cabreúva   SP    13317-280 </t>
  </si>
  <si>
    <t>Rua       Turquia</t>
  </si>
  <si>
    <t>13317-682</t>
  </si>
  <si>
    <t xml:space="preserve">-23.30897 -47.131949   Rua       Everaldo Martins de Mello    Centro    Cabreúva   SP    13315-043 </t>
  </si>
  <si>
    <t>Rua       Uberlândia</t>
  </si>
  <si>
    <t>13317-782</t>
  </si>
  <si>
    <t xml:space="preserve">-23.245618 -47.064924   Rua       Existente    Jacaré    Cabreúva   SP    13318-115 </t>
  </si>
  <si>
    <t>Rua       Uganda</t>
  </si>
  <si>
    <t>13317-632</t>
  </si>
  <si>
    <t xml:space="preserve">-23.273444 -47.058329   Rua       Lituânia    Villarejo Sopé da Serra (Vilarejo)    Cabreúva   SP    13317-666 </t>
  </si>
  <si>
    <t>Rua       Um</t>
  </si>
  <si>
    <t>13316-600</t>
  </si>
  <si>
    <t xml:space="preserve">-23.296336 -47.137115   Rua       Cambará    Vale Verde (Centro)    Cabreúva   SP    13315-286 </t>
  </si>
  <si>
    <t>Residencial Haras Pindorama II (Jacaré)</t>
  </si>
  <si>
    <t>13318-409</t>
  </si>
  <si>
    <t xml:space="preserve">-23.251319 -47.060245   Rua       Rondônia    Jacaré    Cabreúva   SP    13318-066 </t>
  </si>
  <si>
    <t>Rua       Uruguai</t>
  </si>
  <si>
    <t>13317-760</t>
  </si>
  <si>
    <t xml:space="preserve">-23.307366 -47.133678   Avenida    Antonio Ortega    Pinhal    Cabreúva   SP    13317-212 </t>
  </si>
  <si>
    <t>Rua       Valinhos</t>
  </si>
  <si>
    <t>13315-106</t>
  </si>
  <si>
    <t xml:space="preserve">-23.24596 -47.067752   Rua       Gláucio Silvio Cardoso    Flor de Ipê (Jacaré)    Cabreúva   SP    13318-410 </t>
  </si>
  <si>
    <t>Rua       Venezuela</t>
  </si>
  <si>
    <t>13317-756</t>
  </si>
  <si>
    <t xml:space="preserve">-23.254934 -47.095128   Rua       Onofre Sakamoto    Jardim das Paineiras (Pinhal)    Cabreúva   SP    13317-220 </t>
  </si>
  <si>
    <t>Rua       Vereador Alexandre Barbosa Nogueira</t>
  </si>
  <si>
    <t>13317-214</t>
  </si>
  <si>
    <t xml:space="preserve">-23.245618 -47.064924   Rua       Malbec    Reserva da Quinta (Jacaré)    Cabreúva   SP    13318-442 </t>
  </si>
  <si>
    <t>Rua       Vereador João Pedro da Silva</t>
  </si>
  <si>
    <t>13318-127</t>
  </si>
  <si>
    <t xml:space="preserve">-23.305637 -47.127893   Rua       Egydio Mori    Jardim Zicatti (Centro)    Cabreúva   SP    13315-186 </t>
  </si>
  <si>
    <t>Rua       Vereador Renardi Peratello</t>
  </si>
  <si>
    <t>13318-412</t>
  </si>
  <si>
    <t xml:space="preserve">-23.25729 -47.09146   Rua       Rogério Vieira    Chácaras do Pinhal (Pinhal)    Cabreúva   SP    13317-237 </t>
  </si>
  <si>
    <t>Rua       Vereador Yassuo Hirano</t>
  </si>
  <si>
    <t>13318-04</t>
  </si>
  <si>
    <t xml:space="preserve">-23.272921 -47.060228   Rua       Rússia    Villarejo Sopé da Serra (Vilarejo)    Cabreúva   SP    13317-658 </t>
  </si>
  <si>
    <t>Rua       Victório Mori</t>
  </si>
  <si>
    <t>13315-182</t>
  </si>
  <si>
    <t xml:space="preserve">-23.245618 -47.064924   Alameda    Um    CECOM (Jacaré)    Cabreúva   SP    13318-356 </t>
  </si>
  <si>
    <t>Rua       Vila Rica</t>
  </si>
  <si>
    <t>13318-182</t>
  </si>
  <si>
    <t xml:space="preserve">-23.238444 -47.05743   Rua       dos Estudantes    Jacaré    Cabreúva   SP    13318-014 </t>
  </si>
  <si>
    <t>Rua       Virgínia</t>
  </si>
  <si>
    <t>13319-030</t>
  </si>
  <si>
    <t xml:space="preserve">-23.254402 -47.093563   Via    Francisco Botti    Chácaras do Pinhal (Pinhal)    Cabreúva   SP    13317-286 </t>
  </si>
  <si>
    <t>Rua       Vitória</t>
  </si>
  <si>
    <t>13318-008</t>
  </si>
  <si>
    <t xml:space="preserve">-23.299714 -47.139848   Rua       das Palmeiras    Vale Verde (Centro)    Cabreúva   SP    13315-270 </t>
  </si>
  <si>
    <t>Rua       Zircônio</t>
  </si>
  <si>
    <t>13318-284</t>
  </si>
  <si>
    <t xml:space="preserve">-23.259693 -47.049596   Rua       Rubelita    Jardim Colina da Serra II (Jacaré)    Cabreúva   SP    13318-278 </t>
  </si>
  <si>
    <t>Rua       24 de Março</t>
  </si>
  <si>
    <t>13315-172</t>
  </si>
  <si>
    <t xml:space="preserve">-23.259514 -47.050952   Rua       Alexandrita    Jardim Colina da Serra II (Jacaré)    Cabreúva   SP    13318-274 </t>
  </si>
  <si>
    <t>Travessa    Capitão Vitório Togni</t>
  </si>
  <si>
    <t>13318-012</t>
  </si>
  <si>
    <t xml:space="preserve">-23.257909 -47.051612   Alameda    San Isidro    Portal da Concórdia II (Jacaré)    Cabreúva   SP    13318-290 </t>
  </si>
  <si>
    <t>Travessa    das Pérolas</t>
  </si>
  <si>
    <t>13317-502</t>
  </si>
  <si>
    <t xml:space="preserve">-23.251611 -47.053156   Avenida    Vereador José Donato    Cururú    Cabreúva   SP    13317-850 </t>
  </si>
  <si>
    <t>Travessa    das Rosas</t>
  </si>
  <si>
    <t>13317-236</t>
  </si>
  <si>
    <t xml:space="preserve">-23.245618 -47.064924   Travessa    Capitão Vitório Togni    Jacaré    Cabreúva   SP    13318-012 </t>
  </si>
  <si>
    <t>Travessa    Dom Pedro I</t>
  </si>
  <si>
    <t>13315-041</t>
  </si>
  <si>
    <t xml:space="preserve">-23.571188 -46.66818   Rua       BolíVia       Jardim Fazendinha Real (Vilarejo)    Cabreúva   SP    13317-762 </t>
  </si>
  <si>
    <t>Travessa    dos Ipês</t>
  </si>
  <si>
    <t>13318-314</t>
  </si>
  <si>
    <t xml:space="preserve">-23.25005 -47.06124   Avenida    Cabreúva    Jacaré    Cabreúva   SP    13318-060 </t>
  </si>
  <si>
    <t>Travessa    Ercília Peratello</t>
  </si>
  <si>
    <t>13317-856</t>
  </si>
  <si>
    <t xml:space="preserve">-23.287089 -47.05739   Estrada    do Gavitti    Bonfim    Cabreúva   SP    13319-038 </t>
  </si>
  <si>
    <t>Travessa    Independência</t>
  </si>
  <si>
    <t>13315-039</t>
  </si>
  <si>
    <t xml:space="preserve">-23.307366 -47.133678   Rua       Marrocos    Jardim Residencial Bela Vista (Vilarejo)    Cabreúva   SP    13317-726 </t>
  </si>
  <si>
    <t>Travessa    Ivo Facioli</t>
  </si>
  <si>
    <t>13315-049</t>
  </si>
  <si>
    <t xml:space="preserve">-23.297702 -47.139528   Rua       Flamboiã    Vale Verde (Centro)    Cabreúva   SP    13315-274 </t>
  </si>
  <si>
    <t>Travessa    Manaus</t>
  </si>
  <si>
    <t>13318-068</t>
  </si>
  <si>
    <t xml:space="preserve">-23.240266 -47.053585   Rua       Amanari    Residencial Haras Pindorama I (Jacaré)    Cabreúva   SP    13318-402 </t>
  </si>
  <si>
    <t>Travessa    Marina</t>
  </si>
  <si>
    <t>13318-288</t>
  </si>
  <si>
    <t xml:space="preserve">-23.261446 -47.053993   Rua       Magnetita    Jardim Paraíso (Jacaré)    Cabreúva   SP    13318-236 </t>
  </si>
  <si>
    <t>Travessa    Natal</t>
  </si>
  <si>
    <t>13318-056</t>
  </si>
  <si>
    <t xml:space="preserve">-23.254402 -47.093563   Avenida    Engenheiro Afonso Botti    Pinhal    Cabreúva   SP    13317-208 </t>
  </si>
  <si>
    <t>Via    Antonio Arnaldo de Queiroz e Silva</t>
  </si>
  <si>
    <t>13317-288</t>
  </si>
  <si>
    <t xml:space="preserve">-23.286144 -47.058258   Rua       Renato Niuderauer Zanchi    Bonfim    Cabreúva   SP    13319-001 </t>
  </si>
  <si>
    <t>Via    Antonio Mesquita Togni</t>
  </si>
  <si>
    <t>13318-024</t>
  </si>
  <si>
    <t xml:space="preserve">-23.246868 -47.061006   Rua       Piauí    Jacaré    Cabreúva   SP    13318-070 </t>
  </si>
  <si>
    <t>Via    das Margaridas</t>
  </si>
  <si>
    <t>13317-266</t>
  </si>
  <si>
    <t xml:space="preserve">-23.244009 -47.062536   Rua       Felicita Manzoli Peratello    Flor de Ipê (Jacaré)    Cabreúva   SP    13318-416 </t>
  </si>
  <si>
    <t>Via    das Tulipas</t>
  </si>
  <si>
    <t>13317-264</t>
  </si>
  <si>
    <t xml:space="preserve">-23.299679 -48.055094   RodoVia    Dom Gabriel Paulino Bueno Couto  Km 80   Área C Quadra GL ENJOEI PRO  Pinhal    Cabreúva   SP    13315-900 </t>
  </si>
  <si>
    <t>Via    das Vitórias-Régia</t>
  </si>
  <si>
    <t>Chácaras do Pinhal V (Pinhal)</t>
  </si>
  <si>
    <t>13317-260</t>
  </si>
  <si>
    <t xml:space="preserve">-23.268788 -47.062056   Rua       Cabo Verde    Villarejo Sopé da Serra (Vilarejo)    Cabreúva   SP    13317-642 </t>
  </si>
  <si>
    <t>Via    de Acesso Vereador José de Moraes</t>
  </si>
  <si>
    <t>13315-002</t>
  </si>
  <si>
    <t xml:space="preserve">-23.250609 -47.055049   Rua       Ademar Clemente Nunes    Jardim da Serra (Jacaré)    Cabreúva   SP    13318-136 </t>
  </si>
  <si>
    <t>13317-200</t>
  </si>
  <si>
    <t xml:space="preserve">-23.250328 -47.059325   Rua       Florianópolis    Jacaré    Cabreúva   SP    13318-084 </t>
  </si>
  <si>
    <t>Via    Desembargador Luiz Carlos de Araújo</t>
  </si>
  <si>
    <t>13317-252</t>
  </si>
  <si>
    <t xml:space="preserve">-23.097247 -47.714462   Rua       Quatro    Alpes do Tietê    Cabreúva   SP    13316-603 </t>
  </si>
  <si>
    <t>Via    dos Girassóis</t>
  </si>
  <si>
    <t>13317-268</t>
  </si>
  <si>
    <t xml:space="preserve">-23.287089 -47.05739   Rua       do Vale    Bonfim    Cabreúva   SP    13319-032 </t>
  </si>
  <si>
    <t>Via    dos Indaiás</t>
  </si>
  <si>
    <t>13317-256</t>
  </si>
  <si>
    <t xml:space="preserve">-23.272222 -47.057234   Rua       Finlândia    Villarejo Sopé da Serra (Vilarejo)    Cabreúva   SP    13317-672 </t>
  </si>
  <si>
    <t>Via    dos Miosótis</t>
  </si>
  <si>
    <t>13317-254</t>
  </si>
  <si>
    <t xml:space="preserve">-23.307366 -47.133678   Rua       AlbertoSPina    Vila dos Mineiros    Cabreúva   SP    13317-102 </t>
  </si>
  <si>
    <t>Via    dos Pinhais</t>
  </si>
  <si>
    <t>13317-258</t>
  </si>
  <si>
    <t xml:space="preserve">-23.264522 -47.062123   Rua       Suíça    Villarejo Sopé da Serra (Vilarejo)    Cabreúva   SP    13317-624 </t>
  </si>
  <si>
    <t>Via    Francisco Botti</t>
  </si>
  <si>
    <t>13317-286</t>
  </si>
  <si>
    <t xml:space="preserve">-23.259724 -47.071429   Estrada    do Bonfim    Pinhal    Cabreúva   SP    13317-296 </t>
  </si>
  <si>
    <t>Ruas cabreuva</t>
  </si>
  <si>
    <t>cepsruas</t>
  </si>
  <si>
    <t>bairro ruas</t>
  </si>
  <si>
    <t>ruas com virgula</t>
  </si>
  <si>
    <t>ceps ruas com virgula</t>
  </si>
  <si>
    <t>bairro ruas com ceps</t>
  </si>
  <si>
    <t>I</t>
  </si>
  <si>
    <t>'I',</t>
  </si>
  <si>
    <t>13316708,</t>
  </si>
  <si>
    <t>'Fazenda Sossego (São Francisco)',</t>
  </si>
  <si>
    <t>dos Ipês</t>
  </si>
  <si>
    <t>'dos Ipês',</t>
  </si>
  <si>
    <t>13317294,</t>
  </si>
  <si>
    <t>'Chácaras do Pinhal (Pinhal)',</t>
  </si>
  <si>
    <t>Ceará</t>
  </si>
  <si>
    <t>'Ceará',</t>
  </si>
  <si>
    <t>13318092,</t>
  </si>
  <si>
    <t>'Jacaré',</t>
  </si>
  <si>
    <t>Sinézio Xavier Souza</t>
  </si>
  <si>
    <t>'Sinézio Xavier Souza',</t>
  </si>
  <si>
    <t>13317100,</t>
  </si>
  <si>
    <t>'Vila dos Mineiros',</t>
  </si>
  <si>
    <t>Vereador Yassuo Hirano</t>
  </si>
  <si>
    <t>'Vereador Yassuo Hirano',</t>
  </si>
  <si>
    <t>13318043,</t>
  </si>
  <si>
    <t>Victório Mori</t>
  </si>
  <si>
    <t>'Victório Mori',</t>
  </si>
  <si>
    <t>13315182,</t>
  </si>
  <si>
    <t>'Jardim Zicatti (Centro)',</t>
  </si>
  <si>
    <t>Sapucaia</t>
  </si>
  <si>
    <t>'Sapucaia',</t>
  </si>
  <si>
    <t>13315256,</t>
  </si>
  <si>
    <t>'Vale Verde (Centro)',</t>
  </si>
  <si>
    <t>J</t>
  </si>
  <si>
    <t>'J',</t>
  </si>
  <si>
    <t>13316709,</t>
  </si>
  <si>
    <t>Mato Grosso</t>
  </si>
  <si>
    <t>'Mato Grosso',</t>
  </si>
  <si>
    <t>13318082,</t>
  </si>
  <si>
    <t>São João Del Rey</t>
  </si>
  <si>
    <t>'São João Del Rey',</t>
  </si>
  <si>
    <t>13318172,</t>
  </si>
  <si>
    <t>'Parque Santo Antônio (Jacaré)',</t>
  </si>
  <si>
    <t>Japi</t>
  </si>
  <si>
    <t>'Japi',</t>
  </si>
  <si>
    <t>13318134,</t>
  </si>
  <si>
    <t>'Jardim da Serra (Jacaré)',</t>
  </si>
  <si>
    <t>dos Coqueiros</t>
  </si>
  <si>
    <t>'dos Coqueiros',</t>
  </si>
  <si>
    <t>13315254,</t>
  </si>
  <si>
    <t>Rio Grande do Sul</t>
  </si>
  <si>
    <t>'Rio Grande do Sul',</t>
  </si>
  <si>
    <t>13318048,</t>
  </si>
  <si>
    <t>Tunísia</t>
  </si>
  <si>
    <t>'Tunísia',</t>
  </si>
  <si>
    <t>13317734,</t>
  </si>
  <si>
    <t>'Jardim Residencial Bela Vista (Vilarejo)',</t>
  </si>
  <si>
    <t>Mônaco</t>
  </si>
  <si>
    <t>'Mônaco',</t>
  </si>
  <si>
    <t>13317636,</t>
  </si>
  <si>
    <t>'Villarejo Sopé da Serra (Vilarejo)',</t>
  </si>
  <si>
    <t>Seis</t>
  </si>
  <si>
    <t>'Seis',</t>
  </si>
  <si>
    <t>13316605,</t>
  </si>
  <si>
    <t>'Alpes do Tietê',</t>
  </si>
  <si>
    <t>das Orquídeas</t>
  </si>
  <si>
    <t>'das Orquídeas',</t>
  </si>
  <si>
    <t>13317278,</t>
  </si>
  <si>
    <t>'Pinhal Mirim (Pinhal)',</t>
  </si>
  <si>
    <t>Maranhão</t>
  </si>
  <si>
    <t>'Maranhão',</t>
  </si>
  <si>
    <t>13318122,</t>
  </si>
  <si>
    <t>Alecrim</t>
  </si>
  <si>
    <t>'Alecrim',</t>
  </si>
  <si>
    <t>13317224,</t>
  </si>
  <si>
    <t>'Jardim das Paineiras (Pinhal)',</t>
  </si>
  <si>
    <t>Groelândia</t>
  </si>
  <si>
    <t>'Groelândia',</t>
  </si>
  <si>
    <t>13317638,</t>
  </si>
  <si>
    <t>Conselheiro Rodrigues Alves</t>
  </si>
  <si>
    <t>'Conselheiro Rodrigues Alves',</t>
  </si>
  <si>
    <t>13315015,</t>
  </si>
  <si>
    <t>'Centro',</t>
  </si>
  <si>
    <t>Grécia</t>
  </si>
  <si>
    <t>'Grécia',</t>
  </si>
  <si>
    <t>13317738,</t>
  </si>
  <si>
    <t>Onze</t>
  </si>
  <si>
    <t>'Onze',</t>
  </si>
  <si>
    <t>13316610,</t>
  </si>
  <si>
    <t>Itatiba</t>
  </si>
  <si>
    <t>'Itatiba',</t>
  </si>
  <si>
    <t>13315120,</t>
  </si>
  <si>
    <t>'Nova Cabreúva (Centro)',</t>
  </si>
  <si>
    <t>Moscatel</t>
  </si>
  <si>
    <t>'Moscatel',</t>
  </si>
  <si>
    <t>13318466,</t>
  </si>
  <si>
    <t>'Reserva da Quinta (Jacaré)',</t>
  </si>
  <si>
    <t>Marajó</t>
  </si>
  <si>
    <t>'Marajó',</t>
  </si>
  <si>
    <t>13318123,</t>
  </si>
  <si>
    <t>Antonio Adenir Federsoni</t>
  </si>
  <si>
    <t>'Antonio Adenir Federsoni',</t>
  </si>
  <si>
    <t>13319020,</t>
  </si>
  <si>
    <t>'Bonfim',</t>
  </si>
  <si>
    <t>Quinze</t>
  </si>
  <si>
    <t>'Quinze',</t>
  </si>
  <si>
    <t>13316614,</t>
  </si>
  <si>
    <t>Ouro Preto</t>
  </si>
  <si>
    <t>'Ouro Preto',</t>
  </si>
  <si>
    <t>13318170,</t>
  </si>
  <si>
    <t>Irajá</t>
  </si>
  <si>
    <t>'Irajá',</t>
  </si>
  <si>
    <t>13318406,</t>
  </si>
  <si>
    <t>'Residencial Haras Pindorama I (Jacaré)',</t>
  </si>
  <si>
    <t>Vereador João Pedro da Silva</t>
  </si>
  <si>
    <t>'Vereador João Pedro da Silva',</t>
  </si>
  <si>
    <t>13318127,</t>
  </si>
  <si>
    <t>Acre</t>
  </si>
  <si>
    <t>'Acre',</t>
  </si>
  <si>
    <t>13318100,</t>
  </si>
  <si>
    <t>Juvenal Bicudo Galvão</t>
  </si>
  <si>
    <t>'Juvenal Bicudo Galvão',</t>
  </si>
  <si>
    <t>13318120,</t>
  </si>
  <si>
    <t>Izidoro Franceschini</t>
  </si>
  <si>
    <t>'Izidoro Franceschini',</t>
  </si>
  <si>
    <t>13315176,</t>
  </si>
  <si>
    <t>'Jardim Alice (Centro)',</t>
  </si>
  <si>
    <t>A</t>
  </si>
  <si>
    <t>'A',</t>
  </si>
  <si>
    <t>13316700,</t>
  </si>
  <si>
    <t>Doutor Hermogenes Godoy</t>
  </si>
  <si>
    <t>'Doutor Hermogenes Godoy',</t>
  </si>
  <si>
    <t>13315188,</t>
  </si>
  <si>
    <t>Campo Belo</t>
  </si>
  <si>
    <t>'Campo Belo',</t>
  </si>
  <si>
    <t>13317780,</t>
  </si>
  <si>
    <t>'Novo Bonfim (Vilarejo)',</t>
  </si>
  <si>
    <t>Jundiaí</t>
  </si>
  <si>
    <t>'Jundiaí',</t>
  </si>
  <si>
    <t>13315102,</t>
  </si>
  <si>
    <t>Rodésia</t>
  </si>
  <si>
    <t>'Rodésia',</t>
  </si>
  <si>
    <t>13317728,</t>
  </si>
  <si>
    <t>Princesa Isabel</t>
  </si>
  <si>
    <t>Jardim SantAna (Centro)</t>
  </si>
  <si>
    <t>'Princesa Isabel',</t>
  </si>
  <si>
    <t>13315088,</t>
  </si>
  <si>
    <t>'Jardim SantAna (Centro)',</t>
  </si>
  <si>
    <t>Montreal</t>
  </si>
  <si>
    <t>'Montreal',</t>
  </si>
  <si>
    <t>13317600,</t>
  </si>
  <si>
    <t>'Ambrósio Castalde Neto (Vilarejo)',</t>
  </si>
  <si>
    <t>Cristal</t>
  </si>
  <si>
    <t>'Cristal',</t>
  </si>
  <si>
    <t>13318244,</t>
  </si>
  <si>
    <t>'Jardim Colina da Serra (Jacaré)',</t>
  </si>
  <si>
    <t>Lauro Amirat</t>
  </si>
  <si>
    <t>'Lauro Amirat',</t>
  </si>
  <si>
    <t>13315007,</t>
  </si>
  <si>
    <t>Angola</t>
  </si>
  <si>
    <t>'Angola',</t>
  </si>
  <si>
    <t>13317712,</t>
  </si>
  <si>
    <t>China</t>
  </si>
  <si>
    <t>'China',</t>
  </si>
  <si>
    <t>13317622,</t>
  </si>
  <si>
    <t>Congo</t>
  </si>
  <si>
    <t>'Congo',</t>
  </si>
  <si>
    <t>13317716,</t>
  </si>
  <si>
    <t>Luiz Panzarini</t>
  </si>
  <si>
    <t>'Luiz Panzarini',</t>
  </si>
  <si>
    <t>13319034,</t>
  </si>
  <si>
    <t>Ademir dos Santos</t>
  </si>
  <si>
    <t>'Ademir dos Santos',</t>
  </si>
  <si>
    <t>13318258,</t>
  </si>
  <si>
    <t>'Jardim Colina da Serra II (Jacaré)',</t>
  </si>
  <si>
    <t>Escócia</t>
  </si>
  <si>
    <t>'Escócia',</t>
  </si>
  <si>
    <t>13317674,</t>
  </si>
  <si>
    <t>Iperó</t>
  </si>
  <si>
    <t>'Iperó',</t>
  </si>
  <si>
    <t>13315114,</t>
  </si>
  <si>
    <t>Moçambique</t>
  </si>
  <si>
    <t>'Moçambique',</t>
  </si>
  <si>
    <t>13317698,</t>
  </si>
  <si>
    <t>Pernambuco</t>
  </si>
  <si>
    <t>'Pernambuco',</t>
  </si>
  <si>
    <t>13318125,</t>
  </si>
  <si>
    <t>Três</t>
  </si>
  <si>
    <t>'Três',</t>
  </si>
  <si>
    <t>13316602,</t>
  </si>
  <si>
    <t>L</t>
  </si>
  <si>
    <t>'L',</t>
  </si>
  <si>
    <t>13316711,</t>
  </si>
  <si>
    <t>Austrália</t>
  </si>
  <si>
    <t>'Austrália',</t>
  </si>
  <si>
    <t>13317640,</t>
  </si>
  <si>
    <t>Aroeira</t>
  </si>
  <si>
    <t>'Aroeira',</t>
  </si>
  <si>
    <t>13315260,</t>
  </si>
  <si>
    <t>G</t>
  </si>
  <si>
    <t>'G',</t>
  </si>
  <si>
    <t>13316706,</t>
  </si>
  <si>
    <t>Renato de Barros Camargo</t>
  </si>
  <si>
    <t>'Renato de Barros Camargo',</t>
  </si>
  <si>
    <t>13315033,</t>
  </si>
  <si>
    <t>Cuiabá</t>
  </si>
  <si>
    <t>'Cuiabá',</t>
  </si>
  <si>
    <t>13318086,</t>
  </si>
  <si>
    <t>Benedito Mesquita da Silveira</t>
  </si>
  <si>
    <t>Jardim Santana (Centro)</t>
  </si>
  <si>
    <t>'Benedito Mesquita da Silveira',</t>
  </si>
  <si>
    <t>13315086,</t>
  </si>
  <si>
    <t>'Jardim Santana (Centro)',</t>
  </si>
  <si>
    <t>Oscar Vilela</t>
  </si>
  <si>
    <t>'Oscar Vilela',</t>
  </si>
  <si>
    <t>13315150,</t>
  </si>
  <si>
    <t>'Jardim Pedroso (Centro)',</t>
  </si>
  <si>
    <t>Líbia</t>
  </si>
  <si>
    <t>'Líbia',</t>
  </si>
  <si>
    <t>13317661,</t>
  </si>
  <si>
    <t>Ipanema</t>
  </si>
  <si>
    <t>'Ipanema',</t>
  </si>
  <si>
    <t>13318408,</t>
  </si>
  <si>
    <t>Carmenére</t>
  </si>
  <si>
    <t>'Carmenére',</t>
  </si>
  <si>
    <t>13318444,</t>
  </si>
  <si>
    <t>Fernando Nunes</t>
  </si>
  <si>
    <t>'Fernando Nunes',</t>
  </si>
  <si>
    <t>13318130,</t>
  </si>
  <si>
    <t>Goiás</t>
  </si>
  <si>
    <t>'Goiás',</t>
  </si>
  <si>
    <t>13318072,</t>
  </si>
  <si>
    <t>José Corazza</t>
  </si>
  <si>
    <t>'José Corazza',</t>
  </si>
  <si>
    <t>13315152,</t>
  </si>
  <si>
    <t>D</t>
  </si>
  <si>
    <t>'D',</t>
  </si>
  <si>
    <t>13316703,</t>
  </si>
  <si>
    <t>Taiti</t>
  </si>
  <si>
    <t>'Taiti',</t>
  </si>
  <si>
    <t>13317664,</t>
  </si>
  <si>
    <t>Salvador Pinto da Silva</t>
  </si>
  <si>
    <t>'Salvador Pinto da Silva',</t>
  </si>
  <si>
    <t>13316804,</t>
  </si>
  <si>
    <t>'Bananal',</t>
  </si>
  <si>
    <t>da Paineira</t>
  </si>
  <si>
    <t>'da Paineira',</t>
  </si>
  <si>
    <t>13315268,</t>
  </si>
  <si>
    <t>Rubi</t>
  </si>
  <si>
    <t>'Rubi',</t>
  </si>
  <si>
    <t>13317520,</t>
  </si>
  <si>
    <t>'Vila Preciosa (Vilarejo)',</t>
  </si>
  <si>
    <t>Pirita</t>
  </si>
  <si>
    <t>'Pirita',</t>
  </si>
  <si>
    <t>13318264,</t>
  </si>
  <si>
    <t>Mariana</t>
  </si>
  <si>
    <t>'Mariana',</t>
  </si>
  <si>
    <t>13318176,</t>
  </si>
  <si>
    <t>Mário Faccioli</t>
  </si>
  <si>
    <t>'Mário Faccioli',</t>
  </si>
  <si>
    <t>13315013,</t>
  </si>
  <si>
    <t>Berilo</t>
  </si>
  <si>
    <t>'Berilo',</t>
  </si>
  <si>
    <t>13318250,</t>
  </si>
  <si>
    <t>Mauritânia</t>
  </si>
  <si>
    <t>'Mauritânia',</t>
  </si>
  <si>
    <t>13317736,</t>
  </si>
  <si>
    <t>Cônego Motta</t>
  </si>
  <si>
    <t>'Cônego Motta',</t>
  </si>
  <si>
    <t>13315017,</t>
  </si>
  <si>
    <t>Otília Iansen Castaldi</t>
  </si>
  <si>
    <t>'Otília Iansen Castaldi',</t>
  </si>
  <si>
    <t>13317722,</t>
  </si>
  <si>
    <t>Colômbia</t>
  </si>
  <si>
    <t>'Colômbia',</t>
  </si>
  <si>
    <t>13317764,</t>
  </si>
  <si>
    <t>'Jardim Fazendinha Real (Vilarejo)',</t>
  </si>
  <si>
    <t>Rogério da Silveira Camargo</t>
  </si>
  <si>
    <t>'Rogério da Silveira Camargo',</t>
  </si>
  <si>
    <t>13318148,</t>
  </si>
  <si>
    <t>'Jardim da Serra II (Jacaré)',</t>
  </si>
  <si>
    <t>Ceci</t>
  </si>
  <si>
    <t>'Ceci',</t>
  </si>
  <si>
    <t>13318400,</t>
  </si>
  <si>
    <t>Fideles José Oliveira Netto</t>
  </si>
  <si>
    <t>'Fideles José Oliveira Netto',</t>
  </si>
  <si>
    <t>13319008,</t>
  </si>
  <si>
    <t>Mato Grosso do Sul</t>
  </si>
  <si>
    <t>'Mato Grosso do Sul',</t>
  </si>
  <si>
    <t>13318064,</t>
  </si>
  <si>
    <t>ArmandoSPina</t>
  </si>
  <si>
    <t>'ArmandoSPina',</t>
  </si>
  <si>
    <t>13317104,</t>
  </si>
  <si>
    <t>Amoreira</t>
  </si>
  <si>
    <t>'Amoreira',</t>
  </si>
  <si>
    <t>13315266,</t>
  </si>
  <si>
    <t>K</t>
  </si>
  <si>
    <t>'K',</t>
  </si>
  <si>
    <t>13316710,</t>
  </si>
  <si>
    <t>Nebbiolo</t>
  </si>
  <si>
    <t>'Nebbiolo',</t>
  </si>
  <si>
    <t>13318460,</t>
  </si>
  <si>
    <t>Jequitibá</t>
  </si>
  <si>
    <t>'Jequitibá',</t>
  </si>
  <si>
    <t>13315282,</t>
  </si>
  <si>
    <t>Venezuela</t>
  </si>
  <si>
    <t>'Venezuela',</t>
  </si>
  <si>
    <t>13317756,</t>
  </si>
  <si>
    <t>Mongólia</t>
  </si>
  <si>
    <t>'Mongólia',</t>
  </si>
  <si>
    <t>13317678,</t>
  </si>
  <si>
    <t>Dez</t>
  </si>
  <si>
    <t>'Dez',</t>
  </si>
  <si>
    <t>13316609,</t>
  </si>
  <si>
    <t>Regente Feijó</t>
  </si>
  <si>
    <t>'Regente Feijó',</t>
  </si>
  <si>
    <t>13315090,</t>
  </si>
  <si>
    <t>Iraque</t>
  </si>
  <si>
    <t>'Iraque',</t>
  </si>
  <si>
    <t>13317694,</t>
  </si>
  <si>
    <t>Vereador Alexandre Barbosa Nogueira</t>
  </si>
  <si>
    <t>'Vereador Alexandre Barbosa Nogueira',</t>
  </si>
  <si>
    <t>13317214,</t>
  </si>
  <si>
    <t>'Pinhal',</t>
  </si>
  <si>
    <t>Topázio</t>
  </si>
  <si>
    <t>'Topázio',</t>
  </si>
  <si>
    <t>13317516,</t>
  </si>
  <si>
    <t>Maria Nadir Rosa Barroso</t>
  </si>
  <si>
    <t>'Maria Nadir Rosa Barroso',</t>
  </si>
  <si>
    <t>13318098,</t>
  </si>
  <si>
    <t>Luis Nunes</t>
  </si>
  <si>
    <t>'Luis Nunes',</t>
  </si>
  <si>
    <t>13318152,</t>
  </si>
  <si>
    <t>Ângelo Mezalira</t>
  </si>
  <si>
    <t>'Ângelo Mezalira',</t>
  </si>
  <si>
    <t>13317858,</t>
  </si>
  <si>
    <t>'Cururú',</t>
  </si>
  <si>
    <t>Dinamarca</t>
  </si>
  <si>
    <t>'Dinamarca',</t>
  </si>
  <si>
    <t>13317626,</t>
  </si>
  <si>
    <t>Albânia</t>
  </si>
  <si>
    <t>'Albânia',</t>
  </si>
  <si>
    <t>13317676,</t>
  </si>
  <si>
    <t>Brunello</t>
  </si>
  <si>
    <t>'Brunello',</t>
  </si>
  <si>
    <t>13318454,</t>
  </si>
  <si>
    <t>Água Marinha</t>
  </si>
  <si>
    <t>'Água Marinha',</t>
  </si>
  <si>
    <t>13318280,</t>
  </si>
  <si>
    <t>Campo Limpo</t>
  </si>
  <si>
    <t>'Campo Limpo',</t>
  </si>
  <si>
    <t>13315104,</t>
  </si>
  <si>
    <t>Turmalina</t>
  </si>
  <si>
    <t>'Turmalina',</t>
  </si>
  <si>
    <t>13318242,</t>
  </si>
  <si>
    <t>Anita Maria Botti Pedroso</t>
  </si>
  <si>
    <t>'Anita Maria Botti Pedroso',</t>
  </si>
  <si>
    <t>13317210,</t>
  </si>
  <si>
    <t>Georgios Kordoutis</t>
  </si>
  <si>
    <t>'Georgios Kordoutis',</t>
  </si>
  <si>
    <t>13318020,</t>
  </si>
  <si>
    <t>AndrelinoSPina</t>
  </si>
  <si>
    <t>'AndrelinoSPina',</t>
  </si>
  <si>
    <t>13318118,</t>
  </si>
  <si>
    <t>Joaquim Rabello Cintra</t>
  </si>
  <si>
    <t>'Joaquim Rabello Cintra',</t>
  </si>
  <si>
    <t>13315023,</t>
  </si>
  <si>
    <t>Madagascar</t>
  </si>
  <si>
    <t>'Madagascar',</t>
  </si>
  <si>
    <t>13317648,</t>
  </si>
  <si>
    <t>Idalina Russo Câmara</t>
  </si>
  <si>
    <t>'Idalina Russo Câmara',</t>
  </si>
  <si>
    <t>13315184,</t>
  </si>
  <si>
    <t>Dois</t>
  </si>
  <si>
    <t>'Dois',</t>
  </si>
  <si>
    <t>13316601,</t>
  </si>
  <si>
    <t>Paraguai</t>
  </si>
  <si>
    <t>'Paraguai',</t>
  </si>
  <si>
    <t>13317758,</t>
  </si>
  <si>
    <t>Antonio Pavani</t>
  </si>
  <si>
    <t>'Antonio Pavani',</t>
  </si>
  <si>
    <t>13315154,</t>
  </si>
  <si>
    <t>dos BemTeVis</t>
  </si>
  <si>
    <t>'dos BemTeVis',</t>
  </si>
  <si>
    <t>13317242,</t>
  </si>
  <si>
    <t>Bélgica</t>
  </si>
  <si>
    <t>'Bélgica',</t>
  </si>
  <si>
    <t>13317656,</t>
  </si>
  <si>
    <t>dos Jasmins</t>
  </si>
  <si>
    <t>'dos Jasmins',</t>
  </si>
  <si>
    <t>13317272,</t>
  </si>
  <si>
    <t>Itajubá</t>
  </si>
  <si>
    <t>'Itajubá',</t>
  </si>
  <si>
    <t>13317778,</t>
  </si>
  <si>
    <t>Uruguai</t>
  </si>
  <si>
    <t>'Uruguai',</t>
  </si>
  <si>
    <t>13317760,</t>
  </si>
  <si>
    <t>Rio Claro</t>
  </si>
  <si>
    <t>'Rio Claro',</t>
  </si>
  <si>
    <t>13317784,</t>
  </si>
  <si>
    <t>Opala</t>
  </si>
  <si>
    <t>'Opala',</t>
  </si>
  <si>
    <t>13318234,</t>
  </si>
  <si>
    <t>dos Oliveiras</t>
  </si>
  <si>
    <t>'dos Oliveiras',</t>
  </si>
  <si>
    <t>13318114,</t>
  </si>
  <si>
    <t>Argentina</t>
  </si>
  <si>
    <t>'Argentina',</t>
  </si>
  <si>
    <t>13317750,</t>
  </si>
  <si>
    <t>Adolfo Calegari</t>
  </si>
  <si>
    <t>'Adolfo Calegari',</t>
  </si>
  <si>
    <t>13315047,</t>
  </si>
  <si>
    <t>José Soares Silva Neto</t>
  </si>
  <si>
    <t>'José Soares Silva Neto',</t>
  </si>
  <si>
    <t>13317852,</t>
  </si>
  <si>
    <t>Quaresmeira</t>
  </si>
  <si>
    <t>'Quaresmeira',</t>
  </si>
  <si>
    <t>13315284,</t>
  </si>
  <si>
    <t>das Camélias</t>
  </si>
  <si>
    <t>'das Camélias',</t>
  </si>
  <si>
    <t>13317270,</t>
  </si>
  <si>
    <t>Erothides de Campos</t>
  </si>
  <si>
    <t>'Erothides de Campos',</t>
  </si>
  <si>
    <t>13315166,</t>
  </si>
  <si>
    <t>'Jardim Ipê (Centro)',</t>
  </si>
  <si>
    <t>Nigéria</t>
  </si>
  <si>
    <t>'Nigéria',</t>
  </si>
  <si>
    <t>13317724,</t>
  </si>
  <si>
    <t>Pedro Federsoni  225</t>
  </si>
  <si>
    <t>AGC Bonfim do Bom Jesus Bonfim</t>
  </si>
  <si>
    <t>'Pedro Federsoni  225',</t>
  </si>
  <si>
    <t>13319970,</t>
  </si>
  <si>
    <t>'AGC Bonfim do Bom Jesus Bonfim',</t>
  </si>
  <si>
    <t>Zircônio</t>
  </si>
  <si>
    <t>'Zircônio',</t>
  </si>
  <si>
    <t>13318284,</t>
  </si>
  <si>
    <t>Hungria</t>
  </si>
  <si>
    <t>'Hungria',</t>
  </si>
  <si>
    <t>13317612,</t>
  </si>
  <si>
    <t>Paraíba</t>
  </si>
  <si>
    <t>'Paraíba',</t>
  </si>
  <si>
    <t>13318104,</t>
  </si>
  <si>
    <t>Safira</t>
  </si>
  <si>
    <t>'Safira',</t>
  </si>
  <si>
    <t>13317512,</t>
  </si>
  <si>
    <t>Vereador Renardi Peratello</t>
  </si>
  <si>
    <t>'Vereador Renardi Peratello',</t>
  </si>
  <si>
    <t>13318412,</t>
  </si>
  <si>
    <t>'Flor de Ipê (Jacaré)',</t>
  </si>
  <si>
    <t>Uberlândia</t>
  </si>
  <si>
    <t>'Uberlândia',</t>
  </si>
  <si>
    <t>13317782,</t>
  </si>
  <si>
    <t>Turquia</t>
  </si>
  <si>
    <t>'Turquia',</t>
  </si>
  <si>
    <t>13317682,</t>
  </si>
  <si>
    <t>C</t>
  </si>
  <si>
    <t>'C',</t>
  </si>
  <si>
    <t>13316702,</t>
  </si>
  <si>
    <t>Merlot</t>
  </si>
  <si>
    <t>'Merlot',</t>
  </si>
  <si>
    <t>13318458,</t>
  </si>
  <si>
    <t>Itapetininga</t>
  </si>
  <si>
    <t>'Itapetininga',</t>
  </si>
  <si>
    <t>13317794,</t>
  </si>
  <si>
    <t>84 AC Cabreúva  Centro</t>
  </si>
  <si>
    <t>13315970,</t>
  </si>
  <si>
    <t>'84 AC Cabreúva  Centro',</t>
  </si>
  <si>
    <t>Tiradentes</t>
  </si>
  <si>
    <t>'Tiradentes',</t>
  </si>
  <si>
    <t>13318178,</t>
  </si>
  <si>
    <t>Cerejeira</t>
  </si>
  <si>
    <t>'Cerejeira',</t>
  </si>
  <si>
    <t>13315292,</t>
  </si>
  <si>
    <t>das Palmeiras</t>
  </si>
  <si>
    <t>'das Palmeiras',</t>
  </si>
  <si>
    <t>13317226,</t>
  </si>
  <si>
    <t>Pirapóra</t>
  </si>
  <si>
    <t>'Pirapóra',</t>
  </si>
  <si>
    <t>13315110,</t>
  </si>
  <si>
    <t>Ambrósio Castaldi Filho</t>
  </si>
  <si>
    <t>'Ambrósio Castaldi Filho',</t>
  </si>
  <si>
    <t>13317704,</t>
  </si>
  <si>
    <t>Amélia Sório da Cruz</t>
  </si>
  <si>
    <t>'Amélia Sório da Cruz',</t>
  </si>
  <si>
    <t>13316811,</t>
  </si>
  <si>
    <t>Ipê</t>
  </si>
  <si>
    <t>'Ipê',</t>
  </si>
  <si>
    <t>13317222,</t>
  </si>
  <si>
    <t>F</t>
  </si>
  <si>
    <t>'F',</t>
  </si>
  <si>
    <t>13316705,</t>
  </si>
  <si>
    <t>Uganda</t>
  </si>
  <si>
    <t>'Uganda',</t>
  </si>
  <si>
    <t>13317632,</t>
  </si>
  <si>
    <t>Peru</t>
  </si>
  <si>
    <t>'Peru',</t>
  </si>
  <si>
    <t>13317752,</t>
  </si>
  <si>
    <t>Pará</t>
  </si>
  <si>
    <t>'Pará',</t>
  </si>
  <si>
    <t>13318090,</t>
  </si>
  <si>
    <t>Platina</t>
  </si>
  <si>
    <t>'Platina',</t>
  </si>
  <si>
    <t>13318246,</t>
  </si>
  <si>
    <t>Araçatuba</t>
  </si>
  <si>
    <t>'Araçatuba',</t>
  </si>
  <si>
    <t>13317800,</t>
  </si>
  <si>
    <t>Jordânia</t>
  </si>
  <si>
    <t>'Jordânia',</t>
  </si>
  <si>
    <t>13317686,</t>
  </si>
  <si>
    <t>Caracol</t>
  </si>
  <si>
    <t>'Caracol',</t>
  </si>
  <si>
    <t>13318150,</t>
  </si>
  <si>
    <t>Joinville</t>
  </si>
  <si>
    <t>'Joinville',</t>
  </si>
  <si>
    <t>13318062,</t>
  </si>
  <si>
    <t>das Pérolas</t>
  </si>
  <si>
    <t>'das Pérolas',</t>
  </si>
  <si>
    <t>13317504,</t>
  </si>
  <si>
    <t>Francisco Henrique Faber</t>
  </si>
  <si>
    <t>'Francisco Henrique Faber',</t>
  </si>
  <si>
    <t>13317860,</t>
  </si>
  <si>
    <t>França</t>
  </si>
  <si>
    <t>'França',</t>
  </si>
  <si>
    <t>13317634,</t>
  </si>
  <si>
    <t>Espírito Santo</t>
  </si>
  <si>
    <t>'Espírito Santo',</t>
  </si>
  <si>
    <t>13318080,</t>
  </si>
  <si>
    <t>Ágata</t>
  </si>
  <si>
    <t>'Ágata',</t>
  </si>
  <si>
    <t>13317524,</t>
  </si>
  <si>
    <t>Jamaica</t>
  </si>
  <si>
    <t>'Jamaica',</t>
  </si>
  <si>
    <t>13317688,</t>
  </si>
  <si>
    <t>Chile</t>
  </si>
  <si>
    <t>'Chile',</t>
  </si>
  <si>
    <t>13317754,</t>
  </si>
  <si>
    <t>Lauro Pinto Toledo</t>
  </si>
  <si>
    <t>'Lauro Pinto Toledo',</t>
  </si>
  <si>
    <t>13317300,</t>
  </si>
  <si>
    <t>Somália</t>
  </si>
  <si>
    <t>'Somália',</t>
  </si>
  <si>
    <t>13317730,</t>
  </si>
  <si>
    <t>Pirahy</t>
  </si>
  <si>
    <t>'Pirahy',</t>
  </si>
  <si>
    <t>13318144,</t>
  </si>
  <si>
    <t>Duque de Caxias</t>
  </si>
  <si>
    <t>'Duque de Caxias',</t>
  </si>
  <si>
    <t>13315082,</t>
  </si>
  <si>
    <t>Maceió</t>
  </si>
  <si>
    <t>'Maceió',</t>
  </si>
  <si>
    <t>13318414,</t>
  </si>
  <si>
    <t>Lorena</t>
  </si>
  <si>
    <t>'Lorena',</t>
  </si>
  <si>
    <t>13317792,</t>
  </si>
  <si>
    <t>Santa Terezinha</t>
  </si>
  <si>
    <t>'Santa Terezinha',</t>
  </si>
  <si>
    <t>13318146,</t>
  </si>
  <si>
    <t>Cássio Xavier de Mendonça</t>
  </si>
  <si>
    <t>'Cássio Xavier de Mendonça',</t>
  </si>
  <si>
    <t>13315011,</t>
  </si>
  <si>
    <t>dos Eucaliptos</t>
  </si>
  <si>
    <t>'dos Eucaliptos',</t>
  </si>
  <si>
    <t>13315244,</t>
  </si>
  <si>
    <t>dos BeijaFlores</t>
  </si>
  <si>
    <t>'dos BeijaFlores',</t>
  </si>
  <si>
    <t>13317240,</t>
  </si>
  <si>
    <t>13315250,</t>
  </si>
  <si>
    <t>Manoel Martins de Melo</t>
  </si>
  <si>
    <t>'Manoel Martins de Melo',</t>
  </si>
  <si>
    <t>13315037,</t>
  </si>
  <si>
    <t>David Marcassa Lopes</t>
  </si>
  <si>
    <t>'David Marcassa Lopes',</t>
  </si>
  <si>
    <t>13317234,</t>
  </si>
  <si>
    <t>Solaris</t>
  </si>
  <si>
    <t>'Solaris',</t>
  </si>
  <si>
    <t>13317292,</t>
  </si>
  <si>
    <t>Pedro Federsoni</t>
  </si>
  <si>
    <t>'Pedro Federsoni',</t>
  </si>
  <si>
    <t>13319011,</t>
  </si>
  <si>
    <t>Marcelina Pereira da Costa</t>
  </si>
  <si>
    <t>'Marcelina Pereira da Costa',</t>
  </si>
  <si>
    <t>13319024,</t>
  </si>
  <si>
    <t>Pirassununga</t>
  </si>
  <si>
    <t>'Pirassununga',</t>
  </si>
  <si>
    <t>13317776,</t>
  </si>
  <si>
    <t>Montes Claros</t>
  </si>
  <si>
    <t>'Montes Claros',</t>
  </si>
  <si>
    <t>13317788,</t>
  </si>
  <si>
    <t>Miguel Castarde</t>
  </si>
  <si>
    <t>'Miguel Castarde',</t>
  </si>
  <si>
    <t>13318418,</t>
  </si>
  <si>
    <t>84 Clique e Retire Correios AC Cabreúva Clique e Retire  Centro</t>
  </si>
  <si>
    <t>13315959,</t>
  </si>
  <si>
    <t>'84 Clique e Retire Correios AC Cabreúva Clique e Retire  Centro',</t>
  </si>
  <si>
    <t>Mógno</t>
  </si>
  <si>
    <t>'Mógno',</t>
  </si>
  <si>
    <t>13315276,</t>
  </si>
  <si>
    <t>Paulo Takohei Yokoyama</t>
  </si>
  <si>
    <t>'Paulo Takohei Yokoyama',</t>
  </si>
  <si>
    <t>13316807,</t>
  </si>
  <si>
    <t>Monte Verde</t>
  </si>
  <si>
    <t>'Monte Verde',</t>
  </si>
  <si>
    <t>13317790,</t>
  </si>
  <si>
    <t>Juiz de Fora</t>
  </si>
  <si>
    <t>'Juiz de Fora',</t>
  </si>
  <si>
    <t>13317772,</t>
  </si>
  <si>
    <t>Manoel Ávila</t>
  </si>
  <si>
    <t>'Manoel Ávila',</t>
  </si>
  <si>
    <t>13316806,</t>
  </si>
  <si>
    <t>Benedito Mesquita Camargo</t>
  </si>
  <si>
    <t>'Benedito Mesquita Camargo',</t>
  </si>
  <si>
    <t>13315162,</t>
  </si>
  <si>
    <t>João Eupideo da Costa</t>
  </si>
  <si>
    <t>'João Eupideo da Costa',</t>
  </si>
  <si>
    <t>13319022,</t>
  </si>
  <si>
    <t>Jacarandá</t>
  </si>
  <si>
    <t>'Jacarandá',</t>
  </si>
  <si>
    <t>13315288,</t>
  </si>
  <si>
    <t>Jade</t>
  </si>
  <si>
    <t>'Jade',</t>
  </si>
  <si>
    <t>13317500,</t>
  </si>
  <si>
    <t>Adélia Barbosa Oliveira</t>
  </si>
  <si>
    <t>'Adélia Barbosa Oliveira',</t>
  </si>
  <si>
    <t>13317620,</t>
  </si>
  <si>
    <t>Domingos Malvezzi</t>
  </si>
  <si>
    <t>'Domingos Malvezzi',</t>
  </si>
  <si>
    <t>13319004,</t>
  </si>
  <si>
    <t>Francisco Nery de Souza</t>
  </si>
  <si>
    <t>'Francisco Nery de Souza',</t>
  </si>
  <si>
    <t>13318110,</t>
  </si>
  <si>
    <t>dos Ávilas</t>
  </si>
  <si>
    <t>'dos Ávilas',</t>
  </si>
  <si>
    <t>13316803,</t>
  </si>
  <si>
    <t>José Pedro da Silva</t>
  </si>
  <si>
    <t>'José Pedro da Silva',</t>
  </si>
  <si>
    <t>13317232,</t>
  </si>
  <si>
    <t>Hematita</t>
  </si>
  <si>
    <t>'Hematita',</t>
  </si>
  <si>
    <t>13318262,</t>
  </si>
  <si>
    <t>do Pinheiro</t>
  </si>
  <si>
    <t>'do Pinheiro',</t>
  </si>
  <si>
    <t>13315290,</t>
  </si>
  <si>
    <t>Itupeva</t>
  </si>
  <si>
    <t>'Itupeva',</t>
  </si>
  <si>
    <t>13315108,</t>
  </si>
  <si>
    <t>Calcita</t>
  </si>
  <si>
    <t>'Calcita',</t>
  </si>
  <si>
    <t>13318276,</t>
  </si>
  <si>
    <t>Seringueira</t>
  </si>
  <si>
    <t>'Seringueira',</t>
  </si>
  <si>
    <t>13315278,</t>
  </si>
  <si>
    <t>Um</t>
  </si>
  <si>
    <t>'Um',</t>
  </si>
  <si>
    <t>13316600,</t>
  </si>
  <si>
    <t>Quênia</t>
  </si>
  <si>
    <t>'Quênia',</t>
  </si>
  <si>
    <t>13317706,</t>
  </si>
  <si>
    <t>Rotary</t>
  </si>
  <si>
    <t>'Rotary',</t>
  </si>
  <si>
    <t>13318102,</t>
  </si>
  <si>
    <t>Peróba</t>
  </si>
  <si>
    <t>'Peróba',</t>
  </si>
  <si>
    <t>13315280,</t>
  </si>
  <si>
    <t>Cassiterita</t>
  </si>
  <si>
    <t>'Cassiterita',</t>
  </si>
  <si>
    <t>13318282,</t>
  </si>
  <si>
    <t>Lazuli</t>
  </si>
  <si>
    <t>'Lazuli',</t>
  </si>
  <si>
    <t>13318286,</t>
  </si>
  <si>
    <t>Chapéu de Sol</t>
  </si>
  <si>
    <t>'Chapéu de Sol',</t>
  </si>
  <si>
    <t>13315272,</t>
  </si>
  <si>
    <t>Pouso Alegre</t>
  </si>
  <si>
    <t>'Pouso Alegre',</t>
  </si>
  <si>
    <t>13317786,</t>
  </si>
  <si>
    <t>José Bertagni</t>
  </si>
  <si>
    <t>'José Bertagni',</t>
  </si>
  <si>
    <t>13318126,</t>
  </si>
  <si>
    <t>Humberto Pelegrini</t>
  </si>
  <si>
    <t>'Humberto Pelegrini',</t>
  </si>
  <si>
    <t>13318050,</t>
  </si>
  <si>
    <t>Barcelona</t>
  </si>
  <si>
    <t>'Barcelona',</t>
  </si>
  <si>
    <t>13317602,</t>
  </si>
  <si>
    <t>Antonio Furquim</t>
  </si>
  <si>
    <t>'Antonio Furquim',</t>
  </si>
  <si>
    <t>13318108,</t>
  </si>
  <si>
    <t>Holanda</t>
  </si>
  <si>
    <t>'Holanda',</t>
  </si>
  <si>
    <t>13317662,</t>
  </si>
  <si>
    <t>Kuwait</t>
  </si>
  <si>
    <t>'Kuwait',</t>
  </si>
  <si>
    <t>13317692,</t>
  </si>
  <si>
    <t>Pedro Singulani</t>
  </si>
  <si>
    <t>'Pedro Singulani',</t>
  </si>
  <si>
    <t>13315178,</t>
  </si>
  <si>
    <t>Quartzo</t>
  </si>
  <si>
    <t>'Quartzo',</t>
  </si>
  <si>
    <t>13318260,</t>
  </si>
  <si>
    <t>Oito</t>
  </si>
  <si>
    <t>'Oito',</t>
  </si>
  <si>
    <t>13316607,</t>
  </si>
  <si>
    <t>das CotoVias</t>
  </si>
  <si>
    <t>'das CotoVias',</t>
  </si>
  <si>
    <t>13317238,</t>
  </si>
  <si>
    <t>13317518,</t>
  </si>
  <si>
    <t>das Samambaias</t>
  </si>
  <si>
    <t>'das Samambaias',</t>
  </si>
  <si>
    <t>13317282,</t>
  </si>
  <si>
    <t>Gana</t>
  </si>
  <si>
    <t>'Gana',</t>
  </si>
  <si>
    <t>13317744,</t>
  </si>
  <si>
    <t>Onofre Sakamoto 71</t>
  </si>
  <si>
    <t>AGC Pinhal</t>
  </si>
  <si>
    <t>'Onofre Sakamoto 71',</t>
  </si>
  <si>
    <t>13315971,</t>
  </si>
  <si>
    <t>'AGC Pinhal',</t>
  </si>
  <si>
    <t>Maestro Benedicto Xisto Leite Sabugo</t>
  </si>
  <si>
    <t>'Maestro Benedicto Xisto Leite Sabugo',</t>
  </si>
  <si>
    <t>13315122,</t>
  </si>
  <si>
    <t>do Cedro</t>
  </si>
  <si>
    <t>'do Cedro',</t>
  </si>
  <si>
    <t>13315246,</t>
  </si>
  <si>
    <t>Abissínia</t>
  </si>
  <si>
    <t>'Abissínia',</t>
  </si>
  <si>
    <t>13317710,</t>
  </si>
  <si>
    <t>África do Sul</t>
  </si>
  <si>
    <t>'África do Sul',</t>
  </si>
  <si>
    <t>13317742,</t>
  </si>
  <si>
    <t>Nicodemos Pincinato</t>
  </si>
  <si>
    <t>'Nicodemos Pincinato',</t>
  </si>
  <si>
    <t>13318006,</t>
  </si>
  <si>
    <t>B</t>
  </si>
  <si>
    <t>'B',</t>
  </si>
  <si>
    <t>13316701,</t>
  </si>
  <si>
    <t>Francisco Lopes</t>
  </si>
  <si>
    <t>'Francisco Lopes',</t>
  </si>
  <si>
    <t>13317250,</t>
  </si>
  <si>
    <t>Atibaia</t>
  </si>
  <si>
    <t>'Atibaia',</t>
  </si>
  <si>
    <t>13317798,</t>
  </si>
  <si>
    <t>Argélia</t>
  </si>
  <si>
    <t>'Argélia',</t>
  </si>
  <si>
    <t>13317714,</t>
  </si>
  <si>
    <t>Arminda da Costa Soares</t>
  </si>
  <si>
    <t>'Arminda da Costa Soares',</t>
  </si>
  <si>
    <t>13315180,</t>
  </si>
  <si>
    <t>Dezessete</t>
  </si>
  <si>
    <t>'Dezessete',</t>
  </si>
  <si>
    <t>13316616,</t>
  </si>
  <si>
    <t>Humberto Donatti</t>
  </si>
  <si>
    <t>'Humberto Donatti',</t>
  </si>
  <si>
    <t>13319012,</t>
  </si>
  <si>
    <t>Tannat</t>
  </si>
  <si>
    <t>'Tannat',</t>
  </si>
  <si>
    <t>13318450,</t>
  </si>
  <si>
    <t>Bahia</t>
  </si>
  <si>
    <t>'Bahia',</t>
  </si>
  <si>
    <t>13318124,</t>
  </si>
  <si>
    <t>Cafelândia</t>
  </si>
  <si>
    <t>'Cafelândia',</t>
  </si>
  <si>
    <t>13317796,</t>
  </si>
  <si>
    <t>Índia</t>
  </si>
  <si>
    <t>'Índia',</t>
  </si>
  <si>
    <t>13317702,</t>
  </si>
  <si>
    <t>das Casuarinas</t>
  </si>
  <si>
    <t>'das Casuarinas',</t>
  </si>
  <si>
    <t>13318334,</t>
  </si>
  <si>
    <t>'Portal da Concórdia (Jacaré)',</t>
  </si>
  <si>
    <t>Tchecoeslováquia</t>
  </si>
  <si>
    <t>'Tchecoeslováquia',</t>
  </si>
  <si>
    <t>13317614,</t>
  </si>
  <si>
    <t>Vitória</t>
  </si>
  <si>
    <t>'Vitória',</t>
  </si>
  <si>
    <t>13318008,</t>
  </si>
  <si>
    <t>Cinco</t>
  </si>
  <si>
    <t>'Cinco',</t>
  </si>
  <si>
    <t>13316604,</t>
  </si>
  <si>
    <t>das Dálias</t>
  </si>
  <si>
    <t>'das Dálias',</t>
  </si>
  <si>
    <t>13317248,</t>
  </si>
  <si>
    <t>Pinot</t>
  </si>
  <si>
    <t>'Pinot',</t>
  </si>
  <si>
    <t>13318446,</t>
  </si>
  <si>
    <t>João Batista Rosa</t>
  </si>
  <si>
    <t>'João Batista Rosa',</t>
  </si>
  <si>
    <t>13315174,</t>
  </si>
  <si>
    <t>Francisco Nunes</t>
  </si>
  <si>
    <t>'Francisco Nunes',</t>
  </si>
  <si>
    <t>13318142,</t>
  </si>
  <si>
    <t>Manoel Ribeiro Leal</t>
  </si>
  <si>
    <t>'Manoel Ribeiro Leal',</t>
  </si>
  <si>
    <t>13318424,</t>
  </si>
  <si>
    <t>'Jardim Primavera (Jacaré)',</t>
  </si>
  <si>
    <t>Moema</t>
  </si>
  <si>
    <t>'Moema',</t>
  </si>
  <si>
    <t>13318404,</t>
  </si>
  <si>
    <t>Benedito Alves dos Santos</t>
  </si>
  <si>
    <t>'Benedito Alves dos Santos',</t>
  </si>
  <si>
    <t>13315160,</t>
  </si>
  <si>
    <t>Virgínia</t>
  </si>
  <si>
    <t>'Virgínia',</t>
  </si>
  <si>
    <t>13319030,</t>
  </si>
  <si>
    <t>Sargento Antonio Santa Rosa</t>
  </si>
  <si>
    <t>'Sargento Antonio Santa Rosa',</t>
  </si>
  <si>
    <t>13315020,</t>
  </si>
  <si>
    <t>Imbuia</t>
  </si>
  <si>
    <t>'Imbuia',</t>
  </si>
  <si>
    <t>13315262,</t>
  </si>
  <si>
    <t>José Bonifácio</t>
  </si>
  <si>
    <t>'José Bonifácio',</t>
  </si>
  <si>
    <t>13315092,</t>
  </si>
  <si>
    <t>Mansueto Mesquita Togni</t>
  </si>
  <si>
    <t>'Mansueto Mesquita Togni',</t>
  </si>
  <si>
    <t>13315009,</t>
  </si>
  <si>
    <t>24 de Março</t>
  </si>
  <si>
    <t>'24 de Março',</t>
  </si>
  <si>
    <t>13315172,</t>
  </si>
  <si>
    <t>Irã</t>
  </si>
  <si>
    <t>'Irã',</t>
  </si>
  <si>
    <t>13317646,</t>
  </si>
  <si>
    <t>Laos</t>
  </si>
  <si>
    <t>'Laos',</t>
  </si>
  <si>
    <t>13317650,</t>
  </si>
  <si>
    <t>Alagoas</t>
  </si>
  <si>
    <t>'Alagoas',</t>
  </si>
  <si>
    <t>13318121,</t>
  </si>
  <si>
    <t>Bulgária</t>
  </si>
  <si>
    <t>'Bulgária',</t>
  </si>
  <si>
    <t>13317616,</t>
  </si>
  <si>
    <t>Barão do Rio Branco</t>
  </si>
  <si>
    <t>'Barão do Rio Branco',</t>
  </si>
  <si>
    <t>13315084,</t>
  </si>
  <si>
    <t>Minas Gerais</t>
  </si>
  <si>
    <t>'Minas Gerais',</t>
  </si>
  <si>
    <t>13318174,</t>
  </si>
  <si>
    <t>Egito</t>
  </si>
  <si>
    <t>'Egito',</t>
  </si>
  <si>
    <t>13317718,</t>
  </si>
  <si>
    <t>Araguaina</t>
  </si>
  <si>
    <t>'Araguaina',</t>
  </si>
  <si>
    <t>13318160,</t>
  </si>
  <si>
    <t>'Vale Verde II (Jacaré)',</t>
  </si>
  <si>
    <t>Topázio Imperial</t>
  </si>
  <si>
    <t>'Topázio Imperial',</t>
  </si>
  <si>
    <t>13318240,</t>
  </si>
  <si>
    <t>Intendente Manoel Gaspar de Abreu</t>
  </si>
  <si>
    <t>'Intendente Manoel Gaspar de Abreu',</t>
  </si>
  <si>
    <t>13318052,</t>
  </si>
  <si>
    <t>Tocantins</t>
  </si>
  <si>
    <t>'Tocantins',</t>
  </si>
  <si>
    <t>13318162,</t>
  </si>
  <si>
    <t>13318252,</t>
  </si>
  <si>
    <t>Suécia</t>
  </si>
  <si>
    <t>'Suécia',</t>
  </si>
  <si>
    <t>13317628,</t>
  </si>
  <si>
    <t>Turquesa</t>
  </si>
  <si>
    <t>'Turquesa',</t>
  </si>
  <si>
    <t>13318238,</t>
  </si>
  <si>
    <t>'Jardim Paraíso (Jacaré)',</t>
  </si>
  <si>
    <t>do Cruzeiro</t>
  </si>
  <si>
    <t>'do Cruzeiro',</t>
  </si>
  <si>
    <t>13316805,</t>
  </si>
  <si>
    <t>13317510,</t>
  </si>
  <si>
    <t>dos Estados</t>
  </si>
  <si>
    <t>'dos Estados',</t>
  </si>
  <si>
    <t>13318058,</t>
  </si>
  <si>
    <t>Monsenhor André Mortari</t>
  </si>
  <si>
    <t>'Monsenhor André Mortari',</t>
  </si>
  <si>
    <t>13317644,</t>
  </si>
  <si>
    <t>Quatorze</t>
  </si>
  <si>
    <t>'Quatorze',</t>
  </si>
  <si>
    <t>13316613,</t>
  </si>
  <si>
    <t>das Candeias</t>
  </si>
  <si>
    <t>'das Candeias',</t>
  </si>
  <si>
    <t>13315242,</t>
  </si>
  <si>
    <t>Valinhos</t>
  </si>
  <si>
    <t>'Valinhos',</t>
  </si>
  <si>
    <t>13315106,</t>
  </si>
  <si>
    <t>Amapá</t>
  </si>
  <si>
    <t>'Amapá',</t>
  </si>
  <si>
    <t>13318044,</t>
  </si>
  <si>
    <t>H</t>
  </si>
  <si>
    <t>'H',</t>
  </si>
  <si>
    <t>13316707,</t>
  </si>
  <si>
    <t>Cururu</t>
  </si>
  <si>
    <t>'Cururu',</t>
  </si>
  <si>
    <t>13318153,</t>
  </si>
  <si>
    <t>Domingos Archija</t>
  </si>
  <si>
    <t>'Domingos Archija',</t>
  </si>
  <si>
    <t>13318016,</t>
  </si>
  <si>
    <t>Araxá</t>
  </si>
  <si>
    <t>'Araxá',</t>
  </si>
  <si>
    <t>13317774,</t>
  </si>
  <si>
    <t>Esmeralda</t>
  </si>
  <si>
    <t>'Esmeralda',</t>
  </si>
  <si>
    <t>13318232,</t>
  </si>
  <si>
    <t>Ametista</t>
  </si>
  <si>
    <t>'Ametista',</t>
  </si>
  <si>
    <t>13317514,</t>
  </si>
  <si>
    <t>Dezesseis</t>
  </si>
  <si>
    <t>'Dezesseis',</t>
  </si>
  <si>
    <t>13316615,</t>
  </si>
  <si>
    <t>Touriga</t>
  </si>
  <si>
    <t>'Touriga',</t>
  </si>
  <si>
    <t>13318456,</t>
  </si>
  <si>
    <t>Roque Mesquita Camargo</t>
  </si>
  <si>
    <t>'Roque Mesquita Camargo',</t>
  </si>
  <si>
    <t>13315164,</t>
  </si>
  <si>
    <t>Inglaterra</t>
  </si>
  <si>
    <t>'Inglaterra',</t>
  </si>
  <si>
    <t>13317660,</t>
  </si>
  <si>
    <t>Otoni Rodrigues da Silveira</t>
  </si>
  <si>
    <t>'Otoni Rodrigues da Silveira',</t>
  </si>
  <si>
    <t>13315170,</t>
  </si>
  <si>
    <t>das Flores</t>
  </si>
  <si>
    <t>'das Flores',</t>
  </si>
  <si>
    <t>13317276,</t>
  </si>
  <si>
    <t>Dezoito</t>
  </si>
  <si>
    <t>'Dezoito',</t>
  </si>
  <si>
    <t>13316617,</t>
  </si>
  <si>
    <t>das Magnólias</t>
  </si>
  <si>
    <t>'das Magnólias',</t>
  </si>
  <si>
    <t>13317290,</t>
  </si>
  <si>
    <t>Diamante</t>
  </si>
  <si>
    <t>'Diamante',</t>
  </si>
  <si>
    <t>13317506,</t>
  </si>
  <si>
    <t>Roraima</t>
  </si>
  <si>
    <t>'Roraima',</t>
  </si>
  <si>
    <t>13318046,</t>
  </si>
  <si>
    <t>Sudão</t>
  </si>
  <si>
    <t>'Sudão',</t>
  </si>
  <si>
    <t>13317732,</t>
  </si>
  <si>
    <t>Campinas</t>
  </si>
  <si>
    <t>'Campinas',</t>
  </si>
  <si>
    <t>13315116,</t>
  </si>
  <si>
    <t>Floriano Peixoto</t>
  </si>
  <si>
    <t>'Floriano Peixoto',</t>
  </si>
  <si>
    <t>13315027,</t>
  </si>
  <si>
    <t>Benevenuto Faccioli</t>
  </si>
  <si>
    <t>'Benevenuto Faccioli',</t>
  </si>
  <si>
    <t>13315031,</t>
  </si>
  <si>
    <t>Doze</t>
  </si>
  <si>
    <t>'Doze',</t>
  </si>
  <si>
    <t>13316611,</t>
  </si>
  <si>
    <t>Sabará</t>
  </si>
  <si>
    <t>'Sabará',</t>
  </si>
  <si>
    <t>13318180,</t>
  </si>
  <si>
    <t>Braz Lopes Filho</t>
  </si>
  <si>
    <t>'Braz Lopes Filho',</t>
  </si>
  <si>
    <t>13318078,</t>
  </si>
  <si>
    <t>13318409,</t>
  </si>
  <si>
    <t>'Residencial Haras Pindorama II (Jacaré)',</t>
  </si>
  <si>
    <t>José Fermiano</t>
  </si>
  <si>
    <t>'José Fermiano',</t>
  </si>
  <si>
    <t>13318116,</t>
  </si>
  <si>
    <t>Treze</t>
  </si>
  <si>
    <t>'Treze',</t>
  </si>
  <si>
    <t>13316612,</t>
  </si>
  <si>
    <t>das Azaléias</t>
  </si>
  <si>
    <t>'das Azaléias',</t>
  </si>
  <si>
    <t>13317262,</t>
  </si>
  <si>
    <t>João de Campos</t>
  </si>
  <si>
    <t>'João de Campos',</t>
  </si>
  <si>
    <t>13318106,</t>
  </si>
  <si>
    <t>Amazonas</t>
  </si>
  <si>
    <t>'Amazonas',</t>
  </si>
  <si>
    <t>13318074,</t>
  </si>
  <si>
    <t>Tailândia</t>
  </si>
  <si>
    <t>'Tailândia',</t>
  </si>
  <si>
    <t>13317618,</t>
  </si>
  <si>
    <t>do Carvalho</t>
  </si>
  <si>
    <t>'do Carvalho',</t>
  </si>
  <si>
    <t>13315252,</t>
  </si>
  <si>
    <t>Citrino</t>
  </si>
  <si>
    <t>'Citrino',</t>
  </si>
  <si>
    <t>13318254,</t>
  </si>
  <si>
    <t>Israel</t>
  </si>
  <si>
    <t>'Israel',</t>
  </si>
  <si>
    <t>13317670,</t>
  </si>
  <si>
    <t>Norberto Soares da Silva</t>
  </si>
  <si>
    <t>'Norberto Soares da Silva',</t>
  </si>
  <si>
    <t>13317854,</t>
  </si>
  <si>
    <t>Rio de Janeiro</t>
  </si>
  <si>
    <t>'Rio de Janeiro',</t>
  </si>
  <si>
    <t>13318094,</t>
  </si>
  <si>
    <t>Pinotage</t>
  </si>
  <si>
    <t>'Pinotage',</t>
  </si>
  <si>
    <t>13318452,</t>
  </si>
  <si>
    <t>Vila Rica</t>
  </si>
  <si>
    <t>'Vila Rica',</t>
  </si>
  <si>
    <t>13318182,</t>
  </si>
  <si>
    <t>Ernesto Gavitti</t>
  </si>
  <si>
    <t>'Ernesto Gavitti',</t>
  </si>
  <si>
    <t>13319018,</t>
  </si>
  <si>
    <t>Marechal Deodoro da Fonseca</t>
  </si>
  <si>
    <t>'Marechal Deodoro da Fonseca',</t>
  </si>
  <si>
    <t>13315025,</t>
  </si>
  <si>
    <t>'Caí',</t>
  </si>
  <si>
    <t>13318132,</t>
  </si>
  <si>
    <t>Chardonnay</t>
  </si>
  <si>
    <t>'Chardonnay',</t>
  </si>
  <si>
    <t>13318462,</t>
  </si>
  <si>
    <t>E</t>
  </si>
  <si>
    <t>'E',</t>
  </si>
  <si>
    <t>13316704,</t>
  </si>
  <si>
    <t>Noruega</t>
  </si>
  <si>
    <t>'Noruega',</t>
  </si>
  <si>
    <t>13317668,</t>
  </si>
  <si>
    <t>Piqui</t>
  </si>
  <si>
    <t>'Piqui',</t>
  </si>
  <si>
    <t>13315258,</t>
  </si>
  <si>
    <t>Carlos Silveira Franco Neto</t>
  </si>
  <si>
    <t>'Carlos Silveira Franco Neto',</t>
  </si>
  <si>
    <t>13318420,</t>
  </si>
  <si>
    <t>Guaxinduva</t>
  </si>
  <si>
    <t>'Guaxinduva',</t>
  </si>
  <si>
    <t>13318138,</t>
  </si>
  <si>
    <t>Anízio da Silveira</t>
  </si>
  <si>
    <t>'Anízio da Silveira',</t>
  </si>
  <si>
    <t>13317862,</t>
  </si>
  <si>
    <t>São Roque</t>
  </si>
  <si>
    <t>'São Roque',</t>
  </si>
  <si>
    <t>13315112,</t>
  </si>
  <si>
    <t>São Judas Tadeu</t>
  </si>
  <si>
    <t>'São Judas Tadeu',</t>
  </si>
  <si>
    <t>13315080,</t>
  </si>
  <si>
    <t>Sete</t>
  </si>
  <si>
    <t>'Sete',</t>
  </si>
  <si>
    <t>13316606,</t>
  </si>
  <si>
    <t>Rodonita</t>
  </si>
  <si>
    <t>'Rodonita',</t>
  </si>
  <si>
    <t>13318266,</t>
  </si>
  <si>
    <t>Líbano</t>
  </si>
  <si>
    <t>'Líbano',</t>
  </si>
  <si>
    <t>13317696,</t>
  </si>
  <si>
    <t>Paulo Emmanoelli</t>
  </si>
  <si>
    <t>'Paulo Emmanoelli',</t>
  </si>
  <si>
    <t>13317230,</t>
  </si>
  <si>
    <t>Jasmim</t>
  </si>
  <si>
    <t>'Jasmim',</t>
  </si>
  <si>
    <t>13315248,</t>
  </si>
  <si>
    <t>do Comércio</t>
  </si>
  <si>
    <t>'do Comércio',</t>
  </si>
  <si>
    <t>13318422,</t>
  </si>
  <si>
    <t>Tanzânia</t>
  </si>
  <si>
    <t>'Tanzânia',</t>
  </si>
  <si>
    <t>13317708,</t>
  </si>
  <si>
    <t>Áustria</t>
  </si>
  <si>
    <t>'Áustria',</t>
  </si>
  <si>
    <t>13317720,</t>
  </si>
  <si>
    <t>M</t>
  </si>
  <si>
    <t>'M',</t>
  </si>
  <si>
    <t>13316712,</t>
  </si>
  <si>
    <t>Frei Galvão</t>
  </si>
  <si>
    <t>'Frei Galvão',</t>
  </si>
  <si>
    <t>13318022,</t>
  </si>
  <si>
    <t>Nove</t>
  </si>
  <si>
    <t>'Nove',</t>
  </si>
  <si>
    <t>13316608,</t>
  </si>
  <si>
    <t>Ituverava</t>
  </si>
  <si>
    <t>'Ituverava',</t>
  </si>
  <si>
    <t>13315118,</t>
  </si>
  <si>
    <t>Primo Polo</t>
  </si>
  <si>
    <t>'Primo Polo',</t>
  </si>
  <si>
    <t>13315021,</t>
  </si>
  <si>
    <t>Belo Horizonte</t>
  </si>
  <si>
    <t>'Belo Horizonte',</t>
  </si>
  <si>
    <t>13318088,</t>
  </si>
  <si>
    <t>Augelita</t>
  </si>
  <si>
    <t>'Augelita',</t>
  </si>
  <si>
    <t>13318268,</t>
  </si>
  <si>
    <t>das Violetas</t>
  </si>
  <si>
    <t>'das Violetas',</t>
  </si>
  <si>
    <t>13317246,</t>
  </si>
  <si>
    <t>Indonésia</t>
  </si>
  <si>
    <t>'Indonésia',</t>
  </si>
  <si>
    <t>13317700,</t>
  </si>
  <si>
    <t>13318096,</t>
  </si>
  <si>
    <t>Concórdia</t>
  </si>
  <si>
    <t>'Concórdia',</t>
  </si>
  <si>
    <t>13318140,</t>
  </si>
  <si>
    <t>Primavera</t>
  </si>
  <si>
    <t>'Primavera',</t>
  </si>
  <si>
    <t>13315264,</t>
  </si>
  <si>
    <t>das Gardenias</t>
  </si>
  <si>
    <t>'das Gardenias',</t>
  </si>
  <si>
    <t>13317284,</t>
  </si>
  <si>
    <t>Granada</t>
  </si>
  <si>
    <t>'Granada',</t>
  </si>
  <si>
    <t>13317508,</t>
  </si>
  <si>
    <t>Syrah</t>
  </si>
  <si>
    <t>'Syrah',</t>
  </si>
  <si>
    <t>13318448,</t>
  </si>
  <si>
    <t>Amazonita</t>
  </si>
  <si>
    <t>'Amazonita',</t>
  </si>
  <si>
    <t>13318270,</t>
  </si>
  <si>
    <t>Filipinas</t>
  </si>
  <si>
    <t>'Filipinas',</t>
  </si>
  <si>
    <t>13317740,</t>
  </si>
  <si>
    <t>Campo Grande</t>
  </si>
  <si>
    <t>'Campo Grande',</t>
  </si>
  <si>
    <t>13318018,</t>
  </si>
  <si>
    <t>Olinda Vieira</t>
  </si>
  <si>
    <t>'Olinda Vieira',</t>
  </si>
  <si>
    <t>13317235,</t>
  </si>
  <si>
    <t>Particular</t>
  </si>
  <si>
    <t>'Particular',</t>
  </si>
  <si>
    <t>13319026,</t>
  </si>
  <si>
    <t>IugosláVia</t>
  </si>
  <si>
    <t>'IugosláVia',</t>
  </si>
  <si>
    <t>13317652,</t>
  </si>
  <si>
    <t>Namíbia</t>
  </si>
  <si>
    <t>'Namíbia',</t>
  </si>
  <si>
    <t>13317610,</t>
  </si>
  <si>
    <t>Onix</t>
  </si>
  <si>
    <t>'Onix',</t>
  </si>
  <si>
    <t>13317522,</t>
  </si>
  <si>
    <t>Malvasia</t>
  </si>
  <si>
    <t>'Malvasia',</t>
  </si>
  <si>
    <t>13318464,</t>
  </si>
  <si>
    <t>das Avencas</t>
  </si>
  <si>
    <t>'das Avencas',</t>
  </si>
  <si>
    <t>13317280,</t>
  </si>
  <si>
    <t>Everaldo Martins de Mello</t>
  </si>
  <si>
    <t>'Everaldo Martins de Mello',</t>
  </si>
  <si>
    <t>13315043,</t>
  </si>
  <si>
    <t>Existente</t>
  </si>
  <si>
    <t>'Existente',</t>
  </si>
  <si>
    <t>13318115,</t>
  </si>
  <si>
    <t>Lituânia</t>
  </si>
  <si>
    <t>'Lituânia',</t>
  </si>
  <si>
    <t>13317666,</t>
  </si>
  <si>
    <t>Cambará</t>
  </si>
  <si>
    <t>'Cambará',</t>
  </si>
  <si>
    <t>13315286,</t>
  </si>
  <si>
    <t>Rondônia</t>
  </si>
  <si>
    <t>'Rondônia',</t>
  </si>
  <si>
    <t>13318066,</t>
  </si>
  <si>
    <t>Gláucio Silvio Cardoso</t>
  </si>
  <si>
    <t>'Gláucio Silvio Cardoso',</t>
  </si>
  <si>
    <t>13318410,</t>
  </si>
  <si>
    <t>Onofre Sakamoto</t>
  </si>
  <si>
    <t>'Onofre Sakamoto',</t>
  </si>
  <si>
    <t>13317220,</t>
  </si>
  <si>
    <t>Malbec</t>
  </si>
  <si>
    <t>'Malbec',</t>
  </si>
  <si>
    <t>13318442,</t>
  </si>
  <si>
    <t>Egydio Mori</t>
  </si>
  <si>
    <t>'Egydio Mori',</t>
  </si>
  <si>
    <t>13315186,</t>
  </si>
  <si>
    <t>Rogério Vieira</t>
  </si>
  <si>
    <t>'Rogério Vieira',</t>
  </si>
  <si>
    <t>13317237,</t>
  </si>
  <si>
    <t>Rússia</t>
  </si>
  <si>
    <t>'Rússia',</t>
  </si>
  <si>
    <t>13317658,</t>
  </si>
  <si>
    <t>dos Estudantes</t>
  </si>
  <si>
    <t>'dos Estudantes',</t>
  </si>
  <si>
    <t>13318014,</t>
  </si>
  <si>
    <t>13315270,</t>
  </si>
  <si>
    <t>Rubelita</t>
  </si>
  <si>
    <t>'Rubelita',</t>
  </si>
  <si>
    <t>13318278,</t>
  </si>
  <si>
    <t>Alexandrita</t>
  </si>
  <si>
    <t>'Alexandrita',</t>
  </si>
  <si>
    <t>13318274,</t>
  </si>
  <si>
    <t>BolíVia</t>
  </si>
  <si>
    <t>'BolíVia',</t>
  </si>
  <si>
    <t>13317762,</t>
  </si>
  <si>
    <t>Marrocos</t>
  </si>
  <si>
    <t>'Marrocos',</t>
  </si>
  <si>
    <t>13317726,</t>
  </si>
  <si>
    <t>Flamboiã</t>
  </si>
  <si>
    <t>'Flamboiã',</t>
  </si>
  <si>
    <t>13315274,</t>
  </si>
  <si>
    <t>Amanari</t>
  </si>
  <si>
    <t>'Amanari',</t>
  </si>
  <si>
    <t>13318402,</t>
  </si>
  <si>
    <t>Magnetita</t>
  </si>
  <si>
    <t>'Magnetita',</t>
  </si>
  <si>
    <t>13318236,</t>
  </si>
  <si>
    <t>Renato Niuderauer Zanchi</t>
  </si>
  <si>
    <t>'Renato Niuderauer Zanchi',</t>
  </si>
  <si>
    <t>13319001,</t>
  </si>
  <si>
    <t>Piauí</t>
  </si>
  <si>
    <t>'Piauí',</t>
  </si>
  <si>
    <t>13318070,</t>
  </si>
  <si>
    <t>Felicita Manzoli Peratello</t>
  </si>
  <si>
    <t>'Felicita Manzoli Peratello',</t>
  </si>
  <si>
    <t>13318416,</t>
  </si>
  <si>
    <t>Cabo Verde</t>
  </si>
  <si>
    <t>'Cabo Verde',</t>
  </si>
  <si>
    <t>13317642,</t>
  </si>
  <si>
    <t>Ademar Clemente Nunes</t>
  </si>
  <si>
    <t>'Ademar Clemente Nunes',</t>
  </si>
  <si>
    <t>13318136,</t>
  </si>
  <si>
    <t>Florianópolis</t>
  </si>
  <si>
    <t>'Florianópolis',</t>
  </si>
  <si>
    <t>13318084,</t>
  </si>
  <si>
    <t>Quatro</t>
  </si>
  <si>
    <t>'Quatro',</t>
  </si>
  <si>
    <t>13316603,</t>
  </si>
  <si>
    <t>do Vale</t>
  </si>
  <si>
    <t>'do Vale',</t>
  </si>
  <si>
    <t>13319032,</t>
  </si>
  <si>
    <t>Finlândia</t>
  </si>
  <si>
    <t>'Finlândia',</t>
  </si>
  <si>
    <t>13317672,</t>
  </si>
  <si>
    <t>AlbertoSPina</t>
  </si>
  <si>
    <t>'AlbertoSPina',</t>
  </si>
  <si>
    <t>13317102,</t>
  </si>
  <si>
    <t>Suíça</t>
  </si>
  <si>
    <t>'Suíça',</t>
  </si>
  <si>
    <t>13317624,</t>
  </si>
  <si>
    <t>Avenida das Andorinha</t>
  </si>
  <si>
    <t>Spring Valley</t>
  </si>
  <si>
    <t>Porto Feliz</t>
  </si>
  <si>
    <t>18547-818</t>
  </si>
  <si>
    <t>Avenida</t>
  </si>
  <si>
    <t>Avenida das Araras</t>
  </si>
  <si>
    <t>18547-810</t>
  </si>
  <si>
    <t>Avenida das Gaivotas</t>
  </si>
  <si>
    <t>18547-812</t>
  </si>
  <si>
    <t>Avenida dos Sabiás</t>
  </si>
  <si>
    <t>18547-820</t>
  </si>
  <si>
    <t>Avenida dos Tucanos</t>
  </si>
  <si>
    <t>18547-814</t>
  </si>
  <si>
    <t>Rua dos Bem-te-vi</t>
  </si>
  <si>
    <t>18547-816</t>
  </si>
  <si>
    <t>Rua</t>
  </si>
  <si>
    <t>Rua dos Canários</t>
  </si>
  <si>
    <t>18547-822</t>
  </si>
  <si>
    <t>Alameda Avecuia</t>
  </si>
  <si>
    <t>Residencial Cambará</t>
  </si>
  <si>
    <t>18546-404</t>
  </si>
  <si>
    <t>Alameda</t>
  </si>
  <si>
    <t>Alameda Cambará</t>
  </si>
  <si>
    <t>18546-402</t>
  </si>
  <si>
    <t>Alameda da Lagoa</t>
  </si>
  <si>
    <t>Terras de San Thomé</t>
  </si>
  <si>
    <t>18547-500</t>
  </si>
  <si>
    <t>Alameda da Saudade</t>
  </si>
  <si>
    <t>Parque Residencial Célia Maria</t>
  </si>
  <si>
    <t>18546-334</t>
  </si>
  <si>
    <t>Alameda das Acácias</t>
  </si>
  <si>
    <t>Fazenda Boa Vista I</t>
  </si>
  <si>
    <t>18548-106</t>
  </si>
  <si>
    <t>Alameda das Amoreiras</t>
  </si>
  <si>
    <t>Recanto dos Bandeirantes</t>
  </si>
  <si>
    <t>18547-402</t>
  </si>
  <si>
    <t>Alameda das Andorinhas</t>
  </si>
  <si>
    <t>Jardim Tendá</t>
  </si>
  <si>
    <t>18545-024</t>
  </si>
  <si>
    <t>Alameda das Arapongas</t>
  </si>
  <si>
    <t>18545-036</t>
  </si>
  <si>
    <t>Alameda das Espatódeas</t>
  </si>
  <si>
    <t>Jardim Vista Alegre</t>
  </si>
  <si>
    <t>18543-054</t>
  </si>
  <si>
    <t>Alameda das Figueiras</t>
  </si>
  <si>
    <t>18548-114</t>
  </si>
  <si>
    <t>Alameda das Jabuticabeiras</t>
  </si>
  <si>
    <t>18548-122</t>
  </si>
  <si>
    <t>Alameda das Louveiras</t>
  </si>
  <si>
    <t>18548-110</t>
  </si>
  <si>
    <t>Alameda das Mangueiras</t>
  </si>
  <si>
    <t>18548-104</t>
  </si>
  <si>
    <t>Alameda das Nogueiras</t>
  </si>
  <si>
    <t>18548-118</t>
  </si>
  <si>
    <t>Alameda das Patativas</t>
  </si>
  <si>
    <t>18545-034</t>
  </si>
  <si>
    <t>Alameda das Pitangueiras</t>
  </si>
  <si>
    <t>18547-406</t>
  </si>
  <si>
    <t>Alameda das Quaresmeiras</t>
  </si>
  <si>
    <t>18543-060</t>
  </si>
  <si>
    <t>Alameda das Sibipirunas</t>
  </si>
  <si>
    <t>18543-056</t>
  </si>
  <si>
    <t>Alameda das Tipuanas</t>
  </si>
  <si>
    <t>18548-124</t>
  </si>
  <si>
    <t>Alameda do Café</t>
  </si>
  <si>
    <t>18547-404</t>
  </si>
  <si>
    <t>Alameda do Lago</t>
  </si>
  <si>
    <t>18547-400</t>
  </si>
  <si>
    <t>Alameda dos Beija-Flores</t>
  </si>
  <si>
    <t>18545-038</t>
  </si>
  <si>
    <t>Alameda dos Bem-te-vis</t>
  </si>
  <si>
    <t>18545-022</t>
  </si>
  <si>
    <t>Alameda dos Canários</t>
  </si>
  <si>
    <t>18545-030</t>
  </si>
  <si>
    <t>Alameda dos Carcarás</t>
  </si>
  <si>
    <t>Santa Marina</t>
  </si>
  <si>
    <t>18548-176</t>
  </si>
  <si>
    <t>Alameda dos Cedros</t>
  </si>
  <si>
    <t>18543-062</t>
  </si>
  <si>
    <t>Alameda dos Cipós</t>
  </si>
  <si>
    <t>18548-120</t>
  </si>
  <si>
    <t>Alameda dos Coelhos</t>
  </si>
  <si>
    <t>18548-174</t>
  </si>
  <si>
    <t>Alameda dos Esquilos</t>
  </si>
  <si>
    <t>18548-172</t>
  </si>
  <si>
    <t>Alameda dos Ficus</t>
  </si>
  <si>
    <t>18548-112</t>
  </si>
  <si>
    <t>Alameda dos Flamboyants</t>
  </si>
  <si>
    <t>18548-102</t>
  </si>
  <si>
    <t>Alameda dos Ipês</t>
  </si>
  <si>
    <t>18543-058</t>
  </si>
  <si>
    <t>Terras de San Rafael</t>
  </si>
  <si>
    <t>18547-350</t>
  </si>
  <si>
    <t>Alameda dos Jatobás</t>
  </si>
  <si>
    <t>18548-116</t>
  </si>
  <si>
    <t>Alameda dos Pintassilgos</t>
  </si>
  <si>
    <t>18545-032</t>
  </si>
  <si>
    <t>Alameda dos Pínus</t>
  </si>
  <si>
    <t>18548-100</t>
  </si>
  <si>
    <t>Alameda dos Quatis</t>
  </si>
  <si>
    <t>18548-170</t>
  </si>
  <si>
    <t>Alameda dos Sabiás</t>
  </si>
  <si>
    <t>18545-028</t>
  </si>
  <si>
    <t>Alameda dos Salgueiros</t>
  </si>
  <si>
    <t>18548-108</t>
  </si>
  <si>
    <t>Alameda Palmital</t>
  </si>
  <si>
    <t>18547-408</t>
  </si>
  <si>
    <t>Alameda Tupinambá</t>
  </si>
  <si>
    <t>Tupinambá</t>
  </si>
  <si>
    <t>18548-414</t>
  </si>
  <si>
    <t>Alameda Vista Alegre</t>
  </si>
  <si>
    <t>18543-064</t>
  </si>
  <si>
    <t>Área Rural</t>
  </si>
  <si>
    <t>Área Rural de Porto Feliz</t>
  </si>
  <si>
    <t>18549-899</t>
  </si>
  <si>
    <t>Área</t>
  </si>
  <si>
    <t>Avenida Antônio Monteiro Júnior</t>
  </si>
  <si>
    <t>Fazenda Boa Vista II</t>
  </si>
  <si>
    <t>18548-130</t>
  </si>
  <si>
    <t>Avenida Armando de Sales Oliveira</t>
  </si>
  <si>
    <t>Jardim Santa Eliza</t>
  </si>
  <si>
    <t>18542-260</t>
  </si>
  <si>
    <t>Vila Progresso</t>
  </si>
  <si>
    <t>18542-074</t>
  </si>
  <si>
    <t>Avenida Armando Lopes Ribeiro</t>
  </si>
  <si>
    <t>Colônia Rodrigo Silva</t>
  </si>
  <si>
    <t>18547-360</t>
  </si>
  <si>
    <t>Avenida Attílio Fuser Junior</t>
  </si>
  <si>
    <t>Palmital</t>
  </si>
  <si>
    <t>18547-302</t>
  </si>
  <si>
    <t>Avenida Capitão Joaquim Floriano de Toledo</t>
  </si>
  <si>
    <t>18540-001</t>
  </si>
  <si>
    <t>Jardim Santa Cruz</t>
  </si>
  <si>
    <t>18545-012</t>
  </si>
  <si>
    <t>18545-020</t>
  </si>
  <si>
    <t>Avenida Cinco</t>
  </si>
  <si>
    <t>18548-138</t>
  </si>
  <si>
    <t>Avenida das Monções</t>
  </si>
  <si>
    <t>Distrito Industrial Itaqui</t>
  </si>
  <si>
    <t>18548-224</t>
  </si>
  <si>
    <t>Portal dos Bandeirantes II</t>
  </si>
  <si>
    <t>18540-626</t>
  </si>
  <si>
    <t>Avenida Dois</t>
  </si>
  <si>
    <t>Altos do Jequitibá</t>
  </si>
  <si>
    <t>18543-560</t>
  </si>
  <si>
    <t>18548-132</t>
  </si>
  <si>
    <t>Recanto Avecuia</t>
  </si>
  <si>
    <t>18548-370</t>
  </si>
  <si>
    <t>Avenida dos Araritaguaba</t>
  </si>
  <si>
    <t>18548-226</t>
  </si>
  <si>
    <t>Avenida dos Bandeirantes</t>
  </si>
  <si>
    <t>18548-228</t>
  </si>
  <si>
    <t>18548-410</t>
  </si>
  <si>
    <t>Avenida dos Trabalhadores</t>
  </si>
  <si>
    <t>Distrito Industrial</t>
  </si>
  <si>
    <t>18540-212</t>
  </si>
  <si>
    <t>Avenida Doutor Antônio Pires de Almeida</t>
  </si>
  <si>
    <t>Agrovila CAIC</t>
  </si>
  <si>
    <t>18548-000</t>
  </si>
  <si>
    <t>Bambu</t>
  </si>
  <si>
    <t>18540-350</t>
  </si>
  <si>
    <t>Bananal do Avecuia</t>
  </si>
  <si>
    <t>18547-800</t>
  </si>
  <si>
    <t>18540-077</t>
  </si>
  <si>
    <t>Chácara Nestor</t>
  </si>
  <si>
    <t>18547-092</t>
  </si>
  <si>
    <t>Cidade Jardim</t>
  </si>
  <si>
    <t>18540-460</t>
  </si>
  <si>
    <t>Distrito Industrial Dimas de Marco</t>
  </si>
  <si>
    <t>18547-560</t>
  </si>
  <si>
    <t>Distrito Industrial Guerini</t>
  </si>
  <si>
    <t>18547-700</t>
  </si>
  <si>
    <t>18548-220</t>
  </si>
  <si>
    <t>Gramadinho</t>
  </si>
  <si>
    <t>18547-710</t>
  </si>
  <si>
    <t>Jardim Araritaguaba</t>
  </si>
  <si>
    <t>18540-300</t>
  </si>
  <si>
    <t>Jardim Bela Fonte</t>
  </si>
  <si>
    <t>18540-446</t>
  </si>
  <si>
    <t>Jardim Morumbi</t>
  </si>
  <si>
    <t>18540-344</t>
  </si>
  <si>
    <t>Jardim São Bento</t>
  </si>
  <si>
    <t>18547-058</t>
  </si>
  <si>
    <t>Jardim São Pedro</t>
  </si>
  <si>
    <t>18540-450</t>
  </si>
  <si>
    <t>18547-300</t>
  </si>
  <si>
    <t>Piquirá</t>
  </si>
  <si>
    <t>18547-550</t>
  </si>
  <si>
    <t>Residencial Porto Feliz</t>
  </si>
  <si>
    <t>18547-080</t>
  </si>
  <si>
    <t>Vila Angélica</t>
  </si>
  <si>
    <t>18547-000</t>
  </si>
  <si>
    <t>Vila Tuani</t>
  </si>
  <si>
    <t>18540-298</t>
  </si>
  <si>
    <t>Avenida Doutor Osvaldo Valter Avancini</t>
  </si>
  <si>
    <t>18547-306</t>
  </si>
  <si>
    <t>Avenida Doutor Sílvio Brand Correa</t>
  </si>
  <si>
    <t>Conjunto Habitacional Fortunato Fioravante Angelieri</t>
  </si>
  <si>
    <t>18543-500</t>
  </si>
  <si>
    <t>Jardim Porto City</t>
  </si>
  <si>
    <t>18543-212</t>
  </si>
  <si>
    <t>18543-050</t>
  </si>
  <si>
    <t>Ponte</t>
  </si>
  <si>
    <t>18543-000</t>
  </si>
  <si>
    <t>Avenida Florent Deleu</t>
  </si>
  <si>
    <t>Chácara Deléu</t>
  </si>
  <si>
    <t>18540-410</t>
  </si>
  <si>
    <t>Avenida Getúlio Vargas - até 925/926</t>
  </si>
  <si>
    <t>18540-354</t>
  </si>
  <si>
    <t>Avenida Getúlio Vargas - de 927 ao fim - lado ímpar</t>
  </si>
  <si>
    <t>Jardim Brasil</t>
  </si>
  <si>
    <t>18540-562</t>
  </si>
  <si>
    <t>Avenida Getúlio Vargas - de 928 ao fim - lado par</t>
  </si>
  <si>
    <t>18540-380</t>
  </si>
  <si>
    <t>Avenida Governador Mário Covas</t>
  </si>
  <si>
    <t>Belo Alto</t>
  </si>
  <si>
    <t>18545-140</t>
  </si>
  <si>
    <t>Jardim Borba Gato</t>
  </si>
  <si>
    <t>18546-120</t>
  </si>
  <si>
    <t>Jardim Rolando Giuli</t>
  </si>
  <si>
    <t>18542-512</t>
  </si>
  <si>
    <t>Jardim Santa Terezinha</t>
  </si>
  <si>
    <t>18545-232</t>
  </si>
  <si>
    <t>18546-332</t>
  </si>
  <si>
    <t>Parque Residencial Rafael Alcalá</t>
  </si>
  <si>
    <t>18546-228</t>
  </si>
  <si>
    <t>Parque Residencial São Marcos</t>
  </si>
  <si>
    <t>18545-280</t>
  </si>
  <si>
    <t>Residencial São Francisco</t>
  </si>
  <si>
    <t>18545-200</t>
  </si>
  <si>
    <t>Avenida Hércules Florence</t>
  </si>
  <si>
    <t>18540-620</t>
  </si>
  <si>
    <t>Portal Ville Flamboyant</t>
  </si>
  <si>
    <t>18540-660</t>
  </si>
  <si>
    <t>Avenida Iveta Gibim Alcalá</t>
  </si>
  <si>
    <t>Vila Alcalá</t>
  </si>
  <si>
    <t>18546-028</t>
  </si>
  <si>
    <t>Avenida José Maurino</t>
  </si>
  <si>
    <t>18540-093</t>
  </si>
  <si>
    <t>Avenida Lício Marcondes do Amaral - até 159/160</t>
  </si>
  <si>
    <t>18540-109</t>
  </si>
  <si>
    <t>Avenida Lício Marcondes do Amaral - de 161/162 ao fim</t>
  </si>
  <si>
    <t>18547-002</t>
  </si>
  <si>
    <t>Avenida Ludovico Possobom</t>
  </si>
  <si>
    <t>Soamim</t>
  </si>
  <si>
    <t>18546-501</t>
  </si>
  <si>
    <t>Avenida Monsenhor Seckler</t>
  </si>
  <si>
    <t>18540-075</t>
  </si>
  <si>
    <t>18546-122</t>
  </si>
  <si>
    <t>Jardim Julita</t>
  </si>
  <si>
    <t>18546-160</t>
  </si>
  <si>
    <t>Jardim Seckler</t>
  </si>
  <si>
    <t>18546-080</t>
  </si>
  <si>
    <t>18546-030</t>
  </si>
  <si>
    <t>Vila América</t>
  </si>
  <si>
    <t>18546-056</t>
  </si>
  <si>
    <t>Vila Manduqinha</t>
  </si>
  <si>
    <t>18546-158</t>
  </si>
  <si>
    <t>Avenida Nove</t>
  </si>
  <si>
    <t>18548-146</t>
  </si>
  <si>
    <t>Avenida Oito</t>
  </si>
  <si>
    <t>18548-144</t>
  </si>
  <si>
    <t>Avenida Pedro Melaré</t>
  </si>
  <si>
    <t>Portal das Monções</t>
  </si>
  <si>
    <t>18546-260</t>
  </si>
  <si>
    <t>Avenida Porto Feliz</t>
  </si>
  <si>
    <t>18548-222</t>
  </si>
  <si>
    <t>Avenida Salvador dos Santos</t>
  </si>
  <si>
    <t>18547-310</t>
  </si>
  <si>
    <t>Avenida Santa Rosa</t>
  </si>
  <si>
    <t>Jardim Santa Rosa</t>
  </si>
  <si>
    <t>18542-150</t>
  </si>
  <si>
    <t>18542-080</t>
  </si>
  <si>
    <t>Avenida Seis</t>
  </si>
  <si>
    <t>18548-140</t>
  </si>
  <si>
    <t>Avenida Sete</t>
  </si>
  <si>
    <t>18548-142</t>
  </si>
  <si>
    <t>Avenida Stemmann</t>
  </si>
  <si>
    <t>Tanque Seco</t>
  </si>
  <si>
    <t>18549-000</t>
  </si>
  <si>
    <t>Avenida Três</t>
  </si>
  <si>
    <t>18543-558</t>
  </si>
  <si>
    <t>18548-134</t>
  </si>
  <si>
    <t>Avenida Um</t>
  </si>
  <si>
    <t>18543-540</t>
  </si>
  <si>
    <t>Estrada Municipal PFZ - 133</t>
  </si>
  <si>
    <t>18548-406</t>
  </si>
  <si>
    <t>Estrada</t>
  </si>
  <si>
    <t>Estrada Municipal PFZ - 145</t>
  </si>
  <si>
    <t>18546-400</t>
  </si>
  <si>
    <t>Estrada Municipal Tico Mineiro</t>
  </si>
  <si>
    <t>18543-210</t>
  </si>
  <si>
    <t>18543-052</t>
  </si>
  <si>
    <t>Estrada Vicinal Porto Feliz - Rafard</t>
  </si>
  <si>
    <t>Centro Prisional</t>
  </si>
  <si>
    <t>18543-700</t>
  </si>
  <si>
    <t>Estrada Vicinal Porto Feliz - Rafard, Km 05
Centro de Progressão Penitenciária de Porto Feliz</t>
  </si>
  <si>
    <t>18543-900</t>
  </si>
  <si>
    <t>Praça Carlos Ferreira</t>
  </si>
  <si>
    <t>18540-105</t>
  </si>
  <si>
    <t>Praça</t>
  </si>
  <si>
    <t>Praça Coronel Esmédio</t>
  </si>
  <si>
    <t>18540-069</t>
  </si>
  <si>
    <t>Praça Danilo César Castelucci</t>
  </si>
  <si>
    <t>18540-312</t>
  </si>
  <si>
    <t>Praça Doutor José Sacramento e Silva</t>
  </si>
  <si>
    <t>18540-055</t>
  </si>
  <si>
    <t>Praça Duque de Caxias</t>
  </si>
  <si>
    <t>18540-019</t>
  </si>
  <si>
    <t>Praça Eugênio Motta</t>
  </si>
  <si>
    <t>18540-135</t>
  </si>
  <si>
    <t>Praça Francisco de Pádua Nahum</t>
  </si>
  <si>
    <t>18546-032</t>
  </si>
  <si>
    <t>Praça Governador Pedro de Toledo</t>
  </si>
  <si>
    <t>18540-047</t>
  </si>
  <si>
    <t>Praça João Francisco Menezes</t>
  </si>
  <si>
    <t>18540-552</t>
  </si>
  <si>
    <t>Praça José Lisboa Sobrinho</t>
  </si>
  <si>
    <t>18540-318</t>
  </si>
  <si>
    <t>Praça Lauro Maurino</t>
  </si>
  <si>
    <t>18540-141</t>
  </si>
  <si>
    <t>Praça São João Batista</t>
  </si>
  <si>
    <t>São Francisco</t>
  </si>
  <si>
    <t>18548-544</t>
  </si>
  <si>
    <t>Praça 9 de Julho</t>
  </si>
  <si>
    <t>Jardim Martelli</t>
  </si>
  <si>
    <t>18542-356</t>
  </si>
  <si>
    <t>Rodovia Marechal Rondon</t>
  </si>
  <si>
    <t>Avecuia</t>
  </si>
  <si>
    <t>18546-412</t>
  </si>
  <si>
    <t>Rodovia</t>
  </si>
  <si>
    <t>18540-382</t>
  </si>
  <si>
    <t>Canguera</t>
  </si>
  <si>
    <t>18540-850</t>
  </si>
  <si>
    <t>18540-214</t>
  </si>
  <si>
    <t>18540-564</t>
  </si>
  <si>
    <t>18547-307</t>
  </si>
  <si>
    <t>18546-500</t>
  </si>
  <si>
    <t>Rodovia Presidente Castello Branco</t>
  </si>
  <si>
    <t>18548-024</t>
  </si>
  <si>
    <t>Indaiatuba</t>
  </si>
  <si>
    <t>18548-270</t>
  </si>
  <si>
    <t>Rua A</t>
  </si>
  <si>
    <t>18543-542</t>
  </si>
  <si>
    <t>Rua Abener de Camargo</t>
  </si>
  <si>
    <t>Jardim São José</t>
  </si>
  <si>
    <t>18547-148</t>
  </si>
  <si>
    <t>Rua Abner Heraclyto de Camargo</t>
  </si>
  <si>
    <t>18540-360</t>
  </si>
  <si>
    <t>Rua Ada Calgaro Cavalante</t>
  </si>
  <si>
    <t>18542-520</t>
  </si>
  <si>
    <t>Rua Adilson Antonio Antunes Campos</t>
  </si>
  <si>
    <t>Recanto Monções</t>
  </si>
  <si>
    <t>18543-088</t>
  </si>
  <si>
    <t>Rua Adolfo Ferrari</t>
  </si>
  <si>
    <t>18542-262</t>
  </si>
  <si>
    <t>Rua Adriano Taunay</t>
  </si>
  <si>
    <t>Portal dos Bandeirantes I</t>
  </si>
  <si>
    <t>18540-614</t>
  </si>
  <si>
    <t>Rua Ageu Augusto da Silva</t>
  </si>
  <si>
    <t>Jardim Excelsior</t>
  </si>
  <si>
    <t>18542-308</t>
  </si>
  <si>
    <t>Rua Agostinho Alcalá</t>
  </si>
  <si>
    <t>18546-018</t>
  </si>
  <si>
    <t>Rua Agostinho Zardeto</t>
  </si>
  <si>
    <t>18542-354</t>
  </si>
  <si>
    <t>Rua Alan Kardec</t>
  </si>
  <si>
    <t>Convívio do Santo</t>
  </si>
  <si>
    <t>18542-434</t>
  </si>
  <si>
    <t>Rua Alberto Cardeli</t>
  </si>
  <si>
    <t>18540-384</t>
  </si>
  <si>
    <t>Rua Alberto Fernandes de Camargo</t>
  </si>
  <si>
    <t>18546-184</t>
  </si>
  <si>
    <t>Rua Albino Valini</t>
  </si>
  <si>
    <t>Jardim Porto Feliz</t>
  </si>
  <si>
    <t>18540-536</t>
  </si>
  <si>
    <t>Rua Alcides Costa Aranha</t>
  </si>
  <si>
    <t>18540-376</t>
  </si>
  <si>
    <t>Rua Alderico Prestes dos Santos</t>
  </si>
  <si>
    <t>Residencial Olívio Barbosa</t>
  </si>
  <si>
    <t>18543-190</t>
  </si>
  <si>
    <t>Rua Alexandre Ambrósio</t>
  </si>
  <si>
    <t>18545-220</t>
  </si>
  <si>
    <t>Rua Alexandre Bazzo</t>
  </si>
  <si>
    <t>Chácara Bazzo</t>
  </si>
  <si>
    <t>18540-206</t>
  </si>
  <si>
    <t>Rua Alexandre Ferrari - até 273/274</t>
  </si>
  <si>
    <t>18546-320</t>
  </si>
  <si>
    <t>Rua Alexandre Ferrari - de 275/276 ao fim</t>
  </si>
  <si>
    <t>Residencial Santa Clara</t>
  </si>
  <si>
    <t>18546-318</t>
  </si>
  <si>
    <t>Rua Alfeu Trombini</t>
  </si>
  <si>
    <t>18547-090</t>
  </si>
  <si>
    <t>18547-142</t>
  </si>
  <si>
    <t>18547-088</t>
  </si>
  <si>
    <t>Rua Alfredo Salem</t>
  </si>
  <si>
    <t>18545-246</t>
  </si>
  <si>
    <t>18545-262</t>
  </si>
  <si>
    <t>Rua Algarve</t>
  </si>
  <si>
    <t>Residencial Montana Ville</t>
  </si>
  <si>
    <t>18548-380</t>
  </si>
  <si>
    <t>Rua Almeida Junior</t>
  </si>
  <si>
    <t>18540-616</t>
  </si>
  <si>
    <t>Rua Altino Arantes</t>
  </si>
  <si>
    <t>18540-147</t>
  </si>
  <si>
    <t>Rua Alvares de Azevedo</t>
  </si>
  <si>
    <t>Santo Augusto</t>
  </si>
  <si>
    <t>18548-500</t>
  </si>
  <si>
    <t>Rua Alzira Previtali</t>
  </si>
  <si>
    <t>18542-318</t>
  </si>
  <si>
    <t>Rua Alziro Carlos</t>
  </si>
  <si>
    <t>18545-276</t>
  </si>
  <si>
    <t>Rua Amadeo Zani</t>
  </si>
  <si>
    <t>18540-622</t>
  </si>
  <si>
    <t>Rua Amadeu de Lara</t>
  </si>
  <si>
    <t>18543-504</t>
  </si>
  <si>
    <t>Rua Amadeu Martelli</t>
  </si>
  <si>
    <t>18542-076</t>
  </si>
  <si>
    <t>Rua Amaro Menegon</t>
  </si>
  <si>
    <t>18546-012</t>
  </si>
  <si>
    <t>Rua Amazonas</t>
  </si>
  <si>
    <t>18540-572</t>
  </si>
  <si>
    <t>Rua Ana de Arruda Moraes</t>
  </si>
  <si>
    <t>Village Porto Feliz</t>
  </si>
  <si>
    <t>18545-402</t>
  </si>
  <si>
    <t>Rua Ana Paulina Sala Ferraz</t>
  </si>
  <si>
    <t>18543-176</t>
  </si>
  <si>
    <t>Rua André Rocha</t>
  </si>
  <si>
    <t>18540-057</t>
  </si>
  <si>
    <t>Rua Aneres Aparecida de Camargo Rocha</t>
  </si>
  <si>
    <t>18546-050</t>
  </si>
  <si>
    <t>Rua Angelina de Jesus Dias de Toledo</t>
  </si>
  <si>
    <t>18547-060</t>
  </si>
  <si>
    <t>Rua Ângelo Diana</t>
  </si>
  <si>
    <t>18540-550</t>
  </si>
  <si>
    <t>18540-548</t>
  </si>
  <si>
    <t>Rua Ângelo Fustaino</t>
  </si>
  <si>
    <t>Conjunto Habitacional Benedito José Diana</t>
  </si>
  <si>
    <t>18542-380</t>
  </si>
  <si>
    <t>Rua Ângelo Gastardello</t>
  </si>
  <si>
    <t>Conjunto Habitacional Eugênio Motta</t>
  </si>
  <si>
    <t>18542-452</t>
  </si>
  <si>
    <t>18542-358</t>
  </si>
  <si>
    <t>Rua Ângelo Giovani Menegon</t>
  </si>
  <si>
    <t>18542-350</t>
  </si>
  <si>
    <t>Rua Anita Garibaldi</t>
  </si>
  <si>
    <t>18540-358</t>
  </si>
  <si>
    <t>18540-210</t>
  </si>
  <si>
    <t>Jardim Primavera</t>
  </si>
  <si>
    <t>18540-220</t>
  </si>
  <si>
    <t>Rua Anízio Ferraz Sampaio</t>
  </si>
  <si>
    <t>18546-180</t>
  </si>
  <si>
    <t>Rua Anselmo Bueno de Oliveira</t>
  </si>
  <si>
    <t>18545-216</t>
  </si>
  <si>
    <t>Rua Antenor Bellon</t>
  </si>
  <si>
    <t>18545-218</t>
  </si>
  <si>
    <t>Rua Antenor Ferraz de Oliveira</t>
  </si>
  <si>
    <t>Vila Maria</t>
  </si>
  <si>
    <t>18547-040</t>
  </si>
  <si>
    <t>Rua Antônio Arraval Filho</t>
  </si>
  <si>
    <t>18540-222</t>
  </si>
  <si>
    <t>Rua Antônio Bello</t>
  </si>
  <si>
    <t>Residencial Bepim</t>
  </si>
  <si>
    <t>18545-096</t>
  </si>
  <si>
    <t>Rua Antônio Bonini</t>
  </si>
  <si>
    <t>18547-082</t>
  </si>
  <si>
    <t>Rua Antônio Brienza</t>
  </si>
  <si>
    <t>18540-352</t>
  </si>
  <si>
    <t>Rua Antônio Caetano de Almeida</t>
  </si>
  <si>
    <t>18546-036</t>
  </si>
  <si>
    <t>18546-042</t>
  </si>
  <si>
    <t>Rua Antônio Cardoso da Silva</t>
  </si>
  <si>
    <t>18546-248</t>
  </si>
  <si>
    <t>Rua Antônio Carlos Marcolino Polaz - até 449/450</t>
  </si>
  <si>
    <t>18547-086</t>
  </si>
  <si>
    <t>Rua Antônio Carlos Marcolino Polaz - de 451/452 ao fim</t>
  </si>
  <si>
    <t>18547-140</t>
  </si>
  <si>
    <t>Rua Antônio Castilho Garcia</t>
  </si>
  <si>
    <t>18546-262</t>
  </si>
  <si>
    <t>Rua Antônio Dario</t>
  </si>
  <si>
    <t>18545-132</t>
  </si>
  <si>
    <t>Rua Antônio Fernandes</t>
  </si>
  <si>
    <t>Campo Real</t>
  </si>
  <si>
    <t>18548-322</t>
  </si>
  <si>
    <t>Rua Antônio Ferraz de Oliveira</t>
  </si>
  <si>
    <t>18546-004</t>
  </si>
  <si>
    <t>Rua Antônio Francisco Nogueira</t>
  </si>
  <si>
    <t>18543-080</t>
  </si>
  <si>
    <t>Rua Antônio Gibim - até 249/250</t>
  </si>
  <si>
    <t>18542-276</t>
  </si>
  <si>
    <t>Rua Antônio Gibim - de 251/252 ao fim</t>
  </si>
  <si>
    <t>Vila Martelli</t>
  </si>
  <si>
    <t>18542-248</t>
  </si>
  <si>
    <t>Rua Antônio Gonzaga</t>
  </si>
  <si>
    <t>18547-062</t>
  </si>
  <si>
    <t>Rua Antônio Jacomassi</t>
  </si>
  <si>
    <t>18540-466</t>
  </si>
  <si>
    <t>Rua Antônio Leite de Almeida</t>
  </si>
  <si>
    <t>18542-058</t>
  </si>
  <si>
    <t>Rua Antônio Magnatti</t>
  </si>
  <si>
    <t>18540-017</t>
  </si>
  <si>
    <t>Rua Antônio Márcio de Camargo</t>
  </si>
  <si>
    <t>18540-324</t>
  </si>
  <si>
    <t>Rua Antônio Martins Sampaio</t>
  </si>
  <si>
    <t>18540-083</t>
  </si>
  <si>
    <t>Rua Antônio Patuci</t>
  </si>
  <si>
    <t>18546-178</t>
  </si>
  <si>
    <t>Rua Antônio Pimenta de Almeida</t>
  </si>
  <si>
    <t>18540-488</t>
  </si>
  <si>
    <t>18540-534</t>
  </si>
  <si>
    <t>18540-452</t>
  </si>
  <si>
    <t>Rua Antônio Pires</t>
  </si>
  <si>
    <t>18540-039</t>
  </si>
  <si>
    <t>Rua Antônio Raposo Tavares</t>
  </si>
  <si>
    <t>Cidade Nova Bandeirantes</t>
  </si>
  <si>
    <t>18547-164</t>
  </si>
  <si>
    <t>Rua Antônio Sardinha</t>
  </si>
  <si>
    <t>18540-009</t>
  </si>
  <si>
    <t>Rua Antônio Soares de Souza</t>
  </si>
  <si>
    <t>18540-566</t>
  </si>
  <si>
    <t>Rua Antônio Sylvio Cunha Bueno</t>
  </si>
  <si>
    <t>18546-174</t>
  </si>
  <si>
    <t>Rua Antônio Theodoro Alcalá</t>
  </si>
  <si>
    <t>18546-324</t>
  </si>
  <si>
    <t>Rua Aorélia Veronezi Gutierrez</t>
  </si>
  <si>
    <t>18542-388</t>
  </si>
  <si>
    <t>Rua Apparicio Pires</t>
  </si>
  <si>
    <t>18542-456</t>
  </si>
  <si>
    <t>Rua Aquíles Jorge de Oliveira</t>
  </si>
  <si>
    <t>18546-186</t>
  </si>
  <si>
    <t>Rua Aquíles Jorge Steiner</t>
  </si>
  <si>
    <t>Jardim Ivone</t>
  </si>
  <si>
    <t>18540-232</t>
  </si>
  <si>
    <t>Rua Aracy Sampaio de Almeida</t>
  </si>
  <si>
    <t>18546-124</t>
  </si>
  <si>
    <t>18546-154</t>
  </si>
  <si>
    <t>Rua Aracy Tomé de Lara</t>
  </si>
  <si>
    <t>18545-414</t>
  </si>
  <si>
    <t>Rua Araritaguaba</t>
  </si>
  <si>
    <t>18540-145</t>
  </si>
  <si>
    <t>18540-200</t>
  </si>
  <si>
    <t>Rua Arcílio Borges</t>
  </si>
  <si>
    <t>18540-043</t>
  </si>
  <si>
    <t>Rua Aristides Cândido da Silva</t>
  </si>
  <si>
    <t>18543-538</t>
  </si>
  <si>
    <t>Rua Aristides Miguel Macedo</t>
  </si>
  <si>
    <t>18543-192</t>
  </si>
  <si>
    <t>Rua Aristides Valentim Torres</t>
  </si>
  <si>
    <t>18540-444</t>
  </si>
  <si>
    <t>Rua Armando Dias</t>
  </si>
  <si>
    <t>18540-159</t>
  </si>
  <si>
    <t>Rua Armando Honora</t>
  </si>
  <si>
    <t>18540-482</t>
  </si>
  <si>
    <t>Rua Armando Ramos</t>
  </si>
  <si>
    <t>18542-060</t>
  </si>
  <si>
    <t>Rua Armindo Pellegrini</t>
  </si>
  <si>
    <t>Residencial Madalena</t>
  </si>
  <si>
    <t>18543-070</t>
  </si>
  <si>
    <t>Rua Arnaldo Avancini</t>
  </si>
  <si>
    <t>18543-086</t>
  </si>
  <si>
    <t>Rua Arnaldo Teixeira de Carvalho</t>
  </si>
  <si>
    <t>Ponte Grande</t>
  </si>
  <si>
    <t>18543-040</t>
  </si>
  <si>
    <t>Rua Assalin Zauro</t>
  </si>
  <si>
    <t>18547-054</t>
  </si>
  <si>
    <t>Rua Atílio Coli</t>
  </si>
  <si>
    <t>18542-068</t>
  </si>
  <si>
    <t>Rua Aubertim</t>
  </si>
  <si>
    <t>18540-031</t>
  </si>
  <si>
    <t>Rua Avelino Alves de Oliveira</t>
  </si>
  <si>
    <t>18542-352</t>
  </si>
  <si>
    <t>Rua B</t>
  </si>
  <si>
    <t>18543-544</t>
  </si>
  <si>
    <t>Rua Bahia</t>
  </si>
  <si>
    <t>18540-554</t>
  </si>
  <si>
    <t>Rua Bandeirantes</t>
  </si>
  <si>
    <t>18540-061</t>
  </si>
  <si>
    <t>Rua Barão do Rio Branco - até 478/479</t>
  </si>
  <si>
    <t>18540-087</t>
  </si>
  <si>
    <t>Rua Barão do Rio Branco - de 480/481 ao fim</t>
  </si>
  <si>
    <t>18540-296</t>
  </si>
  <si>
    <t>Rua Barão do Rio Branco, 94
AC Porto Feliz</t>
  </si>
  <si>
    <t>18540-970</t>
  </si>
  <si>
    <t>Rua Barão do Rio Branco, 94 Clique e Retire Correios
AC Porto Feliz Clique e Retire</t>
  </si>
  <si>
    <t>18540-959</t>
  </si>
  <si>
    <t>Rua Bartira</t>
  </si>
  <si>
    <t>18548-402</t>
  </si>
  <si>
    <t>Rua Bartolomeu Bueno</t>
  </si>
  <si>
    <t>18547-162</t>
  </si>
  <si>
    <t>Rua Basil Fernando Leroy</t>
  </si>
  <si>
    <t>18540-364</t>
  </si>
  <si>
    <t>Rua Belarmino Felix</t>
  </si>
  <si>
    <t>18540-468</t>
  </si>
  <si>
    <t>Rua Benedicto Antunes Soares</t>
  </si>
  <si>
    <t>18547-068</t>
  </si>
  <si>
    <t>Rua Benedita Campos Bonini</t>
  </si>
  <si>
    <t>18543-008</t>
  </si>
  <si>
    <t>Rua Benedita Carolina das Neves</t>
  </si>
  <si>
    <t>18547-308</t>
  </si>
  <si>
    <t>Rua Benedito Aparecido Manfrinatti</t>
  </si>
  <si>
    <t>18542-390</t>
  </si>
  <si>
    <t>Rua Benedito Augusto de Oliveira</t>
  </si>
  <si>
    <t>18540-127</t>
  </si>
  <si>
    <t>Rua Benedito Correa de Moraes</t>
  </si>
  <si>
    <t>18540-011</t>
  </si>
  <si>
    <t>Rua Benedito de Toledo Viegas</t>
  </si>
  <si>
    <t>18545-106</t>
  </si>
  <si>
    <t>Rua Benedito Ferrari</t>
  </si>
  <si>
    <t>18546-224</t>
  </si>
  <si>
    <t>Rua Benedito José Diana</t>
  </si>
  <si>
    <t>18540-328</t>
  </si>
  <si>
    <t>Rua Benedito Lisboa</t>
  </si>
  <si>
    <t>18540-143</t>
  </si>
  <si>
    <t>Rua Benedito Mancio</t>
  </si>
  <si>
    <t>18545-400</t>
  </si>
  <si>
    <t>Rua Benedito Martins Sampaio</t>
  </si>
  <si>
    <t>18546-152</t>
  </si>
  <si>
    <t>Rua Benedito Murback</t>
  </si>
  <si>
    <t>18545-008</t>
  </si>
  <si>
    <t>Rua Benedito Pinto do Amaral</t>
  </si>
  <si>
    <t>18540-372</t>
  </si>
  <si>
    <t>Rua Benedito Pires de Arruda</t>
  </si>
  <si>
    <t>18542-072</t>
  </si>
  <si>
    <t>Rua Benedito Prestes de Souza</t>
  </si>
  <si>
    <t>18542-514</t>
  </si>
  <si>
    <t>Rua Benedito Stetner</t>
  </si>
  <si>
    <t>18540-091</t>
  </si>
  <si>
    <t>Rua Benedito Vaz Cardoso</t>
  </si>
  <si>
    <t>18542-070</t>
  </si>
  <si>
    <t>Rua Boa Vista</t>
  </si>
  <si>
    <t>18547-004</t>
  </si>
  <si>
    <t>Rua Boituva</t>
  </si>
  <si>
    <t>18542-156</t>
  </si>
  <si>
    <t>Rua Bom Jesus</t>
  </si>
  <si>
    <t>18542-438</t>
  </si>
  <si>
    <t>Rua Bom Pastor</t>
  </si>
  <si>
    <t>18542-432</t>
  </si>
  <si>
    <t>Rua Borba Gato</t>
  </si>
  <si>
    <t>18547-172</t>
  </si>
  <si>
    <t>Rua Brasil</t>
  </si>
  <si>
    <t>18540-067</t>
  </si>
  <si>
    <t>Rua Brasil Colônia</t>
  </si>
  <si>
    <t>18540-646</t>
  </si>
  <si>
    <t>Rua Braxister de Camargo</t>
  </si>
  <si>
    <t>18540-462</t>
  </si>
  <si>
    <t>Rua C</t>
  </si>
  <si>
    <t>18543-546</t>
  </si>
  <si>
    <t>Rua Cabreúva</t>
  </si>
  <si>
    <t>18542-158</t>
  </si>
  <si>
    <t>Rua Campos Salles - até 102/103</t>
  </si>
  <si>
    <t>18540-005</t>
  </si>
  <si>
    <t>Rua Campos Salles - de 104/105 ao fim</t>
  </si>
  <si>
    <t>Chácara Sanches</t>
  </si>
  <si>
    <t>18542-018</t>
  </si>
  <si>
    <t>Rua Cândida Seckler</t>
  </si>
  <si>
    <t>18546-164</t>
  </si>
  <si>
    <t>Rua Cândido de Oliveira</t>
  </si>
  <si>
    <t>18542-064</t>
  </si>
  <si>
    <t>Rua Cândido Motta</t>
  </si>
  <si>
    <t>18540-021</t>
  </si>
  <si>
    <t>Rua Cândido Portinari</t>
  </si>
  <si>
    <t>18548-510</t>
  </si>
  <si>
    <t>Rua Canões</t>
  </si>
  <si>
    <t>18548-408</t>
  </si>
  <si>
    <t>Rua Cardoso Pimentel</t>
  </si>
  <si>
    <t>18545-130</t>
  </si>
  <si>
    <t>18540-023</t>
  </si>
  <si>
    <t>Condomínio Vila das Palmeiras</t>
  </si>
  <si>
    <t>18545-080</t>
  </si>
  <si>
    <t>Jardim Bandeirantes</t>
  </si>
  <si>
    <t>18542-000</t>
  </si>
  <si>
    <t>18545-000</t>
  </si>
  <si>
    <t>18542-154</t>
  </si>
  <si>
    <t>18545-230</t>
  </si>
  <si>
    <t>18545-090</t>
  </si>
  <si>
    <t>Residencial Jandira Diez Alcalá</t>
  </si>
  <si>
    <t>18545-070</t>
  </si>
  <si>
    <t>18545-222</t>
  </si>
  <si>
    <t>Rua Carlos Gomes</t>
  </si>
  <si>
    <t>18547-016</t>
  </si>
  <si>
    <t>Rua Carlos Magalhães</t>
  </si>
  <si>
    <t>Jardim Bela Vista</t>
  </si>
  <si>
    <t>18547-216</t>
  </si>
  <si>
    <t>Rua Ceci</t>
  </si>
  <si>
    <t>18548-396</t>
  </si>
  <si>
    <t>Rua Cerquilho</t>
  </si>
  <si>
    <t>18542-164</t>
  </si>
  <si>
    <t>Rua Cesário Leroy</t>
  </si>
  <si>
    <t>18540-378</t>
  </si>
  <si>
    <t>Rua Cesário Motta</t>
  </si>
  <si>
    <t>18540-013</t>
  </si>
  <si>
    <t>Rua Chafic Salem</t>
  </si>
  <si>
    <t>18545-010</t>
  </si>
  <si>
    <t>Rua Cinco</t>
  </si>
  <si>
    <t>18548-010</t>
  </si>
  <si>
    <t>18540-670</t>
  </si>
  <si>
    <t>Recanto Portela</t>
  </si>
  <si>
    <t>18547-458</t>
  </si>
  <si>
    <t>Residencial Carlos Brugnaro</t>
  </si>
  <si>
    <t>18543-158</t>
  </si>
  <si>
    <t>Rua Cleiton Bazzo Cuchera</t>
  </si>
  <si>
    <t>18545-244</t>
  </si>
  <si>
    <t>Rua Clotilde Russo Ayres</t>
  </si>
  <si>
    <t>18547-052</t>
  </si>
  <si>
    <t>Rua Conde Azambuja</t>
  </si>
  <si>
    <t>18540-608</t>
  </si>
  <si>
    <t>Rua Cônego Belotti</t>
  </si>
  <si>
    <t>18540-107</t>
  </si>
  <si>
    <t>Rua Cônego Humberto Ghizzi</t>
  </si>
  <si>
    <t>18545-068</t>
  </si>
  <si>
    <t>Rua Conrado Angelieiri</t>
  </si>
  <si>
    <t>18546-214</t>
  </si>
  <si>
    <t>Rua Conrado Caruba</t>
  </si>
  <si>
    <t>18546-046</t>
  </si>
  <si>
    <t>Rua Conselheiro Manoel Dias de Toledo</t>
  </si>
  <si>
    <t>18540-492</t>
  </si>
  <si>
    <t>18540-530</t>
  </si>
  <si>
    <t>Rua Constantino Guarini</t>
  </si>
  <si>
    <t>18540-103</t>
  </si>
  <si>
    <t>Rua Cornélio Pires</t>
  </si>
  <si>
    <t>18548-512</t>
  </si>
  <si>
    <t>Rua Coronel Bráulio Guimarães</t>
  </si>
  <si>
    <t>18543-512</t>
  </si>
  <si>
    <t>Rua Cuiabá</t>
  </si>
  <si>
    <t>18540-656</t>
  </si>
  <si>
    <t>Rua Custódia Sacramento Perpétuo</t>
  </si>
  <si>
    <t>18540-053</t>
  </si>
  <si>
    <t>Rua D</t>
  </si>
  <si>
    <t>18543-562</t>
  </si>
  <si>
    <t>Rua da Alfândega</t>
  </si>
  <si>
    <t>18540-630</t>
  </si>
  <si>
    <t>Rua da Capitania</t>
  </si>
  <si>
    <t>18540-650</t>
  </si>
  <si>
    <t>Rua da Freguesia</t>
  </si>
  <si>
    <t>18540-632</t>
  </si>
  <si>
    <t>Rua da Nogueira</t>
  </si>
  <si>
    <t>18548-422</t>
  </si>
  <si>
    <t>Rua da Paineira</t>
  </si>
  <si>
    <t>18548-424</t>
  </si>
  <si>
    <t>Rua da Regência</t>
  </si>
  <si>
    <t>18540-648</t>
  </si>
  <si>
    <t>Rua Daniel da Silva Braga</t>
  </si>
  <si>
    <t>Jardim Esplanada</t>
  </si>
  <si>
    <t>18542-492</t>
  </si>
  <si>
    <t>Rua Daniel de Camargo Taborda - até 174/175</t>
  </si>
  <si>
    <t>18542-460</t>
  </si>
  <si>
    <t>Rua Daniel de Camargo Taborda - de 1/2 ao fim</t>
  </si>
  <si>
    <t>18545-286</t>
  </si>
  <si>
    <t>Rua Daniel de Camargo Taborda - de 176/177 a 588/589</t>
  </si>
  <si>
    <t>Parque Residencial Água Branca</t>
  </si>
  <si>
    <t>18542-470</t>
  </si>
  <si>
    <t>Rua Dante Carezia</t>
  </si>
  <si>
    <t>18545-288</t>
  </si>
  <si>
    <t>Rua Dario Martelli</t>
  </si>
  <si>
    <t>Residencial Humberto Martelli</t>
  </si>
  <si>
    <t>18542-226</t>
  </si>
  <si>
    <t>Rua das Araras</t>
  </si>
  <si>
    <t>18540-638</t>
  </si>
  <si>
    <t>Rua das Avencas</t>
  </si>
  <si>
    <t>18547-188</t>
  </si>
  <si>
    <t>Rua das Azaléas</t>
  </si>
  <si>
    <t>18547-186</t>
  </si>
  <si>
    <t>Rua das Camélias</t>
  </si>
  <si>
    <t>18547-202</t>
  </si>
  <si>
    <t>Rua das Dálias</t>
  </si>
  <si>
    <t>18547-204</t>
  </si>
  <si>
    <t>Rua das Especiarias</t>
  </si>
  <si>
    <t>18540-634</t>
  </si>
  <si>
    <t>Rua das Hortências</t>
  </si>
  <si>
    <t>18547-184</t>
  </si>
  <si>
    <t>Rua das Laranjeiras</t>
  </si>
  <si>
    <t>Aldeia dos Laranjais</t>
  </si>
  <si>
    <t>18548-454</t>
  </si>
  <si>
    <t>Rua das Margaridas</t>
  </si>
  <si>
    <t>18547-198</t>
  </si>
  <si>
    <t>Rua das Orquídeas</t>
  </si>
  <si>
    <t>18547-180</t>
  </si>
  <si>
    <t>Rua das Rosas</t>
  </si>
  <si>
    <t>18547-214</t>
  </si>
  <si>
    <t>Rua das Tangerinas</t>
  </si>
  <si>
    <t>18548-450</t>
  </si>
  <si>
    <t>Rua das Tordesilhas</t>
  </si>
  <si>
    <t>18540-628</t>
  </si>
  <si>
    <t>Rua das Tulipas</t>
  </si>
  <si>
    <t>18547-212</t>
  </si>
  <si>
    <t>Rua das Violetas</t>
  </si>
  <si>
    <t>18547-210</t>
  </si>
  <si>
    <t>Rua Dayse Aparecida Leite Nasrallah</t>
  </si>
  <si>
    <t>18546-212</t>
  </si>
  <si>
    <t>Rua Dez</t>
  </si>
  <si>
    <t>18548-020</t>
  </si>
  <si>
    <t>18540-680</t>
  </si>
  <si>
    <t>18543-168</t>
  </si>
  <si>
    <t>Rua Dezesseis</t>
  </si>
  <si>
    <t>18540-692</t>
  </si>
  <si>
    <t>Rua Dezessete</t>
  </si>
  <si>
    <t>18540-694</t>
  </si>
  <si>
    <t>Rua Dezoito</t>
  </si>
  <si>
    <t>18540-696</t>
  </si>
  <si>
    <t>Rua Diogo Antônio Feijó</t>
  </si>
  <si>
    <t>18548-526</t>
  </si>
  <si>
    <t>Rua Dirceu Maria Stettner</t>
  </si>
  <si>
    <t>18546-226</t>
  </si>
  <si>
    <t>Rua Dirceu Pompeu da Silva</t>
  </si>
  <si>
    <t>18543-506</t>
  </si>
  <si>
    <t>Rua Djalma de Oliveira</t>
  </si>
  <si>
    <t>Portal Vale do Sol</t>
  </si>
  <si>
    <t>18546-202</t>
  </si>
  <si>
    <t>Rua do Lago</t>
  </si>
  <si>
    <t>18548-420</t>
  </si>
  <si>
    <t>Rua Dois</t>
  </si>
  <si>
    <t>18548-004</t>
  </si>
  <si>
    <t>Chácara de Recreio a Morada do Sol</t>
  </si>
  <si>
    <t>18547-722</t>
  </si>
  <si>
    <t>18540-664</t>
  </si>
  <si>
    <t>18547-452</t>
  </si>
  <si>
    <t>18543-152</t>
  </si>
  <si>
    <t>Rua Dolores Garcia Alcalá</t>
  </si>
  <si>
    <t>18546-314</t>
  </si>
  <si>
    <t>Rua Domingos Albiero</t>
  </si>
  <si>
    <t>18542-510</t>
  </si>
  <si>
    <t>Rua Domingos Jorge Velho</t>
  </si>
  <si>
    <t>18547-166</t>
  </si>
  <si>
    <t>Rua Domingos Maurino</t>
  </si>
  <si>
    <t>18540-149</t>
  </si>
  <si>
    <t>Rua Domingos Rodrigues Martins</t>
  </si>
  <si>
    <t>18543-188</t>
  </si>
  <si>
    <t>Rua Domingos Thomé</t>
  </si>
  <si>
    <t>18543-502</t>
  </si>
  <si>
    <t>Rua dos Arcos</t>
  </si>
  <si>
    <t>18548-404</t>
  </si>
  <si>
    <t>Rua dos Batelões</t>
  </si>
  <si>
    <t>18540-636</t>
  </si>
  <si>
    <t>Rua dos Carinans</t>
  </si>
  <si>
    <t>18548-398</t>
  </si>
  <si>
    <t>Rua dos Chavantes</t>
  </si>
  <si>
    <t>18548-412</t>
  </si>
  <si>
    <t>Rua dos Cocares</t>
  </si>
  <si>
    <t>18548-400</t>
  </si>
  <si>
    <t>Rua dos Cravos</t>
  </si>
  <si>
    <t>18547-190</t>
  </si>
  <si>
    <t>Rua dos Crisântemos</t>
  </si>
  <si>
    <t>18547-194</t>
  </si>
  <si>
    <t>Rua dos Curiós</t>
  </si>
  <si>
    <t>18545-026</t>
  </si>
  <si>
    <t>Rua dos Emboabas</t>
  </si>
  <si>
    <t>18548-394</t>
  </si>
  <si>
    <t>Rua dos Gerânios</t>
  </si>
  <si>
    <t>18547-208</t>
  </si>
  <si>
    <t>Rua dos Girassóis</t>
  </si>
  <si>
    <t>18547-206</t>
  </si>
  <si>
    <t>Rua dos Guaranis</t>
  </si>
  <si>
    <t>18548-392</t>
  </si>
  <si>
    <t>Rua dos Jamaris</t>
  </si>
  <si>
    <t>18548-444</t>
  </si>
  <si>
    <t>Rua dos Jesuítas</t>
  </si>
  <si>
    <t>18540-654</t>
  </si>
  <si>
    <t>Rua dos Limoeiros</t>
  </si>
  <si>
    <t>18548-452</t>
  </si>
  <si>
    <t>Rua dos Lírios</t>
  </si>
  <si>
    <t>18547-192</t>
  </si>
  <si>
    <t>Rua dos Maracatins</t>
  </si>
  <si>
    <t>18548-418</t>
  </si>
  <si>
    <t>Rua dos Miosótis</t>
  </si>
  <si>
    <t>18547-182</t>
  </si>
  <si>
    <t>Rua dos Tamôios</t>
  </si>
  <si>
    <t>18548-390</t>
  </si>
  <si>
    <t>Rua dos Tupis</t>
  </si>
  <si>
    <t>18548-442</t>
  </si>
  <si>
    <t>Rua Doutor Adhemar de Barros</t>
  </si>
  <si>
    <t>18540-073</t>
  </si>
  <si>
    <t>Rua Doutor Alvim</t>
  </si>
  <si>
    <t>18540-071</t>
  </si>
  <si>
    <t>Rua Doutor Célio Prado</t>
  </si>
  <si>
    <t>18545-278</t>
  </si>
  <si>
    <t>Rua Doutor Draco de Albuquerque</t>
  </si>
  <si>
    <t>18540-059</t>
  </si>
  <si>
    <t>Rua Doutor Francisco Moreira Junior</t>
  </si>
  <si>
    <t>18542-010</t>
  </si>
  <si>
    <t>18542-004</t>
  </si>
  <si>
    <t>Rua Doutor Israel Vieira Ferreira</t>
  </si>
  <si>
    <t>18546-010</t>
  </si>
  <si>
    <t>Rua Doutor Julien Fouqué</t>
  </si>
  <si>
    <t>18542-316</t>
  </si>
  <si>
    <t>Rua Doutor Miguel Vieira Ferreira</t>
  </si>
  <si>
    <t>18546-014</t>
  </si>
  <si>
    <t>Rua Doutor Walter Castelucci</t>
  </si>
  <si>
    <t>18542-382</t>
  </si>
  <si>
    <t>Rua Doze</t>
  </si>
  <si>
    <t>18540-684</t>
  </si>
  <si>
    <t>Rua E</t>
  </si>
  <si>
    <t>18543-564</t>
  </si>
  <si>
    <t>Rua Edgar Leandro de Oliveira</t>
  </si>
  <si>
    <t>18540-414</t>
  </si>
  <si>
    <t>Rua Edgar Moraes</t>
  </si>
  <si>
    <t>18545-266</t>
  </si>
  <si>
    <t>Rua Edison Bicudo Almeida</t>
  </si>
  <si>
    <t>18543-170</t>
  </si>
  <si>
    <t>Rua Edson Stetner</t>
  </si>
  <si>
    <t>18545-004</t>
  </si>
  <si>
    <t>Rua Eduardo Lucchese</t>
  </si>
  <si>
    <t>18548-272</t>
  </si>
  <si>
    <t>Rua Egídio Previtali</t>
  </si>
  <si>
    <t>18546-008</t>
  </si>
  <si>
    <t>Rua Elcio Correa de Moraes</t>
  </si>
  <si>
    <t>18545-406</t>
  </si>
  <si>
    <t>Rua Eliane Bertonceli Sampaio</t>
  </si>
  <si>
    <t>18545-408</t>
  </si>
  <si>
    <t>Rua Emília Veroneze</t>
  </si>
  <si>
    <t>18540-134</t>
  </si>
  <si>
    <t>Rua Emílio Coli</t>
  </si>
  <si>
    <t>18547-034</t>
  </si>
  <si>
    <t>Rua Emílio Ribas</t>
  </si>
  <si>
    <t>18548-522</t>
  </si>
  <si>
    <t>Rua Ernesto Dalsoglio</t>
  </si>
  <si>
    <t>18543-522</t>
  </si>
  <si>
    <t>Rua Ester Antonelli de Almeida</t>
  </si>
  <si>
    <t>18546-198</t>
  </si>
  <si>
    <t>Rua Eugênio Egídio Alcalá</t>
  </si>
  <si>
    <t>18546-316</t>
  </si>
  <si>
    <t>Rua Evair de Oliveira</t>
  </si>
  <si>
    <t>18547-084</t>
  </si>
  <si>
    <t>Rua Evaristo Baptistella</t>
  </si>
  <si>
    <t>18545-100</t>
  </si>
  <si>
    <t>Rua Fábio Sentieiro Borges</t>
  </si>
  <si>
    <t>18548-332</t>
  </si>
  <si>
    <t>Rua Felício Castelucci</t>
  </si>
  <si>
    <t>18542-244</t>
  </si>
  <si>
    <t>Rua Felipe Felix</t>
  </si>
  <si>
    <t>Jardim Porungal</t>
  </si>
  <si>
    <t>18547-136</t>
  </si>
  <si>
    <t>Rua Felix Rocco</t>
  </si>
  <si>
    <t>18543-524</t>
  </si>
  <si>
    <t>Rua Fernando Stecca</t>
  </si>
  <si>
    <t>18547-138</t>
  </si>
  <si>
    <t>Rua Fernão Dias</t>
  </si>
  <si>
    <t>18547-160</t>
  </si>
  <si>
    <t>Rua Fioravante Mietto</t>
  </si>
  <si>
    <t>18545-212</t>
  </si>
  <si>
    <t>Rua Flávia Sampaio Bello</t>
  </si>
  <si>
    <t>18545-136</t>
  </si>
  <si>
    <t>Rua Flávio de Sampaio</t>
  </si>
  <si>
    <t>18545-214</t>
  </si>
  <si>
    <t>Rua Flodoardo Bueno de Camargo - até 122/123</t>
  </si>
  <si>
    <t>18540-027</t>
  </si>
  <si>
    <t>Rua Flodoardo Bueno de Camargo - de 124/125 ao fim</t>
  </si>
  <si>
    <t>18545-006</t>
  </si>
  <si>
    <t>Rua Floriano Pires</t>
  </si>
  <si>
    <t>18545-060</t>
  </si>
  <si>
    <t>Rua Floriano Torres</t>
  </si>
  <si>
    <t>18546-134</t>
  </si>
  <si>
    <t>Rua Francisco Abibe</t>
  </si>
  <si>
    <t>18546-246</t>
  </si>
  <si>
    <t>Rua Francisco Corrêa de Moraes</t>
  </si>
  <si>
    <t>18540-624</t>
  </si>
  <si>
    <t>Rua Francisco de Oliveira Lima - até 110/111</t>
  </si>
  <si>
    <t>18540-440</t>
  </si>
  <si>
    <t>Rua Francisco de Oliveira Lima - de 112/113 ao fim</t>
  </si>
  <si>
    <t>18540-458</t>
  </si>
  <si>
    <t>Rua Francisco de Souza Moraes</t>
  </si>
  <si>
    <t>18547-200</t>
  </si>
  <si>
    <t>18546-038</t>
  </si>
  <si>
    <t>18546-040</t>
  </si>
  <si>
    <t>Rua Francisco Ferraz de Oliveira</t>
  </si>
  <si>
    <t>18543-082</t>
  </si>
  <si>
    <t>Rua Francisco Gomes de Toledo - até 545/546</t>
  </si>
  <si>
    <t>18547-010</t>
  </si>
  <si>
    <t>Rua Francisco Gomes de Toledo - de 547/548 ao fim</t>
  </si>
  <si>
    <t>18547-042</t>
  </si>
  <si>
    <t>Rua Francisco Miguel Macedo</t>
  </si>
  <si>
    <t>18542-494</t>
  </si>
  <si>
    <t>Rua Francisco Nunes Seckler</t>
  </si>
  <si>
    <t>18546-086</t>
  </si>
  <si>
    <t>Rua Francisco Picciochi</t>
  </si>
  <si>
    <t>18548-508</t>
  </si>
  <si>
    <t>Rua Francisco Rocha</t>
  </si>
  <si>
    <t>18540-540</t>
  </si>
  <si>
    <t>Rua Frederico Brand</t>
  </si>
  <si>
    <t>18540-370</t>
  </si>
  <si>
    <t>Rua Frederico Palmieri</t>
  </si>
  <si>
    <t>18547-096</t>
  </si>
  <si>
    <t>Rua Gabriel Antônio de Carvalho</t>
  </si>
  <si>
    <t>18546-016</t>
  </si>
  <si>
    <t>Rua Gabriel Simeira</t>
  </si>
  <si>
    <t>18546-254</t>
  </si>
  <si>
    <t>Rua Gastão Vidigal</t>
  </si>
  <si>
    <t>18540-025</t>
  </si>
  <si>
    <t>Rua Genésio Azoline</t>
  </si>
  <si>
    <t>Residencial Portal Ville Ipê</t>
  </si>
  <si>
    <t>18545-124</t>
  </si>
  <si>
    <t>Rua Genésio Rodrigues</t>
  </si>
  <si>
    <t>18542-056</t>
  </si>
  <si>
    <t>Rua Gentil de Arruda</t>
  </si>
  <si>
    <t>18540-464</t>
  </si>
  <si>
    <t>Rua Geraldo Clemente da Costa</t>
  </si>
  <si>
    <t>São Carlos</t>
  </si>
  <si>
    <t>18543-200</t>
  </si>
  <si>
    <t>Rua Geraldo Esmédio Pires</t>
  </si>
  <si>
    <t>18540-139</t>
  </si>
  <si>
    <t>Rua Gessia Odete de Morais Lisboa</t>
  </si>
  <si>
    <t>18542-220</t>
  </si>
  <si>
    <t>Rua Getro Soares de Souza</t>
  </si>
  <si>
    <t>18542-506</t>
  </si>
  <si>
    <t>Rua Gilberto Sampaio Torres</t>
  </si>
  <si>
    <t>18546-194</t>
  </si>
  <si>
    <t>Rua Ginda Thomé Bazzo</t>
  </si>
  <si>
    <t>18540-208</t>
  </si>
  <si>
    <t>Rua Guaianases</t>
  </si>
  <si>
    <t>18540-642</t>
  </si>
  <si>
    <t>Rua Guerino Bellon</t>
  </si>
  <si>
    <t>18546-132</t>
  </si>
  <si>
    <t>Rua Guilherme de Almeida</t>
  </si>
  <si>
    <t>18548-502</t>
  </si>
  <si>
    <t>Rua Hans Rehder</t>
  </si>
  <si>
    <t>18542-454</t>
  </si>
  <si>
    <t>Rua Henrique Dias</t>
  </si>
  <si>
    <t>18547-006</t>
  </si>
  <si>
    <t>Rua Henrique Wandeveld</t>
  </si>
  <si>
    <t>18545-202</t>
  </si>
  <si>
    <t>Rua Hermínio Leroy</t>
  </si>
  <si>
    <t>18540-560</t>
  </si>
  <si>
    <t>Rua Humberto Marteli</t>
  </si>
  <si>
    <t>18542-232</t>
  </si>
  <si>
    <t>18542-240</t>
  </si>
  <si>
    <t>Rua Iara</t>
  </si>
  <si>
    <t>18548-438</t>
  </si>
  <si>
    <t>Rua Ibraim Paes da Mota</t>
  </si>
  <si>
    <t>18547-056</t>
  </si>
  <si>
    <t>Rua Idalina de Souza Martins</t>
  </si>
  <si>
    <t>18543-204</t>
  </si>
  <si>
    <t>Rua Ignácio Chagas</t>
  </si>
  <si>
    <t>18540-336</t>
  </si>
  <si>
    <t>Rua Imperial</t>
  </si>
  <si>
    <t>18540-644</t>
  </si>
  <si>
    <t>Rua Indaiatuba</t>
  </si>
  <si>
    <t>18542-166</t>
  </si>
  <si>
    <t>Rua Irene Segatto Gonçalves</t>
  </si>
  <si>
    <t>18545-242</t>
  </si>
  <si>
    <t>Rua Irmã Eliza Ambrósio</t>
  </si>
  <si>
    <t>18545-062</t>
  </si>
  <si>
    <t>Rua Irton Mauricio de Oliveira</t>
  </si>
  <si>
    <t>18546-236</t>
  </si>
  <si>
    <t>Rua Isaias Paludetto</t>
  </si>
  <si>
    <t>18543-202</t>
  </si>
  <si>
    <t>Rua Itália Menegon Pellegrini</t>
  </si>
  <si>
    <t>18543-072</t>
  </si>
  <si>
    <t>Rua Itália Previtali</t>
  </si>
  <si>
    <t>18543-536</t>
  </si>
  <si>
    <t>Rua Itamar Segundo Alves de Santana</t>
  </si>
  <si>
    <t>18542-312</t>
  </si>
  <si>
    <t>Rua Itu</t>
  </si>
  <si>
    <t>18542-172</t>
  </si>
  <si>
    <t>Rua Iza Fillietaz Leite</t>
  </si>
  <si>
    <t>18543-014</t>
  </si>
  <si>
    <t>Rua Izolina Martins Telles</t>
  </si>
  <si>
    <t>18543-528</t>
  </si>
  <si>
    <t>Rua Jarbas Seabra Leal</t>
  </si>
  <si>
    <t>18547-018</t>
  </si>
  <si>
    <t>Rua João Angelieri</t>
  </si>
  <si>
    <t>18540-041</t>
  </si>
  <si>
    <t>Rua João Avancini</t>
  </si>
  <si>
    <t>18540-204</t>
  </si>
  <si>
    <t>Rua João Baptista de Campos</t>
  </si>
  <si>
    <t>Jardim Sofia</t>
  </si>
  <si>
    <t>18542-182</t>
  </si>
  <si>
    <t>Rua João Baptista Ferraz</t>
  </si>
  <si>
    <t>18540-546</t>
  </si>
  <si>
    <t>Rua João Baptista Mantovani</t>
  </si>
  <si>
    <t>18543-510</t>
  </si>
  <si>
    <t>Rua João Baptista Scarance</t>
  </si>
  <si>
    <t>18540-342</t>
  </si>
  <si>
    <t>Rua João Batista Albiero</t>
  </si>
  <si>
    <t>18543-006</t>
  </si>
  <si>
    <t>Rua João Batista Paifer Menck</t>
  </si>
  <si>
    <t>18548-273</t>
  </si>
  <si>
    <t>Rua João Brasilio da Silva - até 191/192</t>
  </si>
  <si>
    <t>Conjunto Habitacional Residencial Bello</t>
  </si>
  <si>
    <t>18545-150</t>
  </si>
  <si>
    <t>Rua João Brasilio da Silva - de 193/194 ao fim</t>
  </si>
  <si>
    <t>18545-122</t>
  </si>
  <si>
    <t>Rua João de Almeida</t>
  </si>
  <si>
    <t>18547-150</t>
  </si>
  <si>
    <t>Rua João de Almeida Neto</t>
  </si>
  <si>
    <t>18540-442</t>
  </si>
  <si>
    <t>Rua João Diana Sobrinho</t>
  </si>
  <si>
    <t>18542-324</t>
  </si>
  <si>
    <t>Rua João Gastardelli</t>
  </si>
  <si>
    <t>18542-498</t>
  </si>
  <si>
    <t>18542-480</t>
  </si>
  <si>
    <t>Rua João Gonçalves Bicudo</t>
  </si>
  <si>
    <t>18546-406</t>
  </si>
  <si>
    <t>Rua João Gonçalves de Camargo</t>
  </si>
  <si>
    <t>18540-476</t>
  </si>
  <si>
    <t>Rua João Marinômio de Camargo</t>
  </si>
  <si>
    <t>18542-348</t>
  </si>
  <si>
    <t>18542-242</t>
  </si>
  <si>
    <t>Rua João Menegon</t>
  </si>
  <si>
    <t>18540-480</t>
  </si>
  <si>
    <t>Rua João Moreira Salles</t>
  </si>
  <si>
    <t>18540-035</t>
  </si>
  <si>
    <t>Rua João Parra Filho</t>
  </si>
  <si>
    <t>18545-420</t>
  </si>
  <si>
    <t>Rua João Pessoa</t>
  </si>
  <si>
    <t>18540-131</t>
  </si>
  <si>
    <t>Rua João Portela Sobrinho</t>
  </si>
  <si>
    <t>18540-310</t>
  </si>
  <si>
    <t>Rua João Rodrigues da Silva</t>
  </si>
  <si>
    <t>18542-062</t>
  </si>
  <si>
    <t>Rua João Tomaz de Almeida</t>
  </si>
  <si>
    <t>18546-044</t>
  </si>
  <si>
    <t>Rua João Tuani</t>
  </si>
  <si>
    <t>18540-292</t>
  </si>
  <si>
    <t>Rua João Veroneze</t>
  </si>
  <si>
    <t>18540-226</t>
  </si>
  <si>
    <t>Rua João Vicente Ferreira</t>
  </si>
  <si>
    <t>18542-278</t>
  </si>
  <si>
    <t>Rua Joaquim Agostinho Torres</t>
  </si>
  <si>
    <t>18540-033</t>
  </si>
  <si>
    <t>Rua Joaquim Ambrosini</t>
  </si>
  <si>
    <t>18546-410</t>
  </si>
  <si>
    <t>Rua Joaquim Olavo de Carvalho</t>
  </si>
  <si>
    <t>18540-099</t>
  </si>
  <si>
    <t>Rua Joaquim Pires de Almeida</t>
  </si>
  <si>
    <t>18542-066</t>
  </si>
  <si>
    <t>Rua Joaquim Sampaio Sobrinho</t>
  </si>
  <si>
    <t>18546-150</t>
  </si>
  <si>
    <t>Rua Joel Brienza</t>
  </si>
  <si>
    <t>18547-094</t>
  </si>
  <si>
    <t>Rua Jorge Alves Peixoto</t>
  </si>
  <si>
    <t>18543-010</t>
  </si>
  <si>
    <t>Rua Jorge Stettner</t>
  </si>
  <si>
    <t>18543-520</t>
  </si>
  <si>
    <t>Rua José Alcalá</t>
  </si>
  <si>
    <t>18546-322</t>
  </si>
  <si>
    <t>Rua José Antônio</t>
  </si>
  <si>
    <t>18542-014</t>
  </si>
  <si>
    <t>Rua José Antônio Giacomeli</t>
  </si>
  <si>
    <t>18543-186</t>
  </si>
  <si>
    <t>Rua José Antônio Leme</t>
  </si>
  <si>
    <t>18540-081</t>
  </si>
  <si>
    <t>Rua José Atílo Coli</t>
  </si>
  <si>
    <t>18545-206</t>
  </si>
  <si>
    <t>Rua José Avancini</t>
  </si>
  <si>
    <t>18540-151</t>
  </si>
  <si>
    <t>Rua José Barbosa</t>
  </si>
  <si>
    <t>18542-516</t>
  </si>
  <si>
    <t>Rua José Benedito de Noronha</t>
  </si>
  <si>
    <t>18540-097</t>
  </si>
  <si>
    <t>Rua José Benedito Martins de Souza</t>
  </si>
  <si>
    <t>18546-272</t>
  </si>
  <si>
    <t>Rua José Bonifácio</t>
  </si>
  <si>
    <t>18540-051</t>
  </si>
  <si>
    <t>18548-516</t>
  </si>
  <si>
    <t>Rua José Caetano de Jesus</t>
  </si>
  <si>
    <t>18542-306</t>
  </si>
  <si>
    <t>Rua José Cossari</t>
  </si>
  <si>
    <t>18542-012</t>
  </si>
  <si>
    <t>Rua José de Arruda Campos</t>
  </si>
  <si>
    <t>18546-252</t>
  </si>
  <si>
    <t>Rua José Dias Aranha</t>
  </si>
  <si>
    <t>18546-240</t>
  </si>
  <si>
    <t>Rua José Elias Habice</t>
  </si>
  <si>
    <t>18546-006</t>
  </si>
  <si>
    <t>Rua José Fernandes</t>
  </si>
  <si>
    <t>18540-338</t>
  </si>
  <si>
    <t>Rua José Ferrari</t>
  </si>
  <si>
    <t>18546-168</t>
  </si>
  <si>
    <t>Rua José Giuli Batista</t>
  </si>
  <si>
    <t>18546-220</t>
  </si>
  <si>
    <t>18546-148</t>
  </si>
  <si>
    <t>Rua José Gomes</t>
  </si>
  <si>
    <t>18546-192</t>
  </si>
  <si>
    <t>Rua José Guerini</t>
  </si>
  <si>
    <t>18545-098</t>
  </si>
  <si>
    <t>Rua José Laturrague</t>
  </si>
  <si>
    <t>18546-156</t>
  </si>
  <si>
    <t>Rua José Manoel Antunes</t>
  </si>
  <si>
    <t>18540-202</t>
  </si>
  <si>
    <t>Rua José Manuel Antunes Filho</t>
  </si>
  <si>
    <t>18546-264</t>
  </si>
  <si>
    <t>Rua José Marcelino Antunes</t>
  </si>
  <si>
    <t>18545-102</t>
  </si>
  <si>
    <t>Rua José Marinômio Sobrinho</t>
  </si>
  <si>
    <t>18543-016</t>
  </si>
  <si>
    <t>Rua José Martins Bastos</t>
  </si>
  <si>
    <t>18540-065</t>
  </si>
  <si>
    <t>Rua José Martins de Souza</t>
  </si>
  <si>
    <t>18542-328</t>
  </si>
  <si>
    <t>Rua José Martins Teles</t>
  </si>
  <si>
    <t>18542-300</t>
  </si>
  <si>
    <t>18542-344</t>
  </si>
  <si>
    <t>18542-482</t>
  </si>
  <si>
    <t>18545-282</t>
  </si>
  <si>
    <t>Rua José Maurino Filho</t>
  </si>
  <si>
    <t>18540-224</t>
  </si>
  <si>
    <t>Rua José Milton Ragazzi</t>
  </si>
  <si>
    <t>18548-430</t>
  </si>
  <si>
    <t>Rua José Motta</t>
  </si>
  <si>
    <t>18540-320</t>
  </si>
  <si>
    <t>Rua José Oliveira de Souza</t>
  </si>
  <si>
    <t>18545-240</t>
  </si>
  <si>
    <t>Rua José Roberto Batistela</t>
  </si>
  <si>
    <t>18545-272</t>
  </si>
  <si>
    <t>Rua José Rodrigues do Nascimento</t>
  </si>
  <si>
    <t>18546-256</t>
  </si>
  <si>
    <t>Rua José Sgariboldi Filho</t>
  </si>
  <si>
    <t>18545-416</t>
  </si>
  <si>
    <t>Rua José Teixeira da Fonseca</t>
  </si>
  <si>
    <t>18542-078</t>
  </si>
  <si>
    <t>Rua José Teodoro de Almeida</t>
  </si>
  <si>
    <t>18543-514</t>
  </si>
  <si>
    <t>Rua Josephina Simeira</t>
  </si>
  <si>
    <t>18543-508</t>
  </si>
  <si>
    <t>Rua Júlio Alves de Oliveira</t>
  </si>
  <si>
    <t>18540-470</t>
  </si>
  <si>
    <t>Rua Júlio Prestes de Albuquerque</t>
  </si>
  <si>
    <t>18540-113</t>
  </si>
  <si>
    <t>Rua Julita de Souza Sampaio</t>
  </si>
  <si>
    <t>18546-170</t>
  </si>
  <si>
    <t>Rua Jurandir Ferraz</t>
  </si>
  <si>
    <t>18543-178</t>
  </si>
  <si>
    <t>Rua Jurema</t>
  </si>
  <si>
    <t>18548-432</t>
  </si>
  <si>
    <t>Rua Justino Gomide Bueno</t>
  </si>
  <si>
    <t>18540-356</t>
  </si>
  <si>
    <t>18540-330</t>
  </si>
  <si>
    <t>Rua Lacerda e Almeida</t>
  </si>
  <si>
    <t>18540-612</t>
  </si>
  <si>
    <t>Rua Laerte Carlos</t>
  </si>
  <si>
    <t>18547-070</t>
  </si>
  <si>
    <t>Rua Lafayete martins Sampaio</t>
  </si>
  <si>
    <t>18546-126</t>
  </si>
  <si>
    <t>Rua Laiz Solange Ferraz</t>
  </si>
  <si>
    <t>18540-490</t>
  </si>
  <si>
    <t>Rua Langsdorff</t>
  </si>
  <si>
    <t>18540-610</t>
  </si>
  <si>
    <t>Rua Larissa Raveli</t>
  </si>
  <si>
    <t>18545-066</t>
  </si>
  <si>
    <t>Rua Laura Steiner de Carvalho</t>
  </si>
  <si>
    <t>18545-154</t>
  </si>
  <si>
    <t>Rua Lauro Galvão</t>
  </si>
  <si>
    <t>18542-490</t>
  </si>
  <si>
    <t>18542-484</t>
  </si>
  <si>
    <t>Rua Lázaro Cossari</t>
  </si>
  <si>
    <t>18546-190</t>
  </si>
  <si>
    <t>Rua Lázaro de Almeida Lara</t>
  </si>
  <si>
    <t>18548-320</t>
  </si>
  <si>
    <t>Rua Lázaro Dias dos Santos</t>
  </si>
  <si>
    <t>18542-346</t>
  </si>
  <si>
    <t>Rua Leobino Lopes de Barros</t>
  </si>
  <si>
    <t>18543-184</t>
  </si>
  <si>
    <t>Rua Leonidas Sampaio</t>
  </si>
  <si>
    <t>18543-534</t>
  </si>
  <si>
    <t>Rua Leonilde Cadete da Silva</t>
  </si>
  <si>
    <t>18545-208</t>
  </si>
  <si>
    <t>Rua Leontina Chatel Stetner</t>
  </si>
  <si>
    <t>18546-216</t>
  </si>
  <si>
    <t>Rua Lídia Maria Potel Antunes</t>
  </si>
  <si>
    <t>18546-238</t>
  </si>
  <si>
    <t>Rua Lourdes Costa de Jesus</t>
  </si>
  <si>
    <t>18540-374</t>
  </si>
  <si>
    <t>Rua Lourdes Xavier Marteline</t>
  </si>
  <si>
    <t>18547-152</t>
  </si>
  <si>
    <t>Rua Lourenço Taques</t>
  </si>
  <si>
    <t>18547-170</t>
  </si>
  <si>
    <t>Rua Luis Alberto de Arruda</t>
  </si>
  <si>
    <t>18540-322</t>
  </si>
  <si>
    <t>Rua Luis Riedel</t>
  </si>
  <si>
    <t>18540-600</t>
  </si>
  <si>
    <t>Rua Luis Tempesta</t>
  </si>
  <si>
    <t>18542-496</t>
  </si>
  <si>
    <t>Rua Luiz Alcalá</t>
  </si>
  <si>
    <t>18546-328</t>
  </si>
  <si>
    <t>Rua Luiz Antônio de Carvalho</t>
  </si>
  <si>
    <t>18540-007</t>
  </si>
  <si>
    <t>Rua Luiz Antônio Vieira</t>
  </si>
  <si>
    <t>18545-110</t>
  </si>
  <si>
    <t>Rua Luiz Carlos Lisboa</t>
  </si>
  <si>
    <t>18542-222</t>
  </si>
  <si>
    <t>18545-120</t>
  </si>
  <si>
    <t>Rua Luiz Carlos Rinck</t>
  </si>
  <si>
    <t>18545-108</t>
  </si>
  <si>
    <t>Rua Luiz de Barros Pinheiro</t>
  </si>
  <si>
    <t>18540-484</t>
  </si>
  <si>
    <t>Rua Luiz Despontin</t>
  </si>
  <si>
    <t>18540-230</t>
  </si>
  <si>
    <t>Rua Luiz Geraldo Marteli</t>
  </si>
  <si>
    <t>18543-002</t>
  </si>
  <si>
    <t>Rua Luiz Marteli</t>
  </si>
  <si>
    <t>18542-254</t>
  </si>
  <si>
    <t>Rua Luiz Zanetti Pascoli</t>
  </si>
  <si>
    <t>18545-064</t>
  </si>
  <si>
    <t>Rua Luiza Minelli</t>
  </si>
  <si>
    <t>18540-326</t>
  </si>
  <si>
    <t>Rua Luzia Daniel Ghiberti</t>
  </si>
  <si>
    <t>18542-302</t>
  </si>
  <si>
    <t>Rua Madre Serafina</t>
  </si>
  <si>
    <t>18542-268</t>
  </si>
  <si>
    <t>Rua Maestro Alfredo Rogado</t>
  </si>
  <si>
    <t>18542-458</t>
  </si>
  <si>
    <t>Rua Maestro Benedito Rogado</t>
  </si>
  <si>
    <t>18540-368</t>
  </si>
  <si>
    <t>Rua Maestro Bento Valini</t>
  </si>
  <si>
    <t>18546-176</t>
  </si>
  <si>
    <t>Rua Maestro Manoel José de Calazans</t>
  </si>
  <si>
    <t>Conjunto Habitacional Agostinho Alcalá</t>
  </si>
  <si>
    <t>18542-374</t>
  </si>
  <si>
    <t>Rua Maestro Voltaire Torres</t>
  </si>
  <si>
    <t>18546-026</t>
  </si>
  <si>
    <t>Rua Mahatma Ghandi</t>
  </si>
  <si>
    <t>18542-430</t>
  </si>
  <si>
    <t>Rua Manoel de Abreu</t>
  </si>
  <si>
    <t>18548-506</t>
  </si>
  <si>
    <t>Rua Manoel Gonçalves de Santana</t>
  </si>
  <si>
    <t>18546-182</t>
  </si>
  <si>
    <t>Rua Manoel Itagiba de Almeida</t>
  </si>
  <si>
    <t>18546-144</t>
  </si>
  <si>
    <t>Rua Manoel Policarpo Alcalá</t>
  </si>
  <si>
    <t>18546-326</t>
  </si>
  <si>
    <t>Rua Maranhão</t>
  </si>
  <si>
    <t>18540-570</t>
  </si>
  <si>
    <t>Rua Marcelino Alves</t>
  </si>
  <si>
    <t>18547-134</t>
  </si>
  <si>
    <t>Rua Marcia Savassa de Campos Vieira</t>
  </si>
  <si>
    <t>18548-324</t>
  </si>
  <si>
    <t>Rua Marco Aurélio Batistela</t>
  </si>
  <si>
    <t>18542-472</t>
  </si>
  <si>
    <t>Rua Marcos Steiner Sobrinho</t>
  </si>
  <si>
    <t>18543-532</t>
  </si>
  <si>
    <t>Rua Marechal Deodoro</t>
  </si>
  <si>
    <t>18540-121</t>
  </si>
  <si>
    <t>Rua Maria Aparecida Coli Crocco</t>
  </si>
  <si>
    <t>18546-196</t>
  </si>
  <si>
    <t>Rua Maria da Glória Vieira</t>
  </si>
  <si>
    <t>18547-014</t>
  </si>
  <si>
    <t>Rua Maria de Lourdes Abibe Aranha</t>
  </si>
  <si>
    <t>18546-172</t>
  </si>
  <si>
    <t>Rua Maria de Lourdes Ribeiro da Silva Serafim</t>
  </si>
  <si>
    <t>18545-274</t>
  </si>
  <si>
    <t>Rua Maria Dulcelina Prestes</t>
  </si>
  <si>
    <t>18546-048</t>
  </si>
  <si>
    <t>Rua Maria Eugênia Pimenta Diana - até 99998 - lado par</t>
  </si>
  <si>
    <t>18542-360</t>
  </si>
  <si>
    <t>Rua Maria Eugênia Pimenta Diana - até 99999 - lado ímpar</t>
  </si>
  <si>
    <t>18542-330</t>
  </si>
  <si>
    <t>Rua Maria Gessia Sampaio Rubini</t>
  </si>
  <si>
    <t>18546-054</t>
  </si>
  <si>
    <t>Rua Maria José Martins Batistela</t>
  </si>
  <si>
    <t>18546-274</t>
  </si>
  <si>
    <t>18546-310</t>
  </si>
  <si>
    <t>Rua Maria José Soares</t>
  </si>
  <si>
    <t>18547-064</t>
  </si>
  <si>
    <t>Rua Maria Margarida Cossoniche de Campos</t>
  </si>
  <si>
    <t>18542-184</t>
  </si>
  <si>
    <t>Rua Maria Margarida Pascoal</t>
  </si>
  <si>
    <t>18542-310</t>
  </si>
  <si>
    <t>Rua Maria Stettener de Almeida</t>
  </si>
  <si>
    <t>18542-002</t>
  </si>
  <si>
    <t>Rua Maria Vitória Delboux</t>
  </si>
  <si>
    <t>18546-210</t>
  </si>
  <si>
    <t>Rua Mário Camilo Filho</t>
  </si>
  <si>
    <t>18542-518</t>
  </si>
  <si>
    <t>Rua Mário Pires de Almeida</t>
  </si>
  <si>
    <t>18542-320</t>
  </si>
  <si>
    <t>Rua Mário Tuani</t>
  </si>
  <si>
    <t>18540-294</t>
  </si>
  <si>
    <t>Rua Martim Afonso de Souza</t>
  </si>
  <si>
    <t>18540-640</t>
  </si>
  <si>
    <t>Rua Maurício da Mata Oliveira</t>
  </si>
  <si>
    <t>18546-128</t>
  </si>
  <si>
    <t>Rua Mauro Baptista de Souza</t>
  </si>
  <si>
    <t>18546-090</t>
  </si>
  <si>
    <t>Rua Miguel Elias Zaiet</t>
  </si>
  <si>
    <t>18540-101</t>
  </si>
  <si>
    <t>Rua Miguel Fustaino</t>
  </si>
  <si>
    <t>18546-002</t>
  </si>
  <si>
    <t>Rua Milton Antônio</t>
  </si>
  <si>
    <t>18546-242</t>
  </si>
  <si>
    <t>Rua Milton Bistafa</t>
  </si>
  <si>
    <t>18540-314</t>
  </si>
  <si>
    <t>Rua Minas Gerais</t>
  </si>
  <si>
    <t>18540-558</t>
  </si>
  <si>
    <t>Rua Miruna</t>
  </si>
  <si>
    <t>18548-434</t>
  </si>
  <si>
    <t>Rua Mitre Fiuza Ayres</t>
  </si>
  <si>
    <t>18547-050</t>
  </si>
  <si>
    <t>Rua Moaci</t>
  </si>
  <si>
    <t>18548-428</t>
  </si>
  <si>
    <t>Rua Moema</t>
  </si>
  <si>
    <t>18548-440</t>
  </si>
  <si>
    <t>Rua Moenda</t>
  </si>
  <si>
    <t>18548-426</t>
  </si>
  <si>
    <t>Rua Monsenhor Pires</t>
  </si>
  <si>
    <t>18542-272</t>
  </si>
  <si>
    <t>Rua Monteiro Lobato</t>
  </si>
  <si>
    <t>18540-129</t>
  </si>
  <si>
    <t>18548-524</t>
  </si>
  <si>
    <t>Rua Natália Tassignon Ferraz</t>
  </si>
  <si>
    <t>18547-304</t>
  </si>
  <si>
    <t>Rua Nathalio Tauhyl</t>
  </si>
  <si>
    <t>18545-104</t>
  </si>
  <si>
    <t>Rua Nelo Rodrigues de Arruda</t>
  </si>
  <si>
    <t>18546-230</t>
  </si>
  <si>
    <t>Rua Nelson Giacomelli</t>
  </si>
  <si>
    <t>18546-270</t>
  </si>
  <si>
    <t>Rua Nelson Silveira Moraes</t>
  </si>
  <si>
    <t>18546-268</t>
  </si>
  <si>
    <t>Rua Newton Prado</t>
  </si>
  <si>
    <t>18540-119</t>
  </si>
  <si>
    <t>Rua Noé Leite de Camargo</t>
  </si>
  <si>
    <t>18540-472</t>
  </si>
  <si>
    <t>Rua Norberto Coelho de Oliveira</t>
  </si>
  <si>
    <t>18545-134</t>
  </si>
  <si>
    <t>Rua Norma Sacheto Cincilio</t>
  </si>
  <si>
    <t>18543-174</t>
  </si>
  <si>
    <t>Rua Nove</t>
  </si>
  <si>
    <t>18548-018</t>
  </si>
  <si>
    <t>18540-678</t>
  </si>
  <si>
    <t>18543-166</t>
  </si>
  <si>
    <t>Rua Ocirema Fernandes Stetner</t>
  </si>
  <si>
    <t>18545-138</t>
  </si>
  <si>
    <t>Rua Odilon Antônio</t>
  </si>
  <si>
    <t>18542-504</t>
  </si>
  <si>
    <t>Rua Oito</t>
  </si>
  <si>
    <t>18548-016</t>
  </si>
  <si>
    <t>18540-676</t>
  </si>
  <si>
    <t>18547-464</t>
  </si>
  <si>
    <t>18543-164</t>
  </si>
  <si>
    <t>Rua Olavo Assumpção Fleury</t>
  </si>
  <si>
    <t>18542-019</t>
  </si>
  <si>
    <t>18542-005</t>
  </si>
  <si>
    <t>18542-152</t>
  </si>
  <si>
    <t>18542-050</t>
  </si>
  <si>
    <t>Rua Olga Brugnerotto Sgariboldi</t>
  </si>
  <si>
    <t>18545-248</t>
  </si>
  <si>
    <t>Rua Olímpio Francisco de Moraes</t>
  </si>
  <si>
    <t>18547-144</t>
  </si>
  <si>
    <t>Rua Olinto Sampaio Rubini</t>
  </si>
  <si>
    <t>18545-404</t>
  </si>
  <si>
    <t>Rua Olívio Barbosa</t>
  </si>
  <si>
    <t>18540-332</t>
  </si>
  <si>
    <t>Rua Olívio Thomé</t>
  </si>
  <si>
    <t>18542-326</t>
  </si>
  <si>
    <t>Rua Olynto Baptistela - até 259/260</t>
  </si>
  <si>
    <t>18547-130</t>
  </si>
  <si>
    <t>Rua Olynto Baptistela - de 261/262 ao fim</t>
  </si>
  <si>
    <t>18547-098</t>
  </si>
  <si>
    <t>Rua Onze</t>
  </si>
  <si>
    <t>18548-022</t>
  </si>
  <si>
    <t>18540-682</t>
  </si>
  <si>
    <t>Rua Orlando Dalsóglio</t>
  </si>
  <si>
    <t>18546-222</t>
  </si>
  <si>
    <t>Rua Ortofen</t>
  </si>
  <si>
    <t>18540-568</t>
  </si>
  <si>
    <t>Rua Osmildo Rocha</t>
  </si>
  <si>
    <t>18545-210</t>
  </si>
  <si>
    <t>Rua Osvaldo Cruz</t>
  </si>
  <si>
    <t>18548-520</t>
  </si>
  <si>
    <t>Rua Osvaldo Novaes Carvalho</t>
  </si>
  <si>
    <t>18542-366</t>
  </si>
  <si>
    <t>Rua Otacílio Martins Sampaio</t>
  </si>
  <si>
    <t>18546-146</t>
  </si>
  <si>
    <t>Rua Otacílio Valini</t>
  </si>
  <si>
    <t>18542-280</t>
  </si>
  <si>
    <t>Rua Otávio de Moraes</t>
  </si>
  <si>
    <t>18540-478</t>
  </si>
  <si>
    <t>Rua Othoniel Sampaio</t>
  </si>
  <si>
    <t>18546-140</t>
  </si>
  <si>
    <t>Rua Otoni Joaquim de Souza</t>
  </si>
  <si>
    <t>18540-125</t>
  </si>
  <si>
    <t>Rua Otoniel Rodrigues</t>
  </si>
  <si>
    <t>18542-474</t>
  </si>
  <si>
    <t>Rua Padre Alexandre Hordeau</t>
  </si>
  <si>
    <t>18542-270</t>
  </si>
  <si>
    <t>Rua Padre Bento</t>
  </si>
  <si>
    <t>18547-038</t>
  </si>
  <si>
    <t>Rua Padre Ilidro</t>
  </si>
  <si>
    <t>18540-045</t>
  </si>
  <si>
    <t>Rua Padre José de Anchieta</t>
  </si>
  <si>
    <t>18542-370</t>
  </si>
  <si>
    <t>Rua Padre José Fernando Mietto</t>
  </si>
  <si>
    <t>18543-076</t>
  </si>
  <si>
    <t>Rua Palmeiras</t>
  </si>
  <si>
    <t>18540-079</t>
  </si>
  <si>
    <t>Rua Pascoa Bonini Guerini</t>
  </si>
  <si>
    <t>18545-092</t>
  </si>
  <si>
    <t>Rua Pascoal Moreira</t>
  </si>
  <si>
    <t>18547-168</t>
  </si>
  <si>
    <t>Rua Paulino de Bernardes</t>
  </si>
  <si>
    <t>18540-474</t>
  </si>
  <si>
    <t>Rua Paulino Savioli</t>
  </si>
  <si>
    <t>18546-266</t>
  </si>
  <si>
    <t>Rua Paulo de Oliveira Diniz</t>
  </si>
  <si>
    <t>18546-232</t>
  </si>
  <si>
    <t>Rua Paulo de Oliveira Tauhyl</t>
  </si>
  <si>
    <t>18542-500</t>
  </si>
  <si>
    <t>Rua Paulo Elias Habice</t>
  </si>
  <si>
    <t>18547-301</t>
  </si>
  <si>
    <t>Rua Paulo Setubal</t>
  </si>
  <si>
    <t>18548-518</t>
  </si>
  <si>
    <t>Rua Pedro Ferraz da Silva</t>
  </si>
  <si>
    <t>18540-454</t>
  </si>
  <si>
    <t>Rua Pedro Francisco de Oliveira</t>
  </si>
  <si>
    <t>18547-061</t>
  </si>
  <si>
    <t>Rua Pedro Geraldo Marcolino Polaz</t>
  </si>
  <si>
    <t>18545-204</t>
  </si>
  <si>
    <t>Rua Pedro Miranda</t>
  </si>
  <si>
    <t>18547-146</t>
  </si>
  <si>
    <t>Rua Pedro Moreau</t>
  </si>
  <si>
    <t>18542-502</t>
  </si>
  <si>
    <t>Rua Pedro Paulo Bazzo</t>
  </si>
  <si>
    <t>18543-530</t>
  </si>
  <si>
    <t>Rua Pedro Paulo de Oliveira - até 242/243</t>
  </si>
  <si>
    <t>18542-264</t>
  </si>
  <si>
    <t>Rua Pedro Paulo de Oliveira - de 244/245 ao fim</t>
  </si>
  <si>
    <t>18542-252</t>
  </si>
  <si>
    <t>Rua Pedro Paulo Ghiraldi</t>
  </si>
  <si>
    <t>18547-072</t>
  </si>
  <si>
    <t>Rua Pedro Sgariboldi</t>
  </si>
  <si>
    <t>18545-284</t>
  </si>
  <si>
    <t>Rua Peres Ventura</t>
  </si>
  <si>
    <t>18542-368</t>
  </si>
  <si>
    <t>Rua Piauí</t>
  </si>
  <si>
    <t>18540-574</t>
  </si>
  <si>
    <t>Rua Pirapitinguí</t>
  </si>
  <si>
    <t>18540-652</t>
  </si>
  <si>
    <t>Rua Pirapora</t>
  </si>
  <si>
    <t>18542-160</t>
  </si>
  <si>
    <t>Rua Plínio Martins Siqueira</t>
  </si>
  <si>
    <t>18542-384</t>
  </si>
  <si>
    <t>Rua Plínio Martins Teles</t>
  </si>
  <si>
    <t>18545-264</t>
  </si>
  <si>
    <t>Rua Primo Benvegnu</t>
  </si>
  <si>
    <t>18547-020</t>
  </si>
  <si>
    <t>18547-030</t>
  </si>
  <si>
    <t>Rua Princesa Isabel</t>
  </si>
  <si>
    <t>18540-111</t>
  </si>
  <si>
    <t>Rua Professor Jefferson Soares de Souza</t>
  </si>
  <si>
    <t>18540-542</t>
  </si>
  <si>
    <t>Rua Professor João Campos Vieira</t>
  </si>
  <si>
    <t>18543-074</t>
  </si>
  <si>
    <t>Rua Professor João Luiz de Oliveira</t>
  </si>
  <si>
    <t>18545-418</t>
  </si>
  <si>
    <t>Rua Professor Júlio Soares Dihel</t>
  </si>
  <si>
    <t>18542-230</t>
  </si>
  <si>
    <t>18542-246</t>
  </si>
  <si>
    <t>Rua Professor Mário Ausonio Genesine</t>
  </si>
  <si>
    <t>18545-158</t>
  </si>
  <si>
    <t>Rua Professor Otoniel Motta - até 248/249</t>
  </si>
  <si>
    <t>18542-274</t>
  </si>
  <si>
    <t>Rua Professor Otoniel Motta - de 250/251 ao fim</t>
  </si>
  <si>
    <t>18542-250</t>
  </si>
  <si>
    <t>Rua Professor Pedro Fernandes de Camargo</t>
  </si>
  <si>
    <t>18540-133</t>
  </si>
  <si>
    <t>Rua Professor Ulisses Alves Machado</t>
  </si>
  <si>
    <t>18545-152</t>
  </si>
  <si>
    <t>Rua Professora Aurora Machado Guimarães</t>
  </si>
  <si>
    <t>18542-362</t>
  </si>
  <si>
    <t>Rua Professora Benedita de Almeida Leal</t>
  </si>
  <si>
    <t>18542-314</t>
  </si>
  <si>
    <t>Rua Professora Cezaltina Sacramento Perpétuo</t>
  </si>
  <si>
    <t>18546-024</t>
  </si>
  <si>
    <t>Rua Professora Clarice Sanna Serralheiro</t>
  </si>
  <si>
    <t>18545-156</t>
  </si>
  <si>
    <t>Rua Professora Emília Ana Antônio</t>
  </si>
  <si>
    <t>18540-362</t>
  </si>
  <si>
    <t>Rua Professora Iracema Portela Sacramento</t>
  </si>
  <si>
    <t>18546-022</t>
  </si>
  <si>
    <t>Rua Professora Luiza de Carvalho Pires</t>
  </si>
  <si>
    <t>18546-244</t>
  </si>
  <si>
    <t>Rua Professora Maria Aparecida Fernandes Leite</t>
  </si>
  <si>
    <t>18540-340</t>
  </si>
  <si>
    <t>Rua Professora Marta Galvão</t>
  </si>
  <si>
    <t>18545-410</t>
  </si>
  <si>
    <t>Rua Professora Nair Antunes de Almeida</t>
  </si>
  <si>
    <t>18546-020</t>
  </si>
  <si>
    <t>Rua Professora Rosalina Brisola Antunes</t>
  </si>
  <si>
    <t>18546-088</t>
  </si>
  <si>
    <t>Rua Professora Vilma Maria Boscolo Rodrigues D'avila</t>
  </si>
  <si>
    <t>18542-450</t>
  </si>
  <si>
    <t>18542-440</t>
  </si>
  <si>
    <t>Rua Professora Violeta Arruda Melo Brusco</t>
  </si>
  <si>
    <t>18547-032</t>
  </si>
  <si>
    <t>Rua Professora Wanda Previtali Thomé</t>
  </si>
  <si>
    <t>18540-456</t>
  </si>
  <si>
    <t>Rua Prudente de Moraes</t>
  </si>
  <si>
    <t>18548-528</t>
  </si>
  <si>
    <t>Rua Quatorze</t>
  </si>
  <si>
    <t>18540-688</t>
  </si>
  <si>
    <t>Rua Quatro</t>
  </si>
  <si>
    <t>18548-008</t>
  </si>
  <si>
    <t>18547-726</t>
  </si>
  <si>
    <t>18548-136</t>
  </si>
  <si>
    <t>18540-668</t>
  </si>
  <si>
    <t>18547-456</t>
  </si>
  <si>
    <t>18543-156</t>
  </si>
  <si>
    <t>Rua Queluz</t>
  </si>
  <si>
    <t>18548-382</t>
  </si>
  <si>
    <t>Rua Quinze</t>
  </si>
  <si>
    <t>18540-690</t>
  </si>
  <si>
    <t>Rua Rafael Alcalá</t>
  </si>
  <si>
    <t>18546-330</t>
  </si>
  <si>
    <t>Rua Rei Davi</t>
  </si>
  <si>
    <t>18542-436</t>
  </si>
  <si>
    <t>Rua Reinaldo Crocco</t>
  </si>
  <si>
    <t>18546-034</t>
  </si>
  <si>
    <t>Rua Renato Dias</t>
  </si>
  <si>
    <t>18548-326</t>
  </si>
  <si>
    <t>Rua Renato Rodovalho de Oliveira</t>
  </si>
  <si>
    <t>18540-544</t>
  </si>
  <si>
    <t>Rua Reverendo Professor Felipe Manoel de Campos</t>
  </si>
  <si>
    <t>18542-476</t>
  </si>
  <si>
    <t>Rua Reverendo Siles Bacaro</t>
  </si>
  <si>
    <t>18545-238</t>
  </si>
  <si>
    <t>Rua Rio Grande de Sul</t>
  </si>
  <si>
    <t>18540-556</t>
  </si>
  <si>
    <t>Rua Rio Grande do Norte</t>
  </si>
  <si>
    <t>18540-576</t>
  </si>
  <si>
    <t>Rua Roberval de Camargo Moraes</t>
  </si>
  <si>
    <t>18542-508</t>
  </si>
  <si>
    <t>Rua Rodolfo Motta</t>
  </si>
  <si>
    <t>18542-266</t>
  </si>
  <si>
    <t>Rua Rodrigo César de Meneses</t>
  </si>
  <si>
    <t>18540-604</t>
  </si>
  <si>
    <t>Rua Rodrigues Alves</t>
  </si>
  <si>
    <t>18548-514</t>
  </si>
  <si>
    <t>Rua Romeu Castelucci</t>
  </si>
  <si>
    <t>18545-270</t>
  </si>
  <si>
    <t>Rua Roque Ambrosini</t>
  </si>
  <si>
    <t>18540-412</t>
  </si>
  <si>
    <t>Rua Roque Plínio de Carvalho</t>
  </si>
  <si>
    <t>18542-052</t>
  </si>
  <si>
    <t>Rua Roque Vieira da Cruz</t>
  </si>
  <si>
    <t>18546-166</t>
  </si>
  <si>
    <t>Rua Rosa Guarini Martelli</t>
  </si>
  <si>
    <t>18542-228</t>
  </si>
  <si>
    <t>Rua Rui Barbosa</t>
  </si>
  <si>
    <t>18540-117</t>
  </si>
  <si>
    <t>Rua Ruth Pereira Tuani</t>
  </si>
  <si>
    <t>18547-012</t>
  </si>
  <si>
    <t>Rua Sá de Faria</t>
  </si>
  <si>
    <t>18540-602</t>
  </si>
  <si>
    <t>Rua Sabino José de Mello</t>
  </si>
  <si>
    <t>18540-089</t>
  </si>
  <si>
    <t>Rua Said Neife</t>
  </si>
  <si>
    <t>18542-342</t>
  </si>
  <si>
    <t>Rua Salto</t>
  </si>
  <si>
    <t>18542-162</t>
  </si>
  <si>
    <t>Rua Salvador Arruda</t>
  </si>
  <si>
    <t>18540-304</t>
  </si>
  <si>
    <t>Rua Samuel Gomes de Toledo</t>
  </si>
  <si>
    <t>18546-130</t>
  </si>
  <si>
    <t>Rua Samuel Marques</t>
  </si>
  <si>
    <t>18543-180</t>
  </si>
  <si>
    <t>Rua Santa Coan Moro</t>
  </si>
  <si>
    <t>18540-538</t>
  </si>
  <si>
    <t>Rua Santa Cruz</t>
  </si>
  <si>
    <t>18540-085</t>
  </si>
  <si>
    <t>18547-196</t>
  </si>
  <si>
    <t>18546-000</t>
  </si>
  <si>
    <t>18540-290</t>
  </si>
  <si>
    <t>Rua Santa Inês</t>
  </si>
  <si>
    <t>18547-008</t>
  </si>
  <si>
    <t>Rua Santa Lúcia Magoga</t>
  </si>
  <si>
    <t>18545-236</t>
  </si>
  <si>
    <t>Rua Santa Rosa</t>
  </si>
  <si>
    <t>18540-366</t>
  </si>
  <si>
    <t>Rua Santo Antônio</t>
  </si>
  <si>
    <t>18548-538</t>
  </si>
  <si>
    <t>Rua Santo Sgariboldi</t>
  </si>
  <si>
    <t>18545-250</t>
  </si>
  <si>
    <t>18545-260</t>
  </si>
  <si>
    <t>Rua São Francisco</t>
  </si>
  <si>
    <t>18546-162</t>
  </si>
  <si>
    <t>Rua São Jorge</t>
  </si>
  <si>
    <t>18548-532</t>
  </si>
  <si>
    <t>Rua São José</t>
  </si>
  <si>
    <t>18546-082</t>
  </si>
  <si>
    <t>18548-548</t>
  </si>
  <si>
    <t>Rua São Leopoldo</t>
  </si>
  <si>
    <t>18548-542</t>
  </si>
  <si>
    <t>Rua São Marcos</t>
  </si>
  <si>
    <t>18548-534</t>
  </si>
  <si>
    <t>Rua São Paulo</t>
  </si>
  <si>
    <t>18548-530</t>
  </si>
  <si>
    <t>Rua São Pedro</t>
  </si>
  <si>
    <t>18540-153</t>
  </si>
  <si>
    <t>18548-546</t>
  </si>
  <si>
    <t>Rua São Roque</t>
  </si>
  <si>
    <t>18548-540</t>
  </si>
  <si>
    <t>Rua São Sebastião</t>
  </si>
  <si>
    <t>18548-536</t>
  </si>
  <si>
    <t>Rua São Vicente</t>
  </si>
  <si>
    <t>18540-334</t>
  </si>
  <si>
    <t>Rua Sargento Claudinei de Oliveira</t>
  </si>
  <si>
    <t>18548-328</t>
  </si>
  <si>
    <t>Rua Sarquis Abibe - até 99998 - lado par</t>
  </si>
  <si>
    <t>18542-016</t>
  </si>
  <si>
    <t>Rua Sarquis Abibe - até 99999 - lado ímpar</t>
  </si>
  <si>
    <t>18540-003</t>
  </si>
  <si>
    <t>Rua Sebastião Xavier Antunes</t>
  </si>
  <si>
    <t>18540-486</t>
  </si>
  <si>
    <t>Rua Seis</t>
  </si>
  <si>
    <t>18548-012</t>
  </si>
  <si>
    <t>18540-672</t>
  </si>
  <si>
    <t>18547-460</t>
  </si>
  <si>
    <t>18543-160</t>
  </si>
  <si>
    <t>Rua Selma de Fátima Ferreira Camargo</t>
  </si>
  <si>
    <t>18545-412</t>
  </si>
  <si>
    <t>Rua Sete</t>
  </si>
  <si>
    <t>18548-014</t>
  </si>
  <si>
    <t>18548-330</t>
  </si>
  <si>
    <t>18540-674</t>
  </si>
  <si>
    <t>18547-462</t>
  </si>
  <si>
    <t>18543-162</t>
  </si>
  <si>
    <t>Rua Silvia Diana Tomé Casagrande</t>
  </si>
  <si>
    <t>18540-120</t>
  </si>
  <si>
    <t>Rua Silvia Martelli</t>
  </si>
  <si>
    <t>18542-224</t>
  </si>
  <si>
    <t>Rua Silvino Nobrega da Silva</t>
  </si>
  <si>
    <t>18540-308</t>
  </si>
  <si>
    <t>Rua Silvino Tristão de Camargo</t>
  </si>
  <si>
    <t>18546-052</t>
  </si>
  <si>
    <t>Rua Silvio Boscolo</t>
  </si>
  <si>
    <t>18542-386</t>
  </si>
  <si>
    <t>Rua Silvio Pelegrini</t>
  </si>
  <si>
    <t>18542-364</t>
  </si>
  <si>
    <t>Rua Sirino Catelucci</t>
  </si>
  <si>
    <t>18540-049</t>
  </si>
  <si>
    <t>Rua Sírio Previtali</t>
  </si>
  <si>
    <t>18543-518</t>
  </si>
  <si>
    <t>Rua Solange de Fátima Zilli</t>
  </si>
  <si>
    <t>18540-532</t>
  </si>
  <si>
    <t>Rua Sorocaba</t>
  </si>
  <si>
    <t>18542-168</t>
  </si>
  <si>
    <t>Rua Suzete Thomé Alcalá</t>
  </si>
  <si>
    <t>18542-322</t>
  </si>
  <si>
    <t>Rua Syro Camargo Leite</t>
  </si>
  <si>
    <t>18540-316</t>
  </si>
  <si>
    <t>Rua Tatuí</t>
  </si>
  <si>
    <t>18542-174</t>
  </si>
  <si>
    <t>18542-180</t>
  </si>
  <si>
    <t>18542-256</t>
  </si>
  <si>
    <t>Rua Tércio Paes Leite</t>
  </si>
  <si>
    <t>18546-084</t>
  </si>
  <si>
    <t>Rua Tereziano Pereira de Camargo</t>
  </si>
  <si>
    <t>18543-012</t>
  </si>
  <si>
    <t>18543-084</t>
  </si>
  <si>
    <t>Rua Tietê</t>
  </si>
  <si>
    <t>18542-170</t>
  </si>
  <si>
    <t>Rua Tomaz Cortez</t>
  </si>
  <si>
    <t>18547-132</t>
  </si>
  <si>
    <t>Rua Três</t>
  </si>
  <si>
    <t>18548-006</t>
  </si>
  <si>
    <t>18547-724</t>
  </si>
  <si>
    <t>18540-666</t>
  </si>
  <si>
    <t>18547-454</t>
  </si>
  <si>
    <t>18543-154</t>
  </si>
  <si>
    <t>Rua Três, s/n, Posto de Saúde, Fazenda CAIC, Agrovila
CPC CAIC Agrovila</t>
  </si>
  <si>
    <t>18540-991</t>
  </si>
  <si>
    <t>Rua Treze</t>
  </si>
  <si>
    <t>18540-686</t>
  </si>
  <si>
    <t>18543-194</t>
  </si>
  <si>
    <t>Rua Tristão Pires</t>
  </si>
  <si>
    <t>18540-037</t>
  </si>
  <si>
    <t>Rua Uirapurú</t>
  </si>
  <si>
    <t>18548-416</t>
  </si>
  <si>
    <t>Rua Ulisses Cornélio Vitorino</t>
  </si>
  <si>
    <t>18542-054</t>
  </si>
  <si>
    <t>Rua Um</t>
  </si>
  <si>
    <t>18548-002</t>
  </si>
  <si>
    <t>18547-720</t>
  </si>
  <si>
    <t>Estância Araruna</t>
  </si>
  <si>
    <t>18547-510</t>
  </si>
  <si>
    <t>18540-662</t>
  </si>
  <si>
    <t>18547-450</t>
  </si>
  <si>
    <t>18543-150</t>
  </si>
  <si>
    <t>Rua Valdemar de Almeida</t>
  </si>
  <si>
    <t>18546-218</t>
  </si>
  <si>
    <t>Rua Valdemar Veroneze</t>
  </si>
  <si>
    <t>18545-268</t>
  </si>
  <si>
    <t>Rua Valderez Pires</t>
  </si>
  <si>
    <t>18542-304</t>
  </si>
  <si>
    <t>Rua Valdir de Lara</t>
  </si>
  <si>
    <t>18547-066</t>
  </si>
  <si>
    <t>Rua Valdir José Ferrari</t>
  </si>
  <si>
    <t>18543-516</t>
  </si>
  <si>
    <t>Rua Valdomiro Dalbó</t>
  </si>
  <si>
    <t>18543-182</t>
  </si>
  <si>
    <t>Rua Valter Albiero</t>
  </si>
  <si>
    <t>18542-372</t>
  </si>
  <si>
    <t>Rua Vereador Irineu Bueno</t>
  </si>
  <si>
    <t>18546-250</t>
  </si>
  <si>
    <t>Rua Vereador João Batista Rodrigues</t>
  </si>
  <si>
    <t>18543-172</t>
  </si>
  <si>
    <t>Rua Vergínio Angelieri</t>
  </si>
  <si>
    <t>18542-478</t>
  </si>
  <si>
    <t>Rua Vicente de Carvalho</t>
  </si>
  <si>
    <t>18548-504</t>
  </si>
  <si>
    <t>Rua Vicente Guarini</t>
  </si>
  <si>
    <t>18540-115</t>
  </si>
  <si>
    <t>18540-302</t>
  </si>
  <si>
    <t>Rua Vicente Henrique Marconi</t>
  </si>
  <si>
    <t>18543-526</t>
  </si>
  <si>
    <t>Rua Vicente Ravazio</t>
  </si>
  <si>
    <t>18540-306</t>
  </si>
  <si>
    <t>Rua Victório Marteletto</t>
  </si>
  <si>
    <t>18545-234</t>
  </si>
  <si>
    <t>Rua Virgilino de Oliveira Santos</t>
  </si>
  <si>
    <t>18542-340</t>
  </si>
  <si>
    <t>Rua Virgilino Rosa Pimenta</t>
  </si>
  <si>
    <t>18543-004</t>
  </si>
  <si>
    <t>Rua Vitório Angelo Marchi</t>
  </si>
  <si>
    <t>18540-416</t>
  </si>
  <si>
    <t>Rua Vitório Bello</t>
  </si>
  <si>
    <t>18545-094</t>
  </si>
  <si>
    <t>Rua Wilma Antunes Garcia</t>
  </si>
  <si>
    <t>18540-063</t>
  </si>
  <si>
    <t>Rua Zacarias Cadete da Silva</t>
  </si>
  <si>
    <t>18546-312</t>
  </si>
  <si>
    <t>Rua 16 de Abril</t>
  </si>
  <si>
    <t>18540-029</t>
  </si>
  <si>
    <t>Rua 9 de Julho</t>
  </si>
  <si>
    <t>18547-036</t>
  </si>
  <si>
    <t>Travessa Alberto Gerth</t>
  </si>
  <si>
    <t>18540-123</t>
  </si>
  <si>
    <t>Travessa</t>
  </si>
  <si>
    <t>Travessa Antônio Nunes</t>
  </si>
  <si>
    <t>18546-234</t>
  </si>
  <si>
    <t>Travessa Belmira Moraes Fernandes</t>
  </si>
  <si>
    <t>18540-095</t>
  </si>
  <si>
    <t>Travessa Cinco</t>
  </si>
  <si>
    <t>18543-556</t>
  </si>
  <si>
    <t>Travessa Dois</t>
  </si>
  <si>
    <t>18543-550</t>
  </si>
  <si>
    <t>Travessa Itacira</t>
  </si>
  <si>
    <t>18548-436</t>
  </si>
  <si>
    <t>Travessa Quatro</t>
  </si>
  <si>
    <t>18543-554</t>
  </si>
  <si>
    <t>Travessa Restilde Henrique</t>
  </si>
  <si>
    <t>18540-137</t>
  </si>
  <si>
    <t>Travessa Três</t>
  </si>
  <si>
    <t>18543-552</t>
  </si>
  <si>
    <t>Travessa Um</t>
  </si>
  <si>
    <t>18543-548</t>
  </si>
  <si>
    <t>Travessa Vitória Albiero</t>
  </si>
  <si>
    <t>18540-015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</si>
</sst>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rgb="FFFFFFFF"/>
      <name val="Trebuchet MS"/>
    </font>
    <font>
      <color theme="1"/>
      <name val="Arial"/>
      <scheme val="minor"/>
    </font>
    <font>
      <color rgb="FF000000"/>
      <name val="Trebuchet MS"/>
    </font>
    <font>
      <sz val="9.0"/>
      <color rgb="FF000000"/>
      <name val="&quot;Google Sans Mono&quot;"/>
    </font>
    <font>
      <sz val="9.0"/>
      <color rgb="FF1D1C1D"/>
      <name val="Monaco"/>
    </font>
    <font>
      <sz val="9.0"/>
      <color rgb="FF008000"/>
      <name val="&quot;Google Sans Mono&quot;"/>
    </font>
    <font>
      <color rgb="FF000000"/>
      <name val="Arial"/>
    </font>
    <font>
      <color rgb="FF000000"/>
      <name val="&quot;Trebuchet MS&quot;"/>
    </font>
  </fonts>
  <fills count="5">
    <fill>
      <patternFill patternType="none"/>
    </fill>
    <fill>
      <patternFill patternType="lightGray"/>
    </fill>
    <fill>
      <patternFill patternType="solid">
        <fgColor rgb="FF0071AD"/>
        <bgColor rgb="FF0071AD"/>
      </patternFill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1" fillId="2" fontId="1" numFmtId="0" xfId="0" applyAlignment="1" applyBorder="1" applyFont="1">
      <alignment horizontal="center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0" fontId="3" numFmtId="0" xfId="0" applyAlignment="1" applyBorder="1" applyFont="1">
      <alignment horizontal="center"/>
    </xf>
    <xf borderId="0" fillId="0" fontId="2" numFmtId="0" xfId="0" applyFont="1"/>
    <xf borderId="0" fillId="3" fontId="4" numFmtId="0" xfId="0" applyAlignment="1" applyFill="1" applyFont="1">
      <alignment horizontal="left"/>
    </xf>
    <xf borderId="0" fillId="0" fontId="2" numFmtId="3" xfId="0" applyFont="1" applyNumberFormat="1"/>
    <xf borderId="0" fillId="0" fontId="5" numFmtId="0" xfId="0" applyAlignment="1" applyFont="1">
      <alignment horizontal="left" readingOrder="0" shrinkToFit="0" wrapText="1"/>
    </xf>
    <xf borderId="0" fillId="3" fontId="6" numFmtId="0" xfId="0" applyAlignment="1" applyFont="1">
      <alignment horizontal="left"/>
    </xf>
    <xf borderId="1" fillId="4" fontId="3" numFmtId="0" xfId="0" applyAlignment="1" applyBorder="1" applyFill="1" applyFont="1">
      <alignment readingOrder="0"/>
    </xf>
    <xf borderId="1" fillId="4" fontId="3" numFmtId="0" xfId="0" applyBorder="1" applyFont="1"/>
    <xf quotePrefix="1" borderId="0" fillId="0" fontId="2" numFmtId="0" xfId="0" applyAlignment="1" applyFont="1">
      <alignment readingOrder="0"/>
    </xf>
    <xf borderId="0" fillId="3" fontId="7" numFmtId="0" xfId="0" applyAlignment="1" applyFont="1">
      <alignment horizontal="left" readingOrder="0"/>
    </xf>
    <xf borderId="1" fillId="2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horizontal="center" vertical="bottom"/>
    </xf>
    <xf borderId="0" fillId="3" fontId="8" numFmtId="0" xfId="0" applyAlignment="1" applyFont="1">
      <alignment horizontal="left" readingOrder="0"/>
    </xf>
    <xf borderId="0" fillId="4" fontId="8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2.88"/>
    <col customWidth="1" min="2" max="2" width="29.25"/>
    <col customWidth="1" min="3" max="3" width="27.13"/>
    <col customWidth="1" min="4" max="4" width="33.5"/>
    <col customWidth="1" min="5" max="5" width="12.88"/>
    <col customWidth="1" min="6" max="6" width="22.25"/>
    <col customWidth="1" min="10" max="10" width="91.13"/>
    <col customWidth="1" min="11" max="11" width="27.38"/>
    <col customWidth="1" min="12" max="12" width="72.0"/>
    <col customWidth="1" min="13" max="13" width="35.75"/>
    <col customWidth="1" min="14" max="14" width="50.0"/>
    <col customWidth="1" min="18" max="18" width="19.5"/>
    <col customWidth="1" min="21" max="21" width="186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T1" s="3" t="s">
        <v>7</v>
      </c>
    </row>
    <row r="2" ht="15.75" hidden="1" customHeight="1">
      <c r="A2" s="4" t="s">
        <v>8</v>
      </c>
      <c r="B2" s="5" t="s">
        <v>9</v>
      </c>
      <c r="C2" s="4" t="s">
        <v>10</v>
      </c>
      <c r="D2" s="5" t="s">
        <v>11</v>
      </c>
      <c r="E2" s="6">
        <v>214.0</v>
      </c>
      <c r="F2" s="6" t="s">
        <v>12</v>
      </c>
      <c r="G2" s="3" t="s">
        <v>13</v>
      </c>
      <c r="H2" s="7" t="str">
        <f>IFERROR(__xludf.DUMMYFUNCTION("SPLIT(A2,""Alameda"","""")"),"    das Spathodeas")</f>
        <v>    das Spathodeas</v>
      </c>
      <c r="J2" s="3" t="s">
        <v>14</v>
      </c>
      <c r="K2" s="8" t="str">
        <f>IFERROR(__xludf.DUMMYFUNCTION("SPLIT($J2,""   "","""")"),"-23.245618 -47.064924")</f>
        <v>-23.245618 -47.064924</v>
      </c>
      <c r="L2" s="7" t="str">
        <f>IFERROR(__xludf.DUMMYFUNCTION("""COMPUTED_VALUE"""),"Avenida")</f>
        <v>Avenida</v>
      </c>
      <c r="M2" s="7" t="str">
        <f>IFERROR(__xludf.DUMMYFUNCTION("""COMPUTED_VALUE""")," Vereador José Donato")</f>
        <v> Vereador José Donato</v>
      </c>
      <c r="N2" s="3" t="str">
        <f>IFERROR(__xludf.DUMMYFUNCTION("""COMPUTED_VALUE""")," Jardim da Serra (Jacaré)")</f>
        <v> Jardim da Serra (Jacaré)</v>
      </c>
      <c r="O2" s="7" t="str">
        <f>IFERROR(__xludf.DUMMYFUNCTION("""COMPUTED_VALUE""")," Cabreúva")</f>
        <v> Cabreúva</v>
      </c>
      <c r="P2" s="7" t="str">
        <f>IFERROR(__xludf.DUMMYFUNCTION("""COMPUTED_VALUE"""),"SP")</f>
        <v>SP</v>
      </c>
      <c r="Q2" s="7" t="str">
        <f>IFERROR(__xludf.DUMMYFUNCTION("""COMPUTED_VALUE""")," 13318-154 ")</f>
        <v> 13318-154 </v>
      </c>
      <c r="R2" s="9">
        <f>IFERROR(__xludf.DUMMYFUNCTION("SPLIT($K2,"" "","""")"),-2.3245618E7)</f>
        <v>-23245618</v>
      </c>
      <c r="S2" s="9">
        <f>IFERROR(__xludf.DUMMYFUNCTION("""COMPUTED_VALUE"""),-4.7064924E7)</f>
        <v>-47064924</v>
      </c>
      <c r="T2" s="10">
        <v>3508405.0</v>
      </c>
      <c r="U2" s="11" t="str">
        <f t="shared" ref="U2:U527" si="1">"insert into CEPS (CODIGO_CEP, CRIADO_POR, DATA_DE_CRIAÇÃO, DELETADO, MODIFICADO_POR, DATA_ALTERACAO, ENDERECO, COMPLEMENTO_LOGRADOURO, DESCRICAO_LOGRADOURO, TIPO_LOGRADOURO, COD_MUNICIPIO_IBGE, DESCRICAO_LOCALIDADE, DESCRICAO_BAIRRO, REGULAR, CODIGO_UNIDA"&amp;"DE_FEDERATIVA, TIPO, LATITUDE, LONGITUDE, GEO_POINT) SELECT SEQ_CEPS.NEXTVAL,'"&amp;Q2&amp;"', 'PK-20686', SYSDATE, 0, 'PK-20686', SYSDATE, '"&amp;L2&amp;" "&amp;M2&amp;" "&amp;N2&amp;"', '"&amp;L2&amp;""&amp;M2&amp;""&amp;N2&amp;"', '"&amp;N2&amp;"', '"&amp;L2&amp;"', '"&amp;T2&amp;"', '"&amp;L2&amp;""&amp;M2&amp;""&amp;N2&amp;"','"&amp;N2&amp;"', '1', '"&amp;P2&amp;"', '1', '"&amp;R2&amp;"', '"&amp;S2&amp;"', '"&amp;N2&amp;"' "</f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13318-154 ', 'PK-20686', SYSDATE, 0, 'PK-20686', SYSDATE, 'Avenida  Vereador José Donato  Jardim da Serra (Jacaré)', 'Avenida Vereador José Donato Jardim da Serra (Jacaré)', ' Jardim da Serra (Jacaré)', 'Avenida', '3508405', 'Avenida Vereador José Donato Jardim da Serra (Jacaré)',' Jardim da Serra (Jacaré)', '1', 'SP', '1', '-23245618', '-47064924', ' Jardim da Serra (Jacaré)' </v>
      </c>
    </row>
    <row r="3" ht="15.75" customHeight="1">
      <c r="A3" s="4" t="s">
        <v>15</v>
      </c>
      <c r="B3" s="5" t="s">
        <v>16</v>
      </c>
      <c r="C3" s="4" t="s">
        <v>10</v>
      </c>
      <c r="D3" s="5" t="s">
        <v>17</v>
      </c>
      <c r="E3" s="6">
        <v>214.0</v>
      </c>
      <c r="F3" s="6" t="s">
        <v>12</v>
      </c>
      <c r="G3" s="3" t="s">
        <v>13</v>
      </c>
      <c r="H3" s="7" t="str">
        <f>IFERROR(__xludf.DUMMYFUNCTION("SPLIT(A2,""Estrada"","""")"),"Alameda    das Spathodeas")</f>
        <v>Alameda    das Spathodeas</v>
      </c>
      <c r="J3" s="3" t="s">
        <v>18</v>
      </c>
      <c r="K3" s="8" t="str">
        <f>IFERROR(__xludf.DUMMYFUNCTION("SPLIT($J3,""  "","""")"),"-23.307366 -47.133678")</f>
        <v>-23.307366 -47.133678</v>
      </c>
      <c r="L3" s="7" t="str">
        <f>IFERROR(__xludf.DUMMYFUNCTION("""COMPUTED_VALUE""")," Rua")</f>
        <v> Rua</v>
      </c>
      <c r="M3" s="7" t="str">
        <f>IFERROR(__xludf.DUMMYFUNCTION("""COMPUTED_VALUE""")," I")</f>
        <v> I</v>
      </c>
      <c r="N3" s="7" t="str">
        <f>IFERROR(__xludf.DUMMYFUNCTION("""COMPUTED_VALUE"""),"Fazenda Sossego (São Francisco)")</f>
        <v>Fazenda Sossego (São Francisco)</v>
      </c>
      <c r="O3" s="7" t="str">
        <f>IFERROR(__xludf.DUMMYFUNCTION("""COMPUTED_VALUE"""),"Cabreúva")</f>
        <v>Cabreúva</v>
      </c>
      <c r="P3" s="7" t="str">
        <f>IFERROR(__xludf.DUMMYFUNCTION("""COMPUTED_VALUE""")," SP")</f>
        <v> SP</v>
      </c>
      <c r="Q3" s="7" t="str">
        <f>IFERROR(__xludf.DUMMYFUNCTION("""COMPUTED_VALUE"""),"13316-708 ")</f>
        <v>13316-708 </v>
      </c>
      <c r="R3" s="9">
        <f>IFERROR(__xludf.DUMMYFUNCTION("SPLIT($K3,"" "","""")"),-2.3307366E7)</f>
        <v>-23307366</v>
      </c>
      <c r="S3" s="9">
        <f>IFERROR(__xludf.DUMMYFUNCTION("""COMPUTED_VALUE"""),-4.7133678E7)</f>
        <v>-47133678</v>
      </c>
      <c r="T3" s="10">
        <v>3508405.0</v>
      </c>
      <c r="U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SEQ_CEPS.NEXTVAL,'13316-708 ', 'PK-20686', SYSDATE, 0, 'PK-20686', SYSDATE, ' Rua  I Fazenda Sossego (São Francisco)', ' Rua IFazenda Sossego (São Francisco)', 'Fazenda Sossego (São Francisco)', ' Rua', '3508405', ' Rua IFazenda Sossego (São Francisco)','Fazenda Sossego (São Francisco)', '1', ' SP', '1', '-23307366', '-47133678', 'Fazenda Sossego (São Francisco)' </v>
      </c>
    </row>
    <row r="4" ht="15.75" hidden="1" customHeight="1">
      <c r="A4" s="4" t="s">
        <v>19</v>
      </c>
      <c r="B4" s="5" t="s">
        <v>20</v>
      </c>
      <c r="C4" s="4" t="s">
        <v>10</v>
      </c>
      <c r="D4" s="5" t="s">
        <v>21</v>
      </c>
      <c r="E4" s="6">
        <v>214.0</v>
      </c>
      <c r="F4" s="6" t="s">
        <v>12</v>
      </c>
      <c r="G4" s="3" t="s">
        <v>13</v>
      </c>
      <c r="H4" s="7" t="str">
        <f>IFERROR(__xludf.DUMMYFUNCTION("SPLIT(A2,""Rua"","""")"),"Alameda    das Spathodeas")</f>
        <v>Alameda    das Spathodeas</v>
      </c>
      <c r="J4" s="3" t="s">
        <v>22</v>
      </c>
      <c r="K4" s="8" t="str">
        <f>IFERROR(__xludf.DUMMYFUNCTION("SPLIT($J4,""  "","""")"),"-23.255741 -47.049237")</f>
        <v>-23.255741 -47.049237</v>
      </c>
      <c r="L4" s="7" t="str">
        <f>IFERROR(__xludf.DUMMYFUNCTION("""COMPUTED_VALUE""")," Alameda")</f>
        <v> Alameda</v>
      </c>
      <c r="M4" s="7" t="str">
        <f>IFERROR(__xludf.DUMMYFUNCTION("""COMPUTED_VALUE"""),"das Sibipirunas")</f>
        <v>das Sibipirunas</v>
      </c>
      <c r="N4" s="7" t="str">
        <f>IFERROR(__xludf.DUMMYFUNCTION("""COMPUTED_VALUE"""),"Portal da Concórdia (Jacaré)")</f>
        <v>Portal da Concórdia (Jacaré)</v>
      </c>
      <c r="O4" s="7" t="str">
        <f>IFERROR(__xludf.DUMMYFUNCTION("""COMPUTED_VALUE"""),"Cabreúva")</f>
        <v>Cabreúva</v>
      </c>
      <c r="P4" s="7" t="str">
        <f>IFERROR(__xludf.DUMMYFUNCTION("""COMPUTED_VALUE""")," SP")</f>
        <v> SP</v>
      </c>
      <c r="Q4" s="7" t="str">
        <f>IFERROR(__xludf.DUMMYFUNCTION("""COMPUTED_VALUE"""),"13318-316 ")</f>
        <v>13318-316 </v>
      </c>
      <c r="R4" s="9">
        <f>IFERROR(__xludf.DUMMYFUNCTION("SPLIT($K4,"" "","""")"),-2.3255741E7)</f>
        <v>-23255741</v>
      </c>
      <c r="S4" s="9">
        <f>IFERROR(__xludf.DUMMYFUNCTION("""COMPUTED_VALUE"""),-4.7049237E7)</f>
        <v>-47049237</v>
      </c>
      <c r="T4" s="10">
        <v>3508405.0</v>
      </c>
      <c r="U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SEQ_CEPS.NEXTVAL,'13318-316 ', 'PK-20686', SYSDATE, 0, 'PK-20686', SYSDATE, ' Alameda das Sibipirunas Portal da Concórdia (Jacaré)', ' Alamedadas SibipirunasPortal da Concórdia (Jacaré)', 'Portal da Concórdia (Jacaré)', ' Alameda', '3508405', ' Alamedadas SibipirunasPortal da Concórdia (Jacaré)','Portal da Concórdia (Jacaré)', '1', ' SP', '1', '-23255741', '-47049237', 'Portal da Concórdia (Jacaré)' </v>
      </c>
    </row>
    <row r="5" ht="15.75" hidden="1" customHeight="1">
      <c r="A5" s="4" t="s">
        <v>23</v>
      </c>
      <c r="B5" s="5" t="s">
        <v>24</v>
      </c>
      <c r="C5" s="4" t="s">
        <v>10</v>
      </c>
      <c r="D5" s="5" t="s">
        <v>25</v>
      </c>
      <c r="E5" s="6">
        <v>214.0</v>
      </c>
      <c r="F5" s="6" t="s">
        <v>12</v>
      </c>
      <c r="G5" s="3" t="s">
        <v>13</v>
      </c>
      <c r="H5" s="7" t="str">
        <f>IFERROR(__xludf.DUMMYFUNCTION("SPLIT(A3,""Rua"","""")"),"Estrada    Antonio Spina")</f>
        <v>Estrada    Antonio Spina</v>
      </c>
      <c r="J5" s="3" t="s">
        <v>26</v>
      </c>
      <c r="K5" s="8" t="str">
        <f>IFERROR(__xludf.DUMMYFUNCTION("SPLIT($J5,""   "","""")"),"-23.30897 -47.131949")</f>
        <v>-23.30897 -47.131949</v>
      </c>
      <c r="L5" s="7" t="str">
        <f>IFERROR(__xludf.DUMMYFUNCTION("""COMPUTED_VALUE"""),"Estrada")</f>
        <v>Estrada</v>
      </c>
      <c r="M5" s="7" t="str">
        <f>IFERROR(__xludf.DUMMYFUNCTION("""COMPUTED_VALUE""")," da Cerâmica")</f>
        <v> da Cerâmica</v>
      </c>
      <c r="N5" s="7" t="str">
        <f>IFERROR(__xludf.DUMMYFUNCTION("""COMPUTED_VALUE""")," Centro")</f>
        <v> Centro</v>
      </c>
      <c r="O5" s="7" t="str">
        <f>IFERROR(__xludf.DUMMYFUNCTION("""COMPUTED_VALUE""")," Cabreúva")</f>
        <v> Cabreúva</v>
      </c>
      <c r="P5" s="7" t="str">
        <f>IFERROR(__xludf.DUMMYFUNCTION("""COMPUTED_VALUE"""),"SP")</f>
        <v>SP</v>
      </c>
      <c r="Q5" s="7" t="str">
        <f>IFERROR(__xludf.DUMMYFUNCTION("""COMPUTED_VALUE""")," 13315-018 ")</f>
        <v> 13315-018 </v>
      </c>
      <c r="R5" s="9">
        <f>IFERROR(__xludf.DUMMYFUNCTION("SPLIT($K5,"" "","""")"),-2330897.0)</f>
        <v>-2330897</v>
      </c>
      <c r="S5" s="9">
        <f>IFERROR(__xludf.DUMMYFUNCTION("""COMPUTED_VALUE"""),-4.7131949E7)</f>
        <v>-47131949</v>
      </c>
      <c r="T5" s="10">
        <v>3508405.0</v>
      </c>
      <c r="U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13315-018 ', 'PK-20686', SYSDATE, 0, 'PK-20686', SYSDATE, 'Estrada  da Cerâmica  Centro', 'Estrada da Cerâmica Centro', ' Centro', 'Estrada', '3508405', 'Estrada da Cerâmica Centro',' Centro', '1', 'SP', '1', '-2330897', '-47131949', ' Centro' </v>
      </c>
    </row>
    <row r="6" ht="15.75" customHeight="1">
      <c r="A6" s="4" t="s">
        <v>27</v>
      </c>
      <c r="B6" s="5" t="s">
        <v>20</v>
      </c>
      <c r="C6" s="4" t="s">
        <v>10</v>
      </c>
      <c r="D6" s="5" t="s">
        <v>28</v>
      </c>
      <c r="E6" s="6">
        <v>214.0</v>
      </c>
      <c r="F6" s="6" t="s">
        <v>12</v>
      </c>
      <c r="G6" s="3" t="s">
        <v>13</v>
      </c>
      <c r="H6" s="7" t="str">
        <f>IFERROR(__xludf.DUMMYFUNCTION("SPLIT(A4,""Rua"","""")"),"       Alberto Spina")</f>
        <v>       Alberto Spina</v>
      </c>
      <c r="J6" s="3" t="s">
        <v>29</v>
      </c>
      <c r="K6" s="8" t="str">
        <f>IFERROR(__xludf.DUMMYFUNCTION("SPLIT($J6,""   "","""")"),"-23.25729 -47.09146")</f>
        <v>-23.25729 -47.09146</v>
      </c>
      <c r="L6" s="7" t="str">
        <f>IFERROR(__xludf.DUMMYFUNCTION("""COMPUTED_VALUE"""),"Rua")</f>
        <v>Rua</v>
      </c>
      <c r="M6" s="7" t="str">
        <f>IFERROR(__xludf.DUMMYFUNCTION("""COMPUTED_VALUE""")," dos Ipês")</f>
        <v> dos Ipês</v>
      </c>
      <c r="N6" s="7" t="str">
        <f>IFERROR(__xludf.DUMMYFUNCTION("""COMPUTED_VALUE""")," Chácaras do Pinhal (Pinhal)")</f>
        <v> Chácaras do Pinhal (Pinhal)</v>
      </c>
      <c r="O6" s="7" t="str">
        <f>IFERROR(__xludf.DUMMYFUNCTION("""COMPUTED_VALUE""")," Cabreúva")</f>
        <v> Cabreúva</v>
      </c>
      <c r="P6" s="7" t="str">
        <f>IFERROR(__xludf.DUMMYFUNCTION("""COMPUTED_VALUE"""),"SP")</f>
        <v>SP</v>
      </c>
      <c r="Q6" s="7" t="str">
        <f>IFERROR(__xludf.DUMMYFUNCTION("""COMPUTED_VALUE""")," 13317-294 ")</f>
        <v> 13317-294 </v>
      </c>
      <c r="R6" s="9">
        <f>IFERROR(__xludf.DUMMYFUNCTION("SPLIT($K6,"" "","""")"),-2325729.0)</f>
        <v>-2325729</v>
      </c>
      <c r="S6" s="9">
        <f>IFERROR(__xludf.DUMMYFUNCTION("""COMPUTED_VALUE"""),-4709146.0)</f>
        <v>-4709146</v>
      </c>
      <c r="T6" s="10">
        <v>3508405.0</v>
      </c>
      <c r="U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13317-294 ', 'PK-20686', SYSDATE, 0, 'PK-20686', SYSDATE, 'Rua  dos Ipês  Chácaras do Pinhal (Pinhal)', 'Rua dos Ipês Chácaras do Pinhal (Pinhal)', ' Chácaras do Pinhal (Pinhal)', 'Rua', '3508405', 'Rua dos Ipês Chácaras do Pinhal (Pinhal)',' Chácaras do Pinhal (Pinhal)', '1', 'SP', '1', '-2325729', '-4709146', ' Chácaras do Pinhal (Pinhal)' </v>
      </c>
    </row>
    <row r="7" ht="15.75" customHeight="1">
      <c r="A7" s="4" t="s">
        <v>30</v>
      </c>
      <c r="B7" s="5" t="s">
        <v>31</v>
      </c>
      <c r="C7" s="4" t="s">
        <v>10</v>
      </c>
      <c r="D7" s="5" t="s">
        <v>32</v>
      </c>
      <c r="E7" s="6">
        <v>214.0</v>
      </c>
      <c r="F7" s="6" t="s">
        <v>12</v>
      </c>
      <c r="G7" s="3" t="s">
        <v>13</v>
      </c>
      <c r="H7" s="7" t="str">
        <f>IFERROR(__xludf.DUMMYFUNCTION("SPLIT(A2,""Via"","""")"),"Alameda    das Spathodeas")</f>
        <v>Alameda    das Spathodeas</v>
      </c>
      <c r="J7" s="3" t="s">
        <v>33</v>
      </c>
      <c r="K7" s="8" t="str">
        <f>IFERROR(__xludf.DUMMYFUNCTION("SPLIT($J7,""   "","""")"),"-23.25456 -47.059625")</f>
        <v>-23.25456 -47.059625</v>
      </c>
      <c r="L7" s="7" t="str">
        <f>IFERROR(__xludf.DUMMYFUNCTION("""COMPUTED_VALUE"""),"Rua")</f>
        <v>Rua</v>
      </c>
      <c r="M7" s="7" t="str">
        <f>IFERROR(__xludf.DUMMYFUNCTION("""COMPUTED_VALUE""")," Ceará")</f>
        <v> Ceará</v>
      </c>
      <c r="N7" s="7" t="str">
        <f>IFERROR(__xludf.DUMMYFUNCTION("""COMPUTED_VALUE""")," Jacaré")</f>
        <v> Jacaré</v>
      </c>
      <c r="O7" s="7" t="str">
        <f>IFERROR(__xludf.DUMMYFUNCTION("""COMPUTED_VALUE""")," Cabreúva")</f>
        <v> Cabreúva</v>
      </c>
      <c r="P7" s="7" t="str">
        <f>IFERROR(__xludf.DUMMYFUNCTION("""COMPUTED_VALUE"""),"SP")</f>
        <v>SP</v>
      </c>
      <c r="Q7" s="7" t="str">
        <f>IFERROR(__xludf.DUMMYFUNCTION("""COMPUTED_VALUE""")," 13318-092 ")</f>
        <v> 13318-092 </v>
      </c>
      <c r="R7" s="9">
        <f>IFERROR(__xludf.DUMMYFUNCTION("SPLIT($K7,"" "","""")"),-2325456.0)</f>
        <v>-2325456</v>
      </c>
      <c r="S7" s="9">
        <f>IFERROR(__xludf.DUMMYFUNCTION("""COMPUTED_VALUE"""),-4.7059625E7)</f>
        <v>-47059625</v>
      </c>
      <c r="T7" s="10">
        <v>3508405.0</v>
      </c>
      <c r="U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13318-092 ', 'PK-20686', SYSDATE, 0, 'PK-20686', SYSDATE, 'Rua  Ceará  Jacaré', 'Rua Ceará Jacaré', ' Jacaré', 'Rua', '3508405', 'Rua Ceará Jacaré',' Jacaré', '1', 'SP', '1', '-2325456', '-47059625', ' Jacaré' </v>
      </c>
    </row>
    <row r="8" ht="15.75" hidden="1" customHeight="1">
      <c r="A8" s="4" t="s">
        <v>34</v>
      </c>
      <c r="B8" s="5" t="s">
        <v>35</v>
      </c>
      <c r="C8" s="4" t="s">
        <v>10</v>
      </c>
      <c r="D8" s="5" t="s">
        <v>36</v>
      </c>
      <c r="E8" s="6">
        <v>214.0</v>
      </c>
      <c r="F8" s="6" t="s">
        <v>12</v>
      </c>
      <c r="G8" s="3" t="s">
        <v>13</v>
      </c>
      <c r="H8" s="7" t="str">
        <f>IFERROR(__xludf.DUMMYFUNCTION("SPLIT(A8,""Alameda"","""")"),"    Algarve")</f>
        <v>    Algarve</v>
      </c>
      <c r="J8" s="3" t="s">
        <v>37</v>
      </c>
      <c r="K8" s="8" t="str">
        <f>IFERROR(__xludf.DUMMYFUNCTION("SPLIT($J8,""   "","""")"),"-23.30897 -47.131949")</f>
        <v>-23.30897 -47.131949</v>
      </c>
      <c r="L8" s="7" t="str">
        <f>IFERROR(__xludf.DUMMYFUNCTION("""COMPUTED_VALUE"""),"Avenida")</f>
        <v>Avenida</v>
      </c>
      <c r="M8" s="7" t="str">
        <f>IFERROR(__xludf.DUMMYFUNCTION("""COMPUTED_VALUE""")," Vale Verde")</f>
        <v> Vale Verde</v>
      </c>
      <c r="N8" s="7" t="str">
        <f>IFERROR(__xludf.DUMMYFUNCTION("""COMPUTED_VALUE""")," Vale Verde (Centro)")</f>
        <v> Vale Verde (Centro)</v>
      </c>
      <c r="O8" s="7" t="str">
        <f>IFERROR(__xludf.DUMMYFUNCTION("""COMPUTED_VALUE""")," Cabreúva")</f>
        <v> Cabreúva</v>
      </c>
      <c r="P8" s="7" t="str">
        <f>IFERROR(__xludf.DUMMYFUNCTION("""COMPUTED_VALUE"""),"SP")</f>
        <v>SP</v>
      </c>
      <c r="Q8" s="7" t="str">
        <f>IFERROR(__xludf.DUMMYFUNCTION("""COMPUTED_VALUE""")," 13315-240 ")</f>
        <v> 13315-240 </v>
      </c>
      <c r="R8" s="9">
        <f>IFERROR(__xludf.DUMMYFUNCTION("SPLIT($K8,"" "","""")"),-2330897.0)</f>
        <v>-2330897</v>
      </c>
      <c r="S8" s="9">
        <f>IFERROR(__xludf.DUMMYFUNCTION("""COMPUTED_VALUE"""),-4.7131949E7)</f>
        <v>-47131949</v>
      </c>
      <c r="T8" s="10">
        <v>3508405.0</v>
      </c>
      <c r="U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13315-240 ', 'PK-20686', SYSDATE, 0, 'PK-20686', SYSDATE, 'Avenida  Vale Verde  Vale Verde (Centro)', 'Avenida Vale Verde Vale Verde (Centro)', ' Vale Verde (Centro)', 'Avenida', '3508405', 'Avenida Vale Verde Vale Verde (Centro)',' Vale Verde (Centro)', '1', 'SP', '1', '-2330897', '-47131949', ' Vale Verde (Centro)' </v>
      </c>
    </row>
    <row r="9" ht="15.75" customHeight="1">
      <c r="A9" s="4" t="s">
        <v>38</v>
      </c>
      <c r="B9" s="5" t="s">
        <v>39</v>
      </c>
      <c r="C9" s="4" t="s">
        <v>10</v>
      </c>
      <c r="D9" s="5" t="s">
        <v>40</v>
      </c>
      <c r="E9" s="6">
        <v>214.0</v>
      </c>
      <c r="F9" s="6" t="s">
        <v>12</v>
      </c>
      <c r="G9" s="3" t="s">
        <v>13</v>
      </c>
      <c r="H9" s="7" t="str">
        <f>IFERROR(__xludf.DUMMYFUNCTION("SPLIT(A9,""Alameda"","""")"),"    Aníbal Geraldo")</f>
        <v>    Aníbal Geraldo</v>
      </c>
      <c r="J9" s="3" t="s">
        <v>41</v>
      </c>
      <c r="K9" s="8" t="str">
        <f>IFERROR(__xludf.DUMMYFUNCTION("SPLIT($J9,""   "","""")"),"-23.307366 -47.133678")</f>
        <v>-23.307366 -47.133678</v>
      </c>
      <c r="L9" s="7" t="str">
        <f>IFERROR(__xludf.DUMMYFUNCTION("""COMPUTED_VALUE"""),"Rua")</f>
        <v>Rua</v>
      </c>
      <c r="M9" s="7" t="str">
        <f>IFERROR(__xludf.DUMMYFUNCTION("""COMPUTED_VALUE""")," Sinézio Xavier Souza")</f>
        <v> Sinézio Xavier Souza</v>
      </c>
      <c r="N9" s="7" t="str">
        <f>IFERROR(__xludf.DUMMYFUNCTION("""COMPUTED_VALUE""")," Vila dos Mineiros")</f>
        <v> Vila dos Mineiros</v>
      </c>
      <c r="O9" s="7" t="str">
        <f>IFERROR(__xludf.DUMMYFUNCTION("""COMPUTED_VALUE""")," Cabreúva")</f>
        <v> Cabreúva</v>
      </c>
      <c r="P9" s="7" t="str">
        <f>IFERROR(__xludf.DUMMYFUNCTION("""COMPUTED_VALUE"""),"SP")</f>
        <v>SP</v>
      </c>
      <c r="Q9" s="7" t="str">
        <f>IFERROR(__xludf.DUMMYFUNCTION("""COMPUTED_VALUE""")," 13317-100 ")</f>
        <v> 13317-100 </v>
      </c>
      <c r="R9" s="9">
        <f>IFERROR(__xludf.DUMMYFUNCTION("SPLIT($K9,"" "","""")"),-2.3307366E7)</f>
        <v>-23307366</v>
      </c>
      <c r="S9" s="9">
        <f>IFERROR(__xludf.DUMMYFUNCTION("""COMPUTED_VALUE"""),-4.7133678E7)</f>
        <v>-47133678</v>
      </c>
      <c r="T9" s="10">
        <v>3508405.0</v>
      </c>
      <c r="U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13317-100 ', 'PK-20686', SYSDATE, 0, 'PK-20686', SYSDATE, 'Rua  Sinézio Xavier Souza  Vila dos Mineiros', 'Rua Sinézio Xavier Souza Vila dos Mineiros', ' Vila dos Mineiros', 'Rua', '3508405', 'Rua Sinézio Xavier Souza Vila dos Mineiros',' Vila dos Mineiros', '1', 'SP', '1', '-23307366', '-47133678', ' Vila dos Mineiros' </v>
      </c>
    </row>
    <row r="10" ht="15.75" hidden="1" customHeight="1">
      <c r="A10" s="4" t="s">
        <v>42</v>
      </c>
      <c r="B10" s="5" t="s">
        <v>39</v>
      </c>
      <c r="C10" s="4" t="s">
        <v>10</v>
      </c>
      <c r="D10" s="5" t="s">
        <v>43</v>
      </c>
      <c r="E10" s="6">
        <v>214.0</v>
      </c>
      <c r="F10" s="6" t="s">
        <v>12</v>
      </c>
      <c r="G10" s="3" t="s">
        <v>13</v>
      </c>
      <c r="H10" s="7" t="str">
        <f>IFERROR(__xludf.DUMMYFUNCTION("SPLIT(A10,""Alameda"","""")"),"    Cinco")</f>
        <v>    Cinco</v>
      </c>
      <c r="J10" s="3" t="s">
        <v>44</v>
      </c>
      <c r="K10" s="8" t="str">
        <f>IFERROR(__xludf.DUMMYFUNCTION("SPLIT($J10,""   "","""")"),"-23.224933 -45.804546")</f>
        <v>-23.224933 -45.804546</v>
      </c>
      <c r="L10" s="7" t="str">
        <f>IFERROR(__xludf.DUMMYFUNCTION("""COMPUTED_VALUE"""),"Estrada")</f>
        <v>Estrada</v>
      </c>
      <c r="M10" s="7" t="str">
        <f>IFERROR(__xludf.DUMMYFUNCTION("""COMPUTED_VALUE""")," das Araucárias")</f>
        <v> das Araucárias</v>
      </c>
      <c r="N10" s="7" t="str">
        <f>IFERROR(__xludf.DUMMYFUNCTION("""COMPUTED_VALUE""")," Chácaras Boa Esperança (Guaxatuba)")</f>
        <v> Chácaras Boa Esperança (Guaxatuba)</v>
      </c>
      <c r="O10" s="7" t="str">
        <f>IFERROR(__xludf.DUMMYFUNCTION("""COMPUTED_VALUE""")," Cabreúva")</f>
        <v> Cabreúva</v>
      </c>
      <c r="P10" s="7" t="str">
        <f>IFERROR(__xludf.DUMMYFUNCTION("""COMPUTED_VALUE"""),"SP")</f>
        <v>SP</v>
      </c>
      <c r="Q10" s="7" t="str">
        <f>IFERROR(__xludf.DUMMYFUNCTION("""COMPUTED_VALUE""")," 13316-518 ")</f>
        <v> 13316-518 </v>
      </c>
      <c r="R10" s="9">
        <f>IFERROR(__xludf.DUMMYFUNCTION("SPLIT($K10,"" "","""")"),-2.3224933E7)</f>
        <v>-23224933</v>
      </c>
      <c r="S10" s="9">
        <f>IFERROR(__xludf.DUMMYFUNCTION("""COMPUTED_VALUE"""),-4.5804546E7)</f>
        <v>-45804546</v>
      </c>
      <c r="T10" s="10">
        <v>3508405.0</v>
      </c>
      <c r="U1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13316-518 ', 'PK-20686', SYSDATE, 0, 'PK-20686', SYSDATE, 'Estrada  das Araucárias  Chácaras Boa Esperança (Guaxatuba)', 'Estrada das Araucárias Chácaras Boa Esperança (Guaxatuba)', ' Chácaras Boa Esperança (Guaxatuba)', 'Estrada', '3508405', 'Estrada das Araucárias Chácaras Boa Esperança (Guaxatuba)',' Chácaras Boa Esperança (Guaxatuba)', '1', 'SP', '1', '-23224933', '-45804546', ' Chácaras Boa Esperança (Guaxatuba)' </v>
      </c>
    </row>
    <row r="11" ht="15.75" customHeight="1">
      <c r="A11" s="4" t="s">
        <v>45</v>
      </c>
      <c r="B11" s="5" t="s">
        <v>46</v>
      </c>
      <c r="C11" s="4" t="s">
        <v>10</v>
      </c>
      <c r="D11" s="5" t="s">
        <v>47</v>
      </c>
      <c r="E11" s="6">
        <v>214.0</v>
      </c>
      <c r="F11" s="6" t="s">
        <v>12</v>
      </c>
      <c r="G11" s="3" t="s">
        <v>13</v>
      </c>
      <c r="H11" s="7" t="str">
        <f>IFERROR(__xludf.DUMMYFUNCTION("SPLIT(A11,""Alameda"","""")"),"    das Andorinhas")</f>
        <v>    das Andorinhas</v>
      </c>
      <c r="J11" s="3" t="s">
        <v>48</v>
      </c>
      <c r="K11" s="8" t="str">
        <f>IFERROR(__xludf.DUMMYFUNCTION("SPLIT($J11,""   "","""")"),"-23.247509 -47.065963")</f>
        <v>-23.247509 -47.065963</v>
      </c>
      <c r="L11" s="7" t="str">
        <f>IFERROR(__xludf.DUMMYFUNCTION("""COMPUTED_VALUE"""),"Rua")</f>
        <v>Rua</v>
      </c>
      <c r="M11" s="7" t="str">
        <f>IFERROR(__xludf.DUMMYFUNCTION("""COMPUTED_VALUE""")," Vereador Yassuo Hirano")</f>
        <v> Vereador Yassuo Hirano</v>
      </c>
      <c r="N11" s="7" t="str">
        <f>IFERROR(__xludf.DUMMYFUNCTION("""COMPUTED_VALUE""")," Jacaré")</f>
        <v> Jacaré</v>
      </c>
      <c r="O11" s="7" t="str">
        <f>IFERROR(__xludf.DUMMYFUNCTION("""COMPUTED_VALUE""")," Cabreúva")</f>
        <v> Cabreúva</v>
      </c>
      <c r="P11" s="7" t="str">
        <f>IFERROR(__xludf.DUMMYFUNCTION("""COMPUTED_VALUE"""),"SP")</f>
        <v>SP</v>
      </c>
      <c r="Q11" s="7" t="str">
        <f>IFERROR(__xludf.DUMMYFUNCTION("""COMPUTED_VALUE""")," 13318-043")</f>
        <v> 13318-043</v>
      </c>
      <c r="R11" s="9">
        <f>IFERROR(__xludf.DUMMYFUNCTION("SPLIT($K11,"" "","""")"),-2.3247509E7)</f>
        <v>-23247509</v>
      </c>
      <c r="S11" s="9">
        <f>IFERROR(__xludf.DUMMYFUNCTION("""COMPUTED_VALUE"""),-4.7065963E7)</f>
        <v>-47065963</v>
      </c>
      <c r="T11" s="10">
        <v>3508405.0</v>
      </c>
      <c r="U1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13318-043', 'PK-20686', SYSDATE, 0, 'PK-20686', SYSDATE, 'Rua  Vereador Yassuo Hirano  Jacaré', 'Rua Vereador Yassuo Hirano Jacaré', ' Jacaré', 'Rua', '3508405', 'Rua Vereador Yassuo Hirano Jacaré',' Jacaré', '1', 'SP', '1', '-23247509', '-47065963', ' Jacaré' </v>
      </c>
    </row>
    <row r="12" ht="15.75" hidden="1" customHeight="1">
      <c r="A12" s="4" t="s">
        <v>49</v>
      </c>
      <c r="B12" s="5" t="s">
        <v>9</v>
      </c>
      <c r="C12" s="4" t="s">
        <v>10</v>
      </c>
      <c r="D12" s="5" t="s">
        <v>50</v>
      </c>
      <c r="E12" s="6">
        <v>214.0</v>
      </c>
      <c r="F12" s="6" t="s">
        <v>12</v>
      </c>
      <c r="G12" s="3" t="s">
        <v>13</v>
      </c>
      <c r="H12" s="7" t="str">
        <f>IFERROR(__xludf.DUMMYFUNCTION("SPLIT(A12,""Alameda"","""")"),"    das Grevileas")</f>
        <v>    das Grevileas</v>
      </c>
      <c r="J12" s="3" t="s">
        <v>51</v>
      </c>
      <c r="K12" s="8" t="str">
        <f>IFERROR(__xludf.DUMMYFUNCTION("SPLIT($J12,""   "","""")"),"-23.224933 -45.804546")</f>
        <v>-23.224933 -45.804546</v>
      </c>
      <c r="L12" s="7" t="str">
        <f>IFERROR(__xludf.DUMMYFUNCTION("""COMPUTED_VALUE"""),"Estrada")</f>
        <v>Estrada</v>
      </c>
      <c r="M12" s="7" t="str">
        <f>IFERROR(__xludf.DUMMYFUNCTION("""COMPUTED_VALUE""")," do Mirante")</f>
        <v> do Mirante</v>
      </c>
      <c r="N12" s="7" t="str">
        <f>IFERROR(__xludf.DUMMYFUNCTION("""COMPUTED_VALUE""")," Chácaras Boa Esperança (Guaxatuba)")</f>
        <v> Chácaras Boa Esperança (Guaxatuba)</v>
      </c>
      <c r="O12" s="7" t="str">
        <f>IFERROR(__xludf.DUMMYFUNCTION("""COMPUTED_VALUE""")," Cabreúva")</f>
        <v> Cabreúva</v>
      </c>
      <c r="P12" s="7" t="str">
        <f>IFERROR(__xludf.DUMMYFUNCTION("""COMPUTED_VALUE"""),"SP")</f>
        <v>SP</v>
      </c>
      <c r="Q12" s="7" t="str">
        <f>IFERROR(__xludf.DUMMYFUNCTION("""COMPUTED_VALUE""")," 13316-512 ")</f>
        <v> 13316-512 </v>
      </c>
      <c r="R12" s="9">
        <f>IFERROR(__xludf.DUMMYFUNCTION("SPLIT($K12,"" "","""")"),-2.3224933E7)</f>
        <v>-23224933</v>
      </c>
      <c r="S12" s="9">
        <f>IFERROR(__xludf.DUMMYFUNCTION("""COMPUTED_VALUE"""),-4.5804546E7)</f>
        <v>-45804546</v>
      </c>
      <c r="T12" s="10">
        <v>3508405.0</v>
      </c>
      <c r="U1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13316-512 ', 'PK-20686', SYSDATE, 0, 'PK-20686', SYSDATE, 'Estrada  do Mirante  Chácaras Boa Esperança (Guaxatuba)', 'Estrada do Mirante Chácaras Boa Esperança (Guaxatuba)', ' Chácaras Boa Esperança (Guaxatuba)', 'Estrada', '3508405', 'Estrada do Mirante Chácaras Boa Esperança (Guaxatuba)',' Chácaras Boa Esperança (Guaxatuba)', '1', 'SP', '1', '-23224933', '-45804546', ' Chácaras Boa Esperança (Guaxatuba)' </v>
      </c>
    </row>
    <row r="13" ht="15.75" customHeight="1">
      <c r="A13" s="4" t="s">
        <v>52</v>
      </c>
      <c r="B13" s="5" t="s">
        <v>9</v>
      </c>
      <c r="C13" s="4" t="s">
        <v>10</v>
      </c>
      <c r="D13" s="5" t="s">
        <v>53</v>
      </c>
      <c r="E13" s="6">
        <v>214.0</v>
      </c>
      <c r="F13" s="6" t="s">
        <v>12</v>
      </c>
      <c r="G13" s="3" t="s">
        <v>13</v>
      </c>
      <c r="H13" s="7" t="str">
        <f>IFERROR(__xludf.DUMMYFUNCTION("SPLIT(A13,""Alameda"","""")"),"    das Palmeiras")</f>
        <v>    das Palmeiras</v>
      </c>
      <c r="J13" s="3" t="s">
        <v>54</v>
      </c>
      <c r="K13" s="8" t="str">
        <f>IFERROR(__xludf.DUMMYFUNCTION("SPLIT($J13,""   "","""")"),"-23.305539 -47.128993")</f>
        <v>-23.305539 -47.128993</v>
      </c>
      <c r="L13" s="7" t="str">
        <f>IFERROR(__xludf.DUMMYFUNCTION("""COMPUTED_VALUE"""),"Rua")</f>
        <v>Rua</v>
      </c>
      <c r="M13" s="7" t="str">
        <f>IFERROR(__xludf.DUMMYFUNCTION("""COMPUTED_VALUE""")," Victório Mori")</f>
        <v> Victório Mori</v>
      </c>
      <c r="N13" s="7" t="str">
        <f>IFERROR(__xludf.DUMMYFUNCTION("""COMPUTED_VALUE""")," Jardim Zicatti (Centro)")</f>
        <v> Jardim Zicatti (Centro)</v>
      </c>
      <c r="O13" s="7" t="str">
        <f>IFERROR(__xludf.DUMMYFUNCTION("""COMPUTED_VALUE""")," Cabreúva")</f>
        <v> Cabreúva</v>
      </c>
      <c r="P13" s="7" t="str">
        <f>IFERROR(__xludf.DUMMYFUNCTION("""COMPUTED_VALUE"""),"SP")</f>
        <v>SP</v>
      </c>
      <c r="Q13" s="7" t="str">
        <f>IFERROR(__xludf.DUMMYFUNCTION("""COMPUTED_VALUE""")," 13315-182 ")</f>
        <v> 13315-182 </v>
      </c>
      <c r="R13" s="9">
        <f>IFERROR(__xludf.DUMMYFUNCTION("SPLIT($K13,"" "","""")"),-2.3305539E7)</f>
        <v>-23305539</v>
      </c>
      <c r="S13" s="9">
        <f>IFERROR(__xludf.DUMMYFUNCTION("""COMPUTED_VALUE"""),-4.7128993E7)</f>
        <v>-47128993</v>
      </c>
      <c r="T13" s="10">
        <v>3508405.0</v>
      </c>
      <c r="U1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13315-182 ', 'PK-20686', SYSDATE, 0, 'PK-20686', SYSDATE, 'Rua  Victório Mori  Jardim Zicatti (Centro)', 'Rua Victório Mori Jardim Zicatti (Centro)', ' Jardim Zicatti (Centro)', 'Rua', '3508405', 'Rua Victório Mori Jardim Zicatti (Centro)',' Jardim Zicatti (Centro)', '1', 'SP', '1', '-23305539', '-47128993', ' Jardim Zicatti (Centro)' </v>
      </c>
    </row>
    <row r="14" ht="15.75" customHeight="1">
      <c r="A14" s="4" t="s">
        <v>55</v>
      </c>
      <c r="B14" s="5" t="s">
        <v>9</v>
      </c>
      <c r="C14" s="4" t="s">
        <v>10</v>
      </c>
      <c r="D14" s="5" t="s">
        <v>56</v>
      </c>
      <c r="E14" s="6">
        <v>214.0</v>
      </c>
      <c r="F14" s="6" t="s">
        <v>12</v>
      </c>
      <c r="G14" s="3" t="s">
        <v>13</v>
      </c>
      <c r="H14" s="7" t="str">
        <f>IFERROR(__xludf.DUMMYFUNCTION("SPLIT(A14,""Alameda"","""")"),"    das Quaresmeiras")</f>
        <v>    das Quaresmeiras</v>
      </c>
      <c r="J14" s="3" t="s">
        <v>57</v>
      </c>
      <c r="K14" s="8" t="str">
        <f>IFERROR(__xludf.DUMMYFUNCTION("SPLIT($J14,""   "","""")"),"-23.30104 -47.134764")</f>
        <v>-23.30104 -47.134764</v>
      </c>
      <c r="L14" s="7" t="str">
        <f>IFERROR(__xludf.DUMMYFUNCTION("""COMPUTED_VALUE"""),"Rua")</f>
        <v>Rua</v>
      </c>
      <c r="M14" s="7" t="str">
        <f>IFERROR(__xludf.DUMMYFUNCTION("""COMPUTED_VALUE""")," Sapucaia")</f>
        <v> Sapucaia</v>
      </c>
      <c r="N14" s="7" t="str">
        <f>IFERROR(__xludf.DUMMYFUNCTION("""COMPUTED_VALUE""")," Vale Verde (Centro)")</f>
        <v> Vale Verde (Centro)</v>
      </c>
      <c r="O14" s="7" t="str">
        <f>IFERROR(__xludf.DUMMYFUNCTION("""COMPUTED_VALUE""")," Cabreúva")</f>
        <v> Cabreúva</v>
      </c>
      <c r="P14" s="7" t="str">
        <f>IFERROR(__xludf.DUMMYFUNCTION("""COMPUTED_VALUE"""),"SP")</f>
        <v>SP</v>
      </c>
      <c r="Q14" s="7" t="str">
        <f>IFERROR(__xludf.DUMMYFUNCTION("""COMPUTED_VALUE""")," 13315-256 ")</f>
        <v> 13315-256 </v>
      </c>
      <c r="R14" s="9">
        <f>IFERROR(__xludf.DUMMYFUNCTION("SPLIT($K14,"" "","""")"),-2330104.0)</f>
        <v>-2330104</v>
      </c>
      <c r="S14" s="9">
        <f>IFERROR(__xludf.DUMMYFUNCTION("""COMPUTED_VALUE"""),-4.7134764E7)</f>
        <v>-47134764</v>
      </c>
      <c r="T14" s="10">
        <v>3508405.0</v>
      </c>
      <c r="U1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13315-256 ', 'PK-20686', SYSDATE, 0, 'PK-20686', SYSDATE, 'Rua  Sapucaia  Vale Verde (Centro)', 'Rua Sapucaia Vale Verde (Centro)', ' Vale Verde (Centro)', 'Rua', '3508405', 'Rua Sapucaia Vale Verde (Centro)',' Vale Verde (Centro)', '1', 'SP', '1', '-2330104', '-47134764', ' Vale Verde (Centro)' </v>
      </c>
    </row>
    <row r="15" ht="15.75" hidden="1" customHeight="1">
      <c r="A15" s="4" t="s">
        <v>58</v>
      </c>
      <c r="B15" s="5" t="s">
        <v>9</v>
      </c>
      <c r="C15" s="4" t="s">
        <v>10</v>
      </c>
      <c r="D15" s="5" t="s">
        <v>59</v>
      </c>
      <c r="E15" s="6">
        <v>214.0</v>
      </c>
      <c r="F15" s="6" t="s">
        <v>12</v>
      </c>
      <c r="G15" s="3" t="s">
        <v>13</v>
      </c>
      <c r="H15" s="7" t="str">
        <f>IFERROR(__xludf.DUMMYFUNCTION("SPLIT(A15,""Alameda"","""")"),"    das Sibipirunas")</f>
        <v>    das Sibipirunas</v>
      </c>
      <c r="J15" s="3" t="s">
        <v>60</v>
      </c>
      <c r="K15" s="8" t="str">
        <f>IFERROR(__xludf.DUMMYFUNCTION("SPLIT($J15,""   "","""")"),"-23.257909 -47.051612")</f>
        <v>-23.257909 -47.051612</v>
      </c>
      <c r="L15" s="7" t="str">
        <f>IFERROR(__xludf.DUMMYFUNCTION("""COMPUTED_VALUE"""),"Alameda")</f>
        <v>Alameda</v>
      </c>
      <c r="M15" s="7" t="str">
        <f>IFERROR(__xludf.DUMMYFUNCTION("""COMPUTED_VALUE""")," dos Pinheiros")</f>
        <v> dos Pinheiros</v>
      </c>
      <c r="N15" s="7" t="str">
        <f>IFERROR(__xludf.DUMMYFUNCTION("""COMPUTED_VALUE""")," Portal da Concórdia (Jacaré)")</f>
        <v> Portal da Concórdia (Jacaré)</v>
      </c>
      <c r="O15" s="7" t="str">
        <f>IFERROR(__xludf.DUMMYFUNCTION("""COMPUTED_VALUE""")," Cabreúva")</f>
        <v> Cabreúva</v>
      </c>
      <c r="P15" s="7" t="str">
        <f>IFERROR(__xludf.DUMMYFUNCTION("""COMPUTED_VALUE"""),"SP")</f>
        <v>SP</v>
      </c>
      <c r="Q15" s="7" t="str">
        <f>IFERROR(__xludf.DUMMYFUNCTION("""COMPUTED_VALUE""")," 13318-328 ")</f>
        <v> 13318-328 </v>
      </c>
      <c r="R15" s="9">
        <f>IFERROR(__xludf.DUMMYFUNCTION("SPLIT($K15,"" "","""")"),-2.3257909E7)</f>
        <v>-23257909</v>
      </c>
      <c r="S15" s="9">
        <f>IFERROR(__xludf.DUMMYFUNCTION("""COMPUTED_VALUE"""),-4.7051612E7)</f>
        <v>-47051612</v>
      </c>
      <c r="T15" s="10">
        <v>3508405.0</v>
      </c>
      <c r="U1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13318-328 ', 'PK-20686', SYSDATE, 0, 'PK-20686', SYSDATE, 'Alameda  dos Pinheiros  Portal da Concórdia (Jacaré)', 'Alameda dos Pinheiros Portal da Concórdia (Jacaré)', ' Portal da Concórdia (Jacaré)', 'Alameda', '3508405', 'Alameda dos Pinheiros Portal da Concórdia (Jacaré)',' Portal da Concórdia (Jacaré)', '1', 'SP', '1', '-23257909', '-47051612', ' Portal da Concórdia (Jacaré)' </v>
      </c>
    </row>
    <row r="16" ht="15.75" customHeight="1">
      <c r="A16" s="4" t="s">
        <v>61</v>
      </c>
      <c r="B16" s="5" t="s">
        <v>39</v>
      </c>
      <c r="C16" s="4" t="s">
        <v>10</v>
      </c>
      <c r="D16" s="5" t="s">
        <v>62</v>
      </c>
      <c r="E16" s="6">
        <v>214.0</v>
      </c>
      <c r="F16" s="6" t="s">
        <v>12</v>
      </c>
      <c r="G16" s="3" t="s">
        <v>13</v>
      </c>
      <c r="H16" s="7" t="str">
        <f>IFERROR(__xludf.DUMMYFUNCTION("SPLIT(A16,""Alameda"","""")"),"    Dois")</f>
        <v>    Dois</v>
      </c>
      <c r="J16" s="3" t="s">
        <v>63</v>
      </c>
      <c r="K16" s="8" t="str">
        <f>IFERROR(__xludf.DUMMYFUNCTION("SPLIT($J16,""   "","""")"),"-23.307366 -47.133678")</f>
        <v>-23.307366 -47.133678</v>
      </c>
      <c r="L16" s="7" t="str">
        <f>IFERROR(__xludf.DUMMYFUNCTION("""COMPUTED_VALUE"""),"Rua")</f>
        <v>Rua</v>
      </c>
      <c r="M16" s="7" t="str">
        <f>IFERROR(__xludf.DUMMYFUNCTION("""COMPUTED_VALUE""")," J")</f>
        <v> J</v>
      </c>
      <c r="N16" s="7" t="str">
        <f>IFERROR(__xludf.DUMMYFUNCTION("""COMPUTED_VALUE""")," Fazenda Sossego (São Francisco)")</f>
        <v> Fazenda Sossego (São Francisco)</v>
      </c>
      <c r="O16" s="7" t="str">
        <f>IFERROR(__xludf.DUMMYFUNCTION("""COMPUTED_VALUE""")," Cabreúva")</f>
        <v> Cabreúva</v>
      </c>
      <c r="P16" s="7" t="str">
        <f>IFERROR(__xludf.DUMMYFUNCTION("""COMPUTED_VALUE"""),"SP")</f>
        <v>SP</v>
      </c>
      <c r="Q16" s="7" t="str">
        <f>IFERROR(__xludf.DUMMYFUNCTION("""COMPUTED_VALUE""")," 13316-709 ")</f>
        <v> 13316-709 </v>
      </c>
      <c r="R16" s="9">
        <f>IFERROR(__xludf.DUMMYFUNCTION("SPLIT($K16,"" "","""")"),-2.3307366E7)</f>
        <v>-23307366</v>
      </c>
      <c r="S16" s="9">
        <f>IFERROR(__xludf.DUMMYFUNCTION("""COMPUTED_VALUE"""),-4.7133678E7)</f>
        <v>-47133678</v>
      </c>
      <c r="T16" s="10">
        <v>3508405.0</v>
      </c>
      <c r="U1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13316-709 ', 'PK-20686', SYSDATE, 0, 'PK-20686', SYSDATE, 'Rua  J  Fazenda Sossego (São Francisco)', 'Rua J Fazenda Sossego (São Francisco)', ' Fazenda Sossego (São Francisco)', 'Rua', '3508405', 'Rua J Fazenda Sossego (São Francisco)',' Fazenda Sossego (São Francisco)', '1', 'SP', '1', '-23307366', '-47133678', ' Fazenda Sossego (São Francisco)' </v>
      </c>
    </row>
    <row r="17" ht="15.75" customHeight="1">
      <c r="A17" s="4" t="s">
        <v>64</v>
      </c>
      <c r="B17" s="5" t="s">
        <v>9</v>
      </c>
      <c r="C17" s="4" t="s">
        <v>10</v>
      </c>
      <c r="D17" s="5" t="s">
        <v>65</v>
      </c>
      <c r="E17" s="6">
        <v>214.0</v>
      </c>
      <c r="F17" s="6" t="s">
        <v>12</v>
      </c>
      <c r="G17" s="3" t="s">
        <v>13</v>
      </c>
      <c r="H17" s="7" t="str">
        <f>IFERROR(__xludf.DUMMYFUNCTION("SPLIT(A17,""Alameda"","""")"),"    dos Acássias")</f>
        <v>    dos Acássias</v>
      </c>
      <c r="J17" s="3" t="s">
        <v>66</v>
      </c>
      <c r="K17" s="8" t="str">
        <f>IFERROR(__xludf.DUMMYFUNCTION("SPLIT($J17,""   "","""")"),"-23.251305 -47.060595")</f>
        <v>-23.251305 -47.060595</v>
      </c>
      <c r="L17" s="7" t="str">
        <f>IFERROR(__xludf.DUMMYFUNCTION("""COMPUTED_VALUE"""),"Rua")</f>
        <v>Rua</v>
      </c>
      <c r="M17" s="7" t="str">
        <f>IFERROR(__xludf.DUMMYFUNCTION("""COMPUTED_VALUE""")," Mato Grosso")</f>
        <v> Mato Grosso</v>
      </c>
      <c r="N17" s="7" t="str">
        <f>IFERROR(__xludf.DUMMYFUNCTION("""COMPUTED_VALUE""")," Jacaré")</f>
        <v> Jacaré</v>
      </c>
      <c r="O17" s="7" t="str">
        <f>IFERROR(__xludf.DUMMYFUNCTION("""COMPUTED_VALUE""")," Cabreúva")</f>
        <v> Cabreúva</v>
      </c>
      <c r="P17" s="7" t="str">
        <f>IFERROR(__xludf.DUMMYFUNCTION("""COMPUTED_VALUE"""),"SP")</f>
        <v>SP</v>
      </c>
      <c r="Q17" s="7" t="str">
        <f>IFERROR(__xludf.DUMMYFUNCTION("""COMPUTED_VALUE""")," 13318-082 ")</f>
        <v> 13318-082 </v>
      </c>
      <c r="R17" s="9">
        <f>IFERROR(__xludf.DUMMYFUNCTION("SPLIT($K17,"" "","""")"),-2.3251305E7)</f>
        <v>-23251305</v>
      </c>
      <c r="S17" s="9">
        <f>IFERROR(__xludf.DUMMYFUNCTION("""COMPUTED_VALUE"""),-4.7060595E7)</f>
        <v>-47060595</v>
      </c>
      <c r="T17" s="10">
        <v>3508405.0</v>
      </c>
      <c r="U1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13318-082 ', 'PK-20686', SYSDATE, 0, 'PK-20686', SYSDATE, 'Rua  Mato Grosso  Jacaré', 'Rua Mato Grosso Jacaré', ' Jacaré', 'Rua', '3508405', 'Rua Mato Grosso Jacaré',' Jacaré', '1', 'SP', '1', '-23251305', '-47060595', ' Jacaré' </v>
      </c>
    </row>
    <row r="18" ht="15.75" customHeight="1">
      <c r="A18" s="4" t="s">
        <v>67</v>
      </c>
      <c r="B18" s="5" t="s">
        <v>9</v>
      </c>
      <c r="C18" s="4" t="s">
        <v>10</v>
      </c>
      <c r="D18" s="5" t="s">
        <v>68</v>
      </c>
      <c r="E18" s="6">
        <v>214.0</v>
      </c>
      <c r="F18" s="6" t="s">
        <v>12</v>
      </c>
      <c r="G18" s="3" t="s">
        <v>13</v>
      </c>
      <c r="H18" s="7" t="str">
        <f>IFERROR(__xludf.DUMMYFUNCTION("SPLIT(A18,""Alameda"","""")"),"    dos Cedros")</f>
        <v>    dos Cedros</v>
      </c>
      <c r="J18" s="3" t="s">
        <v>69</v>
      </c>
      <c r="K18" s="8" t="str">
        <f>IFERROR(__xludf.DUMMYFUNCTION("SPLIT($J18,""   "","""")"),"-23.256615 -47.060394")</f>
        <v>-23.256615 -47.060394</v>
      </c>
      <c r="L18" s="7" t="str">
        <f>IFERROR(__xludf.DUMMYFUNCTION("""COMPUTED_VALUE"""),"Rua")</f>
        <v>Rua</v>
      </c>
      <c r="M18" s="7" t="str">
        <f>IFERROR(__xludf.DUMMYFUNCTION("""COMPUTED_VALUE""")," São João Del Rey")</f>
        <v> São João Del Rey</v>
      </c>
      <c r="N18" s="7" t="str">
        <f>IFERROR(__xludf.DUMMYFUNCTION("""COMPUTED_VALUE""")," Parque Santo Antônio (Jacaré)")</f>
        <v> Parque Santo Antônio (Jacaré)</v>
      </c>
      <c r="O18" s="7" t="str">
        <f>IFERROR(__xludf.DUMMYFUNCTION("""COMPUTED_VALUE""")," Cabreúva")</f>
        <v> Cabreúva</v>
      </c>
      <c r="P18" s="7" t="str">
        <f>IFERROR(__xludf.DUMMYFUNCTION("""COMPUTED_VALUE"""),"SP")</f>
        <v>SP</v>
      </c>
      <c r="Q18" s="7" t="str">
        <f>IFERROR(__xludf.DUMMYFUNCTION("""COMPUTED_VALUE""")," 13318-172 ")</f>
        <v> 13318-172 </v>
      </c>
      <c r="R18" s="9">
        <f>IFERROR(__xludf.DUMMYFUNCTION("SPLIT($K18,"" "","""")"),-2.3256615E7)</f>
        <v>-23256615</v>
      </c>
      <c r="S18" s="9">
        <f>IFERROR(__xludf.DUMMYFUNCTION("""COMPUTED_VALUE"""),-4.7060394E7)</f>
        <v>-47060394</v>
      </c>
      <c r="T18" s="10">
        <v>3508405.0</v>
      </c>
      <c r="U1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13318-172 ', 'PK-20686', SYSDATE, 0, 'PK-20686', SYSDATE, 'Rua  São João Del Rey  Parque Santo Antônio (Jacaré)', 'Rua São João Del Rey Parque Santo Antônio (Jacaré)', ' Parque Santo Antônio (Jacaré)', 'Rua', '3508405', 'Rua São João Del Rey Parque Santo Antônio (Jacaré)',' Parque Santo Antônio (Jacaré)', '1', 'SP', '1', '-23256615', '-47060394', ' Parque Santo Antônio (Jacaré)' </v>
      </c>
    </row>
    <row r="19" ht="15.75" customHeight="1">
      <c r="A19" s="4" t="s">
        <v>70</v>
      </c>
      <c r="B19" s="5" t="s">
        <v>9</v>
      </c>
      <c r="C19" s="4" t="s">
        <v>10</v>
      </c>
      <c r="D19" s="5" t="s">
        <v>71</v>
      </c>
      <c r="E19" s="6">
        <v>214.0</v>
      </c>
      <c r="F19" s="6" t="s">
        <v>12</v>
      </c>
      <c r="G19" s="3" t="s">
        <v>13</v>
      </c>
      <c r="H19" s="7" t="str">
        <f>IFERROR(__xludf.DUMMYFUNCTION("SPLIT(A19,""Alameda"","""")"),"    dos Ciprestes")</f>
        <v>    dos Ciprestes</v>
      </c>
      <c r="J19" s="3" t="s">
        <v>72</v>
      </c>
      <c r="K19" s="8" t="str">
        <f>IFERROR(__xludf.DUMMYFUNCTION("SPLIT($J19,""   "","""")"),"-23.252651 -47.055005")</f>
        <v>-23.252651 -47.055005</v>
      </c>
      <c r="L19" s="7" t="str">
        <f>IFERROR(__xludf.DUMMYFUNCTION("""COMPUTED_VALUE"""),"Rua")</f>
        <v>Rua</v>
      </c>
      <c r="M19" s="7" t="str">
        <f>IFERROR(__xludf.DUMMYFUNCTION("""COMPUTED_VALUE""")," Japi")</f>
        <v> Japi</v>
      </c>
      <c r="N19" s="7" t="str">
        <f>IFERROR(__xludf.DUMMYFUNCTION("""COMPUTED_VALUE""")," Jardim da Serra (Jacaré)")</f>
        <v> Jardim da Serra (Jacaré)</v>
      </c>
      <c r="O19" s="7" t="str">
        <f>IFERROR(__xludf.DUMMYFUNCTION("""COMPUTED_VALUE""")," Cabreúva")</f>
        <v> Cabreúva</v>
      </c>
      <c r="P19" s="7" t="str">
        <f>IFERROR(__xludf.DUMMYFUNCTION("""COMPUTED_VALUE"""),"SP")</f>
        <v>SP</v>
      </c>
      <c r="Q19" s="7" t="str">
        <f>IFERROR(__xludf.DUMMYFUNCTION("""COMPUTED_VALUE""")," 13318-134 ")</f>
        <v> 13318-134 </v>
      </c>
      <c r="R19" s="9">
        <f>IFERROR(__xludf.DUMMYFUNCTION("SPLIT($K19,"" "","""")"),-2.3252651E7)</f>
        <v>-23252651</v>
      </c>
      <c r="S19" s="9">
        <f>IFERROR(__xludf.DUMMYFUNCTION("""COMPUTED_VALUE"""),-4.7055005E7)</f>
        <v>-47055005</v>
      </c>
      <c r="T19" s="10">
        <v>3508405.0</v>
      </c>
      <c r="U1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13318-134 ', 'PK-20686', SYSDATE, 0, 'PK-20686', SYSDATE, 'Rua  Japi  Jardim da Serra (Jacaré)', 'Rua Japi Jardim da Serra (Jacaré)', ' Jardim da Serra (Jacaré)', 'Rua', '3508405', 'Rua Japi Jardim da Serra (Jacaré)',' Jardim da Serra (Jacaré)', '1', 'SP', '1', '-23252651', '-47055005', ' Jardim da Serra (Jacaré)' </v>
      </c>
    </row>
    <row r="20" ht="15.75" customHeight="1">
      <c r="A20" s="4" t="s">
        <v>73</v>
      </c>
      <c r="B20" s="5" t="s">
        <v>9</v>
      </c>
      <c r="C20" s="4" t="s">
        <v>10</v>
      </c>
      <c r="D20" s="5" t="s">
        <v>74</v>
      </c>
      <c r="E20" s="6">
        <v>214.0</v>
      </c>
      <c r="F20" s="6" t="s">
        <v>12</v>
      </c>
      <c r="G20" s="3" t="s">
        <v>13</v>
      </c>
      <c r="H20" s="7" t="str">
        <f>IFERROR(__xludf.DUMMYFUNCTION("SPLIT(A20,""Alameda"","""")"),"    dos Coqueiros")</f>
        <v>    dos Coqueiros</v>
      </c>
      <c r="J20" s="3" t="s">
        <v>75</v>
      </c>
      <c r="K20" s="8" t="str">
        <f>IFERROR(__xludf.DUMMYFUNCTION("SPLIT($J20,""   "","""")"),"-23.301505 -47.13546")</f>
        <v>-23.301505 -47.13546</v>
      </c>
      <c r="L20" s="7" t="str">
        <f>IFERROR(__xludf.DUMMYFUNCTION("""COMPUTED_VALUE"""),"Rua")</f>
        <v>Rua</v>
      </c>
      <c r="M20" s="7" t="str">
        <f>IFERROR(__xludf.DUMMYFUNCTION("""COMPUTED_VALUE""")," dos Coqueiros")</f>
        <v> dos Coqueiros</v>
      </c>
      <c r="N20" s="7" t="str">
        <f>IFERROR(__xludf.DUMMYFUNCTION("""COMPUTED_VALUE""")," Vale Verde (Centro)")</f>
        <v> Vale Verde (Centro)</v>
      </c>
      <c r="O20" s="7" t="str">
        <f>IFERROR(__xludf.DUMMYFUNCTION("""COMPUTED_VALUE""")," Cabreúva")</f>
        <v> Cabreúva</v>
      </c>
      <c r="P20" s="7" t="str">
        <f>IFERROR(__xludf.DUMMYFUNCTION("""COMPUTED_VALUE"""),"SP")</f>
        <v>SP</v>
      </c>
      <c r="Q20" s="7" t="str">
        <f>IFERROR(__xludf.DUMMYFUNCTION("""COMPUTED_VALUE""")," 13315-254 ")</f>
        <v> 13315-254 </v>
      </c>
      <c r="R20" s="9">
        <f>IFERROR(__xludf.DUMMYFUNCTION("SPLIT($K20,"" "","""")"),-2.3301505E7)</f>
        <v>-23301505</v>
      </c>
      <c r="S20" s="9">
        <f>IFERROR(__xludf.DUMMYFUNCTION("""COMPUTED_VALUE"""),-4713546.0)</f>
        <v>-4713546</v>
      </c>
      <c r="T20" s="10">
        <v>3508405.0</v>
      </c>
      <c r="U2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13315-254 ', 'PK-20686', SYSDATE, 0, 'PK-20686', SYSDATE, 'Rua  dos Coqueiros  Vale Verde (Centro)', 'Rua dos Coqueiros Vale Verde (Centro)', ' Vale Verde (Centro)', 'Rua', '3508405', 'Rua dos Coqueiros Vale Verde (Centro)',' Vale Verde (Centro)', '1', 'SP', '1', '-23301505', '-4713546', ' Vale Verde (Centro)' </v>
      </c>
    </row>
    <row r="21" ht="15.75" customHeight="1">
      <c r="A21" s="4" t="s">
        <v>76</v>
      </c>
      <c r="B21" s="5" t="s">
        <v>9</v>
      </c>
      <c r="C21" s="4" t="s">
        <v>10</v>
      </c>
      <c r="D21" s="5" t="s">
        <v>77</v>
      </c>
      <c r="E21" s="6">
        <v>214.0</v>
      </c>
      <c r="F21" s="6" t="s">
        <v>12</v>
      </c>
      <c r="G21" s="3" t="s">
        <v>13</v>
      </c>
      <c r="H21" s="7" t="str">
        <f>IFERROR(__xludf.DUMMYFUNCTION("SPLIT(A21,""Alameda"","""")"),"    dos Eucalyptus")</f>
        <v>    dos Eucalyptus</v>
      </c>
      <c r="J21" s="3" t="s">
        <v>78</v>
      </c>
      <c r="K21" s="8" t="str">
        <f>IFERROR(__xludf.DUMMYFUNCTION("SPLIT($J21,""   "","""")"),"-23.251473 -47.062634")</f>
        <v>-23.251473 -47.062634</v>
      </c>
      <c r="L21" s="7" t="str">
        <f>IFERROR(__xludf.DUMMYFUNCTION("""COMPUTED_VALUE"""),"Rua")</f>
        <v>Rua</v>
      </c>
      <c r="M21" s="7" t="str">
        <f>IFERROR(__xludf.DUMMYFUNCTION("""COMPUTED_VALUE""")," Rio Grande do Sul")</f>
        <v> Rio Grande do Sul</v>
      </c>
      <c r="N21" s="7" t="str">
        <f>IFERROR(__xludf.DUMMYFUNCTION("""COMPUTED_VALUE""")," Jacaré")</f>
        <v> Jacaré</v>
      </c>
      <c r="O21" s="7" t="str">
        <f>IFERROR(__xludf.DUMMYFUNCTION("""COMPUTED_VALUE""")," Cabreúva")</f>
        <v> Cabreúva</v>
      </c>
      <c r="P21" s="7" t="str">
        <f>IFERROR(__xludf.DUMMYFUNCTION("""COMPUTED_VALUE"""),"SP")</f>
        <v>SP</v>
      </c>
      <c r="Q21" s="7" t="str">
        <f>IFERROR(__xludf.DUMMYFUNCTION("""COMPUTED_VALUE""")," 13318-048 ")</f>
        <v> 13318-048 </v>
      </c>
      <c r="R21" s="9">
        <f>IFERROR(__xludf.DUMMYFUNCTION("SPLIT($K21,"" "","""")"),-2.3251473E7)</f>
        <v>-23251473</v>
      </c>
      <c r="S21" s="9">
        <f>IFERROR(__xludf.DUMMYFUNCTION("""COMPUTED_VALUE"""),-4.7062634E7)</f>
        <v>-47062634</v>
      </c>
      <c r="T21" s="10">
        <v>3508405.0</v>
      </c>
      <c r="U2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13318-048 ', 'PK-20686', SYSDATE, 0, 'PK-20686', SYSDATE, 'Rua  Rio Grande do Sul  Jacaré', 'Rua Rio Grande do Sul Jacaré', ' Jacaré', 'Rua', '3508405', 'Rua Rio Grande do Sul Jacaré',' Jacaré', '1', 'SP', '1', '-23251473', '-47062634', ' Jacaré' </v>
      </c>
    </row>
    <row r="22" ht="15.75" hidden="1" customHeight="1">
      <c r="A22" s="4" t="s">
        <v>79</v>
      </c>
      <c r="B22" s="5" t="s">
        <v>9</v>
      </c>
      <c r="C22" s="4" t="s">
        <v>10</v>
      </c>
      <c r="D22" s="5" t="s">
        <v>80</v>
      </c>
      <c r="E22" s="6">
        <v>214.0</v>
      </c>
      <c r="F22" s="6" t="s">
        <v>12</v>
      </c>
      <c r="G22" s="3" t="s">
        <v>13</v>
      </c>
      <c r="H22" s="7" t="str">
        <f>IFERROR(__xludf.DUMMYFUNCTION("SPLIT(A22,""Alameda"","""")"),"    dos Jacarandás")</f>
        <v>    dos Jacarandás</v>
      </c>
      <c r="J22" s="3" t="s">
        <v>81</v>
      </c>
      <c r="K22" s="8" t="str">
        <f>IFERROR(__xludf.DUMMYFUNCTION("SPLIT($J22,""   "","""")"),"-23.307366 -47.133678")</f>
        <v>-23.307366 -47.133678</v>
      </c>
      <c r="L22" s="7" t="str">
        <f>IFERROR(__xludf.DUMMYFUNCTION("""COMPUTED_VALUE"""),"Estrada")</f>
        <v>Estrada</v>
      </c>
      <c r="M22" s="7" t="str">
        <f>IFERROR(__xludf.DUMMYFUNCTION("""COMPUTED_VALUE""")," Particular")</f>
        <v> Particular</v>
      </c>
      <c r="N22" s="7" t="str">
        <f>IFERROR(__xludf.DUMMYFUNCTION("""COMPUTED_VALUE""")," Guaxatuba")</f>
        <v> Guaxatuba</v>
      </c>
      <c r="O22" s="7" t="str">
        <f>IFERROR(__xludf.DUMMYFUNCTION("""COMPUTED_VALUE""")," Cabreúva")</f>
        <v> Cabreúva</v>
      </c>
      <c r="P22" s="7" t="str">
        <f>IFERROR(__xludf.DUMMYFUNCTION("""COMPUTED_VALUE"""),"SP")</f>
        <v>SP</v>
      </c>
      <c r="Q22" s="7" t="str">
        <f>IFERROR(__xludf.DUMMYFUNCTION("""COMPUTED_VALUE""")," 13316-504 ")</f>
        <v> 13316-504 </v>
      </c>
      <c r="R22" s="9">
        <f>IFERROR(__xludf.DUMMYFUNCTION("SPLIT($K22,"" "","""")"),-2.3307366E7)</f>
        <v>-23307366</v>
      </c>
      <c r="S22" s="9">
        <f>IFERROR(__xludf.DUMMYFUNCTION("""COMPUTED_VALUE"""),-4.7133678E7)</f>
        <v>-47133678</v>
      </c>
      <c r="T22" s="10">
        <v>3508405.0</v>
      </c>
      <c r="U2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13316-504 ', 'PK-20686', SYSDATE, 0, 'PK-20686', SYSDATE, 'Estrada  Particular  Guaxatuba', 'Estrada Particular Guaxatuba', ' Guaxatuba', 'Estrada', '3508405', 'Estrada Particular Guaxatuba',' Guaxatuba', '1', 'SP', '1', '-23307366', '-47133678', ' Guaxatuba' </v>
      </c>
    </row>
    <row r="23" ht="15.75" customHeight="1">
      <c r="A23" s="4" t="s">
        <v>82</v>
      </c>
      <c r="B23" s="5" t="s">
        <v>9</v>
      </c>
      <c r="C23" s="4" t="s">
        <v>10</v>
      </c>
      <c r="D23" s="5" t="s">
        <v>83</v>
      </c>
      <c r="E23" s="6">
        <v>214.0</v>
      </c>
      <c r="F23" s="6" t="s">
        <v>12</v>
      </c>
      <c r="G23" s="3" t="s">
        <v>13</v>
      </c>
      <c r="H23" s="7" t="str">
        <f>IFERROR(__xludf.DUMMYFUNCTION("SPLIT(A23,""Alameda"","""")"),"    dos Pinheiros")</f>
        <v>    dos Pinheiros</v>
      </c>
      <c r="J23" s="3" t="s">
        <v>84</v>
      </c>
      <c r="K23" s="8" t="str">
        <f>IFERROR(__xludf.DUMMYFUNCTION("SPLIT($J23,""   "","""")"),"-23.307366 -47.133678")</f>
        <v>-23.307366 -47.133678</v>
      </c>
      <c r="L23" s="7" t="str">
        <f>IFERROR(__xludf.DUMMYFUNCTION("""COMPUTED_VALUE"""),"Rua")</f>
        <v>Rua</v>
      </c>
      <c r="M23" s="7" t="str">
        <f>IFERROR(__xludf.DUMMYFUNCTION("""COMPUTED_VALUE""")," Tunísia")</f>
        <v> Tunísia</v>
      </c>
      <c r="N23" s="7" t="str">
        <f>IFERROR(__xludf.DUMMYFUNCTION("""COMPUTED_VALUE""")," Jardim Residencial Bela Vista (Vilarejo)")</f>
        <v> Jardim Residencial Bela Vista (Vilarejo)</v>
      </c>
      <c r="O23" s="7" t="str">
        <f>IFERROR(__xludf.DUMMYFUNCTION("""COMPUTED_VALUE""")," Cabreúva")</f>
        <v> Cabreúva</v>
      </c>
      <c r="P23" s="7" t="str">
        <f>IFERROR(__xludf.DUMMYFUNCTION("""COMPUTED_VALUE"""),"SP")</f>
        <v>SP</v>
      </c>
      <c r="Q23" s="7" t="str">
        <f>IFERROR(__xludf.DUMMYFUNCTION("""COMPUTED_VALUE""")," 13317-734 ")</f>
        <v> 13317-734 </v>
      </c>
      <c r="R23" s="9">
        <f>IFERROR(__xludf.DUMMYFUNCTION("SPLIT($K23,"" "","""")"),-2.3307366E7)</f>
        <v>-23307366</v>
      </c>
      <c r="S23" s="9">
        <f>IFERROR(__xludf.DUMMYFUNCTION("""COMPUTED_VALUE"""),-4.7133678E7)</f>
        <v>-47133678</v>
      </c>
      <c r="T23" s="10">
        <v>3508405.0</v>
      </c>
      <c r="U2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13317-734 ', 'PK-20686', SYSDATE, 0, 'PK-20686', SYSDATE, 'Rua  Tunísia  Jardim Residencial Bela Vista (Vilarejo)', 'Rua Tunísia Jardim Residencial Bela Vista (Vilarejo)', ' Jardim Residencial Bela Vista (Vilarejo)', 'Rua', '3508405', 'Rua Tunísia Jardim Residencial Bela Vista (Vilarejo)',' Jardim Residencial Bela Vista (Vilarejo)', '1', 'SP', '1', '-23307366', '-47133678', ' Jardim Residencial Bela Vista (Vilarejo)' </v>
      </c>
    </row>
    <row r="24" ht="15.75" customHeight="1">
      <c r="A24" s="4" t="s">
        <v>85</v>
      </c>
      <c r="B24" s="5" t="s">
        <v>46</v>
      </c>
      <c r="C24" s="4" t="s">
        <v>10</v>
      </c>
      <c r="D24" s="5" t="s">
        <v>86</v>
      </c>
      <c r="E24" s="6">
        <v>214.0</v>
      </c>
      <c r="F24" s="6" t="s">
        <v>12</v>
      </c>
      <c r="G24" s="3" t="s">
        <v>13</v>
      </c>
      <c r="H24" s="7" t="str">
        <f>IFERROR(__xludf.DUMMYFUNCTION("SPLIT(A24,""Alameda"","""")"),"    dos Sabiás")</f>
        <v>    dos Sabiás</v>
      </c>
      <c r="J24" s="3" t="s">
        <v>87</v>
      </c>
      <c r="K24" s="8" t="str">
        <f>IFERROR(__xludf.DUMMYFUNCTION("SPLIT($J24,""   "","""")"),"-23.266813 -47.061593")</f>
        <v>-23.266813 -47.061593</v>
      </c>
      <c r="L24" s="7" t="str">
        <f>IFERROR(__xludf.DUMMYFUNCTION("""COMPUTED_VALUE"""),"Rua")</f>
        <v>Rua</v>
      </c>
      <c r="M24" s="7" t="str">
        <f>IFERROR(__xludf.DUMMYFUNCTION("""COMPUTED_VALUE""")," Mônaco")</f>
        <v> Mônaco</v>
      </c>
      <c r="N24" s="7" t="str">
        <f>IFERROR(__xludf.DUMMYFUNCTION("""COMPUTED_VALUE""")," Villarejo Sopé da Serra (Vilarejo)")</f>
        <v> Villarejo Sopé da Serra (Vilarejo)</v>
      </c>
      <c r="O24" s="7" t="str">
        <f>IFERROR(__xludf.DUMMYFUNCTION("""COMPUTED_VALUE""")," Cabreúva")</f>
        <v> Cabreúva</v>
      </c>
      <c r="P24" s="7" t="str">
        <f>IFERROR(__xludf.DUMMYFUNCTION("""COMPUTED_VALUE"""),"SP")</f>
        <v>SP</v>
      </c>
      <c r="Q24" s="7" t="str">
        <f>IFERROR(__xludf.DUMMYFUNCTION("""COMPUTED_VALUE""")," 13317-636 ")</f>
        <v> 13317-636 </v>
      </c>
      <c r="R24" s="9">
        <f>IFERROR(__xludf.DUMMYFUNCTION("SPLIT($K24,"" "","""")"),-2.3266813E7)</f>
        <v>-23266813</v>
      </c>
      <c r="S24" s="9">
        <f>IFERROR(__xludf.DUMMYFUNCTION("""COMPUTED_VALUE"""),-4.7061593E7)</f>
        <v>-47061593</v>
      </c>
      <c r="T24" s="10">
        <v>3508405.0</v>
      </c>
      <c r="U2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13317-636 ', 'PK-20686', SYSDATE, 0, 'PK-20686', SYSDATE, 'Rua  Mônaco  Villarejo Sopé da Serra (Vilarejo)', 'Rua Mônaco Villarejo Sopé da Serra (Vilarejo)', ' Villarejo Sopé da Serra (Vilarejo)', 'Rua', '3508405', 'Rua Mônaco Villarejo Sopé da Serra (Vilarejo)',' Villarejo Sopé da Serra (Vilarejo)', '1', 'SP', '1', '-23266813', '-47061593', ' Villarejo Sopé da Serra (Vilarejo)' </v>
      </c>
    </row>
    <row r="25" ht="15.75" customHeight="1">
      <c r="A25" s="4" t="s">
        <v>88</v>
      </c>
      <c r="B25" s="5" t="s">
        <v>46</v>
      </c>
      <c r="C25" s="4" t="s">
        <v>10</v>
      </c>
      <c r="D25" s="5" t="s">
        <v>89</v>
      </c>
      <c r="E25" s="6">
        <v>214.0</v>
      </c>
      <c r="F25" s="6" t="s">
        <v>12</v>
      </c>
      <c r="G25" s="3" t="s">
        <v>13</v>
      </c>
      <c r="H25" s="7" t="str">
        <f>IFERROR(__xludf.DUMMYFUNCTION("SPLIT(A25,""Alameda"","""")"),"    dos Tucanos")</f>
        <v>    dos Tucanos</v>
      </c>
      <c r="J25" s="3" t="s">
        <v>90</v>
      </c>
      <c r="K25" s="8" t="str">
        <f>IFERROR(__xludf.DUMMYFUNCTION("SPLIT($J25,""   "","""")"),"-23.097247 -47.714462")</f>
        <v>-23.097247 -47.714462</v>
      </c>
      <c r="L25" s="7" t="str">
        <f>IFERROR(__xludf.DUMMYFUNCTION("""COMPUTED_VALUE"""),"Rua")</f>
        <v>Rua</v>
      </c>
      <c r="M25" s="7" t="str">
        <f>IFERROR(__xludf.DUMMYFUNCTION("""COMPUTED_VALUE""")," Seis")</f>
        <v> Seis</v>
      </c>
      <c r="N25" s="7" t="str">
        <f>IFERROR(__xludf.DUMMYFUNCTION("""COMPUTED_VALUE""")," Alpes do Tietê")</f>
        <v> Alpes do Tietê</v>
      </c>
      <c r="O25" s="7" t="str">
        <f>IFERROR(__xludf.DUMMYFUNCTION("""COMPUTED_VALUE""")," Cabreúva")</f>
        <v> Cabreúva</v>
      </c>
      <c r="P25" s="7" t="str">
        <f>IFERROR(__xludf.DUMMYFUNCTION("""COMPUTED_VALUE"""),"SP")</f>
        <v>SP</v>
      </c>
      <c r="Q25" s="7" t="str">
        <f>IFERROR(__xludf.DUMMYFUNCTION("""COMPUTED_VALUE""")," 13316-605 ")</f>
        <v> 13316-605 </v>
      </c>
      <c r="R25" s="9">
        <f>IFERROR(__xludf.DUMMYFUNCTION("SPLIT($K25,"" "","""")"),-2.3097247E7)</f>
        <v>-23097247</v>
      </c>
      <c r="S25" s="9">
        <f>IFERROR(__xludf.DUMMYFUNCTION("""COMPUTED_VALUE"""),-4.7714462E7)</f>
        <v>-47714462</v>
      </c>
      <c r="T25" s="10">
        <v>3508405.0</v>
      </c>
      <c r="U2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13316-605 ', 'PK-20686', SYSDATE, 0, 'PK-20686', SYSDATE, 'Rua  Seis  Alpes do Tietê', 'Rua Seis Alpes do Tietê', ' Alpes do Tietê', 'Rua', '3508405', 'Rua Seis Alpes do Tietê',' Alpes do Tietê', '1', 'SP', '1', '-23097247', '-47714462', ' Alpes do Tietê' </v>
      </c>
    </row>
    <row r="26" ht="15.75" customHeight="1">
      <c r="A26" s="4" t="s">
        <v>91</v>
      </c>
      <c r="B26" s="5" t="s">
        <v>35</v>
      </c>
      <c r="C26" s="4" t="s">
        <v>10</v>
      </c>
      <c r="D26" s="5" t="s">
        <v>92</v>
      </c>
      <c r="E26" s="6">
        <v>214.0</v>
      </c>
      <c r="F26" s="6" t="s">
        <v>12</v>
      </c>
      <c r="G26" s="3" t="s">
        <v>13</v>
      </c>
      <c r="H26" s="7" t="str">
        <f>IFERROR(__xludf.DUMMYFUNCTION("SPLIT(A26,""Alameda"","""")"),"    Morfantaine")</f>
        <v>    Morfantaine</v>
      </c>
      <c r="J26" s="3" t="s">
        <v>93</v>
      </c>
      <c r="K26" s="8" t="str">
        <f>IFERROR(__xludf.DUMMYFUNCTION("SPLIT($J26,""   "","""")"),"-23.253074 -47.088722")</f>
        <v>-23.253074 -47.088722</v>
      </c>
      <c r="L26" s="7" t="str">
        <f>IFERROR(__xludf.DUMMYFUNCTION("""COMPUTED_VALUE"""),"Rua")</f>
        <v>Rua</v>
      </c>
      <c r="M26" s="7" t="str">
        <f>IFERROR(__xludf.DUMMYFUNCTION("""COMPUTED_VALUE""")," das Orquídeas")</f>
        <v> das Orquídeas</v>
      </c>
      <c r="N26" s="7" t="str">
        <f>IFERROR(__xludf.DUMMYFUNCTION("""COMPUTED_VALUE""")," Pinhal Mirim (Pinhal)")</f>
        <v> Pinhal Mirim (Pinhal)</v>
      </c>
      <c r="O26" s="7" t="str">
        <f>IFERROR(__xludf.DUMMYFUNCTION("""COMPUTED_VALUE""")," Cabreúva")</f>
        <v> Cabreúva</v>
      </c>
      <c r="P26" s="7" t="str">
        <f>IFERROR(__xludf.DUMMYFUNCTION("""COMPUTED_VALUE"""),"SP")</f>
        <v>SP</v>
      </c>
      <c r="Q26" s="7" t="str">
        <f>IFERROR(__xludf.DUMMYFUNCTION("""COMPUTED_VALUE""")," 13317-278 ")</f>
        <v> 13317-278 </v>
      </c>
      <c r="R26" s="9">
        <f>IFERROR(__xludf.DUMMYFUNCTION("SPLIT($K26,"" "","""")"),-2.3253074E7)</f>
        <v>-23253074</v>
      </c>
      <c r="S26" s="9">
        <f>IFERROR(__xludf.DUMMYFUNCTION("""COMPUTED_VALUE"""),-4.7088722E7)</f>
        <v>-47088722</v>
      </c>
      <c r="T26" s="10">
        <v>3508405.0</v>
      </c>
      <c r="U2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13317-278 ', 'PK-20686', SYSDATE, 0, 'PK-20686', SYSDATE, 'Rua  das Orquídeas  Pinhal Mirim (Pinhal)', 'Rua das Orquídeas Pinhal Mirim (Pinhal)', ' Pinhal Mirim (Pinhal)', 'Rua', '3508405', 'Rua das Orquídeas Pinhal Mirim (Pinhal)',' Pinhal Mirim (Pinhal)', '1', 'SP', '1', '-23253074', '-47088722', ' Pinhal Mirim (Pinhal)' </v>
      </c>
    </row>
    <row r="27" ht="15.75" customHeight="1">
      <c r="A27" s="4" t="s">
        <v>94</v>
      </c>
      <c r="B27" s="5" t="s">
        <v>35</v>
      </c>
      <c r="C27" s="4" t="s">
        <v>10</v>
      </c>
      <c r="D27" s="5" t="s">
        <v>95</v>
      </c>
      <c r="E27" s="6">
        <v>214.0</v>
      </c>
      <c r="F27" s="6" t="s">
        <v>12</v>
      </c>
      <c r="G27" s="3" t="s">
        <v>13</v>
      </c>
      <c r="H27" s="7" t="str">
        <f>IFERROR(__xludf.DUMMYFUNCTION("SPLIT(A27,""Alameda"","""")"),"    Saint George's")</f>
        <v>    Saint George's</v>
      </c>
      <c r="J27" s="3" t="s">
        <v>96</v>
      </c>
      <c r="K27" s="8" t="str">
        <f>IFERROR(__xludf.DUMMYFUNCTION("SPLIT($J27,""   "","""")"),"-23.250212 -47.056133")</f>
        <v>-23.250212 -47.056133</v>
      </c>
      <c r="L27" s="7" t="str">
        <f>IFERROR(__xludf.DUMMYFUNCTION("""COMPUTED_VALUE"""),"Rua")</f>
        <v>Rua</v>
      </c>
      <c r="M27" s="7" t="str">
        <f>IFERROR(__xludf.DUMMYFUNCTION("""COMPUTED_VALUE""")," Maranhão")</f>
        <v> Maranhão</v>
      </c>
      <c r="N27" s="7" t="str">
        <f>IFERROR(__xludf.DUMMYFUNCTION("""COMPUTED_VALUE""")," Jacaré")</f>
        <v> Jacaré</v>
      </c>
      <c r="O27" s="7" t="str">
        <f>IFERROR(__xludf.DUMMYFUNCTION("""COMPUTED_VALUE""")," Cabreúva")</f>
        <v> Cabreúva</v>
      </c>
      <c r="P27" s="7" t="str">
        <f>IFERROR(__xludf.DUMMYFUNCTION("""COMPUTED_VALUE"""),"SP")</f>
        <v>SP</v>
      </c>
      <c r="Q27" s="7" t="str">
        <f>IFERROR(__xludf.DUMMYFUNCTION("""COMPUTED_VALUE""")," 13318-122 ")</f>
        <v> 13318-122 </v>
      </c>
      <c r="R27" s="9">
        <f>IFERROR(__xludf.DUMMYFUNCTION("SPLIT($K27,"" "","""")"),-2.3250212E7)</f>
        <v>-23250212</v>
      </c>
      <c r="S27" s="9">
        <f>IFERROR(__xludf.DUMMYFUNCTION("""COMPUTED_VALUE"""),-4.7056133E7)</f>
        <v>-47056133</v>
      </c>
      <c r="T27" s="10">
        <v>3508405.0</v>
      </c>
      <c r="U2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13318-122 ', 'PK-20686', SYSDATE, 0, 'PK-20686', SYSDATE, 'Rua  Maranhão  Jacaré', 'Rua Maranhão Jacaré', ' Jacaré', 'Rua', '3508405', 'Rua Maranhão Jacaré',' Jacaré', '1', 'SP', '1', '-23250212', '-47056133', ' Jacaré' </v>
      </c>
    </row>
    <row r="28" ht="15.75" customHeight="1">
      <c r="A28" s="4" t="s">
        <v>97</v>
      </c>
      <c r="B28" s="5" t="s">
        <v>35</v>
      </c>
      <c r="C28" s="4" t="s">
        <v>10</v>
      </c>
      <c r="D28" s="5" t="s">
        <v>98</v>
      </c>
      <c r="E28" s="6">
        <v>214.0</v>
      </c>
      <c r="F28" s="6" t="s">
        <v>12</v>
      </c>
      <c r="G28" s="3" t="s">
        <v>13</v>
      </c>
      <c r="H28" s="7" t="str">
        <f>IFERROR(__xludf.DUMMYFUNCTION("SPLIT(A28,""Alameda"","""")"),"    San Isidro")</f>
        <v>    San Isidro</v>
      </c>
      <c r="J28" s="3" t="s">
        <v>99</v>
      </c>
      <c r="K28" s="8" t="str">
        <f>IFERROR(__xludf.DUMMYFUNCTION("SPLIT($J28,""   "","""")"),"-23.253074 -47.088722")</f>
        <v>-23.253074 -47.088722</v>
      </c>
      <c r="L28" s="7" t="str">
        <f>IFERROR(__xludf.DUMMYFUNCTION("""COMPUTED_VALUE"""),"Rua")</f>
        <v>Rua</v>
      </c>
      <c r="M28" s="7" t="str">
        <f>IFERROR(__xludf.DUMMYFUNCTION("""COMPUTED_VALUE""")," Alecrim")</f>
        <v> Alecrim</v>
      </c>
      <c r="N28" s="7" t="str">
        <f>IFERROR(__xludf.DUMMYFUNCTION("""COMPUTED_VALUE""")," Jardim das Paineiras (Pinhal)")</f>
        <v> Jardim das Paineiras (Pinhal)</v>
      </c>
      <c r="O28" s="7" t="str">
        <f>IFERROR(__xludf.DUMMYFUNCTION("""COMPUTED_VALUE""")," Cabreúva")</f>
        <v> Cabreúva</v>
      </c>
      <c r="P28" s="7" t="str">
        <f>IFERROR(__xludf.DUMMYFUNCTION("""COMPUTED_VALUE"""),"SP")</f>
        <v>SP</v>
      </c>
      <c r="Q28" s="7" t="str">
        <f>IFERROR(__xludf.DUMMYFUNCTION("""COMPUTED_VALUE""")," 13317-224 ")</f>
        <v> 13317-224 </v>
      </c>
      <c r="R28" s="9">
        <f>IFERROR(__xludf.DUMMYFUNCTION("SPLIT($K28,"" "","""")"),-2.3253074E7)</f>
        <v>-23253074</v>
      </c>
      <c r="S28" s="9">
        <f>IFERROR(__xludf.DUMMYFUNCTION("""COMPUTED_VALUE"""),-4.7088722E7)</f>
        <v>-47088722</v>
      </c>
      <c r="T28" s="10">
        <v>3508405.0</v>
      </c>
      <c r="U2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13317-224 ', 'PK-20686', SYSDATE, 0, 'PK-20686', SYSDATE, 'Rua  Alecrim  Jardim das Paineiras (Pinhal)', 'Rua Alecrim Jardim das Paineiras (Pinhal)', ' Jardim das Paineiras (Pinhal)', 'Rua', '3508405', 'Rua Alecrim Jardim das Paineiras (Pinhal)',' Jardim das Paineiras (Pinhal)', '1', 'SP', '1', '-23253074', '-47088722', ' Jardim das Paineiras (Pinhal)' </v>
      </c>
    </row>
    <row r="29" ht="15.75" hidden="1" customHeight="1">
      <c r="A29" s="4" t="s">
        <v>100</v>
      </c>
      <c r="B29" s="5" t="s">
        <v>35</v>
      </c>
      <c r="C29" s="4" t="s">
        <v>10</v>
      </c>
      <c r="D29" s="5" t="s">
        <v>101</v>
      </c>
      <c r="E29" s="6">
        <v>214.0</v>
      </c>
      <c r="F29" s="6" t="s">
        <v>12</v>
      </c>
      <c r="G29" s="3" t="s">
        <v>13</v>
      </c>
      <c r="H29" s="7" t="str">
        <f>IFERROR(__xludf.DUMMYFUNCTION("SPLIT(A29,""Alameda"","""")"),"    São Paulo Golf")</f>
        <v>    São Paulo Golf</v>
      </c>
      <c r="J29" s="3" t="s">
        <v>102</v>
      </c>
      <c r="K29" s="8" t="str">
        <f>IFERROR(__xludf.DUMMYFUNCTION("SPLIT($J29,""   "","""")"),"-23.254382 -47.04751")</f>
        <v>-23.254382 -47.04751</v>
      </c>
      <c r="L29" s="7" t="str">
        <f>IFERROR(__xludf.DUMMYFUNCTION("""COMPUTED_VALUE"""),"Alameda")</f>
        <v>Alameda</v>
      </c>
      <c r="M29" s="7" t="str">
        <f>IFERROR(__xludf.DUMMYFUNCTION("""COMPUTED_VALUE""")," dos Eucalyptus")</f>
        <v> dos Eucalyptus</v>
      </c>
      <c r="N29" s="7" t="str">
        <f>IFERROR(__xludf.DUMMYFUNCTION("""COMPUTED_VALUE""")," Portal da Concórdia (Jacaré)")</f>
        <v> Portal da Concórdia (Jacaré)</v>
      </c>
      <c r="O29" s="7" t="str">
        <f>IFERROR(__xludf.DUMMYFUNCTION("""COMPUTED_VALUE""")," Cabreúva")</f>
        <v> Cabreúva</v>
      </c>
      <c r="P29" s="7" t="str">
        <f>IFERROR(__xludf.DUMMYFUNCTION("""COMPUTED_VALUE"""),"SP")</f>
        <v>SP</v>
      </c>
      <c r="Q29" s="7" t="str">
        <f>IFERROR(__xludf.DUMMYFUNCTION("""COMPUTED_VALUE""")," 13318-338 ")</f>
        <v> 13318-338 </v>
      </c>
      <c r="R29" s="9">
        <f>IFERROR(__xludf.DUMMYFUNCTION("SPLIT($K29,"" "","""")"),-2.3254382E7)</f>
        <v>-23254382</v>
      </c>
      <c r="S29" s="9">
        <f>IFERROR(__xludf.DUMMYFUNCTION("""COMPUTED_VALUE"""),-4704751.0)</f>
        <v>-4704751</v>
      </c>
      <c r="T29" s="10">
        <v>3508405.0</v>
      </c>
      <c r="U2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13318-338 ', 'PK-20686', SYSDATE, 0, 'PK-20686', SYSDATE, 'Alameda  dos Eucalyptus  Portal da Concórdia (Jacaré)', 'Alameda dos Eucalyptus Portal da Concórdia (Jacaré)', ' Portal da Concórdia (Jacaré)', 'Alameda', '3508405', 'Alameda dos Eucalyptus Portal da Concórdia (Jacaré)',' Portal da Concórdia (Jacaré)', '1', 'SP', '1', '-23254382', '-4704751', ' Portal da Concórdia (Jacaré)' </v>
      </c>
    </row>
    <row r="30" ht="15.75" customHeight="1">
      <c r="A30" s="4" t="s">
        <v>103</v>
      </c>
      <c r="B30" s="5" t="s">
        <v>39</v>
      </c>
      <c r="C30" s="4" t="s">
        <v>10</v>
      </c>
      <c r="D30" s="5" t="s">
        <v>104</v>
      </c>
      <c r="E30" s="6">
        <v>214.0</v>
      </c>
      <c r="F30" s="6" t="s">
        <v>12</v>
      </c>
      <c r="G30" s="3" t="s">
        <v>13</v>
      </c>
      <c r="H30" s="7" t="str">
        <f>IFERROR(__xludf.DUMMYFUNCTION("SPLIT(A30,""Alameda"","""")"),"    Seis")</f>
        <v>    Seis</v>
      </c>
      <c r="J30" s="3" t="s">
        <v>105</v>
      </c>
      <c r="K30" s="8" t="str">
        <f>IFERROR(__xludf.DUMMYFUNCTION("SPLIT($J30,""   "","""")"),"-23.266813 -47.061593")</f>
        <v>-23.266813 -47.061593</v>
      </c>
      <c r="L30" s="7" t="str">
        <f>IFERROR(__xludf.DUMMYFUNCTION("""COMPUTED_VALUE"""),"Rua")</f>
        <v>Rua</v>
      </c>
      <c r="M30" s="7" t="str">
        <f>IFERROR(__xludf.DUMMYFUNCTION("""COMPUTED_VALUE""")," Groelândia")</f>
        <v> Groelândia</v>
      </c>
      <c r="N30" s="7" t="str">
        <f>IFERROR(__xludf.DUMMYFUNCTION("""COMPUTED_VALUE""")," Villarejo Sopé da Serra (Vilarejo)")</f>
        <v> Villarejo Sopé da Serra (Vilarejo)</v>
      </c>
      <c r="O30" s="7" t="str">
        <f>IFERROR(__xludf.DUMMYFUNCTION("""COMPUTED_VALUE""")," Cabreúva")</f>
        <v> Cabreúva</v>
      </c>
      <c r="P30" s="7" t="str">
        <f>IFERROR(__xludf.DUMMYFUNCTION("""COMPUTED_VALUE"""),"SP")</f>
        <v>SP</v>
      </c>
      <c r="Q30" s="7" t="str">
        <f>IFERROR(__xludf.DUMMYFUNCTION("""COMPUTED_VALUE""")," 13317-638 ")</f>
        <v> 13317-638 </v>
      </c>
      <c r="R30" s="9">
        <f>IFERROR(__xludf.DUMMYFUNCTION("SPLIT($K30,"" "","""")"),-2.3266813E7)</f>
        <v>-23266813</v>
      </c>
      <c r="S30" s="9">
        <f>IFERROR(__xludf.DUMMYFUNCTION("""COMPUTED_VALUE"""),-4.7061593E7)</f>
        <v>-47061593</v>
      </c>
      <c r="T30" s="10">
        <v>3508405.0</v>
      </c>
      <c r="U3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13317-638 ', 'PK-20686', SYSDATE, 0, 'PK-20686', SYSDATE, 'Rua  Groelândia  Villarejo Sopé da Serra (Vilarejo)', 'Rua Groelândia Villarejo Sopé da Serra (Vilarejo)', ' Villarejo Sopé da Serra (Vilarejo)', 'Rua', '3508405', 'Rua Groelândia Villarejo Sopé da Serra (Vilarejo)',' Villarejo Sopé da Serra (Vilarejo)', '1', 'SP', '1', '-23266813', '-47061593', ' Villarejo Sopé da Serra (Vilarejo)' </v>
      </c>
    </row>
    <row r="31" ht="15.75" customHeight="1">
      <c r="A31" s="4" t="s">
        <v>106</v>
      </c>
      <c r="B31" s="5" t="s">
        <v>39</v>
      </c>
      <c r="C31" s="4" t="s">
        <v>10</v>
      </c>
      <c r="D31" s="5" t="s">
        <v>107</v>
      </c>
      <c r="E31" s="6">
        <v>214.0</v>
      </c>
      <c r="F31" s="6" t="s">
        <v>12</v>
      </c>
      <c r="G31" s="3" t="s">
        <v>13</v>
      </c>
      <c r="H31" s="7" t="str">
        <f>IFERROR(__xludf.DUMMYFUNCTION("SPLIT(A31,""Alameda"","""")"),"    Sete")</f>
        <v>    Sete</v>
      </c>
      <c r="J31" s="3" t="s">
        <v>108</v>
      </c>
      <c r="K31" s="8" t="str">
        <f>IFERROR(__xludf.DUMMYFUNCTION("SPLIT($J31,""   "","""")"),"-23.30897 -47.131949")</f>
        <v>-23.30897 -47.131949</v>
      </c>
      <c r="L31" s="7" t="str">
        <f>IFERROR(__xludf.DUMMYFUNCTION("""COMPUTED_VALUE"""),"Rua")</f>
        <v>Rua</v>
      </c>
      <c r="M31" s="7" t="str">
        <f>IFERROR(__xludf.DUMMYFUNCTION("""COMPUTED_VALUE""")," Conselheiro Rodrigues Alves")</f>
        <v> Conselheiro Rodrigues Alves</v>
      </c>
      <c r="N31" s="7" t="str">
        <f>IFERROR(__xludf.DUMMYFUNCTION("""COMPUTED_VALUE""")," Centro")</f>
        <v> Centro</v>
      </c>
      <c r="O31" s="7" t="str">
        <f>IFERROR(__xludf.DUMMYFUNCTION("""COMPUTED_VALUE""")," Cabreúva")</f>
        <v> Cabreúva</v>
      </c>
      <c r="P31" s="7" t="str">
        <f>IFERROR(__xludf.DUMMYFUNCTION("""COMPUTED_VALUE"""),"SP")</f>
        <v>SP</v>
      </c>
      <c r="Q31" s="7" t="str">
        <f>IFERROR(__xludf.DUMMYFUNCTION("""COMPUTED_VALUE""")," 13315-015 ")</f>
        <v> 13315-015 </v>
      </c>
      <c r="R31" s="9">
        <f>IFERROR(__xludf.DUMMYFUNCTION("SPLIT($K31,"" "","""")"),-2330897.0)</f>
        <v>-2330897</v>
      </c>
      <c r="S31" s="9">
        <f>IFERROR(__xludf.DUMMYFUNCTION("""COMPUTED_VALUE"""),-4.7131949E7)</f>
        <v>-47131949</v>
      </c>
      <c r="T31" s="10">
        <v>3508405.0</v>
      </c>
      <c r="U3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13315-015 ', 'PK-20686', SYSDATE, 0, 'PK-20686', SYSDATE, 'Rua  Conselheiro Rodrigues Alves  Centro', 'Rua Conselheiro Rodrigues Alves Centro', ' Centro', 'Rua', '3508405', 'Rua Conselheiro Rodrigues Alves Centro',' Centro', '1', 'SP', '1', '-2330897', '-47131949', ' Centro' </v>
      </c>
    </row>
    <row r="32" ht="15.75" customHeight="1">
      <c r="A32" s="4" t="s">
        <v>109</v>
      </c>
      <c r="B32" s="5" t="s">
        <v>39</v>
      </c>
      <c r="C32" s="4" t="s">
        <v>10</v>
      </c>
      <c r="D32" s="5" t="s">
        <v>110</v>
      </c>
      <c r="E32" s="6">
        <v>214.0</v>
      </c>
      <c r="F32" s="6" t="s">
        <v>12</v>
      </c>
      <c r="G32" s="3" t="s">
        <v>13</v>
      </c>
      <c r="H32" s="7" t="str">
        <f>IFERROR(__xludf.DUMMYFUNCTION("SPLIT(A32,""Alameda"","""")"),"    Três")</f>
        <v>    Três</v>
      </c>
      <c r="J32" s="3" t="s">
        <v>111</v>
      </c>
      <c r="K32" s="8" t="str">
        <f>IFERROR(__xludf.DUMMYFUNCTION("SPLIT($J32,""   "","""")"),"-23.307366 -47.133678")</f>
        <v>-23.307366 -47.133678</v>
      </c>
      <c r="L32" s="7" t="str">
        <f>IFERROR(__xludf.DUMMYFUNCTION("""COMPUTED_VALUE"""),"Rua")</f>
        <v>Rua</v>
      </c>
      <c r="M32" s="7" t="str">
        <f>IFERROR(__xludf.DUMMYFUNCTION("""COMPUTED_VALUE""")," Grécia")</f>
        <v> Grécia</v>
      </c>
      <c r="N32" s="7" t="str">
        <f>IFERROR(__xludf.DUMMYFUNCTION("""COMPUTED_VALUE""")," Jardim Residencial Bela Vista (Vilarejo)")</f>
        <v> Jardim Residencial Bela Vista (Vilarejo)</v>
      </c>
      <c r="O32" s="7" t="str">
        <f>IFERROR(__xludf.DUMMYFUNCTION("""COMPUTED_VALUE""")," Cabreúva")</f>
        <v> Cabreúva</v>
      </c>
      <c r="P32" s="7" t="str">
        <f>IFERROR(__xludf.DUMMYFUNCTION("""COMPUTED_VALUE"""),"SP")</f>
        <v>SP</v>
      </c>
      <c r="Q32" s="7" t="str">
        <f>IFERROR(__xludf.DUMMYFUNCTION("""COMPUTED_VALUE""")," 13317-738 ")</f>
        <v> 13317-738 </v>
      </c>
      <c r="R32" s="9">
        <f>IFERROR(__xludf.DUMMYFUNCTION("SPLIT($K32,"" "","""")"),-2.3307366E7)</f>
        <v>-23307366</v>
      </c>
      <c r="S32" s="9">
        <f>IFERROR(__xludf.DUMMYFUNCTION("""COMPUTED_VALUE"""),-4.7133678E7)</f>
        <v>-47133678</v>
      </c>
      <c r="T32" s="10">
        <v>3508405.0</v>
      </c>
      <c r="U3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13317-738 ', 'PK-20686', SYSDATE, 0, 'PK-20686', SYSDATE, 'Rua  Grécia  Jardim Residencial Bela Vista (Vilarejo)', 'Rua Grécia Jardim Residencial Bela Vista (Vilarejo)', ' Jardim Residencial Bela Vista (Vilarejo)', 'Rua', '3508405', 'Rua Grécia Jardim Residencial Bela Vista (Vilarejo)',' Jardim Residencial Bela Vista (Vilarejo)', '1', 'SP', '1', '-23307366', '-47133678', ' Jardim Residencial Bela Vista (Vilarejo)' </v>
      </c>
    </row>
    <row r="33" ht="15.75" hidden="1" customHeight="1">
      <c r="A33" s="4" t="s">
        <v>112</v>
      </c>
      <c r="B33" s="5" t="s">
        <v>39</v>
      </c>
      <c r="C33" s="4" t="s">
        <v>10</v>
      </c>
      <c r="D33" s="5" t="s">
        <v>113</v>
      </c>
      <c r="E33" s="6">
        <v>214.0</v>
      </c>
      <c r="F33" s="6" t="s">
        <v>12</v>
      </c>
      <c r="G33" s="3" t="s">
        <v>13</v>
      </c>
      <c r="H33" s="7" t="str">
        <f>IFERROR(__xludf.DUMMYFUNCTION("SPLIT(A33,""Alameda"","""")"),"    Um")</f>
        <v>    Um</v>
      </c>
      <c r="J33" s="3" t="s">
        <v>114</v>
      </c>
      <c r="K33" s="8" t="str">
        <f>IFERROR(__xludf.DUMMYFUNCTION("SPLIT($J33,""   "","""")"),"-23.278797 -47.105872")</f>
        <v>-23.278797 -47.105872</v>
      </c>
      <c r="L33" s="7" t="str">
        <f>IFERROR(__xludf.DUMMYFUNCTION("""COMPUTED_VALUE"""),"Via")</f>
        <v>Via</v>
      </c>
      <c r="M33" s="7" t="str">
        <f>IFERROR(__xludf.DUMMYFUNCTION("""COMPUTED_VALUE""")," AndréSPina")</f>
        <v> AndréSPina</v>
      </c>
      <c r="N33" s="7" t="str">
        <f>IFERROR(__xludf.DUMMYFUNCTION("""COMPUTED_VALUE""")," Nova Chácara do Pinhal IV (Pinhal)")</f>
        <v> Nova Chácara do Pinhal IV (Pinhal)</v>
      </c>
      <c r="O33" s="7" t="str">
        <f>IFERROR(__xludf.DUMMYFUNCTION("""COMPUTED_VALUE""")," Cabreúva")</f>
        <v> Cabreúva</v>
      </c>
      <c r="P33" s="7" t="str">
        <f>IFERROR(__xludf.DUMMYFUNCTION("""COMPUTED_VALUE"""),"SP")</f>
        <v>SP</v>
      </c>
      <c r="Q33" s="7" t="str">
        <f>IFERROR(__xludf.DUMMYFUNCTION("""COMPUTED_VALUE""")," 13317-002 ")</f>
        <v> 13317-002 </v>
      </c>
      <c r="R33" s="9">
        <f>IFERROR(__xludf.DUMMYFUNCTION("SPLIT($K33,"" "","""")"),-2.3278797E7)</f>
        <v>-23278797</v>
      </c>
      <c r="S33" s="9">
        <f>IFERROR(__xludf.DUMMYFUNCTION("""COMPUTED_VALUE"""),-4.7105872E7)</f>
        <v>-47105872</v>
      </c>
      <c r="T33" s="10">
        <v>3508405.0</v>
      </c>
      <c r="U3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13317-002 ', 'PK-20686', SYSDATE, 0, 'PK-20686', SYSDATE, 'Via  AndréSPina  Nova Chácara do Pinhal IV (Pinhal)', 'Via AndréSPina Nova Chácara do Pinhal IV (Pinhal)', ' Nova Chácara do Pinhal IV (Pinhal)', 'Via', '3508405', 'Via AndréSPina Nova Chácara do Pinhal IV (Pinhal)',' Nova Chácara do Pinhal IV (Pinhal)', '1', 'SP', '1', '-23278797', '-47105872', ' Nova Chácara do Pinhal IV (Pinhal)' </v>
      </c>
    </row>
    <row r="34" ht="15.75" hidden="1" customHeight="1">
      <c r="A34" s="4" t="s">
        <v>115</v>
      </c>
      <c r="B34" s="4" t="s">
        <v>116</v>
      </c>
      <c r="C34" s="4" t="s">
        <v>10</v>
      </c>
      <c r="D34" s="5" t="s">
        <v>117</v>
      </c>
      <c r="E34" s="6">
        <v>214.0</v>
      </c>
      <c r="F34" s="6" t="s">
        <v>12</v>
      </c>
      <c r="G34" s="3" t="s">
        <v>13</v>
      </c>
      <c r="H34" s="7" t="str">
        <f>IFERROR(__xludf.DUMMYFUNCTION("SPLIT(A2,""Área"","""")"),"Alameda    das Spathodeas")</f>
        <v>Alameda    das Spathodeas</v>
      </c>
      <c r="J34" s="3" t="s">
        <v>118</v>
      </c>
      <c r="K34" s="8" t="str">
        <f>IFERROR(__xludf.DUMMYFUNCTION("SPLIT($J34,""   "","""")"),"-23.224933 -45.804546")</f>
        <v>-23.224933 -45.804546</v>
      </c>
      <c r="L34" s="7" t="str">
        <f>IFERROR(__xludf.DUMMYFUNCTION("""COMPUTED_VALUE"""),"Praça")</f>
        <v>Praça</v>
      </c>
      <c r="M34" s="7" t="str">
        <f>IFERROR(__xludf.DUMMYFUNCTION("""COMPUTED_VALUE""")," das Cabreúvas")</f>
        <v> das Cabreúvas</v>
      </c>
      <c r="N34" s="7" t="str">
        <f>IFERROR(__xludf.DUMMYFUNCTION("""COMPUTED_VALUE""")," Chácaras Boa Esperança (Guaxatuba)")</f>
        <v> Chácaras Boa Esperança (Guaxatuba)</v>
      </c>
      <c r="O34" s="7" t="str">
        <f>IFERROR(__xludf.DUMMYFUNCTION("""COMPUTED_VALUE""")," Cabreúva")</f>
        <v> Cabreúva</v>
      </c>
      <c r="P34" s="7" t="str">
        <f>IFERROR(__xludf.DUMMYFUNCTION("""COMPUTED_VALUE"""),"SP")</f>
        <v>SP</v>
      </c>
      <c r="Q34" s="7" t="str">
        <f>IFERROR(__xludf.DUMMYFUNCTION("""COMPUTED_VALUE""")," 13316-513 ")</f>
        <v> 13316-513 </v>
      </c>
      <c r="R34" s="9">
        <f>IFERROR(__xludf.DUMMYFUNCTION("SPLIT($K34,"" "","""")"),-2.3224933E7)</f>
        <v>-23224933</v>
      </c>
      <c r="S34" s="9">
        <f>IFERROR(__xludf.DUMMYFUNCTION("""COMPUTED_VALUE"""),-4.5804546E7)</f>
        <v>-45804546</v>
      </c>
      <c r="T34" s="10">
        <v>3508405.0</v>
      </c>
      <c r="U3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13316-513 ', 'PK-20686', SYSDATE, 0, 'PK-20686', SYSDATE, 'Praça  das Cabreúvas  Chácaras Boa Esperança (Guaxatuba)', 'Praça das Cabreúvas Chácaras Boa Esperança (Guaxatuba)', ' Chácaras Boa Esperança (Guaxatuba)', 'Praça', '3508405', 'Praça das Cabreúvas Chácaras Boa Esperança (Guaxatuba)',' Chácaras Boa Esperança (Guaxatuba)', '1', 'SP', '1', '-23224933', '-45804546', ' Chácaras Boa Esperança (Guaxatuba)' </v>
      </c>
    </row>
    <row r="35" ht="15.75" hidden="1" customHeight="1">
      <c r="A35" s="4" t="s">
        <v>115</v>
      </c>
      <c r="B35" s="4" t="s">
        <v>119</v>
      </c>
      <c r="C35" s="4" t="s">
        <v>10</v>
      </c>
      <c r="D35" s="5" t="s">
        <v>120</v>
      </c>
      <c r="E35" s="6">
        <v>214.0</v>
      </c>
      <c r="F35" s="6" t="s">
        <v>12</v>
      </c>
      <c r="G35" s="3" t="s">
        <v>13</v>
      </c>
      <c r="H35" s="7" t="str">
        <f>IFERROR(__xludf.DUMMYFUNCTION("SPLIT(A3,""Área"","""")"),"Estrada    Antonio Spina")</f>
        <v>Estrada    Antonio Spina</v>
      </c>
      <c r="J35" s="3" t="s">
        <v>121</v>
      </c>
      <c r="K35" s="8" t="str">
        <f>IFERROR(__xludf.DUMMYFUNCTION("SPLIT($J35,""   "","""")"),"-23.309169 -47.131867")</f>
        <v>-23.309169 -47.131867</v>
      </c>
      <c r="L35" s="7" t="str">
        <f>IFERROR(__xludf.DUMMYFUNCTION("""COMPUTED_VALUE"""),"Travessa")</f>
        <v>Travessa</v>
      </c>
      <c r="M35" s="7" t="str">
        <f>IFERROR(__xludf.DUMMYFUNCTION("""COMPUTED_VALUE""")," Independência")</f>
        <v> Independência</v>
      </c>
      <c r="N35" s="7" t="str">
        <f>IFERROR(__xludf.DUMMYFUNCTION("""COMPUTED_VALUE""")," Centro")</f>
        <v> Centro</v>
      </c>
      <c r="O35" s="7" t="str">
        <f>IFERROR(__xludf.DUMMYFUNCTION("""COMPUTED_VALUE""")," Cabreúva")</f>
        <v> Cabreúva</v>
      </c>
      <c r="P35" s="7" t="str">
        <f>IFERROR(__xludf.DUMMYFUNCTION("""COMPUTED_VALUE"""),"SP")</f>
        <v>SP</v>
      </c>
      <c r="Q35" s="7" t="str">
        <f>IFERROR(__xludf.DUMMYFUNCTION("""COMPUTED_VALUE""")," 13315-039 ")</f>
        <v> 13315-039 </v>
      </c>
      <c r="R35" s="9">
        <f>IFERROR(__xludf.DUMMYFUNCTION("SPLIT($K35,"" "","""")"),-2.3309169E7)</f>
        <v>-23309169</v>
      </c>
      <c r="S35" s="9">
        <f>IFERROR(__xludf.DUMMYFUNCTION("""COMPUTED_VALUE"""),-4.7131867E7)</f>
        <v>-47131867</v>
      </c>
      <c r="T35" s="10">
        <v>3508405.0</v>
      </c>
      <c r="U3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13315-039 ', 'PK-20686', SYSDATE, 0, 'PK-20686', SYSDATE, 'Travessa  Independência  Centro', 'Travessa Independência Centro', ' Centro', 'Travessa', '3508405', 'Travessa Independência Centro',' Centro', '1', 'SP', '1', '-23309169', '-47131867', ' Centro' </v>
      </c>
    </row>
    <row r="36" ht="15.75" customHeight="1">
      <c r="A36" s="4" t="s">
        <v>115</v>
      </c>
      <c r="B36" s="4" t="s">
        <v>122</v>
      </c>
      <c r="C36" s="4" t="s">
        <v>10</v>
      </c>
      <c r="D36" s="5" t="s">
        <v>123</v>
      </c>
      <c r="E36" s="6">
        <v>214.0</v>
      </c>
      <c r="F36" s="6" t="s">
        <v>12</v>
      </c>
      <c r="G36" s="3" t="s">
        <v>13</v>
      </c>
      <c r="H36" s="7" t="str">
        <f>IFERROR(__xludf.DUMMYFUNCTION("SPLIT(A4,""Área"","""")"),"Rua       Alberto Spina")</f>
        <v>Rua       Alberto Spina</v>
      </c>
      <c r="J36" s="3" t="s">
        <v>124</v>
      </c>
      <c r="K36" s="8" t="str">
        <f>IFERROR(__xludf.DUMMYFUNCTION("SPLIT($J36,""   "","""")"),"-23.307366 -47.133678")</f>
        <v>-23.307366 -47.133678</v>
      </c>
      <c r="L36" s="7" t="str">
        <f>IFERROR(__xludf.DUMMYFUNCTION("""COMPUTED_VALUE"""),"Rua")</f>
        <v>Rua</v>
      </c>
      <c r="M36" s="7" t="str">
        <f>IFERROR(__xludf.DUMMYFUNCTION("""COMPUTED_VALUE""")," Onze")</f>
        <v> Onze</v>
      </c>
      <c r="N36" s="7" t="str">
        <f>IFERROR(__xludf.DUMMYFUNCTION("""COMPUTED_VALUE""")," Alpes do Tietê")</f>
        <v> Alpes do Tietê</v>
      </c>
      <c r="O36" s="7" t="str">
        <f>IFERROR(__xludf.DUMMYFUNCTION("""COMPUTED_VALUE""")," Cabreúva")</f>
        <v> Cabreúva</v>
      </c>
      <c r="P36" s="7" t="str">
        <f>IFERROR(__xludf.DUMMYFUNCTION("""COMPUTED_VALUE"""),"SP")</f>
        <v>SP</v>
      </c>
      <c r="Q36" s="7" t="str">
        <f>IFERROR(__xludf.DUMMYFUNCTION("""COMPUTED_VALUE""")," 13316-610 ")</f>
        <v> 13316-610 </v>
      </c>
      <c r="R36" s="9">
        <f>IFERROR(__xludf.DUMMYFUNCTION("SPLIT($K36,"" "","""")"),-2.3307366E7)</f>
        <v>-23307366</v>
      </c>
      <c r="S36" s="9">
        <f>IFERROR(__xludf.DUMMYFUNCTION("""COMPUTED_VALUE"""),-4.7133678E7)</f>
        <v>-47133678</v>
      </c>
      <c r="T36" s="10">
        <v>3508405.0</v>
      </c>
      <c r="U3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13316-610 ', 'PK-20686', SYSDATE, 0, 'PK-20686', SYSDATE, 'Rua  Onze  Alpes do Tietê', 'Rua Onze Alpes do Tietê', ' Alpes do Tietê', 'Rua', '3508405', 'Rua Onze Alpes do Tietê',' Alpes do Tietê', '1', 'SP', '1', '-23307366', '-47133678', ' Alpes do Tietê' </v>
      </c>
    </row>
    <row r="37" ht="15.75" hidden="1" customHeight="1">
      <c r="A37" s="4" t="s">
        <v>125</v>
      </c>
      <c r="B37" s="5" t="s">
        <v>24</v>
      </c>
      <c r="C37" s="4" t="s">
        <v>10</v>
      </c>
      <c r="D37" s="5" t="s">
        <v>126</v>
      </c>
      <c r="E37" s="6">
        <v>214.0</v>
      </c>
      <c r="F37" s="6" t="s">
        <v>12</v>
      </c>
      <c r="G37" s="3" t="s">
        <v>13</v>
      </c>
      <c r="H37" s="7" t="str">
        <f>IFERROR(__xludf.DUMMYFUNCTION("SPLIT(A2,""Avenida"","""")"),"Alameda    das Spathodeas")</f>
        <v>Alameda    das Spathodeas</v>
      </c>
      <c r="J37" s="3" t="s">
        <v>127</v>
      </c>
      <c r="K37" s="8" t="str">
        <f>IFERROR(__xludf.DUMMYFUNCTION("SPLIT($J37,""   "","""")"),"-23.301153 -47.123923")</f>
        <v>-23.301153 -47.123923</v>
      </c>
      <c r="L37" s="7" t="str">
        <f>IFERROR(__xludf.DUMMYFUNCTION("""COMPUTED_VALUE"""),"Estrada")</f>
        <v>Estrada</v>
      </c>
      <c r="M37" s="7" t="str">
        <f>IFERROR(__xludf.DUMMYFUNCTION("""COMPUTED_VALUE""")," do Barreiro")</f>
        <v> do Barreiro</v>
      </c>
      <c r="N37" s="7" t="str">
        <f>IFERROR(__xludf.DUMMYFUNCTION("""COMPUTED_VALUE""")," Centro")</f>
        <v> Centro</v>
      </c>
      <c r="O37" s="7" t="str">
        <f>IFERROR(__xludf.DUMMYFUNCTION("""COMPUTED_VALUE""")," Cabreúva")</f>
        <v> Cabreúva</v>
      </c>
      <c r="P37" s="7" t="str">
        <f>IFERROR(__xludf.DUMMYFUNCTION("""COMPUTED_VALUE"""),"SP")</f>
        <v>SP</v>
      </c>
      <c r="Q37" s="7" t="str">
        <f>IFERROR(__xludf.DUMMYFUNCTION("""COMPUTED_VALUE""")," 13315-001 ")</f>
        <v> 13315-001 </v>
      </c>
      <c r="R37" s="9">
        <f>IFERROR(__xludf.DUMMYFUNCTION("SPLIT($K37,"" "","""")"),-2.3301153E7)</f>
        <v>-23301153</v>
      </c>
      <c r="S37" s="9">
        <f>IFERROR(__xludf.DUMMYFUNCTION("""COMPUTED_VALUE"""),-4.7123923E7)</f>
        <v>-47123923</v>
      </c>
      <c r="T37" s="10">
        <v>3508405.0</v>
      </c>
      <c r="U3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13315-001 ', 'PK-20686', SYSDATE, 0, 'PK-20686', SYSDATE, 'Estrada  do Barreiro  Centro', 'Estrada do Barreiro Centro', ' Centro', 'Estrada', '3508405', 'Estrada do Barreiro Centro',' Centro', '1', 'SP', '1', '-23301153', '-47123923', ' Centro' </v>
      </c>
    </row>
    <row r="38" ht="15.75" customHeight="1">
      <c r="A38" s="4" t="s">
        <v>128</v>
      </c>
      <c r="B38" s="5" t="s">
        <v>24</v>
      </c>
      <c r="C38" s="4" t="s">
        <v>10</v>
      </c>
      <c r="D38" s="5" t="s">
        <v>129</v>
      </c>
      <c r="E38" s="6">
        <v>214.0</v>
      </c>
      <c r="F38" s="6" t="s">
        <v>12</v>
      </c>
      <c r="G38" s="3" t="s">
        <v>13</v>
      </c>
      <c r="H38" s="7" t="str">
        <f>IFERROR(__xludf.DUMMYFUNCTION("SPLIT(A3,""Avenida"","""")"),"Estrada    Antonio Spina")</f>
        <v>Estrada    Antonio Spina</v>
      </c>
      <c r="J38" s="3" t="s">
        <v>130</v>
      </c>
      <c r="K38" s="8" t="str">
        <f>IFERROR(__xludf.DUMMYFUNCTION("SPLIT($J38,""   "","""")"),"-23.318161 -47.132259")</f>
        <v>-23.318161 -47.132259</v>
      </c>
      <c r="L38" s="7" t="str">
        <f>IFERROR(__xludf.DUMMYFUNCTION("""COMPUTED_VALUE"""),"Rua")</f>
        <v>Rua</v>
      </c>
      <c r="M38" s="7" t="str">
        <f>IFERROR(__xludf.DUMMYFUNCTION("""COMPUTED_VALUE""")," Itatiba")</f>
        <v> Itatiba</v>
      </c>
      <c r="N38" s="7" t="str">
        <f>IFERROR(__xludf.DUMMYFUNCTION("""COMPUTED_VALUE""")," Nova Cabreúva (Centro)")</f>
        <v> Nova Cabreúva (Centro)</v>
      </c>
      <c r="O38" s="7" t="str">
        <f>IFERROR(__xludf.DUMMYFUNCTION("""COMPUTED_VALUE""")," Cabreúva")</f>
        <v> Cabreúva</v>
      </c>
      <c r="P38" s="7" t="str">
        <f>IFERROR(__xludf.DUMMYFUNCTION("""COMPUTED_VALUE"""),"SP")</f>
        <v>SP</v>
      </c>
      <c r="Q38" s="7" t="str">
        <f>IFERROR(__xludf.DUMMYFUNCTION("""COMPUTED_VALUE""")," 13315-120 ")</f>
        <v> 13315-120 </v>
      </c>
      <c r="R38" s="9">
        <f>IFERROR(__xludf.DUMMYFUNCTION("SPLIT($K38,"" "","""")"),-2.3318161E7)</f>
        <v>-23318161</v>
      </c>
      <c r="S38" s="9">
        <f>IFERROR(__xludf.DUMMYFUNCTION("""COMPUTED_VALUE"""),-4.7132259E7)</f>
        <v>-47132259</v>
      </c>
      <c r="T38" s="10">
        <v>3508405.0</v>
      </c>
      <c r="U3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13315-120 ', 'PK-20686', SYSDATE, 0, 'PK-20686', SYSDATE, 'Rua  Itatiba  Nova Cabreúva (Centro)', 'Rua Itatiba Nova Cabreúva (Centro)', ' Nova Cabreúva (Centro)', 'Rua', '3508405', 'Rua Itatiba Nova Cabreúva (Centro)',' Nova Cabreúva (Centro)', '1', 'SP', '1', '-23318161', '-47132259', ' Nova Cabreúva (Centro)' </v>
      </c>
    </row>
    <row r="39" ht="15.75" hidden="1" customHeight="1">
      <c r="A39" s="4" t="s">
        <v>131</v>
      </c>
      <c r="B39" s="5" t="s">
        <v>132</v>
      </c>
      <c r="C39" s="4" t="s">
        <v>10</v>
      </c>
      <c r="D39" s="5" t="s">
        <v>133</v>
      </c>
      <c r="E39" s="6">
        <v>214.0</v>
      </c>
      <c r="F39" s="6" t="s">
        <v>12</v>
      </c>
      <c r="G39" s="3" t="s">
        <v>13</v>
      </c>
      <c r="H39" s="7" t="str">
        <f>IFERROR(__xludf.DUMMYFUNCTION("SPLIT(A4,""Avenida"","""")"),"Rua       Alberto Spina")</f>
        <v>Rua       Alberto Spina</v>
      </c>
      <c r="J39" s="3" t="s">
        <v>134</v>
      </c>
      <c r="K39" s="8" t="str">
        <f>IFERROR(__xludf.DUMMYFUNCTION("SPLIT($J39,""   "","""")"),"-23.245618 -47.064924")</f>
        <v>-23.245618 -47.064924</v>
      </c>
      <c r="L39" s="7" t="str">
        <f>IFERROR(__xludf.DUMMYFUNCTION("""COMPUTED_VALUE"""),"Alameda")</f>
        <v>Alameda</v>
      </c>
      <c r="M39" s="7" t="str">
        <f>IFERROR(__xludf.DUMMYFUNCTION("""COMPUTED_VALUE""")," Três")</f>
        <v> Três</v>
      </c>
      <c r="N39" s="7" t="str">
        <f>IFERROR(__xludf.DUMMYFUNCTION("""COMPUTED_VALUE""")," CECOM (Jacaré)")</f>
        <v> CECOM (Jacaré)</v>
      </c>
      <c r="O39" s="7" t="str">
        <f>IFERROR(__xludf.DUMMYFUNCTION("""COMPUTED_VALUE""")," Cabreúva")</f>
        <v> Cabreúva</v>
      </c>
      <c r="P39" s="7" t="str">
        <f>IFERROR(__xludf.DUMMYFUNCTION("""COMPUTED_VALUE"""),"SP")</f>
        <v>SP</v>
      </c>
      <c r="Q39" s="7" t="str">
        <f>IFERROR(__xludf.DUMMYFUNCTION("""COMPUTED_VALUE""")," 13318-352 ")</f>
        <v> 13318-352 </v>
      </c>
      <c r="R39" s="9">
        <f>IFERROR(__xludf.DUMMYFUNCTION("SPLIT($K39,"" "","""")"),-2.3245618E7)</f>
        <v>-23245618</v>
      </c>
      <c r="S39" s="9">
        <f>IFERROR(__xludf.DUMMYFUNCTION("""COMPUTED_VALUE"""),-4.7064924E7)</f>
        <v>-47064924</v>
      </c>
      <c r="T39" s="10">
        <v>3508405.0</v>
      </c>
      <c r="U3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13318-352 ', 'PK-20686', SYSDATE, 0, 'PK-20686', SYSDATE, 'Alameda  Três  CECOM (Jacaré)', 'Alameda Três CECOM (Jacaré)', ' CECOM (Jacaré)', 'Alameda', '3508405', 'Alameda Três CECOM (Jacaré)',' CECOM (Jacaré)', '1', 'SP', '1', '-23245618', '-47064924', ' CECOM (Jacaré)' </v>
      </c>
    </row>
    <row r="40" ht="15.75" hidden="1" customHeight="1">
      <c r="A40" s="4" t="s">
        <v>135</v>
      </c>
      <c r="B40" s="5" t="s">
        <v>35</v>
      </c>
      <c r="C40" s="4" t="s">
        <v>10</v>
      </c>
      <c r="D40" s="5" t="s">
        <v>136</v>
      </c>
      <c r="E40" s="6">
        <v>214.0</v>
      </c>
      <c r="F40" s="6" t="s">
        <v>12</v>
      </c>
      <c r="G40" s="3" t="s">
        <v>13</v>
      </c>
      <c r="H40" s="7" t="str">
        <f>IFERROR(__xludf.DUMMYFUNCTION("SPLIT(A5,""Avenida"","""")"),"Rua       Andrelino Spina")</f>
        <v>Rua       Andrelino Spina</v>
      </c>
      <c r="J40" s="3" t="s">
        <v>137</v>
      </c>
      <c r="K40" s="8" t="str">
        <f>IFERROR(__xludf.DUMMYFUNCTION("SPLIT($J40,""   "","""")"),"-23.252254 -47.089769")</f>
        <v>-23.252254 -47.089769</v>
      </c>
      <c r="L40" s="7" t="str">
        <f>IFERROR(__xludf.DUMMYFUNCTION("""COMPUTED_VALUE"""),"RodoVia")</f>
        <v>RodoVia</v>
      </c>
      <c r="M40" s="7" t="str">
        <f>IFERROR(__xludf.DUMMYFUNCTION("""COMPUTED_VALUE""")," Dom Gabriel Paulino Bueno Couto")</f>
        <v> Dom Gabriel Paulino Bueno Couto</v>
      </c>
      <c r="N40" s="7" t="str">
        <f>IFERROR(__xludf.DUMMYFUNCTION("""COMPUTED_VALUE""")," Pinhal")</f>
        <v> Pinhal</v>
      </c>
      <c r="O40" s="7" t="str">
        <f>IFERROR(__xludf.DUMMYFUNCTION("""COMPUTED_VALUE""")," Cabreúva")</f>
        <v> Cabreúva</v>
      </c>
      <c r="P40" s="7" t="str">
        <f>IFERROR(__xludf.DUMMYFUNCTION("""COMPUTED_VALUE"""),"SP")</f>
        <v>SP</v>
      </c>
      <c r="Q40" s="7" t="str">
        <f>IFERROR(__xludf.DUMMYFUNCTION("""COMPUTED_VALUE""")," 13317-204 ")</f>
        <v> 13317-204 </v>
      </c>
      <c r="R40" s="9">
        <f>IFERROR(__xludf.DUMMYFUNCTION("SPLIT($K40,"" "","""")"),-2.3252254E7)</f>
        <v>-23252254</v>
      </c>
      <c r="S40" s="9">
        <f>IFERROR(__xludf.DUMMYFUNCTION("""COMPUTED_VALUE"""),-4.7089769E7)</f>
        <v>-47089769</v>
      </c>
      <c r="T40" s="10">
        <v>3508405.0</v>
      </c>
      <c r="U4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13317-204 ', 'PK-20686', SYSDATE, 0, 'PK-20686', SYSDATE, 'RodoVia  Dom Gabriel Paulino Bueno Couto  Pinhal', 'RodoVia Dom Gabriel Paulino Bueno Couto Pinhal', ' Pinhal', 'RodoVia', '3508405', 'RodoVia Dom Gabriel Paulino Bueno Couto Pinhal',' Pinhal', '1', 'SP', '1', '-23252254', '-47089769', ' Pinhal' </v>
      </c>
    </row>
    <row r="41" ht="15.75" customHeight="1">
      <c r="A41" s="4" t="s">
        <v>138</v>
      </c>
      <c r="B41" s="5" t="s">
        <v>39</v>
      </c>
      <c r="C41" s="4" t="s">
        <v>10</v>
      </c>
      <c r="D41" s="5" t="s">
        <v>139</v>
      </c>
      <c r="E41" s="6">
        <v>214.0</v>
      </c>
      <c r="F41" s="6" t="s">
        <v>12</v>
      </c>
      <c r="G41" s="3" t="s">
        <v>13</v>
      </c>
      <c r="H41" s="7" t="str">
        <f>IFERROR(__xludf.DUMMYFUNCTION("SPLIT(A6,""Avenida"","""")"),"Rua       Armando Spina")</f>
        <v>Rua       Armando Spina</v>
      </c>
      <c r="J41" s="3" t="s">
        <v>140</v>
      </c>
      <c r="K41" s="8" t="str">
        <f>IFERROR(__xludf.DUMMYFUNCTION("SPLIT($J41,""   "","""")"),"-23.245618 -47.064924")</f>
        <v>-23.245618 -47.064924</v>
      </c>
      <c r="L41" s="7" t="str">
        <f>IFERROR(__xludf.DUMMYFUNCTION("""COMPUTED_VALUE"""),"Rua")</f>
        <v>Rua</v>
      </c>
      <c r="M41" s="7" t="str">
        <f>IFERROR(__xludf.DUMMYFUNCTION("""COMPUTED_VALUE""")," Moscatel")</f>
        <v> Moscatel</v>
      </c>
      <c r="N41" s="7" t="str">
        <f>IFERROR(__xludf.DUMMYFUNCTION("""COMPUTED_VALUE""")," Reserva da Quinta (Jacaré)")</f>
        <v> Reserva da Quinta (Jacaré)</v>
      </c>
      <c r="O41" s="7" t="str">
        <f>IFERROR(__xludf.DUMMYFUNCTION("""COMPUTED_VALUE""")," Cabreúva")</f>
        <v> Cabreúva</v>
      </c>
      <c r="P41" s="7" t="str">
        <f>IFERROR(__xludf.DUMMYFUNCTION("""COMPUTED_VALUE"""),"SP")</f>
        <v>SP</v>
      </c>
      <c r="Q41" s="7" t="str">
        <f>IFERROR(__xludf.DUMMYFUNCTION("""COMPUTED_VALUE""")," 13318-466 ")</f>
        <v> 13318-466 </v>
      </c>
      <c r="R41" s="9">
        <f>IFERROR(__xludf.DUMMYFUNCTION("SPLIT($K41,"" "","""")"),-2.3245618E7)</f>
        <v>-23245618</v>
      </c>
      <c r="S41" s="9">
        <f>IFERROR(__xludf.DUMMYFUNCTION("""COMPUTED_VALUE"""),-4.7064924E7)</f>
        <v>-47064924</v>
      </c>
      <c r="T41" s="10">
        <v>3508405.0</v>
      </c>
      <c r="U4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13318-466 ', 'PK-20686', SYSDATE, 0, 'PK-20686', SYSDATE, 'Rua  Moscatel  Reserva da Quinta (Jacaré)', 'Rua Moscatel Reserva da Quinta (Jacaré)', ' Reserva da Quinta (Jacaré)', 'Rua', '3508405', 'Rua Moscatel Reserva da Quinta (Jacaré)',' Reserva da Quinta (Jacaré)', '1', 'SP', '1', '-23245618', '-47064924', ' Reserva da Quinta (Jacaré)' </v>
      </c>
    </row>
    <row r="42" ht="15.75" customHeight="1">
      <c r="A42" s="4" t="s">
        <v>141</v>
      </c>
      <c r="B42" s="5" t="s">
        <v>142</v>
      </c>
      <c r="C42" s="4" t="s">
        <v>10</v>
      </c>
      <c r="D42" s="5" t="s">
        <v>143</v>
      </c>
      <c r="E42" s="6">
        <v>214.0</v>
      </c>
      <c r="F42" s="6" t="s">
        <v>12</v>
      </c>
      <c r="G42" s="3" t="s">
        <v>13</v>
      </c>
      <c r="H42" s="7" t="str">
        <f>IFERROR(__xludf.DUMMYFUNCTION("SPLIT(A7,""Avenida"","""")"),"Via    André Spina")</f>
        <v>Via    André Spina</v>
      </c>
      <c r="J42" s="3" t="s">
        <v>144</v>
      </c>
      <c r="K42" s="8" t="str">
        <f>IFERROR(__xludf.DUMMYFUNCTION("SPLIT($J42,""   "","""")"),"-23.247381 -47.056605")</f>
        <v>-23.247381 -47.056605</v>
      </c>
      <c r="L42" s="7" t="str">
        <f>IFERROR(__xludf.DUMMYFUNCTION("""COMPUTED_VALUE"""),"Rua")</f>
        <v>Rua</v>
      </c>
      <c r="M42" s="7" t="str">
        <f>IFERROR(__xludf.DUMMYFUNCTION("""COMPUTED_VALUE""")," Marajó")</f>
        <v> Marajó</v>
      </c>
      <c r="N42" s="7" t="str">
        <f>IFERROR(__xludf.DUMMYFUNCTION("""COMPUTED_VALUE""")," Jacaré")</f>
        <v> Jacaré</v>
      </c>
      <c r="O42" s="7" t="str">
        <f>IFERROR(__xludf.DUMMYFUNCTION("""COMPUTED_VALUE""")," Cabreúva")</f>
        <v> Cabreúva</v>
      </c>
      <c r="P42" s="7" t="str">
        <f>IFERROR(__xludf.DUMMYFUNCTION("""COMPUTED_VALUE"""),"SP")</f>
        <v>SP</v>
      </c>
      <c r="Q42" s="7" t="str">
        <f>IFERROR(__xludf.DUMMYFUNCTION("""COMPUTED_VALUE""")," 13318-123 ")</f>
        <v> 13318-123 </v>
      </c>
      <c r="R42" s="9">
        <f>IFERROR(__xludf.DUMMYFUNCTION("SPLIT($K42,"" "","""")"),-2.3247381E7)</f>
        <v>-23247381</v>
      </c>
      <c r="S42" s="9">
        <f>IFERROR(__xludf.DUMMYFUNCTION("""COMPUTED_VALUE"""),-4.7056605E7)</f>
        <v>-47056605</v>
      </c>
      <c r="T42" s="10">
        <v>3508405.0</v>
      </c>
      <c r="U4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13318-123 ', 'PK-20686', SYSDATE, 0, 'PK-20686', SYSDATE, 'Rua  Marajó  Jacaré', 'Rua Marajó Jacaré', ' Jacaré', 'Rua', '3508405', 'Rua Marajó Jacaré',' Jacaré', '1', 'SP', '1', '-23247381', '-47056605', ' Jacaré' </v>
      </c>
    </row>
    <row r="43" ht="15.75" hidden="1" customHeight="1">
      <c r="A43" s="4" t="s">
        <v>145</v>
      </c>
      <c r="B43" s="5" t="s">
        <v>24</v>
      </c>
      <c r="C43" s="4" t="s">
        <v>10</v>
      </c>
      <c r="D43" s="5" t="s">
        <v>146</v>
      </c>
      <c r="E43" s="6">
        <v>214.0</v>
      </c>
      <c r="F43" s="6" t="s">
        <v>12</v>
      </c>
      <c r="G43" s="3" t="s">
        <v>13</v>
      </c>
      <c r="H43" s="7" t="str">
        <f>IFERROR(__xludf.DUMMYFUNCTION("SPLIT(A8,""Avenida"","""")"),"Alameda    Algarve")</f>
        <v>Alameda    Algarve</v>
      </c>
      <c r="J43" s="3" t="s">
        <v>147</v>
      </c>
      <c r="K43" s="8" t="str">
        <f>IFERROR(__xludf.DUMMYFUNCTION("SPLIT($J43,""   "","""")"),"-23.287004 -47.058414")</f>
        <v>-23.287004 -47.058414</v>
      </c>
      <c r="L43" s="7" t="str">
        <f>IFERROR(__xludf.DUMMYFUNCTION("""COMPUTED_VALUE"""),"Área")</f>
        <v>Área</v>
      </c>
      <c r="M43" s="7" t="str">
        <f>IFERROR(__xludf.DUMMYFUNCTION("""COMPUTED_VALUE""")," Rural")</f>
        <v> Rural</v>
      </c>
      <c r="N43" s="7" t="str">
        <f>IFERROR(__xludf.DUMMYFUNCTION("""COMPUTED_VALUE""")," Área Rural de Bonfim do Bom Jesus")</f>
        <v> Área Rural de Bonfim do Bom Jesus</v>
      </c>
      <c r="O43" s="7" t="str">
        <f>IFERROR(__xludf.DUMMYFUNCTION("""COMPUTED_VALUE""")," Cabreúva")</f>
        <v> Cabreúva</v>
      </c>
      <c r="P43" s="7" t="str">
        <f>IFERROR(__xludf.DUMMYFUNCTION("""COMPUTED_VALUE"""),"SP")</f>
        <v>SP</v>
      </c>
      <c r="Q43" s="7" t="str">
        <f>IFERROR(__xludf.DUMMYFUNCTION("""COMPUTED_VALUE""")," 13319-899 ")</f>
        <v> 13319-899 </v>
      </c>
      <c r="R43" s="9">
        <f>IFERROR(__xludf.DUMMYFUNCTION("SPLIT($K43,"" "","""")"),-2.3287004E7)</f>
        <v>-23287004</v>
      </c>
      <c r="S43" s="9">
        <f>IFERROR(__xludf.DUMMYFUNCTION("""COMPUTED_VALUE"""),-4.7058414E7)</f>
        <v>-47058414</v>
      </c>
      <c r="T43" s="10">
        <v>3508405.0</v>
      </c>
      <c r="U4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13319-899 ', 'PK-20686', SYSDATE, 0, 'PK-20686', SYSDATE, 'Área  Rural  Área Rural de Bonfim do Bom Jesus', 'Área Rural Área Rural de Bonfim do Bom Jesus', ' Área Rural de Bonfim do Bom Jesus', 'Área', '3508405', 'Área Rural Área Rural de Bonfim do Bom Jesus',' Área Rural de Bonfim do Bom Jesus', '1', 'SP', '1', '-23287004', '-47058414', ' Área Rural de Bonfim do Bom Jesus' </v>
      </c>
    </row>
    <row r="44" ht="15.75" customHeight="1">
      <c r="A44" s="4" t="s">
        <v>148</v>
      </c>
      <c r="B44" s="5" t="s">
        <v>149</v>
      </c>
      <c r="C44" s="4" t="s">
        <v>10</v>
      </c>
      <c r="D44" s="5" t="s">
        <v>150</v>
      </c>
      <c r="E44" s="6">
        <v>214.0</v>
      </c>
      <c r="F44" s="6" t="s">
        <v>12</v>
      </c>
      <c r="G44" s="3" t="s">
        <v>13</v>
      </c>
      <c r="H44" s="7" t="str">
        <f>IFERROR(__xludf.DUMMYFUNCTION("SPLIT(A9,""Avenida"","""")"),"Alameda    Aníbal Geraldo")</f>
        <v>Alameda    Aníbal Geraldo</v>
      </c>
      <c r="J44" s="3" t="s">
        <v>151</v>
      </c>
      <c r="K44" s="8" t="str">
        <f>IFERROR(__xludf.DUMMYFUNCTION("SPLIT($J44,""   "","""")"),"-23.287089 -47.05739")</f>
        <v>-23.287089 -47.05739</v>
      </c>
      <c r="L44" s="7" t="str">
        <f>IFERROR(__xludf.DUMMYFUNCTION("""COMPUTED_VALUE"""),"Rua")</f>
        <v>Rua</v>
      </c>
      <c r="M44" s="7" t="str">
        <f>IFERROR(__xludf.DUMMYFUNCTION("""COMPUTED_VALUE""")," Antonio Adenir Federsoni")</f>
        <v> Antonio Adenir Federsoni</v>
      </c>
      <c r="N44" s="7" t="str">
        <f>IFERROR(__xludf.DUMMYFUNCTION("""COMPUTED_VALUE""")," Bonfim")</f>
        <v> Bonfim</v>
      </c>
      <c r="O44" s="7" t="str">
        <f>IFERROR(__xludf.DUMMYFUNCTION("""COMPUTED_VALUE""")," Cabreúva")</f>
        <v> Cabreúva</v>
      </c>
      <c r="P44" s="7" t="str">
        <f>IFERROR(__xludf.DUMMYFUNCTION("""COMPUTED_VALUE"""),"SP")</f>
        <v>SP</v>
      </c>
      <c r="Q44" s="7" t="str">
        <f>IFERROR(__xludf.DUMMYFUNCTION("""COMPUTED_VALUE""")," 13319-020 ")</f>
        <v> 13319-020 </v>
      </c>
      <c r="R44" s="9">
        <f>IFERROR(__xludf.DUMMYFUNCTION("SPLIT($K44,"" "","""")"),-2.3287089E7)</f>
        <v>-23287089</v>
      </c>
      <c r="S44" s="9">
        <f>IFERROR(__xludf.DUMMYFUNCTION("""COMPUTED_VALUE"""),-4705739.0)</f>
        <v>-4705739</v>
      </c>
      <c r="T44" s="10">
        <v>3508405.0</v>
      </c>
      <c r="U4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13319-020 ', 'PK-20686', SYSDATE, 0, 'PK-20686', SYSDATE, 'Rua  Antonio Adenir Federsoni  Bonfim', 'Rua Antonio Adenir Federsoni Bonfim', ' Bonfim', 'Rua', '3508405', 'Rua Antonio Adenir Federsoni Bonfim',' Bonfim', '1', 'SP', '1', '-23287089', '-4705739', ' Bonfim' </v>
      </c>
    </row>
    <row r="45" ht="15.75" hidden="1" customHeight="1">
      <c r="A45" s="4" t="s">
        <v>152</v>
      </c>
      <c r="B45" s="5" t="s">
        <v>153</v>
      </c>
      <c r="C45" s="4" t="s">
        <v>10</v>
      </c>
      <c r="D45" s="5" t="s">
        <v>154</v>
      </c>
      <c r="E45" s="6">
        <v>214.0</v>
      </c>
      <c r="F45" s="6" t="s">
        <v>12</v>
      </c>
      <c r="G45" s="3" t="s">
        <v>13</v>
      </c>
      <c r="H45" s="7" t="str">
        <f>IFERROR(__xludf.DUMMYFUNCTION("SPLIT(A10,""Avenida"","""")"),"Alameda    Cinco")</f>
        <v>Alameda    Cinco</v>
      </c>
      <c r="J45" s="3" t="s">
        <v>155</v>
      </c>
      <c r="K45" s="8" t="str">
        <f>IFERROR(__xludf.DUMMYFUNCTION("SPLIT($J45,""   "","""")"),"-23.287089 -47.05739")</f>
        <v>-23.287089 -47.05739</v>
      </c>
      <c r="L45" s="7" t="str">
        <f>IFERROR(__xludf.DUMMYFUNCTION("""COMPUTED_VALUE"""),"Praça")</f>
        <v>Praça</v>
      </c>
      <c r="M45" s="7" t="str">
        <f>IFERROR(__xludf.DUMMYFUNCTION("""COMPUTED_VALUE""")," Irmãos Zacchi")</f>
        <v> Irmãos Zacchi</v>
      </c>
      <c r="N45" s="7" t="str">
        <f>IFERROR(__xludf.DUMMYFUNCTION("""COMPUTED_VALUE""")," Bonfim")</f>
        <v> Bonfim</v>
      </c>
      <c r="O45" s="7" t="str">
        <f>IFERROR(__xludf.DUMMYFUNCTION("""COMPUTED_VALUE""")," Cabreúva")</f>
        <v> Cabreúva</v>
      </c>
      <c r="P45" s="7" t="str">
        <f>IFERROR(__xludf.DUMMYFUNCTION("""COMPUTED_VALUE"""),"SP")</f>
        <v>SP</v>
      </c>
      <c r="Q45" s="7" t="str">
        <f>IFERROR(__xludf.DUMMYFUNCTION("""COMPUTED_VALUE""")," 13319-014 ")</f>
        <v> 13319-014 </v>
      </c>
      <c r="R45" s="9">
        <f>IFERROR(__xludf.DUMMYFUNCTION("SPLIT($K45,"" "","""")"),-2.3287089E7)</f>
        <v>-23287089</v>
      </c>
      <c r="S45" s="9">
        <f>IFERROR(__xludf.DUMMYFUNCTION("""COMPUTED_VALUE"""),-4705739.0)</f>
        <v>-4705739</v>
      </c>
      <c r="T45" s="10">
        <v>3508405.0</v>
      </c>
      <c r="U4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13319-014 ', 'PK-20686', SYSDATE, 0, 'PK-20686', SYSDATE, 'Praça  Irmãos Zacchi  Bonfim', 'Praça Irmãos Zacchi Bonfim', ' Bonfim', 'Praça', '3508405', 'Praça Irmãos Zacchi Bonfim',' Bonfim', '1', 'SP', '1', '-23287089', '-4705739', ' Bonfim' </v>
      </c>
    </row>
    <row r="46" ht="15.75" hidden="1" customHeight="1">
      <c r="A46" s="4" t="s">
        <v>156</v>
      </c>
      <c r="B46" s="5" t="s">
        <v>132</v>
      </c>
      <c r="C46" s="4" t="s">
        <v>10</v>
      </c>
      <c r="D46" s="5" t="s">
        <v>157</v>
      </c>
      <c r="E46" s="6">
        <v>214.0</v>
      </c>
      <c r="F46" s="6" t="s">
        <v>12</v>
      </c>
      <c r="G46" s="3" t="s">
        <v>13</v>
      </c>
      <c r="H46" s="7" t="str">
        <f>IFERROR(__xludf.DUMMYFUNCTION("SPLIT(A11,""Avenida"","""")"),"Alameda    das Andorinhas")</f>
        <v>Alameda    das Andorinhas</v>
      </c>
      <c r="J46" s="3" t="s">
        <v>158</v>
      </c>
      <c r="K46" s="8" t="str">
        <f>IFERROR(__xludf.DUMMYFUNCTION("SPLIT($J46,""   "","""")"),"-23.280752 -47.059265")</f>
        <v>-23.280752 -47.059265</v>
      </c>
      <c r="L46" s="7" t="str">
        <f>IFERROR(__xludf.DUMMYFUNCTION("""COMPUTED_VALUE"""),"Avenida")</f>
        <v>Avenida</v>
      </c>
      <c r="M46" s="7" t="str">
        <f>IFERROR(__xludf.DUMMYFUNCTION("""COMPUTED_VALUE""")," Pascoal Santi")</f>
        <v> Pascoal Santi</v>
      </c>
      <c r="N46" s="7" t="str">
        <f>IFERROR(__xludf.DUMMYFUNCTION("""COMPUTED_VALUE""")," Novo Bonfim (Vilarejo)")</f>
        <v> Novo Bonfim (Vilarejo)</v>
      </c>
      <c r="O46" s="7" t="str">
        <f>IFERROR(__xludf.DUMMYFUNCTION("""COMPUTED_VALUE""")," Cabreúva")</f>
        <v> Cabreúva</v>
      </c>
      <c r="P46" s="7" t="str">
        <f>IFERROR(__xludf.DUMMYFUNCTION("""COMPUTED_VALUE"""),"SP")</f>
        <v>SP</v>
      </c>
      <c r="Q46" s="7" t="str">
        <f>IFERROR(__xludf.DUMMYFUNCTION("""COMPUTED_VALUE""")," 13317-770 ")</f>
        <v> 13317-770 </v>
      </c>
      <c r="R46" s="9">
        <f>IFERROR(__xludf.DUMMYFUNCTION("SPLIT($K46,"" "","""")"),-2.3280752E7)</f>
        <v>-23280752</v>
      </c>
      <c r="S46" s="9">
        <f>IFERROR(__xludf.DUMMYFUNCTION("""COMPUTED_VALUE"""),-4.7059265E7)</f>
        <v>-47059265</v>
      </c>
      <c r="T46" s="10">
        <v>3508405.0</v>
      </c>
      <c r="U4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13317-770 ', 'PK-20686', SYSDATE, 0, 'PK-20686', SYSDATE, 'Avenida  Pascoal Santi  Novo Bonfim (Vilarejo)', 'Avenida Pascoal Santi Novo Bonfim (Vilarejo)', ' Novo Bonfim (Vilarejo)', 'Avenida', '3508405', 'Avenida Pascoal Santi Novo Bonfim (Vilarejo)',' Novo Bonfim (Vilarejo)', '1', 'SP', '1', '-23280752', '-47059265', ' Novo Bonfim (Vilarejo)' </v>
      </c>
    </row>
    <row r="47" ht="15.75" customHeight="1">
      <c r="A47" s="12" t="s">
        <v>159</v>
      </c>
      <c r="B47" s="13" t="s">
        <v>160</v>
      </c>
      <c r="C47" s="4" t="s">
        <v>10</v>
      </c>
      <c r="D47" s="13" t="s">
        <v>161</v>
      </c>
      <c r="E47" s="6">
        <v>214.0</v>
      </c>
      <c r="F47" s="6" t="s">
        <v>12</v>
      </c>
      <c r="G47" s="3" t="s">
        <v>13</v>
      </c>
      <c r="H47" s="7" t="str">
        <f>IFERROR(__xludf.DUMMYFUNCTION("SPLIT(A12,""Avenida"","""")"),"Alameda    das Grevileas")</f>
        <v>Alameda    das Grevileas</v>
      </c>
      <c r="J47" s="3" t="s">
        <v>162</v>
      </c>
      <c r="K47" s="8" t="str">
        <f>IFERROR(__xludf.DUMMYFUNCTION("SPLIT($J47,""   "","""")"),"-23.307366 -47.133678")</f>
        <v>-23.307366 -47.133678</v>
      </c>
      <c r="L47" s="7" t="str">
        <f>IFERROR(__xludf.DUMMYFUNCTION("""COMPUTED_VALUE"""),"Rua")</f>
        <v>Rua</v>
      </c>
      <c r="M47" s="7" t="str">
        <f>IFERROR(__xludf.DUMMYFUNCTION("""COMPUTED_VALUE""")," Quinze")</f>
        <v> Quinze</v>
      </c>
      <c r="N47" s="7" t="str">
        <f>IFERROR(__xludf.DUMMYFUNCTION("""COMPUTED_VALUE""")," Alpes do Tietê")</f>
        <v> Alpes do Tietê</v>
      </c>
      <c r="O47" s="7" t="str">
        <f>IFERROR(__xludf.DUMMYFUNCTION("""COMPUTED_VALUE""")," Cabreúva")</f>
        <v> Cabreúva</v>
      </c>
      <c r="P47" s="7" t="str">
        <f>IFERROR(__xludf.DUMMYFUNCTION("""COMPUTED_VALUE"""),"SP")</f>
        <v>SP</v>
      </c>
      <c r="Q47" s="7" t="str">
        <f>IFERROR(__xludf.DUMMYFUNCTION("""COMPUTED_VALUE""")," 13316-614 ")</f>
        <v> 13316-614 </v>
      </c>
      <c r="R47" s="9">
        <f>IFERROR(__xludf.DUMMYFUNCTION("SPLIT($K47,"" "","""")"),-2.3307366E7)</f>
        <v>-23307366</v>
      </c>
      <c r="S47" s="9">
        <f>IFERROR(__xludf.DUMMYFUNCTION("""COMPUTED_VALUE"""),-4.7133678E7)</f>
        <v>-47133678</v>
      </c>
      <c r="T47" s="10">
        <v>3508405.0</v>
      </c>
      <c r="U4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13316-614 ', 'PK-20686', SYSDATE, 0, 'PK-20686', SYSDATE, 'Rua  Quinze  Alpes do Tietê', 'Rua Quinze Alpes do Tietê', ' Alpes do Tietê', 'Rua', '3508405', 'Rua Quinze Alpes do Tietê',' Alpes do Tietê', '1', 'SP', '1', '-23307366', '-47133678', ' Alpes do Tietê' </v>
      </c>
    </row>
    <row r="48" ht="15.75" customHeight="1">
      <c r="A48" s="4" t="s">
        <v>163</v>
      </c>
      <c r="B48" s="5" t="s">
        <v>164</v>
      </c>
      <c r="C48" s="4" t="s">
        <v>10</v>
      </c>
      <c r="D48" s="5" t="s">
        <v>165</v>
      </c>
      <c r="E48" s="6">
        <v>214.0</v>
      </c>
      <c r="F48" s="6" t="s">
        <v>12</v>
      </c>
      <c r="G48" s="3" t="s">
        <v>13</v>
      </c>
      <c r="H48" s="7" t="str">
        <f>IFERROR(__xludf.DUMMYFUNCTION("SPLIT(A13,""Avenida"","""")"),"Alameda    das Palmeiras")</f>
        <v>Alameda    das Palmeiras</v>
      </c>
      <c r="J48" s="3" t="s">
        <v>166</v>
      </c>
      <c r="K48" s="8" t="str">
        <f>IFERROR(__xludf.DUMMYFUNCTION("SPLIT($J48,""   "","""")"),"-23.255829 -47.058935")</f>
        <v>-23.255829 -47.058935</v>
      </c>
      <c r="L48" s="7" t="str">
        <f>IFERROR(__xludf.DUMMYFUNCTION("""COMPUTED_VALUE"""),"Rua")</f>
        <v>Rua</v>
      </c>
      <c r="M48" s="7" t="str">
        <f>IFERROR(__xludf.DUMMYFUNCTION("""COMPUTED_VALUE""")," Ouro Preto")</f>
        <v> Ouro Preto</v>
      </c>
      <c r="N48" s="7" t="str">
        <f>IFERROR(__xludf.DUMMYFUNCTION("""COMPUTED_VALUE""")," Parque Santo Antônio (Jacaré)")</f>
        <v> Parque Santo Antônio (Jacaré)</v>
      </c>
      <c r="O48" s="7" t="str">
        <f>IFERROR(__xludf.DUMMYFUNCTION("""COMPUTED_VALUE""")," Cabreúva")</f>
        <v> Cabreúva</v>
      </c>
      <c r="P48" s="7" t="str">
        <f>IFERROR(__xludf.DUMMYFUNCTION("""COMPUTED_VALUE"""),"SP")</f>
        <v>SP</v>
      </c>
      <c r="Q48" s="7" t="str">
        <f>IFERROR(__xludf.DUMMYFUNCTION("""COMPUTED_VALUE""")," 13318-170 ")</f>
        <v> 13318-170 </v>
      </c>
      <c r="R48" s="9">
        <f>IFERROR(__xludf.DUMMYFUNCTION("SPLIT($K48,"" "","""")"),-2.3255829E7)</f>
        <v>-23255829</v>
      </c>
      <c r="S48" s="9">
        <f>IFERROR(__xludf.DUMMYFUNCTION("""COMPUTED_VALUE"""),-4.7058935E7)</f>
        <v>-47058935</v>
      </c>
      <c r="T48" s="10">
        <v>3508405.0</v>
      </c>
      <c r="U4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13318-170 ', 'PK-20686', SYSDATE, 0, 'PK-20686', SYSDATE, 'Rua  Ouro Preto  Parque Santo Antônio (Jacaré)', 'Rua Ouro Preto Parque Santo Antônio (Jacaré)', ' Parque Santo Antônio (Jacaré)', 'Rua', '3508405', 'Rua Ouro Preto Parque Santo Antônio (Jacaré)',' Parque Santo Antônio (Jacaré)', '1', 'SP', '1', '-23255829', '-47058935', ' Parque Santo Antônio (Jacaré)' </v>
      </c>
    </row>
    <row r="49" ht="15.75" customHeight="1">
      <c r="A49" s="4" t="s">
        <v>167</v>
      </c>
      <c r="B49" s="5" t="s">
        <v>35</v>
      </c>
      <c r="C49" s="4" t="s">
        <v>10</v>
      </c>
      <c r="D49" s="5" t="s">
        <v>168</v>
      </c>
      <c r="E49" s="6">
        <v>214.0</v>
      </c>
      <c r="F49" s="6" t="s">
        <v>12</v>
      </c>
      <c r="G49" s="3" t="s">
        <v>13</v>
      </c>
      <c r="H49" s="7" t="str">
        <f>IFERROR(__xludf.DUMMYFUNCTION("SPLIT(A14,""Avenida"","""")"),"Alameda    das Quaresmeiras")</f>
        <v>Alameda    das Quaresmeiras</v>
      </c>
      <c r="J49" s="3" t="s">
        <v>169</v>
      </c>
      <c r="K49" s="8" t="str">
        <f>IFERROR(__xludf.DUMMYFUNCTION("SPLIT($J49,""   "","""")"),"-23.245618 -47.064924")</f>
        <v>-23.245618 -47.064924</v>
      </c>
      <c r="L49" s="7" t="str">
        <f>IFERROR(__xludf.DUMMYFUNCTION("""COMPUTED_VALUE"""),"Rua")</f>
        <v>Rua</v>
      </c>
      <c r="M49" s="7" t="str">
        <f>IFERROR(__xludf.DUMMYFUNCTION("""COMPUTED_VALUE""")," Irajá")</f>
        <v> Irajá</v>
      </c>
      <c r="N49" s="7" t="str">
        <f>IFERROR(__xludf.DUMMYFUNCTION("""COMPUTED_VALUE""")," Residencial Haras Pindorama I (Jacaré)")</f>
        <v> Residencial Haras Pindorama I (Jacaré)</v>
      </c>
      <c r="O49" s="7" t="str">
        <f>IFERROR(__xludf.DUMMYFUNCTION("""COMPUTED_VALUE""")," Cabreúva")</f>
        <v> Cabreúva</v>
      </c>
      <c r="P49" s="7" t="str">
        <f>IFERROR(__xludf.DUMMYFUNCTION("""COMPUTED_VALUE"""),"SP")</f>
        <v>SP</v>
      </c>
      <c r="Q49" s="7" t="str">
        <f>IFERROR(__xludf.DUMMYFUNCTION("""COMPUTED_VALUE""")," 13318-406 ")</f>
        <v> 13318-406 </v>
      </c>
      <c r="R49" s="9">
        <f>IFERROR(__xludf.DUMMYFUNCTION("SPLIT($K49,"" "","""")"),-2.3245618E7)</f>
        <v>-23245618</v>
      </c>
      <c r="S49" s="9">
        <f>IFERROR(__xludf.DUMMYFUNCTION("""COMPUTED_VALUE"""),-4.7064924E7)</f>
        <v>-47064924</v>
      </c>
      <c r="T49" s="10">
        <v>3508405.0</v>
      </c>
      <c r="U4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13318-406 ', 'PK-20686', SYSDATE, 0, 'PK-20686', SYSDATE, 'Rua  Irajá  Residencial Haras Pindorama I (Jacaré)', 'Rua Irajá Residencial Haras Pindorama I (Jacaré)', ' Residencial Haras Pindorama I (Jacaré)', 'Rua', '3508405', 'Rua Irajá Residencial Haras Pindorama I (Jacaré)',' Residencial Haras Pindorama I (Jacaré)', '1', 'SP', '1', '-23245618', '-47064924', ' Residencial Haras Pindorama I (Jacaré)' </v>
      </c>
    </row>
    <row r="50" ht="15.75" customHeight="1">
      <c r="A50" s="4" t="s">
        <v>170</v>
      </c>
      <c r="B50" s="5" t="s">
        <v>24</v>
      </c>
      <c r="C50" s="4" t="s">
        <v>10</v>
      </c>
      <c r="D50" s="5" t="s">
        <v>171</v>
      </c>
      <c r="E50" s="6">
        <v>214.0</v>
      </c>
      <c r="F50" s="6" t="s">
        <v>12</v>
      </c>
      <c r="G50" s="3" t="s">
        <v>13</v>
      </c>
      <c r="H50" s="7" t="str">
        <f>IFERROR(__xludf.DUMMYFUNCTION("SPLIT(A15,""Avenida"","""")"),"Alameda    das Sibipirunas")</f>
        <v>Alameda    das Sibipirunas</v>
      </c>
      <c r="J50" s="3" t="s">
        <v>172</v>
      </c>
      <c r="K50" s="8" t="str">
        <f>IFERROR(__xludf.DUMMYFUNCTION("SPLIT($J50,""   "","""")"),"-23.25553 -47.056529")</f>
        <v>-23.25553 -47.056529</v>
      </c>
      <c r="L50" s="7" t="str">
        <f>IFERROR(__xludf.DUMMYFUNCTION("""COMPUTED_VALUE"""),"Rua")</f>
        <v>Rua</v>
      </c>
      <c r="M50" s="7" t="str">
        <f>IFERROR(__xludf.DUMMYFUNCTION("""COMPUTED_VALUE""")," Vereador João Pedro da Silva")</f>
        <v> Vereador João Pedro da Silva</v>
      </c>
      <c r="N50" s="7" t="str">
        <f>IFERROR(__xludf.DUMMYFUNCTION("""COMPUTED_VALUE""")," Jacaré")</f>
        <v> Jacaré</v>
      </c>
      <c r="O50" s="7" t="str">
        <f>IFERROR(__xludf.DUMMYFUNCTION("""COMPUTED_VALUE""")," Cabreúva")</f>
        <v> Cabreúva</v>
      </c>
      <c r="P50" s="7" t="str">
        <f>IFERROR(__xludf.DUMMYFUNCTION("""COMPUTED_VALUE"""),"SP")</f>
        <v>SP</v>
      </c>
      <c r="Q50" s="7" t="str">
        <f>IFERROR(__xludf.DUMMYFUNCTION("""COMPUTED_VALUE""")," 13318-127 ")</f>
        <v> 13318-127 </v>
      </c>
      <c r="R50" s="9">
        <f>IFERROR(__xludf.DUMMYFUNCTION("SPLIT($K50,"" "","""")"),-2325553.0)</f>
        <v>-2325553</v>
      </c>
      <c r="S50" s="9">
        <f>IFERROR(__xludf.DUMMYFUNCTION("""COMPUTED_VALUE"""),-4.7056529E7)</f>
        <v>-47056529</v>
      </c>
      <c r="T50" s="10">
        <v>3508405.0</v>
      </c>
      <c r="U5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13318-127 ', 'PK-20686', SYSDATE, 0, 'PK-20686', SYSDATE, 'Rua  Vereador João Pedro da Silva  Jacaré', 'Rua Vereador João Pedro da Silva Jacaré', ' Jacaré', 'Rua', '3508405', 'Rua Vereador João Pedro da Silva Jacaré',' Jacaré', '1', 'SP', '1', '-2325553', '-47056529', ' Jacaré' </v>
      </c>
    </row>
    <row r="51" ht="15.75" customHeight="1">
      <c r="A51" s="4" t="s">
        <v>173</v>
      </c>
      <c r="B51" s="5" t="s">
        <v>39</v>
      </c>
      <c r="C51" s="4" t="s">
        <v>10</v>
      </c>
      <c r="D51" s="5" t="s">
        <v>174</v>
      </c>
      <c r="E51" s="6">
        <v>214.0</v>
      </c>
      <c r="F51" s="6" t="s">
        <v>12</v>
      </c>
      <c r="G51" s="3" t="s">
        <v>13</v>
      </c>
      <c r="H51" s="7" t="str">
        <f>IFERROR(__xludf.DUMMYFUNCTION("SPLIT(A16,""Avenida"","""")"),"Alameda    Dois")</f>
        <v>Alameda    Dois</v>
      </c>
      <c r="J51" s="3" t="s">
        <v>175</v>
      </c>
      <c r="K51" s="8" t="str">
        <f>IFERROR(__xludf.DUMMYFUNCTION("SPLIT($J51,""   "","""")"),"-23.249242 -47.05744")</f>
        <v>-23.249242 -47.05744</v>
      </c>
      <c r="L51" s="7" t="str">
        <f>IFERROR(__xludf.DUMMYFUNCTION("""COMPUTED_VALUE"""),"Rua")</f>
        <v>Rua</v>
      </c>
      <c r="M51" s="7" t="str">
        <f>IFERROR(__xludf.DUMMYFUNCTION("""COMPUTED_VALUE""")," Acre")</f>
        <v> Acre</v>
      </c>
      <c r="N51" s="7" t="str">
        <f>IFERROR(__xludf.DUMMYFUNCTION("""COMPUTED_VALUE""")," Jacaré")</f>
        <v> Jacaré</v>
      </c>
      <c r="O51" s="7" t="str">
        <f>IFERROR(__xludf.DUMMYFUNCTION("""COMPUTED_VALUE""")," Cabreúva")</f>
        <v> Cabreúva</v>
      </c>
      <c r="P51" s="7" t="str">
        <f>IFERROR(__xludf.DUMMYFUNCTION("""COMPUTED_VALUE"""),"SP")</f>
        <v>SP</v>
      </c>
      <c r="Q51" s="7" t="str">
        <f>IFERROR(__xludf.DUMMYFUNCTION("""COMPUTED_VALUE""")," 13318-100 ")</f>
        <v> 13318-100 </v>
      </c>
      <c r="R51" s="9">
        <f>IFERROR(__xludf.DUMMYFUNCTION("SPLIT($K51,"" "","""")"),-2.3249242E7)</f>
        <v>-23249242</v>
      </c>
      <c r="S51" s="9">
        <f>IFERROR(__xludf.DUMMYFUNCTION("""COMPUTED_VALUE"""),-4705744.0)</f>
        <v>-4705744</v>
      </c>
      <c r="T51" s="10">
        <v>3508405.0</v>
      </c>
      <c r="U5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13318-100 ', 'PK-20686', SYSDATE, 0, 'PK-20686', SYSDATE, 'Rua  Acre  Jacaré', 'Rua Acre Jacaré', ' Jacaré', 'Rua', '3508405', 'Rua Acre Jacaré',' Jacaré', '1', 'SP', '1', '-23249242', '-4705744', ' Jacaré' </v>
      </c>
    </row>
    <row r="52" ht="15.75" hidden="1" customHeight="1">
      <c r="A52" s="4" t="s">
        <v>176</v>
      </c>
      <c r="B52" s="5" t="s">
        <v>132</v>
      </c>
      <c r="C52" s="4" t="s">
        <v>10</v>
      </c>
      <c r="D52" s="5" t="s">
        <v>177</v>
      </c>
      <c r="E52" s="6">
        <v>214.0</v>
      </c>
      <c r="F52" s="6" t="s">
        <v>12</v>
      </c>
      <c r="G52" s="3" t="s">
        <v>13</v>
      </c>
      <c r="H52" s="7" t="str">
        <f>IFERROR(__xludf.DUMMYFUNCTION("SPLIT(A17,""Avenida"","""")"),"Alameda    dos Acássias")</f>
        <v>Alameda    dos Acássias</v>
      </c>
      <c r="J52" s="3" t="s">
        <v>178</v>
      </c>
      <c r="K52" s="8" t="str">
        <f>IFERROR(__xludf.DUMMYFUNCTION("SPLIT($J52,""   "","""")"),"-23.257909 -47.051612")</f>
        <v>-23.257909 -47.051612</v>
      </c>
      <c r="L52" s="7" t="str">
        <f>IFERROR(__xludf.DUMMYFUNCTION("""COMPUTED_VALUE"""),"Alameda")</f>
        <v>Alameda</v>
      </c>
      <c r="M52" s="7" t="str">
        <f>IFERROR(__xludf.DUMMYFUNCTION("""COMPUTED_VALUE""")," Saint Georges")</f>
        <v> Saint Georges</v>
      </c>
      <c r="N52" s="7" t="str">
        <f>IFERROR(__xludf.DUMMYFUNCTION("""COMPUTED_VALUE""")," Portal da Concórdia II (Jacaré)")</f>
        <v> Portal da Concórdia II (Jacaré)</v>
      </c>
      <c r="O52" s="7" t="str">
        <f>IFERROR(__xludf.DUMMYFUNCTION("""COMPUTED_VALUE""")," Cabreúva")</f>
        <v> Cabreúva</v>
      </c>
      <c r="P52" s="7" t="str">
        <f>IFERROR(__xludf.DUMMYFUNCTION("""COMPUTED_VALUE"""),"SP")</f>
        <v>SP</v>
      </c>
      <c r="Q52" s="7" t="str">
        <f>IFERROR(__xludf.DUMMYFUNCTION("""COMPUTED_VALUE""")," 13318-300 ")</f>
        <v> 13318-300 </v>
      </c>
      <c r="R52" s="9">
        <f>IFERROR(__xludf.DUMMYFUNCTION("SPLIT($K52,"" "","""")"),-2.3257909E7)</f>
        <v>-23257909</v>
      </c>
      <c r="S52" s="9">
        <f>IFERROR(__xludf.DUMMYFUNCTION("""COMPUTED_VALUE"""),-4.7051612E7)</f>
        <v>-47051612</v>
      </c>
      <c r="T52" s="10">
        <v>3508405.0</v>
      </c>
      <c r="U5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13318-300 ', 'PK-20686', SYSDATE, 0, 'PK-20686', SYSDATE, 'Alameda  Saint Georges  Portal da Concórdia II (Jacaré)', 'Alameda Saint Georges Portal da Concórdia II (Jacaré)', ' Portal da Concórdia II (Jacaré)', 'Alameda', '3508405', 'Alameda Saint Georges Portal da Concórdia II (Jacaré)',' Portal da Concórdia II (Jacaré)', '1', 'SP', '1', '-23257909', '-47051612', ' Portal da Concórdia II (Jacaré)' </v>
      </c>
    </row>
    <row r="53" ht="15.75" customHeight="1">
      <c r="A53" s="4" t="s">
        <v>179</v>
      </c>
      <c r="B53" s="5" t="s">
        <v>180</v>
      </c>
      <c r="C53" s="4" t="s">
        <v>10</v>
      </c>
      <c r="D53" s="5" t="s">
        <v>181</v>
      </c>
      <c r="E53" s="6">
        <v>214.0</v>
      </c>
      <c r="F53" s="6" t="s">
        <v>12</v>
      </c>
      <c r="G53" s="3" t="s">
        <v>13</v>
      </c>
      <c r="H53" s="7" t="str">
        <f>IFERROR(__xludf.DUMMYFUNCTION("SPLIT(A18,""Avenida"","""")"),"Alameda    dos Cedros")</f>
        <v>Alameda    dos Cedros</v>
      </c>
      <c r="J53" s="3" t="s">
        <v>182</v>
      </c>
      <c r="K53" s="8" t="str">
        <f>IFERROR(__xludf.DUMMYFUNCTION("SPLIT($J53,""   "","""")"),"-23.246077 -47.055898")</f>
        <v>-23.246077 -47.055898</v>
      </c>
      <c r="L53" s="7" t="str">
        <f>IFERROR(__xludf.DUMMYFUNCTION("""COMPUTED_VALUE"""),"Rua")</f>
        <v>Rua</v>
      </c>
      <c r="M53" s="7" t="str">
        <f>IFERROR(__xludf.DUMMYFUNCTION("""COMPUTED_VALUE""")," Juvenal Bicudo Galvão")</f>
        <v> Juvenal Bicudo Galvão</v>
      </c>
      <c r="N53" s="7" t="str">
        <f>IFERROR(__xludf.DUMMYFUNCTION("""COMPUTED_VALUE""")," Jacaré")</f>
        <v> Jacaré</v>
      </c>
      <c r="O53" s="7" t="str">
        <f>IFERROR(__xludf.DUMMYFUNCTION("""COMPUTED_VALUE""")," Cabreúva")</f>
        <v> Cabreúva</v>
      </c>
      <c r="P53" s="7" t="str">
        <f>IFERROR(__xludf.DUMMYFUNCTION("""COMPUTED_VALUE"""),"SP")</f>
        <v>SP</v>
      </c>
      <c r="Q53" s="7" t="str">
        <f>IFERROR(__xludf.DUMMYFUNCTION("""COMPUTED_VALUE""")," 13318-120 ")</f>
        <v> 13318-120 </v>
      </c>
      <c r="R53" s="9">
        <f>IFERROR(__xludf.DUMMYFUNCTION("SPLIT($K53,"" "","""")"),-2.3246077E7)</f>
        <v>-23246077</v>
      </c>
      <c r="S53" s="9">
        <f>IFERROR(__xludf.DUMMYFUNCTION("""COMPUTED_VALUE"""),-4.7055898E7)</f>
        <v>-47055898</v>
      </c>
      <c r="T53" s="10">
        <v>3508405.0</v>
      </c>
      <c r="U5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13318-120 ', 'PK-20686', SYSDATE, 0, 'PK-20686', SYSDATE, 'Rua  Juvenal Bicudo Galvão  Jacaré', 'Rua Juvenal Bicudo Galvão Jacaré', ' Jacaré', 'Rua', '3508405', 'Rua Juvenal Bicudo Galvão Jacaré',' Jacaré', '1', 'SP', '1', '-23246077', '-47055898', ' Jacaré' </v>
      </c>
    </row>
    <row r="54" ht="15.75" hidden="1" customHeight="1">
      <c r="A54" s="4" t="s">
        <v>183</v>
      </c>
      <c r="B54" s="5" t="s">
        <v>180</v>
      </c>
      <c r="C54" s="4" t="s">
        <v>10</v>
      </c>
      <c r="D54" s="5" t="s">
        <v>184</v>
      </c>
      <c r="E54" s="6">
        <v>214.0</v>
      </c>
      <c r="F54" s="6" t="s">
        <v>12</v>
      </c>
      <c r="G54" s="3" t="s">
        <v>13</v>
      </c>
      <c r="H54" s="7" t="str">
        <f>IFERROR(__xludf.DUMMYFUNCTION("SPLIT(A19,""Avenida"","""")"),"Alameda    dos Ciprestes")</f>
        <v>Alameda    dos Ciprestes</v>
      </c>
      <c r="J54" s="3" t="s">
        <v>185</v>
      </c>
      <c r="K54" s="8" t="str">
        <f>IFERROR(__xludf.DUMMYFUNCTION("SPLIT($J54,""   "","""")"),"-23.243468 -47.041439")</f>
        <v>-23.243468 -47.041439</v>
      </c>
      <c r="L54" s="7" t="str">
        <f>IFERROR(__xludf.DUMMYFUNCTION("""COMPUTED_VALUE"""),"Avenida")</f>
        <v>Avenida</v>
      </c>
      <c r="M54" s="7" t="str">
        <f>IFERROR(__xludf.DUMMYFUNCTION("""COMPUTED_VALUE""")," Joaquim Monteiro")</f>
        <v> Joaquim Monteiro</v>
      </c>
      <c r="N54" s="7" t="str">
        <f>IFERROR(__xludf.DUMMYFUNCTION("""COMPUTED_VALUE""")," CECOM (Jacaré)")</f>
        <v> CECOM (Jacaré)</v>
      </c>
      <c r="O54" s="7" t="str">
        <f>IFERROR(__xludf.DUMMYFUNCTION("""COMPUTED_VALUE""")," Cabreúva")</f>
        <v> Cabreúva</v>
      </c>
      <c r="P54" s="7" t="str">
        <f>IFERROR(__xludf.DUMMYFUNCTION("""COMPUTED_VALUE"""),"SP")</f>
        <v>SP</v>
      </c>
      <c r="Q54" s="7" t="str">
        <f>IFERROR(__xludf.DUMMYFUNCTION("""COMPUTED_VALUE""")," 13318-358 ")</f>
        <v> 13318-358 </v>
      </c>
      <c r="R54" s="9">
        <f>IFERROR(__xludf.DUMMYFUNCTION("SPLIT($K54,"" "","""")"),-2.3243468E7)</f>
        <v>-23243468</v>
      </c>
      <c r="S54" s="9">
        <f>IFERROR(__xludf.DUMMYFUNCTION("""COMPUTED_VALUE"""),-4.7041439E7)</f>
        <v>-47041439</v>
      </c>
      <c r="T54" s="10">
        <v>3508405.0</v>
      </c>
      <c r="U5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13318-358 ', 'PK-20686', SYSDATE, 0, 'PK-20686', SYSDATE, 'Avenida  Joaquim Monteiro  CECOM (Jacaré)', 'Avenida Joaquim Monteiro CECOM (Jacaré)', ' CECOM (Jacaré)', 'Avenida', '3508405', 'Avenida Joaquim Monteiro CECOM (Jacaré)',' CECOM (Jacaré)', '1', 'SP', '1', '-23243468', '-47041439', ' CECOM (Jacaré)' </v>
      </c>
    </row>
    <row r="55" ht="15.75" customHeight="1">
      <c r="A55" s="4" t="s">
        <v>186</v>
      </c>
      <c r="B55" s="5" t="s">
        <v>164</v>
      </c>
      <c r="C55" s="4" t="s">
        <v>10</v>
      </c>
      <c r="D55" s="5" t="s">
        <v>187</v>
      </c>
      <c r="E55" s="6">
        <v>214.0</v>
      </c>
      <c r="F55" s="6" t="s">
        <v>12</v>
      </c>
      <c r="G55" s="3" t="s">
        <v>13</v>
      </c>
      <c r="H55" s="7" t="str">
        <f>IFERROR(__xludf.DUMMYFUNCTION("SPLIT(A20,""Avenida"","""")"),"Alameda    dos Coqueiros")</f>
        <v>Alameda    dos Coqueiros</v>
      </c>
      <c r="J55" s="3" t="s">
        <v>188</v>
      </c>
      <c r="K55" s="8" t="str">
        <f>IFERROR(__xludf.DUMMYFUNCTION("SPLIT($J55,""   "","""")"),"-23.305986 -47.136791")</f>
        <v>-23.305986 -47.136791</v>
      </c>
      <c r="L55" s="7" t="str">
        <f>IFERROR(__xludf.DUMMYFUNCTION("""COMPUTED_VALUE"""),"Rua")</f>
        <v>Rua</v>
      </c>
      <c r="M55" s="7" t="str">
        <f>IFERROR(__xludf.DUMMYFUNCTION("""COMPUTED_VALUE""")," Izidoro Franceschini")</f>
        <v> Izidoro Franceschini</v>
      </c>
      <c r="N55" s="7" t="str">
        <f>IFERROR(__xludf.DUMMYFUNCTION("""COMPUTED_VALUE""")," Jardim Alice (Centro)")</f>
        <v> Jardim Alice (Centro)</v>
      </c>
      <c r="O55" s="7" t="str">
        <f>IFERROR(__xludf.DUMMYFUNCTION("""COMPUTED_VALUE""")," Cabreúva")</f>
        <v> Cabreúva</v>
      </c>
      <c r="P55" s="7" t="str">
        <f>IFERROR(__xludf.DUMMYFUNCTION("""COMPUTED_VALUE"""),"SP")</f>
        <v>SP</v>
      </c>
      <c r="Q55" s="7" t="str">
        <f>IFERROR(__xludf.DUMMYFUNCTION("""COMPUTED_VALUE""")," 13315-176 ")</f>
        <v> 13315-176 </v>
      </c>
      <c r="R55" s="9">
        <f>IFERROR(__xludf.DUMMYFUNCTION("SPLIT($K55,"" "","""")"),-2.3305986E7)</f>
        <v>-23305986</v>
      </c>
      <c r="S55" s="9">
        <f>IFERROR(__xludf.DUMMYFUNCTION("""COMPUTED_VALUE"""),-4.7136791E7)</f>
        <v>-47136791</v>
      </c>
      <c r="T55" s="10">
        <v>3508405.0</v>
      </c>
      <c r="U5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13315-176 ', 'PK-20686', SYSDATE, 0, 'PK-20686', SYSDATE, 'Rua  Izidoro Franceschini  Jardim Alice (Centro)', 'Rua Izidoro Franceschini Jardim Alice (Centro)', ' Jardim Alice (Centro)', 'Rua', '3508405', 'Rua Izidoro Franceschini Jardim Alice (Centro)',' Jardim Alice (Centro)', '1', 'SP', '1', '-23305986', '-47136791', ' Jardim Alice (Centro)' </v>
      </c>
    </row>
    <row r="56" ht="15.75" customHeight="1">
      <c r="A56" s="4" t="s">
        <v>189</v>
      </c>
      <c r="B56" s="5" t="s">
        <v>190</v>
      </c>
      <c r="C56" s="4" t="s">
        <v>10</v>
      </c>
      <c r="D56" s="5" t="s">
        <v>191</v>
      </c>
      <c r="E56" s="6">
        <v>214.0</v>
      </c>
      <c r="F56" s="6" t="s">
        <v>12</v>
      </c>
      <c r="G56" s="3" t="s">
        <v>13</v>
      </c>
      <c r="H56" s="7" t="str">
        <f>IFERROR(__xludf.DUMMYFUNCTION("SPLIT(A21,""Avenida"","""")"),"Alameda    dos Eucalyptus")</f>
        <v>Alameda    dos Eucalyptus</v>
      </c>
      <c r="J56" s="3" t="s">
        <v>192</v>
      </c>
      <c r="K56" s="8" t="str">
        <f>IFERROR(__xludf.DUMMYFUNCTION("SPLIT($J56,""   "","""")"),"-23.364334 -47.099753")</f>
        <v>-23.364334 -47.099753</v>
      </c>
      <c r="L56" s="7" t="str">
        <f>IFERROR(__xludf.DUMMYFUNCTION("""COMPUTED_VALUE"""),"Rua")</f>
        <v>Rua</v>
      </c>
      <c r="M56" s="7" t="str">
        <f>IFERROR(__xludf.DUMMYFUNCTION("""COMPUTED_VALUE""")," A")</f>
        <v> A</v>
      </c>
      <c r="N56" s="7" t="str">
        <f>IFERROR(__xludf.DUMMYFUNCTION("""COMPUTED_VALUE""")," Fazenda Sossego (São Francisco)")</f>
        <v> Fazenda Sossego (São Francisco)</v>
      </c>
      <c r="O56" s="7" t="str">
        <f>IFERROR(__xludf.DUMMYFUNCTION("""COMPUTED_VALUE""")," Cabreúva")</f>
        <v> Cabreúva</v>
      </c>
      <c r="P56" s="7" t="str">
        <f>IFERROR(__xludf.DUMMYFUNCTION("""COMPUTED_VALUE"""),"SP")</f>
        <v>SP</v>
      </c>
      <c r="Q56" s="7" t="str">
        <f>IFERROR(__xludf.DUMMYFUNCTION("""COMPUTED_VALUE""")," 13316-700 ")</f>
        <v> 13316-700 </v>
      </c>
      <c r="R56" s="9">
        <f>IFERROR(__xludf.DUMMYFUNCTION("SPLIT($K56,"" "","""")"),-2.3364334E7)</f>
        <v>-23364334</v>
      </c>
      <c r="S56" s="9">
        <f>IFERROR(__xludf.DUMMYFUNCTION("""COMPUTED_VALUE"""),-4.7099753E7)</f>
        <v>-47099753</v>
      </c>
      <c r="T56" s="10">
        <v>3508405.0</v>
      </c>
      <c r="U5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13316-700 ', 'PK-20686', SYSDATE, 0, 'PK-20686', SYSDATE, 'Rua  A  Fazenda Sossego (São Francisco)', 'Rua A Fazenda Sossego (São Francisco)', ' Fazenda Sossego (São Francisco)', 'Rua', '3508405', 'Rua A Fazenda Sossego (São Francisco)',' Fazenda Sossego (São Francisco)', '1', 'SP', '1', '-23364334', '-47099753', ' Fazenda Sossego (São Francisco)' </v>
      </c>
    </row>
    <row r="57" ht="15.75" hidden="1" customHeight="1">
      <c r="A57" s="4" t="s">
        <v>189</v>
      </c>
      <c r="B57" s="5" t="s">
        <v>193</v>
      </c>
      <c r="C57" s="4" t="s">
        <v>10</v>
      </c>
      <c r="D57" s="5" t="s">
        <v>194</v>
      </c>
      <c r="E57" s="6">
        <v>214.0</v>
      </c>
      <c r="F57" s="6" t="s">
        <v>12</v>
      </c>
      <c r="G57" s="3" t="s">
        <v>13</v>
      </c>
      <c r="H57" s="7" t="str">
        <f>IFERROR(__xludf.DUMMYFUNCTION("SPLIT(A22,""Avenida"","""")"),"Alameda    dos Jacarandás")</f>
        <v>Alameda    dos Jacarandás</v>
      </c>
      <c r="J57" s="3" t="s">
        <v>195</v>
      </c>
      <c r="K57" s="8" t="str">
        <f>IFERROR(__xludf.DUMMYFUNCTION("SPLIT($J57,""   "","""")"),"-23.296793 -47.080657")</f>
        <v>-23.296793 -47.080657</v>
      </c>
      <c r="L57" s="7" t="str">
        <f>IFERROR(__xludf.DUMMYFUNCTION("""COMPUTED_VALUE"""),"Estrada")</f>
        <v>Estrada</v>
      </c>
      <c r="M57" s="7" t="str">
        <f>IFERROR(__xludf.DUMMYFUNCTION("""COMPUTED_VALUE""")," Ribeirão dos Padres")</f>
        <v> Ribeirão dos Padres</v>
      </c>
      <c r="N57" s="7" t="str">
        <f>IFERROR(__xludf.DUMMYFUNCTION("""COMPUTED_VALUE""")," Bananal")</f>
        <v> Bananal</v>
      </c>
      <c r="O57" s="7" t="str">
        <f>IFERROR(__xludf.DUMMYFUNCTION("""COMPUTED_VALUE""")," Cabreúva")</f>
        <v> Cabreúva</v>
      </c>
      <c r="P57" s="7" t="str">
        <f>IFERROR(__xludf.DUMMYFUNCTION("""COMPUTED_VALUE"""),"SP")</f>
        <v>SP</v>
      </c>
      <c r="Q57" s="7" t="str">
        <f>IFERROR(__xludf.DUMMYFUNCTION("""COMPUTED_VALUE""")," 13316-810 ")</f>
        <v> 13316-810 </v>
      </c>
      <c r="R57" s="9">
        <f>IFERROR(__xludf.DUMMYFUNCTION("SPLIT($K57,"" "","""")"),-2.3296793E7)</f>
        <v>-23296793</v>
      </c>
      <c r="S57" s="9">
        <f>IFERROR(__xludf.DUMMYFUNCTION("""COMPUTED_VALUE"""),-4.7080657E7)</f>
        <v>-47080657</v>
      </c>
      <c r="T57" s="10">
        <v>3508405.0</v>
      </c>
      <c r="U5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13316-810 ', 'PK-20686', SYSDATE, 0, 'PK-20686', SYSDATE, 'Estrada  Ribeirão dos Padres  Bananal', 'Estrada Ribeirão dos Padres Bananal', ' Bananal', 'Estrada', '3508405', 'Estrada Ribeirão dos Padres Bananal',' Bananal', '1', 'SP', '1', '-23296793', '-47080657', ' Bananal' </v>
      </c>
    </row>
    <row r="58" ht="15.75" customHeight="1">
      <c r="A58" s="4" t="s">
        <v>189</v>
      </c>
      <c r="B58" s="5" t="s">
        <v>160</v>
      </c>
      <c r="C58" s="4" t="s">
        <v>10</v>
      </c>
      <c r="D58" s="5" t="s">
        <v>196</v>
      </c>
      <c r="E58" s="6">
        <v>214.0</v>
      </c>
      <c r="F58" s="6" t="s">
        <v>12</v>
      </c>
      <c r="G58" s="3" t="s">
        <v>13</v>
      </c>
      <c r="H58" s="7" t="str">
        <f>IFERROR(__xludf.DUMMYFUNCTION("SPLIT(A23,""Avenida"","""")"),"Alameda    dos Pinheiros")</f>
        <v>Alameda    dos Pinheiros</v>
      </c>
      <c r="J58" s="3" t="s">
        <v>197</v>
      </c>
      <c r="K58" s="8" t="str">
        <f>IFERROR(__xludf.DUMMYFUNCTION("SPLIT($J58,""   "","""")"),"-23.305244 -47.128515")</f>
        <v>-23.305244 -47.128515</v>
      </c>
      <c r="L58" s="7" t="str">
        <f>IFERROR(__xludf.DUMMYFUNCTION("""COMPUTED_VALUE"""),"Rua")</f>
        <v>Rua</v>
      </c>
      <c r="M58" s="7" t="str">
        <f>IFERROR(__xludf.DUMMYFUNCTION("""COMPUTED_VALUE""")," Doutor Hermogenes Godoy")</f>
        <v> Doutor Hermogenes Godoy</v>
      </c>
      <c r="N58" s="7" t="str">
        <f>IFERROR(__xludf.DUMMYFUNCTION("""COMPUTED_VALUE""")," Jardim Zicatti (Centro)")</f>
        <v> Jardim Zicatti (Centro)</v>
      </c>
      <c r="O58" s="7" t="str">
        <f>IFERROR(__xludf.DUMMYFUNCTION("""COMPUTED_VALUE""")," Cabreúva")</f>
        <v> Cabreúva</v>
      </c>
      <c r="P58" s="7" t="str">
        <f>IFERROR(__xludf.DUMMYFUNCTION("""COMPUTED_VALUE"""),"SP")</f>
        <v>SP</v>
      </c>
      <c r="Q58" s="7" t="str">
        <f>IFERROR(__xludf.DUMMYFUNCTION("""COMPUTED_VALUE""")," 13315-188 ")</f>
        <v> 13315-188 </v>
      </c>
      <c r="R58" s="9">
        <f>IFERROR(__xludf.DUMMYFUNCTION("SPLIT($K58,"" "","""")"),-2.3305244E7)</f>
        <v>-23305244</v>
      </c>
      <c r="S58" s="9">
        <f>IFERROR(__xludf.DUMMYFUNCTION("""COMPUTED_VALUE"""),-4.7128515E7)</f>
        <v>-47128515</v>
      </c>
      <c r="T58" s="10">
        <v>3508405.0</v>
      </c>
      <c r="U5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13315-188 ', 'PK-20686', SYSDATE, 0, 'PK-20686', SYSDATE, 'Rua  Doutor Hermogenes Godoy  Jardim Zicatti (Centro)', 'Rua Doutor Hermogenes Godoy Jardim Zicatti (Centro)', ' Jardim Zicatti (Centro)', 'Rua', '3508405', 'Rua Doutor Hermogenes Godoy Jardim Zicatti (Centro)',' Jardim Zicatti (Centro)', '1', 'SP', '1', '-23305244', '-47128515', ' Jardim Zicatti (Centro)' </v>
      </c>
    </row>
    <row r="59" ht="15.75" customHeight="1">
      <c r="A59" s="4" t="s">
        <v>198</v>
      </c>
      <c r="B59" s="5" t="s">
        <v>199</v>
      </c>
      <c r="C59" s="4" t="s">
        <v>10</v>
      </c>
      <c r="D59" s="5" t="s">
        <v>200</v>
      </c>
      <c r="E59" s="6">
        <v>214.0</v>
      </c>
      <c r="F59" s="6" t="s">
        <v>12</v>
      </c>
      <c r="G59" s="3" t="s">
        <v>13</v>
      </c>
      <c r="H59" s="7" t="str">
        <f>IFERROR(__xludf.DUMMYFUNCTION("SPLIT(A24,""Avenida"","""")"),"Alameda    dos Sabiás")</f>
        <v>Alameda    dos Sabiás</v>
      </c>
      <c r="J59" s="3" t="s">
        <v>201</v>
      </c>
      <c r="K59" s="8" t="str">
        <f>IFERROR(__xludf.DUMMYFUNCTION("SPLIT($J59,""   "","""")"),"-23.278669 -47.061364")</f>
        <v>-23.278669 -47.061364</v>
      </c>
      <c r="L59" s="7" t="str">
        <f>IFERROR(__xludf.DUMMYFUNCTION("""COMPUTED_VALUE"""),"Rua")</f>
        <v>Rua</v>
      </c>
      <c r="M59" s="7" t="str">
        <f>IFERROR(__xludf.DUMMYFUNCTION("""COMPUTED_VALUE""")," Campo Belo")</f>
        <v> Campo Belo</v>
      </c>
      <c r="N59" s="7" t="str">
        <f>IFERROR(__xludf.DUMMYFUNCTION("""COMPUTED_VALUE""")," Novo Bonfim (Vilarejo)")</f>
        <v> Novo Bonfim (Vilarejo)</v>
      </c>
      <c r="O59" s="7" t="str">
        <f>IFERROR(__xludf.DUMMYFUNCTION("""COMPUTED_VALUE""")," Cabreúva")</f>
        <v> Cabreúva</v>
      </c>
      <c r="P59" s="7" t="str">
        <f>IFERROR(__xludf.DUMMYFUNCTION("""COMPUTED_VALUE"""),"SP")</f>
        <v>SP</v>
      </c>
      <c r="Q59" s="7" t="str">
        <f>IFERROR(__xludf.DUMMYFUNCTION("""COMPUTED_VALUE""")," 13317-780 ")</f>
        <v> 13317-780 </v>
      </c>
      <c r="R59" s="9">
        <f>IFERROR(__xludf.DUMMYFUNCTION("SPLIT($K59,"" "","""")"),-2.3278669E7)</f>
        <v>-23278669</v>
      </c>
      <c r="S59" s="9">
        <f>IFERROR(__xludf.DUMMYFUNCTION("""COMPUTED_VALUE"""),-4.7061364E7)</f>
        <v>-47061364</v>
      </c>
      <c r="T59" s="10">
        <v>3508405.0</v>
      </c>
      <c r="U5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13317-780 ', 'PK-20686', SYSDATE, 0, 'PK-20686', SYSDATE, 'Rua  Campo Belo  Novo Bonfim (Vilarejo)', 'Rua Campo Belo Novo Bonfim (Vilarejo)', ' Novo Bonfim (Vilarejo)', 'Rua', '3508405', 'Rua Campo Belo Novo Bonfim (Vilarejo)',' Novo Bonfim (Vilarejo)', '1', 'SP', '1', '-23278669', '-47061364', ' Novo Bonfim (Vilarejo)' </v>
      </c>
    </row>
    <row r="60" ht="15.75" customHeight="1">
      <c r="A60" s="4" t="s">
        <v>202</v>
      </c>
      <c r="B60" s="5" t="s">
        <v>35</v>
      </c>
      <c r="C60" s="4" t="s">
        <v>10</v>
      </c>
      <c r="D60" s="5" t="s">
        <v>203</v>
      </c>
      <c r="E60" s="6">
        <v>214.0</v>
      </c>
      <c r="F60" s="6" t="s">
        <v>12</v>
      </c>
      <c r="G60" s="3" t="s">
        <v>13</v>
      </c>
      <c r="H60" s="7" t="str">
        <f>IFERROR(__xludf.DUMMYFUNCTION("SPLIT(A25,""Avenida"","""")"),"Alameda    dos Tucanos")</f>
        <v>Alameda    dos Tucanos</v>
      </c>
      <c r="J60" s="3" t="s">
        <v>204</v>
      </c>
      <c r="K60" s="8" t="str">
        <f>IFERROR(__xludf.DUMMYFUNCTION("SPLIT($J60,""   "","""")"),"-23.315225 -47.132355")</f>
        <v>-23.315225 -47.132355</v>
      </c>
      <c r="L60" s="7" t="str">
        <f>IFERROR(__xludf.DUMMYFUNCTION("""COMPUTED_VALUE"""),"Rua")</f>
        <v>Rua</v>
      </c>
      <c r="M60" s="7" t="str">
        <f>IFERROR(__xludf.DUMMYFUNCTION("""COMPUTED_VALUE""")," Jundiaí")</f>
        <v> Jundiaí</v>
      </c>
      <c r="N60" s="7" t="str">
        <f>IFERROR(__xludf.DUMMYFUNCTION("""COMPUTED_VALUE""")," Nova Cabreúva (Centro)")</f>
        <v> Nova Cabreúva (Centro)</v>
      </c>
      <c r="O60" s="7" t="str">
        <f>IFERROR(__xludf.DUMMYFUNCTION("""COMPUTED_VALUE""")," Cabreúva")</f>
        <v> Cabreúva</v>
      </c>
      <c r="P60" s="7" t="str">
        <f>IFERROR(__xludf.DUMMYFUNCTION("""COMPUTED_VALUE"""),"SP")</f>
        <v>SP</v>
      </c>
      <c r="Q60" s="7" t="str">
        <f>IFERROR(__xludf.DUMMYFUNCTION("""COMPUTED_VALUE""")," 13315-102 ")</f>
        <v> 13315-102 </v>
      </c>
      <c r="R60" s="9">
        <f>IFERROR(__xludf.DUMMYFUNCTION("SPLIT($K60,"" "","""")"),-2.3315225E7)</f>
        <v>-23315225</v>
      </c>
      <c r="S60" s="9">
        <f>IFERROR(__xludf.DUMMYFUNCTION("""COMPUTED_VALUE"""),-4.7132355E7)</f>
        <v>-47132355</v>
      </c>
      <c r="T60" s="10">
        <v>3508405.0</v>
      </c>
      <c r="U6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13315-102 ', 'PK-20686', SYSDATE, 0, 'PK-20686', SYSDATE, 'Rua  Jundiaí  Nova Cabreúva (Centro)', 'Rua Jundiaí Nova Cabreúva (Centro)', ' Nova Cabreúva (Centro)', 'Rua', '3508405', 'Rua Jundiaí Nova Cabreúva (Centro)',' Nova Cabreúva (Centro)', '1', 'SP', '1', '-23315225', '-47132355', ' Nova Cabreúva (Centro)' </v>
      </c>
    </row>
    <row r="61" ht="15.75" customHeight="1">
      <c r="A61" s="4" t="s">
        <v>205</v>
      </c>
      <c r="B61" s="5" t="s">
        <v>24</v>
      </c>
      <c r="C61" s="4" t="s">
        <v>10</v>
      </c>
      <c r="D61" s="5" t="s">
        <v>206</v>
      </c>
      <c r="E61" s="6">
        <v>214.0</v>
      </c>
      <c r="F61" s="6" t="s">
        <v>12</v>
      </c>
      <c r="G61" s="3" t="s">
        <v>13</v>
      </c>
      <c r="H61" s="7" t="str">
        <f>IFERROR(__xludf.DUMMYFUNCTION("SPLIT(A26,""Avenida"","""")"),"Alameda    Morfantaine")</f>
        <v>Alameda    Morfantaine</v>
      </c>
      <c r="J61" s="3" t="s">
        <v>207</v>
      </c>
      <c r="K61" s="8" t="str">
        <f>IFERROR(__xludf.DUMMYFUNCTION("SPLIT($J61,""   "","""")"),"-23.307366 -47.133678")</f>
        <v>-23.307366 -47.133678</v>
      </c>
      <c r="L61" s="7" t="str">
        <f>IFERROR(__xludf.DUMMYFUNCTION("""COMPUTED_VALUE"""),"Rua")</f>
        <v>Rua</v>
      </c>
      <c r="M61" s="7" t="str">
        <f>IFERROR(__xludf.DUMMYFUNCTION("""COMPUTED_VALUE""")," Rodésia")</f>
        <v> Rodésia</v>
      </c>
      <c r="N61" s="7" t="str">
        <f>IFERROR(__xludf.DUMMYFUNCTION("""COMPUTED_VALUE""")," Jardim Residencial Bela Vista (Vilarejo)")</f>
        <v> Jardim Residencial Bela Vista (Vilarejo)</v>
      </c>
      <c r="O61" s="7" t="str">
        <f>IFERROR(__xludf.DUMMYFUNCTION("""COMPUTED_VALUE""")," Cabreúva")</f>
        <v> Cabreúva</v>
      </c>
      <c r="P61" s="7" t="str">
        <f>IFERROR(__xludf.DUMMYFUNCTION("""COMPUTED_VALUE"""),"SP")</f>
        <v>SP</v>
      </c>
      <c r="Q61" s="7" t="str">
        <f>IFERROR(__xludf.DUMMYFUNCTION("""COMPUTED_VALUE""")," 13317-728 ")</f>
        <v> 13317-728 </v>
      </c>
      <c r="R61" s="9">
        <f>IFERROR(__xludf.DUMMYFUNCTION("SPLIT($K61,"" "","""")"),-2.3307366E7)</f>
        <v>-23307366</v>
      </c>
      <c r="S61" s="9">
        <f>IFERROR(__xludf.DUMMYFUNCTION("""COMPUTED_VALUE"""),-4.7133678E7)</f>
        <v>-47133678</v>
      </c>
      <c r="T61" s="10">
        <v>3508405.0</v>
      </c>
      <c r="U6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13317-728 ', 'PK-20686', SYSDATE, 0, 'PK-20686', SYSDATE, 'Rua  Rodésia  Jardim Residencial Bela Vista (Vilarejo)', 'Rua Rodésia Jardim Residencial Bela Vista (Vilarejo)', ' Jardim Residencial Bela Vista (Vilarejo)', 'Rua', '3508405', 'Rua Rodésia Jardim Residencial Bela Vista (Vilarejo)',' Jardim Residencial Bela Vista (Vilarejo)', '1', 'SP', '1', '-23307366', '-47133678', ' Jardim Residencial Bela Vista (Vilarejo)' </v>
      </c>
    </row>
    <row r="62" ht="15.75" customHeight="1">
      <c r="A62" s="4" t="s">
        <v>208</v>
      </c>
      <c r="B62" s="5" t="s">
        <v>35</v>
      </c>
      <c r="C62" s="4" t="s">
        <v>10</v>
      </c>
      <c r="D62" s="5" t="s">
        <v>209</v>
      </c>
      <c r="E62" s="6">
        <v>214.0</v>
      </c>
      <c r="F62" s="6" t="s">
        <v>12</v>
      </c>
      <c r="G62" s="3" t="s">
        <v>13</v>
      </c>
      <c r="H62" s="7" t="str">
        <f>IFERROR(__xludf.DUMMYFUNCTION("SPLIT(A27,""Avenida"","""")"),"Alameda    Saint George's")</f>
        <v>Alameda    Saint George's</v>
      </c>
      <c r="J62" s="3" t="s">
        <v>210</v>
      </c>
      <c r="K62" s="8" t="str">
        <f>IFERROR(__xludf.DUMMYFUNCTION("SPLIT($J62,""   "","""")"),"-23.314617 -47.131064")</f>
        <v>-23.314617 -47.131064</v>
      </c>
      <c r="L62" s="7" t="str">
        <f>IFERROR(__xludf.DUMMYFUNCTION("""COMPUTED_VALUE"""),"Rua")</f>
        <v>Rua</v>
      </c>
      <c r="M62" s="7" t="str">
        <f>IFERROR(__xludf.DUMMYFUNCTION("""COMPUTED_VALUE""")," Princesa Isabel")</f>
        <v> Princesa Isabel</v>
      </c>
      <c r="N62" s="7" t="str">
        <f>IFERROR(__xludf.DUMMYFUNCTION("""COMPUTED_VALUE""")," Jardim SantAna (Centro)")</f>
        <v> Jardim SantAna (Centro)</v>
      </c>
      <c r="O62" s="7" t="str">
        <f>IFERROR(__xludf.DUMMYFUNCTION("""COMPUTED_VALUE""")," Cabreúva")</f>
        <v> Cabreúva</v>
      </c>
      <c r="P62" s="7" t="str">
        <f>IFERROR(__xludf.DUMMYFUNCTION("""COMPUTED_VALUE"""),"SP")</f>
        <v>SP</v>
      </c>
      <c r="Q62" s="7" t="str">
        <f>IFERROR(__xludf.DUMMYFUNCTION("""COMPUTED_VALUE""")," 13315-088 ")</f>
        <v> 13315-088 </v>
      </c>
      <c r="R62" s="9">
        <f>IFERROR(__xludf.DUMMYFUNCTION("SPLIT($K62,"" "","""")"),-2.3314617E7)</f>
        <v>-23314617</v>
      </c>
      <c r="S62" s="9">
        <f>IFERROR(__xludf.DUMMYFUNCTION("""COMPUTED_VALUE"""),-4.7131064E7)</f>
        <v>-47131064</v>
      </c>
      <c r="T62" s="10">
        <v>3508405.0</v>
      </c>
      <c r="U6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13315-088 ', 'PK-20686', SYSDATE, 0, 'PK-20686', SYSDATE, 'Rua  Princesa Isabel  Jardim SantAna (Centro)', 'Rua Princesa Isabel Jardim SantAna (Centro)', ' Jardim SantAna (Centro)', 'Rua', '3508405', 'Rua Princesa Isabel Jardim SantAna (Centro)',' Jardim SantAna (Centro)', '1', 'SP', '1', '-23314617', '-47131064', ' Jardim SantAna (Centro)' </v>
      </c>
    </row>
    <row r="63" ht="15.75" customHeight="1">
      <c r="A63" s="4" t="s">
        <v>211</v>
      </c>
      <c r="B63" s="5" t="s">
        <v>212</v>
      </c>
      <c r="C63" s="4" t="s">
        <v>10</v>
      </c>
      <c r="D63" s="5" t="s">
        <v>213</v>
      </c>
      <c r="E63" s="6">
        <v>214.0</v>
      </c>
      <c r="F63" s="6" t="s">
        <v>12</v>
      </c>
      <c r="G63" s="3" t="s">
        <v>13</v>
      </c>
      <c r="H63" s="7" t="str">
        <f>IFERROR(__xludf.DUMMYFUNCTION("SPLIT(A28,""Avenida"","""")"),"Alameda    San Isidro")</f>
        <v>Alameda    San Isidro</v>
      </c>
      <c r="J63" s="3" t="s">
        <v>214</v>
      </c>
      <c r="K63" s="8" t="str">
        <f>IFERROR(__xludf.DUMMYFUNCTION("SPLIT($J63,""   "","""")"),"-23.26786 -47.06481")</f>
        <v>-23.26786 -47.06481</v>
      </c>
      <c r="L63" s="7" t="str">
        <f>IFERROR(__xludf.DUMMYFUNCTION("""COMPUTED_VALUE"""),"Rua")</f>
        <v>Rua</v>
      </c>
      <c r="M63" s="7" t="str">
        <f>IFERROR(__xludf.DUMMYFUNCTION("""COMPUTED_VALUE""")," Montreal")</f>
        <v> Montreal</v>
      </c>
      <c r="N63" s="7" t="str">
        <f>IFERROR(__xludf.DUMMYFUNCTION("""COMPUTED_VALUE""")," Ambrósio Castalde Neto (Vilarejo)")</f>
        <v> Ambrósio Castalde Neto (Vilarejo)</v>
      </c>
      <c r="O63" s="7" t="str">
        <f>IFERROR(__xludf.DUMMYFUNCTION("""COMPUTED_VALUE""")," Cabreúva")</f>
        <v> Cabreúva</v>
      </c>
      <c r="P63" s="7" t="str">
        <f>IFERROR(__xludf.DUMMYFUNCTION("""COMPUTED_VALUE"""),"SP")</f>
        <v>SP</v>
      </c>
      <c r="Q63" s="7" t="str">
        <f>IFERROR(__xludf.DUMMYFUNCTION("""COMPUTED_VALUE""")," 13317-600 ")</f>
        <v> 13317-600 </v>
      </c>
      <c r="R63" s="9">
        <f>IFERROR(__xludf.DUMMYFUNCTION("SPLIT($K63,"" "","""")"),-2326786.0)</f>
        <v>-2326786</v>
      </c>
      <c r="S63" s="9">
        <f>IFERROR(__xludf.DUMMYFUNCTION("""COMPUTED_VALUE"""),-4706481.0)</f>
        <v>-4706481</v>
      </c>
      <c r="T63" s="10">
        <v>3508405.0</v>
      </c>
      <c r="U6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13317-600 ', 'PK-20686', SYSDATE, 0, 'PK-20686', SYSDATE, 'Rua  Montreal  Ambrósio Castalde Neto (Vilarejo)', 'Rua Montreal Ambrósio Castalde Neto (Vilarejo)', ' Ambrósio Castalde Neto (Vilarejo)', 'Rua', '3508405', 'Rua Montreal Ambrósio Castalde Neto (Vilarejo)',' Ambrósio Castalde Neto (Vilarejo)', '1', 'SP', '1', '-2326786', '-4706481', ' Ambrósio Castalde Neto (Vilarejo)' </v>
      </c>
    </row>
    <row r="64" ht="15.75" customHeight="1">
      <c r="A64" s="4" t="s">
        <v>215</v>
      </c>
      <c r="B64" s="5" t="s">
        <v>216</v>
      </c>
      <c r="C64" s="4" t="s">
        <v>10</v>
      </c>
      <c r="D64" s="5" t="s">
        <v>217</v>
      </c>
      <c r="E64" s="6">
        <v>214.0</v>
      </c>
      <c r="F64" s="6" t="s">
        <v>12</v>
      </c>
      <c r="G64" s="3" t="s">
        <v>13</v>
      </c>
      <c r="H64" s="7" t="str">
        <f>IFERROR(__xludf.DUMMYFUNCTION("SPLIT(A29,""Avenida"","""")"),"Alameda    São Paulo Golf")</f>
        <v>Alameda    São Paulo Golf</v>
      </c>
      <c r="J64" s="3" t="s">
        <v>218</v>
      </c>
      <c r="K64" s="8" t="str">
        <f>IFERROR(__xludf.DUMMYFUNCTION("SPLIT($J64,""   "","""")"),"-23.260756 -47.052891")</f>
        <v>-23.260756 -47.052891</v>
      </c>
      <c r="L64" s="7" t="str">
        <f>IFERROR(__xludf.DUMMYFUNCTION("""COMPUTED_VALUE"""),"Rua")</f>
        <v>Rua</v>
      </c>
      <c r="M64" s="7" t="str">
        <f>IFERROR(__xludf.DUMMYFUNCTION("""COMPUTED_VALUE""")," Cristal")</f>
        <v> Cristal</v>
      </c>
      <c r="N64" s="7" t="str">
        <f>IFERROR(__xludf.DUMMYFUNCTION("""COMPUTED_VALUE""")," Jardim Colina da Serra (Jacaré)")</f>
        <v> Jardim Colina da Serra (Jacaré)</v>
      </c>
      <c r="O64" s="7" t="str">
        <f>IFERROR(__xludf.DUMMYFUNCTION("""COMPUTED_VALUE""")," Cabreúva")</f>
        <v> Cabreúva</v>
      </c>
      <c r="P64" s="7" t="str">
        <f>IFERROR(__xludf.DUMMYFUNCTION("""COMPUTED_VALUE"""),"SP")</f>
        <v>SP</v>
      </c>
      <c r="Q64" s="7" t="str">
        <f>IFERROR(__xludf.DUMMYFUNCTION("""COMPUTED_VALUE""")," 13318-244 ")</f>
        <v> 13318-244 </v>
      </c>
      <c r="R64" s="9">
        <f>IFERROR(__xludf.DUMMYFUNCTION("SPLIT($K64,"" "","""")"),-2.3260756E7)</f>
        <v>-23260756</v>
      </c>
      <c r="S64" s="9">
        <f>IFERROR(__xludf.DUMMYFUNCTION("""COMPUTED_VALUE"""),-4.7052891E7)</f>
        <v>-47052891</v>
      </c>
      <c r="T64" s="10">
        <v>3508405.0</v>
      </c>
      <c r="U6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13318-244 ', 'PK-20686', SYSDATE, 0, 'PK-20686', SYSDATE, 'Rua  Cristal  Jardim Colina da Serra (Jacaré)', 'Rua Cristal Jardim Colina da Serra (Jacaré)', ' Jardim Colina da Serra (Jacaré)', 'Rua', '3508405', 'Rua Cristal Jardim Colina da Serra (Jacaré)',' Jardim Colina da Serra (Jacaré)', '1', 'SP', '1', '-23260756', '-47052891', ' Jardim Colina da Serra (Jacaré)' </v>
      </c>
    </row>
    <row r="65" ht="15.75" customHeight="1">
      <c r="A65" s="4" t="s">
        <v>219</v>
      </c>
      <c r="B65" s="5" t="s">
        <v>199</v>
      </c>
      <c r="C65" s="4" t="s">
        <v>10</v>
      </c>
      <c r="D65" s="5" t="s">
        <v>220</v>
      </c>
      <c r="E65" s="6">
        <v>214.0</v>
      </c>
      <c r="F65" s="6" t="s">
        <v>12</v>
      </c>
      <c r="G65" s="3" t="s">
        <v>13</v>
      </c>
      <c r="H65" s="7" t="str">
        <f>IFERROR(__xludf.DUMMYFUNCTION("SPLIT(A30,""Avenida"","""")"),"Alameda    Seis")</f>
        <v>Alameda    Seis</v>
      </c>
      <c r="J65" s="3" t="s">
        <v>221</v>
      </c>
      <c r="K65" s="8" t="str">
        <f>IFERROR(__xludf.DUMMYFUNCTION("SPLIT($J65,""   "","""")"),"-23.30897 -47.131949")</f>
        <v>-23.30897 -47.131949</v>
      </c>
      <c r="L65" s="7" t="str">
        <f>IFERROR(__xludf.DUMMYFUNCTION("""COMPUTED_VALUE"""),"Rua")</f>
        <v>Rua</v>
      </c>
      <c r="M65" s="7" t="str">
        <f>IFERROR(__xludf.DUMMYFUNCTION("""COMPUTED_VALUE""")," Lauro Amirat")</f>
        <v> Lauro Amirat</v>
      </c>
      <c r="N65" s="7" t="str">
        <f>IFERROR(__xludf.DUMMYFUNCTION("""COMPUTED_VALUE""")," Centro")</f>
        <v> Centro</v>
      </c>
      <c r="O65" s="7" t="str">
        <f>IFERROR(__xludf.DUMMYFUNCTION("""COMPUTED_VALUE""")," Cabreúva")</f>
        <v> Cabreúva</v>
      </c>
      <c r="P65" s="7" t="str">
        <f>IFERROR(__xludf.DUMMYFUNCTION("""COMPUTED_VALUE"""),"SP")</f>
        <v>SP</v>
      </c>
      <c r="Q65" s="7" t="str">
        <f>IFERROR(__xludf.DUMMYFUNCTION("""COMPUTED_VALUE""")," 13315-007 ")</f>
        <v> 13315-007 </v>
      </c>
      <c r="R65" s="9">
        <f>IFERROR(__xludf.DUMMYFUNCTION("SPLIT($K65,"" "","""")"),-2330897.0)</f>
        <v>-2330897</v>
      </c>
      <c r="S65" s="9">
        <f>IFERROR(__xludf.DUMMYFUNCTION("""COMPUTED_VALUE"""),-4.7131949E7)</f>
        <v>-47131949</v>
      </c>
      <c r="T65" s="10">
        <v>3508405.0</v>
      </c>
      <c r="U6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13315-007 ', 'PK-20686', SYSDATE, 0, 'PK-20686', SYSDATE, 'Rua  Lauro Amirat  Centro', 'Rua Lauro Amirat Centro', ' Centro', 'Rua', '3508405', 'Rua Lauro Amirat Centro',' Centro', '1', 'SP', '1', '-2330897', '-47131949', ' Centro' </v>
      </c>
    </row>
    <row r="66" ht="15.75" customHeight="1">
      <c r="A66" s="4" t="s">
        <v>222</v>
      </c>
      <c r="B66" s="5" t="s">
        <v>223</v>
      </c>
      <c r="C66" s="4" t="s">
        <v>10</v>
      </c>
      <c r="D66" s="5" t="s">
        <v>224</v>
      </c>
      <c r="E66" s="6">
        <v>214.0</v>
      </c>
      <c r="F66" s="6" t="s">
        <v>12</v>
      </c>
      <c r="G66" s="3" t="s">
        <v>13</v>
      </c>
      <c r="H66" s="7" t="str">
        <f>IFERROR(__xludf.DUMMYFUNCTION("SPLIT(A31,""Avenida"","""")"),"Alameda    Sete")</f>
        <v>Alameda    Sete</v>
      </c>
      <c r="J66" s="3" t="s">
        <v>225</v>
      </c>
      <c r="K66" s="8" t="str">
        <f>IFERROR(__xludf.DUMMYFUNCTION("SPLIT($J66,""   "","""")"),"-23.307366 -47.133678")</f>
        <v>-23.307366 -47.133678</v>
      </c>
      <c r="L66" s="7" t="str">
        <f>IFERROR(__xludf.DUMMYFUNCTION("""COMPUTED_VALUE"""),"Rua")</f>
        <v>Rua</v>
      </c>
      <c r="M66" s="7" t="str">
        <f>IFERROR(__xludf.DUMMYFUNCTION("""COMPUTED_VALUE""")," Angola")</f>
        <v> Angola</v>
      </c>
      <c r="N66" s="7" t="str">
        <f>IFERROR(__xludf.DUMMYFUNCTION("""COMPUTED_VALUE""")," Jardim Residencial Bela Vista (Vilarejo)")</f>
        <v> Jardim Residencial Bela Vista (Vilarejo)</v>
      </c>
      <c r="O66" s="7" t="str">
        <f>IFERROR(__xludf.DUMMYFUNCTION("""COMPUTED_VALUE""")," Cabreúva")</f>
        <v> Cabreúva</v>
      </c>
      <c r="P66" s="7" t="str">
        <f>IFERROR(__xludf.DUMMYFUNCTION("""COMPUTED_VALUE"""),"SP")</f>
        <v>SP</v>
      </c>
      <c r="Q66" s="7" t="str">
        <f>IFERROR(__xludf.DUMMYFUNCTION("""COMPUTED_VALUE""")," 13317-712 ")</f>
        <v> 13317-712 </v>
      </c>
      <c r="R66" s="9">
        <f>IFERROR(__xludf.DUMMYFUNCTION("SPLIT($K66,"" "","""")"),-2.3307366E7)</f>
        <v>-23307366</v>
      </c>
      <c r="S66" s="9">
        <f>IFERROR(__xludf.DUMMYFUNCTION("""COMPUTED_VALUE"""),-4.7133678E7)</f>
        <v>-47133678</v>
      </c>
      <c r="T66" s="10">
        <v>3508405.0</v>
      </c>
      <c r="U6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13317-712 ', 'PK-20686', SYSDATE, 0, 'PK-20686', SYSDATE, 'Rua  Angola  Jardim Residencial Bela Vista (Vilarejo)', 'Rua Angola Jardim Residencial Bela Vista (Vilarejo)', ' Jardim Residencial Bela Vista (Vilarejo)', 'Rua', '3508405', 'Rua Angola Jardim Residencial Bela Vista (Vilarejo)',' Jardim Residencial Bela Vista (Vilarejo)', '1', 'SP', '1', '-23307366', '-47133678', ' Jardim Residencial Bela Vista (Vilarejo)' </v>
      </c>
    </row>
    <row r="67" ht="15.75" customHeight="1">
      <c r="A67" s="4" t="s">
        <v>222</v>
      </c>
      <c r="B67" s="5" t="s">
        <v>226</v>
      </c>
      <c r="C67" s="4" t="s">
        <v>10</v>
      </c>
      <c r="D67" s="5" t="s">
        <v>227</v>
      </c>
      <c r="E67" s="6">
        <v>214.0</v>
      </c>
      <c r="F67" s="6" t="s">
        <v>12</v>
      </c>
      <c r="G67" s="3" t="s">
        <v>13</v>
      </c>
      <c r="H67" s="7" t="str">
        <f>IFERROR(__xludf.DUMMYFUNCTION("SPLIT(A32,""Avenida"","""")"),"Alameda    Três")</f>
        <v>Alameda    Três</v>
      </c>
      <c r="J67" s="3" t="s">
        <v>228</v>
      </c>
      <c r="K67" s="8" t="str">
        <f>IFERROR(__xludf.DUMMYFUNCTION("SPLIT($J67,""   "","""")"),"-23.307366 -47.133678")</f>
        <v>-23.307366 -47.133678</v>
      </c>
      <c r="L67" s="7" t="str">
        <f>IFERROR(__xludf.DUMMYFUNCTION("""COMPUTED_VALUE"""),"Rua")</f>
        <v>Rua</v>
      </c>
      <c r="M67" s="7" t="str">
        <f>IFERROR(__xludf.DUMMYFUNCTION("""COMPUTED_VALUE""")," China")</f>
        <v> China</v>
      </c>
      <c r="N67" s="7" t="str">
        <f>IFERROR(__xludf.DUMMYFUNCTION("""COMPUTED_VALUE""")," Villarejo Sopé da Serra (Vilarejo)")</f>
        <v> Villarejo Sopé da Serra (Vilarejo)</v>
      </c>
      <c r="O67" s="7" t="str">
        <f>IFERROR(__xludf.DUMMYFUNCTION("""COMPUTED_VALUE""")," Cabreúva")</f>
        <v> Cabreúva</v>
      </c>
      <c r="P67" s="7" t="str">
        <f>IFERROR(__xludf.DUMMYFUNCTION("""COMPUTED_VALUE"""),"SP")</f>
        <v>SP</v>
      </c>
      <c r="Q67" s="7" t="str">
        <f>IFERROR(__xludf.DUMMYFUNCTION("""COMPUTED_VALUE""")," 13317-622 ")</f>
        <v> 13317-622 </v>
      </c>
      <c r="R67" s="9">
        <f>IFERROR(__xludf.DUMMYFUNCTION("SPLIT($K67,"" "","""")"),-2.3307366E7)</f>
        <v>-23307366</v>
      </c>
      <c r="S67" s="9">
        <f>IFERROR(__xludf.DUMMYFUNCTION("""COMPUTED_VALUE"""),-4.7133678E7)</f>
        <v>-47133678</v>
      </c>
      <c r="T67" s="10">
        <v>3508405.0</v>
      </c>
      <c r="U6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13317-622 ', 'PK-20686', SYSDATE, 0, 'PK-20686', SYSDATE, 'Rua  China  Villarejo Sopé da Serra (Vilarejo)', 'Rua China Villarejo Sopé da Serra (Vilarejo)', ' Villarejo Sopé da Serra (Vilarejo)', 'Rua', '3508405', 'Rua China Villarejo Sopé da Serra (Vilarejo)',' Villarejo Sopé da Serra (Vilarejo)', '1', 'SP', '1', '-23307366', '-47133678', ' Villarejo Sopé da Serra (Vilarejo)' </v>
      </c>
    </row>
    <row r="68" ht="15.75" hidden="1" customHeight="1">
      <c r="A68" s="4" t="s">
        <v>222</v>
      </c>
      <c r="B68" s="5" t="s">
        <v>24</v>
      </c>
      <c r="C68" s="4" t="s">
        <v>10</v>
      </c>
      <c r="D68" s="5" t="s">
        <v>229</v>
      </c>
      <c r="E68" s="6">
        <v>214.0</v>
      </c>
      <c r="F68" s="6" t="s">
        <v>12</v>
      </c>
      <c r="G68" s="3" t="s">
        <v>13</v>
      </c>
      <c r="H68" s="7" t="str">
        <f>IFERROR(__xludf.DUMMYFUNCTION("SPLIT(A33,""Avenida"","""")"),"Alameda    Um")</f>
        <v>Alameda    Um</v>
      </c>
      <c r="J68" s="3" t="s">
        <v>230</v>
      </c>
      <c r="K68" s="8" t="str">
        <f>IFERROR(__xludf.DUMMYFUNCTION("SPLIT($J68,""   "","""")"),"-23.254445 -47.049245")</f>
        <v>-23.254445 -47.049245</v>
      </c>
      <c r="L68" s="7" t="str">
        <f>IFERROR(__xludf.DUMMYFUNCTION("""COMPUTED_VALUE"""),"Alameda")</f>
        <v>Alameda</v>
      </c>
      <c r="M68" s="7" t="str">
        <f>IFERROR(__xludf.DUMMYFUNCTION("""COMPUTED_VALUE""")," das Quaresmeiras")</f>
        <v> das Quaresmeiras</v>
      </c>
      <c r="N68" s="7" t="str">
        <f>IFERROR(__xludf.DUMMYFUNCTION("""COMPUTED_VALUE""")," Portal da Concórdia (Jacaré)")</f>
        <v> Portal da Concórdia (Jacaré)</v>
      </c>
      <c r="O68" s="7" t="str">
        <f>IFERROR(__xludf.DUMMYFUNCTION("""COMPUTED_VALUE""")," Cabreúva")</f>
        <v> Cabreúva</v>
      </c>
      <c r="P68" s="7" t="str">
        <f>IFERROR(__xludf.DUMMYFUNCTION("""COMPUTED_VALUE"""),"SP")</f>
        <v>SP</v>
      </c>
      <c r="Q68" s="7" t="str">
        <f>IFERROR(__xludf.DUMMYFUNCTION("""COMPUTED_VALUE""")," 13318-326 ")</f>
        <v> 13318-326 </v>
      </c>
      <c r="R68" s="9">
        <f>IFERROR(__xludf.DUMMYFUNCTION("SPLIT($K68,"" "","""")"),-2.3254445E7)</f>
        <v>-23254445</v>
      </c>
      <c r="S68" s="9">
        <f>IFERROR(__xludf.DUMMYFUNCTION("""COMPUTED_VALUE"""),-4.7049245E7)</f>
        <v>-47049245</v>
      </c>
      <c r="T68" s="10">
        <v>3508405.0</v>
      </c>
      <c r="U6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13318-326 ', 'PK-20686', SYSDATE, 0, 'PK-20686', SYSDATE, 'Alameda  das Quaresmeiras  Portal da Concórdia (Jacaré)', 'Alameda das Quaresmeiras Portal da Concórdia (Jacaré)', ' Portal da Concórdia (Jacaré)', 'Alameda', '3508405', 'Alameda das Quaresmeiras Portal da Concórdia (Jacaré)',' Portal da Concórdia (Jacaré)', '1', 'SP', '1', '-23254445', '-47049245', ' Portal da Concórdia (Jacaré)' </v>
      </c>
    </row>
    <row r="69" ht="15.75" customHeight="1">
      <c r="A69" s="4" t="s">
        <v>222</v>
      </c>
      <c r="B69" s="5" t="s">
        <v>231</v>
      </c>
      <c r="C69" s="4" t="s">
        <v>10</v>
      </c>
      <c r="D69" s="5" t="s">
        <v>232</v>
      </c>
      <c r="E69" s="6">
        <v>214.0</v>
      </c>
      <c r="F69" s="6" t="s">
        <v>12</v>
      </c>
      <c r="G69" s="3" t="s">
        <v>13</v>
      </c>
      <c r="H69" s="7" t="str">
        <f>IFERROR(__xludf.DUMMYFUNCTION("SPLIT(A34,""Avenida"","""")"),"Área    Rural")</f>
        <v>Área    Rural</v>
      </c>
      <c r="J69" s="3" t="s">
        <v>233</v>
      </c>
      <c r="K69" s="8" t="str">
        <f>IFERROR(__xludf.DUMMYFUNCTION("SPLIT($J69,""   "","""")"),"-23.307366 -47.133678")</f>
        <v>-23.307366 -47.133678</v>
      </c>
      <c r="L69" s="7" t="str">
        <f>IFERROR(__xludf.DUMMYFUNCTION("""COMPUTED_VALUE"""),"Rua")</f>
        <v>Rua</v>
      </c>
      <c r="M69" s="7" t="str">
        <f>IFERROR(__xludf.DUMMYFUNCTION("""COMPUTED_VALUE""")," Congo")</f>
        <v> Congo</v>
      </c>
      <c r="N69" s="7" t="str">
        <f>IFERROR(__xludf.DUMMYFUNCTION("""COMPUTED_VALUE""")," Jardim Residencial Bela Vista (Vilarejo)")</f>
        <v> Jardim Residencial Bela Vista (Vilarejo)</v>
      </c>
      <c r="O69" s="7" t="str">
        <f>IFERROR(__xludf.DUMMYFUNCTION("""COMPUTED_VALUE""")," Cabreúva")</f>
        <v> Cabreúva</v>
      </c>
      <c r="P69" s="7" t="str">
        <f>IFERROR(__xludf.DUMMYFUNCTION("""COMPUTED_VALUE"""),"SP")</f>
        <v>SP</v>
      </c>
      <c r="Q69" s="7" t="str">
        <f>IFERROR(__xludf.DUMMYFUNCTION("""COMPUTED_VALUE""")," 13317-716 ")</f>
        <v> 13317-716 </v>
      </c>
      <c r="R69" s="9">
        <f>IFERROR(__xludf.DUMMYFUNCTION("SPLIT($K69,"" "","""")"),-2.3307366E7)</f>
        <v>-23307366</v>
      </c>
      <c r="S69" s="9">
        <f>IFERROR(__xludf.DUMMYFUNCTION("""COMPUTED_VALUE"""),-4.7133678E7)</f>
        <v>-47133678</v>
      </c>
      <c r="T69" s="10">
        <v>3508405.0</v>
      </c>
      <c r="U6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13317-716 ', 'PK-20686', SYSDATE, 0, 'PK-20686', SYSDATE, 'Rua  Congo  Jardim Residencial Bela Vista (Vilarejo)', 'Rua Congo Jardim Residencial Bela Vista (Vilarejo)', ' Jardim Residencial Bela Vista (Vilarejo)', 'Rua', '3508405', 'Rua Congo Jardim Residencial Bela Vista (Vilarejo)',' Jardim Residencial Bela Vista (Vilarejo)', '1', 'SP', '1', '-23307366', '-47133678', ' Jardim Residencial Bela Vista (Vilarejo)' </v>
      </c>
    </row>
    <row r="70" ht="15.75" customHeight="1">
      <c r="A70" s="4" t="s">
        <v>222</v>
      </c>
      <c r="B70" s="5" t="s">
        <v>160</v>
      </c>
      <c r="C70" s="4" t="s">
        <v>10</v>
      </c>
      <c r="D70" s="5" t="s">
        <v>234</v>
      </c>
      <c r="E70" s="6">
        <v>214.0</v>
      </c>
      <c r="F70" s="6" t="s">
        <v>12</v>
      </c>
      <c r="G70" s="3" t="s">
        <v>13</v>
      </c>
      <c r="H70" s="7" t="str">
        <f>IFERROR(__xludf.DUMMYFUNCTION("SPLIT(A35,""Avenida"","""")"),"Área    Rural")</f>
        <v>Área    Rural</v>
      </c>
      <c r="J70" s="3" t="s">
        <v>235</v>
      </c>
      <c r="K70" s="8" t="str">
        <f>IFERROR(__xludf.DUMMYFUNCTION("SPLIT($J70,""   "","""")"),"-23.287089 -47.05739")</f>
        <v>-23.287089 -47.05739</v>
      </c>
      <c r="L70" s="7" t="str">
        <f>IFERROR(__xludf.DUMMYFUNCTION("""COMPUTED_VALUE"""),"Rua")</f>
        <v>Rua</v>
      </c>
      <c r="M70" s="7" t="str">
        <f>IFERROR(__xludf.DUMMYFUNCTION("""COMPUTED_VALUE""")," Luiz Panzarini")</f>
        <v> Luiz Panzarini</v>
      </c>
      <c r="N70" s="7" t="str">
        <f>IFERROR(__xludf.DUMMYFUNCTION("""COMPUTED_VALUE""")," Bonfim")</f>
        <v> Bonfim</v>
      </c>
      <c r="O70" s="7" t="str">
        <f>IFERROR(__xludf.DUMMYFUNCTION("""COMPUTED_VALUE""")," Cabreúva")</f>
        <v> Cabreúva</v>
      </c>
      <c r="P70" s="7" t="str">
        <f>IFERROR(__xludf.DUMMYFUNCTION("""COMPUTED_VALUE"""),"SP")</f>
        <v>SP</v>
      </c>
      <c r="Q70" s="7" t="str">
        <f>IFERROR(__xludf.DUMMYFUNCTION("""COMPUTED_VALUE""")," 13319-034 ")</f>
        <v> 13319-034 </v>
      </c>
      <c r="R70" s="9">
        <f>IFERROR(__xludf.DUMMYFUNCTION("SPLIT($K70,"" "","""")"),-2.3287089E7)</f>
        <v>-23287089</v>
      </c>
      <c r="S70" s="9">
        <f>IFERROR(__xludf.DUMMYFUNCTION("""COMPUTED_VALUE"""),-4705739.0)</f>
        <v>-4705739</v>
      </c>
      <c r="T70" s="10">
        <v>3508405.0</v>
      </c>
      <c r="U7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13319-034 ', 'PK-20686', SYSDATE, 0, 'PK-20686', SYSDATE, 'Rua  Luiz Panzarini  Bonfim', 'Rua Luiz Panzarini Bonfim', ' Bonfim', 'Rua', '3508405', 'Rua Luiz Panzarini Bonfim',' Bonfim', '1', 'SP', '1', '-23287089', '-4705739', ' Bonfim' </v>
      </c>
    </row>
    <row r="71" ht="15.75" hidden="1" customHeight="1">
      <c r="A71" s="4" t="s">
        <v>236</v>
      </c>
      <c r="B71" s="5" t="s">
        <v>24</v>
      </c>
      <c r="C71" s="4" t="s">
        <v>10</v>
      </c>
      <c r="D71" s="5" t="s">
        <v>237</v>
      </c>
      <c r="E71" s="6">
        <v>214.0</v>
      </c>
      <c r="F71" s="6" t="s">
        <v>12</v>
      </c>
      <c r="G71" s="3" t="s">
        <v>13</v>
      </c>
      <c r="H71" s="7" t="str">
        <f>IFERROR(__xludf.DUMMYFUNCTION("SPLIT(A36,""Avenida"","""")"),"Área    Rural")</f>
        <v>Área    Rural</v>
      </c>
      <c r="J71" s="3" t="s">
        <v>238</v>
      </c>
      <c r="K71" s="8" t="str">
        <f>IFERROR(__xludf.DUMMYFUNCTION("SPLIT($J71,""   "","""")"),"-23.245618 -47.064924")</f>
        <v>-23.245618 -47.064924</v>
      </c>
      <c r="L71" s="7" t="str">
        <f>IFERROR(__xludf.DUMMYFUNCTION("""COMPUTED_VALUE"""),"Travessa")</f>
        <v>Travessa</v>
      </c>
      <c r="M71" s="7" t="str">
        <f>IFERROR(__xludf.DUMMYFUNCTION("""COMPUTED_VALUE""")," Natal")</f>
        <v> Natal</v>
      </c>
      <c r="N71" s="7" t="str">
        <f>IFERROR(__xludf.DUMMYFUNCTION("""COMPUTED_VALUE""")," Jacaré")</f>
        <v> Jacaré</v>
      </c>
      <c r="O71" s="7" t="str">
        <f>IFERROR(__xludf.DUMMYFUNCTION("""COMPUTED_VALUE""")," Cabreúva")</f>
        <v> Cabreúva</v>
      </c>
      <c r="P71" s="7" t="str">
        <f>IFERROR(__xludf.DUMMYFUNCTION("""COMPUTED_VALUE"""),"SP")</f>
        <v>SP</v>
      </c>
      <c r="Q71" s="7" t="str">
        <f>IFERROR(__xludf.DUMMYFUNCTION("""COMPUTED_VALUE""")," 13318-056 ")</f>
        <v> 13318-056 </v>
      </c>
      <c r="R71" s="9">
        <f>IFERROR(__xludf.DUMMYFUNCTION("SPLIT($K71,"" "","""")"),-2.3245618E7)</f>
        <v>-23245618</v>
      </c>
      <c r="S71" s="9">
        <f>IFERROR(__xludf.DUMMYFUNCTION("""COMPUTED_VALUE"""),-4.7064924E7)</f>
        <v>-47064924</v>
      </c>
      <c r="T71" s="10">
        <v>3508405.0</v>
      </c>
      <c r="U7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13318-056 ', 'PK-20686', SYSDATE, 0, 'PK-20686', SYSDATE, 'Travessa  Natal  Jacaré', 'Travessa Natal Jacaré', ' Jacaré', 'Travessa', '3508405', 'Travessa Natal Jacaré',' Jacaré', '1', 'SP', '1', '-23245618', '-47064924', ' Jacaré' </v>
      </c>
    </row>
    <row r="72" ht="15.75" hidden="1" customHeight="1">
      <c r="A72" s="4" t="s">
        <v>239</v>
      </c>
      <c r="B72" s="5" t="s">
        <v>24</v>
      </c>
      <c r="C72" s="4" t="s">
        <v>10</v>
      </c>
      <c r="D72" s="5" t="s">
        <v>240</v>
      </c>
      <c r="E72" s="6">
        <v>214.0</v>
      </c>
      <c r="F72" s="6" t="s">
        <v>12</v>
      </c>
      <c r="G72" s="3" t="s">
        <v>13</v>
      </c>
      <c r="H72" s="7" t="str">
        <f>IFERROR(__xludf.DUMMYFUNCTION("SPLIT(A37,""Avenida"","""")"),"    Adolpho João Traldi")</f>
        <v>    Adolpho João Traldi</v>
      </c>
      <c r="J72" s="3" t="s">
        <v>241</v>
      </c>
      <c r="K72" s="8" t="str">
        <f>IFERROR(__xludf.DUMMYFUNCTION("SPLIT($J72,""   "","""")"),"-23.253074 -47.088722")</f>
        <v>-23.253074 -47.088722</v>
      </c>
      <c r="L72" s="7" t="str">
        <f>IFERROR(__xludf.DUMMYFUNCTION("""COMPUTED_VALUE"""),"Via")</f>
        <v>Via</v>
      </c>
      <c r="M72" s="7" t="str">
        <f>IFERROR(__xludf.DUMMYFUNCTION("""COMPUTED_VALUE""")," dos Pinhais")</f>
        <v> dos Pinhais</v>
      </c>
      <c r="N72" s="7" t="str">
        <f>IFERROR(__xludf.DUMMYFUNCTION("""COMPUTED_VALUE""")," Pinhal")</f>
        <v> Pinhal</v>
      </c>
      <c r="O72" s="7" t="str">
        <f>IFERROR(__xludf.DUMMYFUNCTION("""COMPUTED_VALUE""")," Cabreúva")</f>
        <v> Cabreúva</v>
      </c>
      <c r="P72" s="7" t="str">
        <f>IFERROR(__xludf.DUMMYFUNCTION("""COMPUTED_VALUE"""),"SP")</f>
        <v>SP</v>
      </c>
      <c r="Q72" s="7" t="str">
        <f>IFERROR(__xludf.DUMMYFUNCTION("""COMPUTED_VALUE""")," 13317-258 ")</f>
        <v> 13317-258 </v>
      </c>
      <c r="R72" s="9">
        <f>IFERROR(__xludf.DUMMYFUNCTION("SPLIT($K72,"" "","""")"),-2.3253074E7)</f>
        <v>-23253074</v>
      </c>
      <c r="S72" s="9">
        <f>IFERROR(__xludf.DUMMYFUNCTION("""COMPUTED_VALUE"""),-4.7088722E7)</f>
        <v>-47088722</v>
      </c>
      <c r="T72" s="10">
        <v>3508405.0</v>
      </c>
      <c r="U7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13317-258 ', 'PK-20686', SYSDATE, 0, 'PK-20686', SYSDATE, 'Via  dos Pinhais  Pinhal', 'Via dos Pinhais Pinhal', ' Pinhal', 'Via', '3508405', 'Via dos Pinhais Pinhal',' Pinhal', '1', 'SP', '1', '-23253074', '-47088722', ' Pinhal' </v>
      </c>
    </row>
    <row r="73" ht="15.75" hidden="1" customHeight="1">
      <c r="A73" s="4" t="s">
        <v>242</v>
      </c>
      <c r="B73" s="5" t="s">
        <v>223</v>
      </c>
      <c r="C73" s="4" t="s">
        <v>10</v>
      </c>
      <c r="D73" s="5" t="s">
        <v>243</v>
      </c>
      <c r="E73" s="6">
        <v>214.0</v>
      </c>
      <c r="F73" s="6" t="s">
        <v>12</v>
      </c>
      <c r="G73" s="3" t="s">
        <v>13</v>
      </c>
      <c r="H73" s="7" t="str">
        <f>IFERROR(__xludf.DUMMYFUNCTION("SPLIT(A72,""Estrada"","""")"),"Avenida    Vereador José Donato    567 Clique e Retire Correios
AC Jacaré Clique e Retire")</f>
        <v>Avenida    Vereador José Donato    567 Clique e Retire Correios
AC Jacaré Clique e Retire</v>
      </c>
      <c r="J73" s="3" t="s">
        <v>244</v>
      </c>
      <c r="K73" s="8" t="str">
        <f>IFERROR(__xludf.DUMMYFUNCTION("SPLIT($J73,""   "","""")"),"-23.239465 -47.066836")</f>
        <v>-23.239465 -47.066836</v>
      </c>
      <c r="L73" s="7" t="str">
        <f>IFERROR(__xludf.DUMMYFUNCTION("""COMPUTED_VALUE"""),"Alameda")</f>
        <v>Alameda</v>
      </c>
      <c r="M73" s="7" t="str">
        <f>IFERROR(__xludf.DUMMYFUNCTION("""COMPUTED_VALUE""")," das Andorinhas")</f>
        <v> das Andorinhas</v>
      </c>
      <c r="N73" s="7" t="str">
        <f>IFERROR(__xludf.DUMMYFUNCTION("""COMPUTED_VALUE""")," Quinta do Japi (Jacaré)")</f>
        <v> Quinta do Japi (Jacaré)</v>
      </c>
      <c r="O73" s="7" t="str">
        <f>IFERROR(__xludf.DUMMYFUNCTION("""COMPUTED_VALUE""")," Cabreúva")</f>
        <v> Cabreúva</v>
      </c>
      <c r="P73" s="7" t="str">
        <f>IFERROR(__xludf.DUMMYFUNCTION("""COMPUTED_VALUE"""),"SP")</f>
        <v>SP</v>
      </c>
      <c r="Q73" s="7" t="str">
        <f>IFERROR(__xludf.DUMMYFUNCTION("""COMPUTED_VALUE""")," 13318-434")</f>
        <v> 13318-434</v>
      </c>
      <c r="R73" s="9">
        <f>IFERROR(__xludf.DUMMYFUNCTION("SPLIT($K73,"" "","""")"),-2.3239465E7)</f>
        <v>-23239465</v>
      </c>
      <c r="S73" s="9">
        <f>IFERROR(__xludf.DUMMYFUNCTION("""COMPUTED_VALUE"""),-4.7066836E7)</f>
        <v>-47066836</v>
      </c>
      <c r="T73" s="10">
        <v>3508405.0</v>
      </c>
      <c r="U7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13318-434', 'PK-20686', SYSDATE, 0, 'PK-20686', SYSDATE, 'Alameda  das Andorinhas  Quinta do Japi (Jacaré)', 'Alameda das Andorinhas Quinta do Japi (Jacaré)', ' Quinta do Japi (Jacaré)', 'Alameda', '3508405', 'Alameda das Andorinhas Quinta do Japi (Jacaré)',' Quinta do Japi (Jacaré)', '1', 'SP', '1', '-23239465', '-47066836', ' Quinta do Japi (Jacaré)' </v>
      </c>
    </row>
    <row r="74" ht="15.75" customHeight="1">
      <c r="A74" s="4" t="s">
        <v>245</v>
      </c>
      <c r="B74" s="5" t="s">
        <v>246</v>
      </c>
      <c r="C74" s="4" t="s">
        <v>10</v>
      </c>
      <c r="D74" s="5" t="s">
        <v>247</v>
      </c>
      <c r="E74" s="6">
        <v>214.0</v>
      </c>
      <c r="F74" s="6" t="s">
        <v>12</v>
      </c>
      <c r="G74" s="3" t="s">
        <v>13</v>
      </c>
      <c r="H74" s="7" t="str">
        <f>IFERROR(__xludf.DUMMYFUNCTION("SPLIT(A73,""Estrada"","""")"),"    da Adutora")</f>
        <v>    da Adutora</v>
      </c>
      <c r="J74" s="3" t="s">
        <v>248</v>
      </c>
      <c r="K74" s="8" t="str">
        <f>IFERROR(__xludf.DUMMYFUNCTION("SPLIT($J74,""   "","""")"),"-23.259814 -47.051662")</f>
        <v>-23.259814 -47.051662</v>
      </c>
      <c r="L74" s="7" t="str">
        <f>IFERROR(__xludf.DUMMYFUNCTION("""COMPUTED_VALUE"""),"Rua")</f>
        <v>Rua</v>
      </c>
      <c r="M74" s="7" t="str">
        <f>IFERROR(__xludf.DUMMYFUNCTION("""COMPUTED_VALUE""")," Ademir dos Santos")</f>
        <v> Ademir dos Santos</v>
      </c>
      <c r="N74" s="7" t="str">
        <f>IFERROR(__xludf.DUMMYFUNCTION("""COMPUTED_VALUE""")," Jardim Colina da Serra II (Jacaré)")</f>
        <v> Jardim Colina da Serra II (Jacaré)</v>
      </c>
      <c r="O74" s="7" t="str">
        <f>IFERROR(__xludf.DUMMYFUNCTION("""COMPUTED_VALUE""")," Cabreúva")</f>
        <v> Cabreúva</v>
      </c>
      <c r="P74" s="7" t="str">
        <f>IFERROR(__xludf.DUMMYFUNCTION("""COMPUTED_VALUE"""),"SP")</f>
        <v>SP</v>
      </c>
      <c r="Q74" s="7" t="str">
        <f>IFERROR(__xludf.DUMMYFUNCTION("""COMPUTED_VALUE""")," 13318-258 ")</f>
        <v> 13318-258 </v>
      </c>
      <c r="R74" s="9">
        <f>IFERROR(__xludf.DUMMYFUNCTION("SPLIT($K74,"" "","""")"),-2.3259814E7)</f>
        <v>-23259814</v>
      </c>
      <c r="S74" s="9">
        <f>IFERROR(__xludf.DUMMYFUNCTION("""COMPUTED_VALUE"""),-4.7051662E7)</f>
        <v>-47051662</v>
      </c>
      <c r="T74" s="10">
        <v>3508405.0</v>
      </c>
      <c r="U7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13318-258 ', 'PK-20686', SYSDATE, 0, 'PK-20686', SYSDATE, 'Rua  Ademir dos Santos  Jardim Colina da Serra II (Jacaré)', 'Rua Ademir dos Santos Jardim Colina da Serra II (Jacaré)', ' Jardim Colina da Serra II (Jacaré)', 'Rua', '3508405', 'Rua Ademir dos Santos Jardim Colina da Serra II (Jacaré)',' Jardim Colina da Serra II (Jacaré)', '1', 'SP', '1', '-23259814', '-47051662', ' Jardim Colina da Serra II (Jacaré)' </v>
      </c>
    </row>
    <row r="75" ht="15.75" customHeight="1">
      <c r="A75" s="4" t="s">
        <v>249</v>
      </c>
      <c r="B75" s="5" t="s">
        <v>180</v>
      </c>
      <c r="C75" s="4" t="s">
        <v>10</v>
      </c>
      <c r="D75" s="5" t="s">
        <v>250</v>
      </c>
      <c r="E75" s="6">
        <v>214.0</v>
      </c>
      <c r="F75" s="6" t="s">
        <v>12</v>
      </c>
      <c r="G75" s="3" t="s">
        <v>13</v>
      </c>
      <c r="H75" s="7" t="str">
        <f>IFERROR(__xludf.DUMMYFUNCTION("SPLIT(A74,""Estrada"","""")"),"    da Boa Esperança")</f>
        <v>    da Boa Esperança</v>
      </c>
      <c r="J75" s="3" t="s">
        <v>251</v>
      </c>
      <c r="K75" s="8" t="str">
        <f>IFERROR(__xludf.DUMMYFUNCTION("SPLIT($J75,""   "","""")"),"-23.271275 -47.057546")</f>
        <v>-23.271275 -47.057546</v>
      </c>
      <c r="L75" s="7" t="str">
        <f>IFERROR(__xludf.DUMMYFUNCTION("""COMPUTED_VALUE"""),"Rua")</f>
        <v>Rua</v>
      </c>
      <c r="M75" s="7" t="str">
        <f>IFERROR(__xludf.DUMMYFUNCTION("""COMPUTED_VALUE""")," Escócia")</f>
        <v> Escócia</v>
      </c>
      <c r="N75" s="7" t="str">
        <f>IFERROR(__xludf.DUMMYFUNCTION("""COMPUTED_VALUE""")," Villarejo Sopé da Serra (Vilarejo)")</f>
        <v> Villarejo Sopé da Serra (Vilarejo)</v>
      </c>
      <c r="O75" s="7" t="str">
        <f>IFERROR(__xludf.DUMMYFUNCTION("""COMPUTED_VALUE""")," Cabreúva")</f>
        <v> Cabreúva</v>
      </c>
      <c r="P75" s="7" t="str">
        <f>IFERROR(__xludf.DUMMYFUNCTION("""COMPUTED_VALUE"""),"SP")</f>
        <v>SP</v>
      </c>
      <c r="Q75" s="7" t="str">
        <f>IFERROR(__xludf.DUMMYFUNCTION("""COMPUTED_VALUE""")," 13317-674 ")</f>
        <v> 13317-674 </v>
      </c>
      <c r="R75" s="9">
        <f>IFERROR(__xludf.DUMMYFUNCTION("SPLIT($K75,"" "","""")"),-2.3271275E7)</f>
        <v>-23271275</v>
      </c>
      <c r="S75" s="9">
        <f>IFERROR(__xludf.DUMMYFUNCTION("""COMPUTED_VALUE"""),-4.7057546E7)</f>
        <v>-47057546</v>
      </c>
      <c r="T75" s="10">
        <v>3508405.0</v>
      </c>
      <c r="U7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13317-674 ', 'PK-20686', SYSDATE, 0, 'PK-20686', SYSDATE, 'Rua  Escócia  Villarejo Sopé da Serra (Vilarejo)', 'Rua Escócia Villarejo Sopé da Serra (Vilarejo)', ' Villarejo Sopé da Serra (Vilarejo)', 'Rua', '3508405', 'Rua Escócia Villarejo Sopé da Serra (Vilarejo)',' Villarejo Sopé da Serra (Vilarejo)', '1', 'SP', '1', '-23271275', '-47057546', ' Villarejo Sopé da Serra (Vilarejo)' </v>
      </c>
    </row>
    <row r="76" ht="15.75" hidden="1" customHeight="1">
      <c r="A76" s="4" t="s">
        <v>252</v>
      </c>
      <c r="B76" s="5" t="s">
        <v>132</v>
      </c>
      <c r="C76" s="4" t="s">
        <v>10</v>
      </c>
      <c r="D76" s="5" t="s">
        <v>253</v>
      </c>
      <c r="E76" s="6">
        <v>214.0</v>
      </c>
      <c r="F76" s="6" t="s">
        <v>12</v>
      </c>
      <c r="G76" s="3" t="s">
        <v>13</v>
      </c>
      <c r="H76" s="7" t="str">
        <f>IFERROR(__xludf.DUMMYFUNCTION("SPLIT(A75,""Estrada"","""")"),"    da Cerâmica")</f>
        <v>    da Cerâmica</v>
      </c>
      <c r="J76" s="3" t="s">
        <v>254</v>
      </c>
      <c r="K76" s="8" t="str">
        <f>IFERROR(__xludf.DUMMYFUNCTION("SPLIT($J76,""   "","""")"),"-23.224933 -45.804546")</f>
        <v>-23.224933 -45.804546</v>
      </c>
      <c r="L76" s="7" t="str">
        <f>IFERROR(__xludf.DUMMYFUNCTION("""COMPUTED_VALUE"""),"Estrada")</f>
        <v>Estrada</v>
      </c>
      <c r="M76" s="7" t="str">
        <f>IFERROR(__xludf.DUMMYFUNCTION("""COMPUTED_VALUE""")," Manacás")</f>
        <v> Manacás</v>
      </c>
      <c r="N76" s="7" t="str">
        <f>IFERROR(__xludf.DUMMYFUNCTION("""COMPUTED_VALUE""")," Chácaras Boa Esperança (Guaxatuba)")</f>
        <v> Chácaras Boa Esperança (Guaxatuba)</v>
      </c>
      <c r="O76" s="7" t="str">
        <f>IFERROR(__xludf.DUMMYFUNCTION("""COMPUTED_VALUE""")," Cabreúva")</f>
        <v> Cabreúva</v>
      </c>
      <c r="P76" s="7" t="str">
        <f>IFERROR(__xludf.DUMMYFUNCTION("""COMPUTED_VALUE"""),"SP")</f>
        <v>SP</v>
      </c>
      <c r="Q76" s="7" t="str">
        <f>IFERROR(__xludf.DUMMYFUNCTION("""COMPUTED_VALUE""")," 13316-516 ")</f>
        <v> 13316-516 </v>
      </c>
      <c r="R76" s="9">
        <f>IFERROR(__xludf.DUMMYFUNCTION("SPLIT($K76,"" "","""")"),-2.3224933E7)</f>
        <v>-23224933</v>
      </c>
      <c r="S76" s="9">
        <f>IFERROR(__xludf.DUMMYFUNCTION("""COMPUTED_VALUE"""),-4.5804546E7)</f>
        <v>-45804546</v>
      </c>
      <c r="T76" s="10">
        <v>3508405.0</v>
      </c>
      <c r="U7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13316-516 ', 'PK-20686', SYSDATE, 0, 'PK-20686', SYSDATE, 'Estrada  Manacás  Chácaras Boa Esperança (Guaxatuba)', 'Estrada Manacás Chácaras Boa Esperança (Guaxatuba)', ' Chácaras Boa Esperança (Guaxatuba)', 'Estrada', '3508405', 'Estrada Manacás Chácaras Boa Esperança (Guaxatuba)',' Chácaras Boa Esperança (Guaxatuba)', '1', 'SP', '1', '-23224933', '-45804546', ' Chácaras Boa Esperança (Guaxatuba)' </v>
      </c>
    </row>
    <row r="77" ht="15.75" hidden="1" customHeight="1">
      <c r="A77" s="4" t="s">
        <v>255</v>
      </c>
      <c r="B77" s="5" t="s">
        <v>256</v>
      </c>
      <c r="C77" s="4" t="s">
        <v>10</v>
      </c>
      <c r="D77" s="5" t="s">
        <v>257</v>
      </c>
      <c r="E77" s="6">
        <v>214.0</v>
      </c>
      <c r="F77" s="6" t="s">
        <v>12</v>
      </c>
      <c r="G77" s="3" t="s">
        <v>13</v>
      </c>
      <c r="H77" s="7" t="str">
        <f>IFERROR(__xludf.DUMMYFUNCTION("SPLIT(A76,""Estrada"","""")"),"    da Concórdia")</f>
        <v>    da Concórdia</v>
      </c>
      <c r="J77" s="3" t="s">
        <v>258</v>
      </c>
      <c r="K77" s="8" t="str">
        <f>IFERROR(__xludf.DUMMYFUNCTION("SPLIT($J77,""   "","""")"),"-23.257029 -47.093065")</f>
        <v>-23.257029 -47.093065</v>
      </c>
      <c r="L77" s="7" t="str">
        <f>IFERROR(__xludf.DUMMYFUNCTION("""COMPUTED_VALUE"""),"Travessa")</f>
        <v>Travessa</v>
      </c>
      <c r="M77" s="7" t="str">
        <f>IFERROR(__xludf.DUMMYFUNCTION("""COMPUTED_VALUE""")," das Rosas")</f>
        <v> das Rosas</v>
      </c>
      <c r="N77" s="7" t="str">
        <f>IFERROR(__xludf.DUMMYFUNCTION("""COMPUTED_VALUE""")," Chácaras do Pinhal (Pinhal)")</f>
        <v> Chácaras do Pinhal (Pinhal)</v>
      </c>
      <c r="O77" s="7" t="str">
        <f>IFERROR(__xludf.DUMMYFUNCTION("""COMPUTED_VALUE""")," Cabreúva")</f>
        <v> Cabreúva</v>
      </c>
      <c r="P77" s="7" t="str">
        <f>IFERROR(__xludf.DUMMYFUNCTION("""COMPUTED_VALUE"""),"SP")</f>
        <v>SP</v>
      </c>
      <c r="Q77" s="7" t="str">
        <f>IFERROR(__xludf.DUMMYFUNCTION("""COMPUTED_VALUE""")," 13317-236 ")</f>
        <v> 13317-236 </v>
      </c>
      <c r="R77" s="9">
        <f>IFERROR(__xludf.DUMMYFUNCTION("SPLIT($K77,"" "","""")"),-2.3257029E7)</f>
        <v>-23257029</v>
      </c>
      <c r="S77" s="9">
        <f>IFERROR(__xludf.DUMMYFUNCTION("""COMPUTED_VALUE"""),-4.7093065E7)</f>
        <v>-47093065</v>
      </c>
      <c r="T77" s="10">
        <v>3508405.0</v>
      </c>
      <c r="U7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13317-236 ', 'PK-20686', SYSDATE, 0, 'PK-20686', SYSDATE, 'Travessa  das Rosas  Chácaras do Pinhal (Pinhal)', 'Travessa das Rosas Chácaras do Pinhal (Pinhal)', ' Chácaras do Pinhal (Pinhal)', 'Travessa', '3508405', 'Travessa das Rosas Chácaras do Pinhal (Pinhal)',' Chácaras do Pinhal (Pinhal)', '1', 'SP', '1', '-23257029', '-47093065', ' Chácaras do Pinhal (Pinhal)' </v>
      </c>
    </row>
    <row r="78" ht="15.75" customHeight="1">
      <c r="A78" s="4" t="s">
        <v>259</v>
      </c>
      <c r="B78" s="5" t="s">
        <v>246</v>
      </c>
      <c r="C78" s="4" t="s">
        <v>10</v>
      </c>
      <c r="D78" s="5" t="s">
        <v>260</v>
      </c>
      <c r="E78" s="6">
        <v>214.0</v>
      </c>
      <c r="F78" s="6" t="s">
        <v>12</v>
      </c>
      <c r="G78" s="3" t="s">
        <v>13</v>
      </c>
      <c r="H78" s="7" t="str">
        <f>IFERROR(__xludf.DUMMYFUNCTION("SPLIT(A77,""Estrada"","""")"),"    da Fazenda Campininha")</f>
        <v>    da Fazenda Campininha</v>
      </c>
      <c r="J78" s="3" t="s">
        <v>261</v>
      </c>
      <c r="K78" s="8" t="str">
        <f>IFERROR(__xludf.DUMMYFUNCTION("SPLIT($J78,""   "","""")"),"-23.312936 -47.132255")</f>
        <v>-23.312936 -47.132255</v>
      </c>
      <c r="L78" s="7" t="str">
        <f>IFERROR(__xludf.DUMMYFUNCTION("""COMPUTED_VALUE"""),"Rua")</f>
        <v>Rua</v>
      </c>
      <c r="M78" s="7" t="str">
        <f>IFERROR(__xludf.DUMMYFUNCTION("""COMPUTED_VALUE""")," Iperó")</f>
        <v> Iperó</v>
      </c>
      <c r="N78" s="7" t="str">
        <f>IFERROR(__xludf.DUMMYFUNCTION("""COMPUTED_VALUE""")," Nova Cabreúva (Centro)")</f>
        <v> Nova Cabreúva (Centro)</v>
      </c>
      <c r="O78" s="7" t="str">
        <f>IFERROR(__xludf.DUMMYFUNCTION("""COMPUTED_VALUE""")," Cabreúva")</f>
        <v> Cabreúva</v>
      </c>
      <c r="P78" s="7" t="str">
        <f>IFERROR(__xludf.DUMMYFUNCTION("""COMPUTED_VALUE"""),"SP")</f>
        <v>SP</v>
      </c>
      <c r="Q78" s="7" t="str">
        <f>IFERROR(__xludf.DUMMYFUNCTION("""COMPUTED_VALUE""")," 13315-114 ")</f>
        <v> 13315-114 </v>
      </c>
      <c r="R78" s="9">
        <f>IFERROR(__xludf.DUMMYFUNCTION("SPLIT($K78,"" "","""")"),-2.3312936E7)</f>
        <v>-23312936</v>
      </c>
      <c r="S78" s="9">
        <f>IFERROR(__xludf.DUMMYFUNCTION("""COMPUTED_VALUE"""),-4.7132255E7)</f>
        <v>-47132255</v>
      </c>
      <c r="T78" s="10">
        <v>3508405.0</v>
      </c>
      <c r="U7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13315-114 ', 'PK-20686', SYSDATE, 0, 'PK-20686', SYSDATE, 'Rua  Iperó  Nova Cabreúva (Centro)', 'Rua Iperó Nova Cabreúva (Centro)', ' Nova Cabreúva (Centro)', 'Rua', '3508405', 'Rua Iperó Nova Cabreúva (Centro)',' Nova Cabreúva (Centro)', '1', 'SP', '1', '-23312936', '-47132255', ' Nova Cabreúva (Centro)' </v>
      </c>
    </row>
    <row r="79" ht="15.75" customHeight="1">
      <c r="A79" s="4" t="s">
        <v>262</v>
      </c>
      <c r="B79" s="5" t="s">
        <v>263</v>
      </c>
      <c r="C79" s="4" t="s">
        <v>10</v>
      </c>
      <c r="D79" s="5" t="s">
        <v>264</v>
      </c>
      <c r="E79" s="6">
        <v>214.0</v>
      </c>
      <c r="F79" s="6" t="s">
        <v>12</v>
      </c>
      <c r="G79" s="3" t="s">
        <v>13</v>
      </c>
      <c r="H79" s="7" t="str">
        <f>IFERROR(__xludf.DUMMYFUNCTION("SPLIT(A78,""Estrada"","""")"),"    da Fazenda Cristal")</f>
        <v>    da Fazenda Cristal</v>
      </c>
      <c r="J79" s="3" t="s">
        <v>265</v>
      </c>
      <c r="K79" s="8" t="str">
        <f>IFERROR(__xludf.DUMMYFUNCTION("SPLIT($J79,""   "","""")"),"-23.270532 -47.049735")</f>
        <v>-23.270532 -47.049735</v>
      </c>
      <c r="L79" s="7" t="str">
        <f>IFERROR(__xludf.DUMMYFUNCTION("""COMPUTED_VALUE"""),"Rua")</f>
        <v>Rua</v>
      </c>
      <c r="M79" s="7" t="str">
        <f>IFERROR(__xludf.DUMMYFUNCTION("""COMPUTED_VALUE""")," Moçambique")</f>
        <v> Moçambique</v>
      </c>
      <c r="N79" s="7" t="str">
        <f>IFERROR(__xludf.DUMMYFUNCTION("""COMPUTED_VALUE""")," Villarejo Sopé da Serra (Vilarejo)")</f>
        <v> Villarejo Sopé da Serra (Vilarejo)</v>
      </c>
      <c r="O79" s="7" t="str">
        <f>IFERROR(__xludf.DUMMYFUNCTION("""COMPUTED_VALUE""")," Cabreúva")</f>
        <v> Cabreúva</v>
      </c>
      <c r="P79" s="7" t="str">
        <f>IFERROR(__xludf.DUMMYFUNCTION("""COMPUTED_VALUE"""),"SP")</f>
        <v>SP</v>
      </c>
      <c r="Q79" s="7" t="str">
        <f>IFERROR(__xludf.DUMMYFUNCTION("""COMPUTED_VALUE""")," 13317-698 ")</f>
        <v> 13317-698 </v>
      </c>
      <c r="R79" s="9">
        <f>IFERROR(__xludf.DUMMYFUNCTION("SPLIT($K79,"" "","""")"),-2.3270532E7)</f>
        <v>-23270532</v>
      </c>
      <c r="S79" s="9">
        <f>IFERROR(__xludf.DUMMYFUNCTION("""COMPUTED_VALUE"""),-4.7049735E7)</f>
        <v>-47049735</v>
      </c>
      <c r="T79" s="10">
        <v>3508405.0</v>
      </c>
      <c r="U7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13317-698 ', 'PK-20686', SYSDATE, 0, 'PK-20686', SYSDATE, 'Rua  Moçambique  Villarejo Sopé da Serra (Vilarejo)', 'Rua Moçambique Villarejo Sopé da Serra (Vilarejo)', ' Villarejo Sopé da Serra (Vilarejo)', 'Rua', '3508405', 'Rua Moçambique Villarejo Sopé da Serra (Vilarejo)',' Villarejo Sopé da Serra (Vilarejo)', '1', 'SP', '1', '-23270532', '-47049735', ' Villarejo Sopé da Serra (Vilarejo)' </v>
      </c>
    </row>
    <row r="80" ht="15.75" hidden="1" customHeight="1">
      <c r="A80" s="4" t="s">
        <v>266</v>
      </c>
      <c r="B80" s="5" t="s">
        <v>267</v>
      </c>
      <c r="C80" s="4" t="s">
        <v>10</v>
      </c>
      <c r="D80" s="5" t="s">
        <v>268</v>
      </c>
      <c r="E80" s="6">
        <v>214.0</v>
      </c>
      <c r="F80" s="6" t="s">
        <v>12</v>
      </c>
      <c r="G80" s="3" t="s">
        <v>13</v>
      </c>
      <c r="H80" s="7" t="str">
        <f>IFERROR(__xludf.DUMMYFUNCTION("SPLIT(A79,""Estrada"","""")"),"    da Figueira")</f>
        <v>    da Figueira</v>
      </c>
      <c r="J80" s="3" t="s">
        <v>269</v>
      </c>
      <c r="K80" s="8" t="str">
        <f>IFERROR(__xludf.DUMMYFUNCTION("SPLIT($J80,""   "","""")"),"-23.257909 -47.051612")</f>
        <v>-23.257909 -47.051612</v>
      </c>
      <c r="L80" s="7" t="str">
        <f>IFERROR(__xludf.DUMMYFUNCTION("""COMPUTED_VALUE"""),"Alameda")</f>
        <v>Alameda</v>
      </c>
      <c r="M80" s="7" t="str">
        <f>IFERROR(__xludf.DUMMYFUNCTION("""COMPUTED_VALUE""")," dasSPathodeas")</f>
        <v> dasSPathodeas</v>
      </c>
      <c r="N80" s="7" t="str">
        <f>IFERROR(__xludf.DUMMYFUNCTION("""COMPUTED_VALUE""")," Portal da Concórdia (Jacaré)")</f>
        <v> Portal da Concórdia (Jacaré)</v>
      </c>
      <c r="O80" s="7" t="str">
        <f>IFERROR(__xludf.DUMMYFUNCTION("""COMPUTED_VALUE""")," Cabreúva")</f>
        <v> Cabreúva</v>
      </c>
      <c r="P80" s="7" t="str">
        <f>IFERROR(__xludf.DUMMYFUNCTION("""COMPUTED_VALUE"""),"SP")</f>
        <v>SP</v>
      </c>
      <c r="Q80" s="7" t="str">
        <f>IFERROR(__xludf.DUMMYFUNCTION("""COMPUTED_VALUE""")," 13318-322 ")</f>
        <v> 13318-322 </v>
      </c>
      <c r="R80" s="9">
        <f>IFERROR(__xludf.DUMMYFUNCTION("SPLIT($K80,"" "","""")"),-2.3257909E7)</f>
        <v>-23257909</v>
      </c>
      <c r="S80" s="9">
        <f>IFERROR(__xludf.DUMMYFUNCTION("""COMPUTED_VALUE"""),-4.7051612E7)</f>
        <v>-47051612</v>
      </c>
      <c r="T80" s="10">
        <v>3508405.0</v>
      </c>
      <c r="U8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13318-322 ', 'PK-20686', SYSDATE, 0, 'PK-20686', SYSDATE, 'Alameda  dasSPathodeas  Portal da Concórdia (Jacaré)', 'Alameda dasSPathodeas Portal da Concórdia (Jacaré)', ' Portal da Concórdia (Jacaré)', 'Alameda', '3508405', 'Alameda dasSPathodeas Portal da Concórdia (Jacaré)',' Portal da Concórdia (Jacaré)', '1', 'SP', '1', '-23257909', '-47051612', ' Portal da Concórdia (Jacaré)' </v>
      </c>
    </row>
    <row r="81" ht="15.75" customHeight="1">
      <c r="A81" s="4" t="s">
        <v>270</v>
      </c>
      <c r="B81" s="5" t="s">
        <v>180</v>
      </c>
      <c r="C81" s="4" t="s">
        <v>10</v>
      </c>
      <c r="D81" s="5" t="s">
        <v>271</v>
      </c>
      <c r="E81" s="6">
        <v>214.0</v>
      </c>
      <c r="F81" s="6" t="s">
        <v>12</v>
      </c>
      <c r="G81" s="3" t="s">
        <v>13</v>
      </c>
      <c r="H81" s="7" t="str">
        <f>IFERROR(__xludf.DUMMYFUNCTION("SPLIT(A80,""Estrada"","""")"),"    das Araucárias")</f>
        <v>    das Araucárias</v>
      </c>
      <c r="J81" s="3" t="s">
        <v>272</v>
      </c>
      <c r="K81" s="8" t="str">
        <f>IFERROR(__xludf.DUMMYFUNCTION("SPLIT($J81,""   "","""")"),"-23.24984 -47.056524")</f>
        <v>-23.24984 -47.056524</v>
      </c>
      <c r="L81" s="7" t="str">
        <f>IFERROR(__xludf.DUMMYFUNCTION("""COMPUTED_VALUE"""),"Rua")</f>
        <v>Rua</v>
      </c>
      <c r="M81" s="7" t="str">
        <f>IFERROR(__xludf.DUMMYFUNCTION("""COMPUTED_VALUE""")," Pernambuco")</f>
        <v> Pernambuco</v>
      </c>
      <c r="N81" s="7" t="str">
        <f>IFERROR(__xludf.DUMMYFUNCTION("""COMPUTED_VALUE""")," Jacaré")</f>
        <v> Jacaré</v>
      </c>
      <c r="O81" s="7" t="str">
        <f>IFERROR(__xludf.DUMMYFUNCTION("""COMPUTED_VALUE""")," Cabreúva")</f>
        <v> Cabreúva</v>
      </c>
      <c r="P81" s="7" t="str">
        <f>IFERROR(__xludf.DUMMYFUNCTION("""COMPUTED_VALUE"""),"SP")</f>
        <v>SP</v>
      </c>
      <c r="Q81" s="7" t="str">
        <f>IFERROR(__xludf.DUMMYFUNCTION("""COMPUTED_VALUE""")," 13318-125 ")</f>
        <v> 13318-125 </v>
      </c>
      <c r="R81" s="9">
        <f>IFERROR(__xludf.DUMMYFUNCTION("SPLIT($K81,"" "","""")"),-2324984.0)</f>
        <v>-2324984</v>
      </c>
      <c r="S81" s="9">
        <f>IFERROR(__xludf.DUMMYFUNCTION("""COMPUTED_VALUE"""),-4.7056524E7)</f>
        <v>-47056524</v>
      </c>
      <c r="T81" s="10">
        <v>3508405.0</v>
      </c>
      <c r="U8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13318-125 ', 'PK-20686', SYSDATE, 0, 'PK-20686', SYSDATE, 'Rua  Pernambuco  Jacaré', 'Rua Pernambuco Jacaré', ' Jacaré', 'Rua', '3508405', 'Rua Pernambuco Jacaré',' Jacaré', '1', 'SP', '1', '-2324984', '-47056524', ' Jacaré' </v>
      </c>
    </row>
    <row r="82" ht="15.75" customHeight="1">
      <c r="A82" s="4" t="s">
        <v>273</v>
      </c>
      <c r="B82" s="5" t="s">
        <v>132</v>
      </c>
      <c r="C82" s="4" t="s">
        <v>10</v>
      </c>
      <c r="D82" s="5" t="s">
        <v>274</v>
      </c>
      <c r="E82" s="6">
        <v>214.0</v>
      </c>
      <c r="F82" s="6" t="s">
        <v>12</v>
      </c>
      <c r="G82" s="3" t="s">
        <v>13</v>
      </c>
      <c r="H82" s="7" t="str">
        <f>IFERROR(__xludf.DUMMYFUNCTION("SPLIT(A81,""Estrada"","""")"),"    do Barreiro")</f>
        <v>    do Barreiro</v>
      </c>
      <c r="J82" s="3" t="s">
        <v>275</v>
      </c>
      <c r="K82" s="8" t="str">
        <f>IFERROR(__xludf.DUMMYFUNCTION("SPLIT($J82,""   "","""")"),"-23.097247 -47.714462")</f>
        <v>-23.097247 -47.714462</v>
      </c>
      <c r="L82" s="7" t="str">
        <f>IFERROR(__xludf.DUMMYFUNCTION("""COMPUTED_VALUE"""),"Rua")</f>
        <v>Rua</v>
      </c>
      <c r="M82" s="7" t="str">
        <f>IFERROR(__xludf.DUMMYFUNCTION("""COMPUTED_VALUE""")," Três")</f>
        <v> Três</v>
      </c>
      <c r="N82" s="7" t="str">
        <f>IFERROR(__xludf.DUMMYFUNCTION("""COMPUTED_VALUE""")," Alpes do Tietê")</f>
        <v> Alpes do Tietê</v>
      </c>
      <c r="O82" s="7" t="str">
        <f>IFERROR(__xludf.DUMMYFUNCTION("""COMPUTED_VALUE""")," Cabreúva")</f>
        <v> Cabreúva</v>
      </c>
      <c r="P82" s="7" t="str">
        <f>IFERROR(__xludf.DUMMYFUNCTION("""COMPUTED_VALUE"""),"SP")</f>
        <v>SP</v>
      </c>
      <c r="Q82" s="7" t="str">
        <f>IFERROR(__xludf.DUMMYFUNCTION("""COMPUTED_VALUE""")," 13316-602 ")</f>
        <v> 13316-602 </v>
      </c>
      <c r="R82" s="9">
        <f>IFERROR(__xludf.DUMMYFUNCTION("SPLIT($K82,"" "","""")"),-2.3097247E7)</f>
        <v>-23097247</v>
      </c>
      <c r="S82" s="9">
        <f>IFERROR(__xludf.DUMMYFUNCTION("""COMPUTED_VALUE"""),-4.7714462E7)</f>
        <v>-47714462</v>
      </c>
      <c r="T82" s="10">
        <v>3508405.0</v>
      </c>
      <c r="U8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13316-602 ', 'PK-20686', SYSDATE, 0, 'PK-20686', SYSDATE, 'Rua  Três  Alpes do Tietê', 'Rua Três Alpes do Tietê', ' Alpes do Tietê', 'Rua', '3508405', 'Rua Três Alpes do Tietê',' Alpes do Tietê', '1', 'SP', '1', '-23097247', '-47714462', ' Alpes do Tietê' </v>
      </c>
    </row>
    <row r="83" ht="15.75" customHeight="1">
      <c r="A83" s="4" t="s">
        <v>276</v>
      </c>
      <c r="B83" s="5" t="s">
        <v>267</v>
      </c>
      <c r="C83" s="4" t="s">
        <v>10</v>
      </c>
      <c r="D83" s="5" t="s">
        <v>277</v>
      </c>
      <c r="E83" s="6">
        <v>214.0</v>
      </c>
      <c r="F83" s="6" t="s">
        <v>12</v>
      </c>
      <c r="G83" s="3" t="s">
        <v>13</v>
      </c>
      <c r="H83" s="7" t="str">
        <f>IFERROR(__xludf.DUMMYFUNCTION("SPLIT(A82,""Estrada"","""")"),"    do Bonfim")</f>
        <v>    do Bonfim</v>
      </c>
      <c r="J83" s="3" t="s">
        <v>278</v>
      </c>
      <c r="K83" s="8" t="str">
        <f>IFERROR(__xludf.DUMMYFUNCTION("SPLIT($J83,""   "","""")"),"-23.307366 -47.133678")</f>
        <v>-23.307366 -47.133678</v>
      </c>
      <c r="L83" s="7" t="str">
        <f>IFERROR(__xludf.DUMMYFUNCTION("""COMPUTED_VALUE"""),"Rua")</f>
        <v>Rua</v>
      </c>
      <c r="M83" s="7" t="str">
        <f>IFERROR(__xludf.DUMMYFUNCTION("""COMPUTED_VALUE""")," L")</f>
        <v> L</v>
      </c>
      <c r="N83" s="7" t="str">
        <f>IFERROR(__xludf.DUMMYFUNCTION("""COMPUTED_VALUE""")," Fazenda Sossego (São Francisco)")</f>
        <v> Fazenda Sossego (São Francisco)</v>
      </c>
      <c r="O83" s="7" t="str">
        <f>IFERROR(__xludf.DUMMYFUNCTION("""COMPUTED_VALUE""")," Cabreúva")</f>
        <v> Cabreúva</v>
      </c>
      <c r="P83" s="7" t="str">
        <f>IFERROR(__xludf.DUMMYFUNCTION("""COMPUTED_VALUE"""),"SP")</f>
        <v>SP</v>
      </c>
      <c r="Q83" s="7" t="str">
        <f>IFERROR(__xludf.DUMMYFUNCTION("""COMPUTED_VALUE""")," 13316-711 ")</f>
        <v> 13316-711 </v>
      </c>
      <c r="R83" s="9">
        <f>IFERROR(__xludf.DUMMYFUNCTION("SPLIT($K83,"" "","""")"),-2.3307366E7)</f>
        <v>-23307366</v>
      </c>
      <c r="S83" s="9">
        <f>IFERROR(__xludf.DUMMYFUNCTION("""COMPUTED_VALUE"""),-4.7133678E7)</f>
        <v>-47133678</v>
      </c>
      <c r="T83" s="10">
        <v>3508405.0</v>
      </c>
      <c r="U8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13316-711 ', 'PK-20686', SYSDATE, 0, 'PK-20686', SYSDATE, 'Rua  L  Fazenda Sossego (São Francisco)', 'Rua L Fazenda Sossego (São Francisco)', ' Fazenda Sossego (São Francisco)', 'Rua', '3508405', 'Rua L Fazenda Sossego (São Francisco)',' Fazenda Sossego (São Francisco)', '1', 'SP', '1', '-23307366', '-47133678', ' Fazenda Sossego (São Francisco)' </v>
      </c>
    </row>
    <row r="84" ht="15.75" customHeight="1">
      <c r="A84" s="4" t="s">
        <v>279</v>
      </c>
      <c r="B84" s="5" t="s">
        <v>223</v>
      </c>
      <c r="C84" s="4" t="s">
        <v>10</v>
      </c>
      <c r="D84" s="5" t="s">
        <v>280</v>
      </c>
      <c r="E84" s="6">
        <v>214.0</v>
      </c>
      <c r="F84" s="6" t="s">
        <v>12</v>
      </c>
      <c r="G84" s="3" t="s">
        <v>13</v>
      </c>
      <c r="H84" s="7" t="str">
        <f>IFERROR(__xludf.DUMMYFUNCTION("SPLIT(A83,""Estrada"","""")"),"    do Flamboian")</f>
        <v>    do Flamboian</v>
      </c>
      <c r="J84" s="3" t="s">
        <v>281</v>
      </c>
      <c r="K84" s="8" t="str">
        <f>IFERROR(__xludf.DUMMYFUNCTION("SPLIT($J84,""   "","""")"),"-23.577855 -46.84471")</f>
        <v>-23.577855 -46.84471</v>
      </c>
      <c r="L84" s="7" t="str">
        <f>IFERROR(__xludf.DUMMYFUNCTION("""COMPUTED_VALUE"""),"Rua")</f>
        <v>Rua</v>
      </c>
      <c r="M84" s="7" t="str">
        <f>IFERROR(__xludf.DUMMYFUNCTION("""COMPUTED_VALUE""")," Austrália")</f>
        <v> Austrália</v>
      </c>
      <c r="N84" s="7" t="str">
        <f>IFERROR(__xludf.DUMMYFUNCTION("""COMPUTED_VALUE""")," Villarejo Sopé da Serra (Vilarejo)")</f>
        <v> Villarejo Sopé da Serra (Vilarejo)</v>
      </c>
      <c r="O84" s="7" t="str">
        <f>IFERROR(__xludf.DUMMYFUNCTION("""COMPUTED_VALUE""")," Cabreúva")</f>
        <v> Cabreúva</v>
      </c>
      <c r="P84" s="7" t="str">
        <f>IFERROR(__xludf.DUMMYFUNCTION("""COMPUTED_VALUE"""),"SP")</f>
        <v>SP</v>
      </c>
      <c r="Q84" s="7" t="str">
        <f>IFERROR(__xludf.DUMMYFUNCTION("""COMPUTED_VALUE""")," 13317-640 ")</f>
        <v> 13317-640 </v>
      </c>
      <c r="R84" s="9">
        <f>IFERROR(__xludf.DUMMYFUNCTION("SPLIT($K84,"" "","""")"),-2.3577855E7)</f>
        <v>-23577855</v>
      </c>
      <c r="S84" s="9">
        <f>IFERROR(__xludf.DUMMYFUNCTION("""COMPUTED_VALUE"""),-4684471.0)</f>
        <v>-4684471</v>
      </c>
      <c r="T84" s="10">
        <v>3508405.0</v>
      </c>
      <c r="U8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13317-640 ', 'PK-20686', SYSDATE, 0, 'PK-20686', SYSDATE, 'Rua  Austrália  Villarejo Sopé da Serra (Vilarejo)', 'Rua Austrália Villarejo Sopé da Serra (Vilarejo)', ' Villarejo Sopé da Serra (Vilarejo)', 'Rua', '3508405', 'Rua Austrália Villarejo Sopé da Serra (Vilarejo)',' Villarejo Sopé da Serra (Vilarejo)', '1', 'SP', '1', '-23577855', '-4684471', ' Villarejo Sopé da Serra (Vilarejo)' </v>
      </c>
    </row>
    <row r="85" ht="15.75" customHeight="1">
      <c r="A85" s="4" t="s">
        <v>282</v>
      </c>
      <c r="B85" s="5" t="s">
        <v>246</v>
      </c>
      <c r="C85" s="4" t="s">
        <v>10</v>
      </c>
      <c r="D85" s="5" t="s">
        <v>283</v>
      </c>
      <c r="E85" s="6">
        <v>214.0</v>
      </c>
      <c r="F85" s="6" t="s">
        <v>12</v>
      </c>
      <c r="G85" s="3" t="s">
        <v>13</v>
      </c>
      <c r="H85" s="7" t="str">
        <f>IFERROR(__xludf.DUMMYFUNCTION("SPLIT(A84,""Estrada"","""")"),"    do Gavitti")</f>
        <v>    do Gavitti</v>
      </c>
      <c r="J85" s="3" t="s">
        <v>284</v>
      </c>
      <c r="K85" s="8" t="str">
        <f>IFERROR(__xludf.DUMMYFUNCTION("SPLIT($J85,""   "","""")"),"-23.300392 -47.135774")</f>
        <v>-23.300392 -47.135774</v>
      </c>
      <c r="L85" s="7" t="str">
        <f>IFERROR(__xludf.DUMMYFUNCTION("""COMPUTED_VALUE"""),"Rua")</f>
        <v>Rua</v>
      </c>
      <c r="M85" s="7" t="str">
        <f>IFERROR(__xludf.DUMMYFUNCTION("""COMPUTED_VALUE""")," Aroeira")</f>
        <v> Aroeira</v>
      </c>
      <c r="N85" s="7" t="str">
        <f>IFERROR(__xludf.DUMMYFUNCTION("""COMPUTED_VALUE""")," Vale Verde (Centro)")</f>
        <v> Vale Verde (Centro)</v>
      </c>
      <c r="O85" s="7" t="str">
        <f>IFERROR(__xludf.DUMMYFUNCTION("""COMPUTED_VALUE""")," Cabreúva")</f>
        <v> Cabreúva</v>
      </c>
      <c r="P85" s="7" t="str">
        <f>IFERROR(__xludf.DUMMYFUNCTION("""COMPUTED_VALUE"""),"SP")</f>
        <v>SP</v>
      </c>
      <c r="Q85" s="7" t="str">
        <f>IFERROR(__xludf.DUMMYFUNCTION("""COMPUTED_VALUE""")," 13315-260 ")</f>
        <v> 13315-260 </v>
      </c>
      <c r="R85" s="9">
        <f>IFERROR(__xludf.DUMMYFUNCTION("SPLIT($K85,"" "","""")"),-2.3300392E7)</f>
        <v>-23300392</v>
      </c>
      <c r="S85" s="9">
        <f>IFERROR(__xludf.DUMMYFUNCTION("""COMPUTED_VALUE"""),-4.7135774E7)</f>
        <v>-47135774</v>
      </c>
      <c r="T85" s="10">
        <v>3508405.0</v>
      </c>
      <c r="U8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13315-260 ', 'PK-20686', SYSDATE, 0, 'PK-20686', SYSDATE, 'Rua  Aroeira  Vale Verde (Centro)', 'Rua Aroeira Vale Verde (Centro)', ' Vale Verde (Centro)', 'Rua', '3508405', 'Rua Aroeira Vale Verde (Centro)',' Vale Verde (Centro)', '1', 'SP', '1', '-23300392', '-47135774', ' Vale Verde (Centro)' </v>
      </c>
    </row>
    <row r="86" ht="15.75" customHeight="1">
      <c r="A86" s="4" t="s">
        <v>285</v>
      </c>
      <c r="B86" s="5" t="s">
        <v>24</v>
      </c>
      <c r="C86" s="4" t="s">
        <v>10</v>
      </c>
      <c r="D86" s="5" t="s">
        <v>286</v>
      </c>
      <c r="E86" s="6">
        <v>214.0</v>
      </c>
      <c r="F86" s="6" t="s">
        <v>12</v>
      </c>
      <c r="G86" s="3" t="s">
        <v>13</v>
      </c>
      <c r="H86" s="7" t="str">
        <f>IFERROR(__xludf.DUMMYFUNCTION("SPLIT(A85,""Estrada"","""")"),"    do Guaxatuba")</f>
        <v>    do Guaxatuba</v>
      </c>
      <c r="J86" s="3" t="s">
        <v>287</v>
      </c>
      <c r="K86" s="8" t="str">
        <f>IFERROR(__xludf.DUMMYFUNCTION("SPLIT($J86,""   "","""")"),"-23.307366 -47.133678")</f>
        <v>-23.307366 -47.133678</v>
      </c>
      <c r="L86" s="7" t="str">
        <f>IFERROR(__xludf.DUMMYFUNCTION("""COMPUTED_VALUE"""),"Rua")</f>
        <v>Rua</v>
      </c>
      <c r="M86" s="7" t="str">
        <f>IFERROR(__xludf.DUMMYFUNCTION("""COMPUTED_VALUE""")," G")</f>
        <v> G</v>
      </c>
      <c r="N86" s="7" t="str">
        <f>IFERROR(__xludf.DUMMYFUNCTION("""COMPUTED_VALUE""")," Fazenda Sossego (São Francisco)")</f>
        <v> Fazenda Sossego (São Francisco)</v>
      </c>
      <c r="O86" s="7" t="str">
        <f>IFERROR(__xludf.DUMMYFUNCTION("""COMPUTED_VALUE""")," Cabreúva")</f>
        <v> Cabreúva</v>
      </c>
      <c r="P86" s="7" t="str">
        <f>IFERROR(__xludf.DUMMYFUNCTION("""COMPUTED_VALUE"""),"SP")</f>
        <v>SP</v>
      </c>
      <c r="Q86" s="7" t="str">
        <f>IFERROR(__xludf.DUMMYFUNCTION("""COMPUTED_VALUE""")," 13316-706 ")</f>
        <v> 13316-706 </v>
      </c>
      <c r="R86" s="9">
        <f>IFERROR(__xludf.DUMMYFUNCTION("SPLIT($K86,"" "","""")"),-2.3307366E7)</f>
        <v>-23307366</v>
      </c>
      <c r="S86" s="9">
        <f>IFERROR(__xludf.DUMMYFUNCTION("""COMPUTED_VALUE"""),-4.7133678E7)</f>
        <v>-47133678</v>
      </c>
      <c r="T86" s="10">
        <v>3508405.0</v>
      </c>
      <c r="U8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13316-706 ', 'PK-20686', SYSDATE, 0, 'PK-20686', SYSDATE, 'Rua  G  Fazenda Sossego (São Francisco)', 'Rua G Fazenda Sossego (São Francisco)', ' Fazenda Sossego (São Francisco)', 'Rua', '3508405', 'Rua G Fazenda Sossego (São Francisco)',' Fazenda Sossego (São Francisco)', '1', 'SP', '1', '-23307366', '-47133678', ' Fazenda Sossego (São Francisco)' </v>
      </c>
    </row>
    <row r="87" ht="15.75" customHeight="1">
      <c r="A87" s="4" t="s">
        <v>288</v>
      </c>
      <c r="B87" s="5" t="s">
        <v>267</v>
      </c>
      <c r="C87" s="4" t="s">
        <v>10</v>
      </c>
      <c r="D87" s="5" t="s">
        <v>289</v>
      </c>
      <c r="E87" s="6">
        <v>214.0</v>
      </c>
      <c r="F87" s="6" t="s">
        <v>12</v>
      </c>
      <c r="G87" s="3" t="s">
        <v>13</v>
      </c>
      <c r="H87" s="7" t="str">
        <f>IFERROR(__xludf.DUMMYFUNCTION("SPLIT(A86,""Estrada"","""")"),"    do Kajita")</f>
        <v>    do Kajita</v>
      </c>
      <c r="J87" s="3" t="s">
        <v>290</v>
      </c>
      <c r="K87" s="8" t="str">
        <f>IFERROR(__xludf.DUMMYFUNCTION("SPLIT($J87,""   "","""")"),"-23.30897 -47.131949")</f>
        <v>-23.30897 -47.131949</v>
      </c>
      <c r="L87" s="7" t="str">
        <f>IFERROR(__xludf.DUMMYFUNCTION("""COMPUTED_VALUE"""),"Rua")</f>
        <v>Rua</v>
      </c>
      <c r="M87" s="7" t="str">
        <f>IFERROR(__xludf.DUMMYFUNCTION("""COMPUTED_VALUE""")," Renato de Barros Camargo")</f>
        <v> Renato de Barros Camargo</v>
      </c>
      <c r="N87" s="7" t="str">
        <f>IFERROR(__xludf.DUMMYFUNCTION("""COMPUTED_VALUE""")," Centro")</f>
        <v> Centro</v>
      </c>
      <c r="O87" s="7" t="str">
        <f>IFERROR(__xludf.DUMMYFUNCTION("""COMPUTED_VALUE""")," Cabreúva")</f>
        <v> Cabreúva</v>
      </c>
      <c r="P87" s="7" t="str">
        <f>IFERROR(__xludf.DUMMYFUNCTION("""COMPUTED_VALUE"""),"SP")</f>
        <v>SP</v>
      </c>
      <c r="Q87" s="7" t="str">
        <f>IFERROR(__xludf.DUMMYFUNCTION("""COMPUTED_VALUE""")," 13315-033 ")</f>
        <v> 13315-033 </v>
      </c>
      <c r="R87" s="9">
        <f>IFERROR(__xludf.DUMMYFUNCTION("SPLIT($K87,"" "","""")"),-2330897.0)</f>
        <v>-2330897</v>
      </c>
      <c r="S87" s="9">
        <f>IFERROR(__xludf.DUMMYFUNCTION("""COMPUTED_VALUE"""),-4.7131949E7)</f>
        <v>-47131949</v>
      </c>
      <c r="T87" s="10">
        <v>3508405.0</v>
      </c>
      <c r="U8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13315-033 ', 'PK-20686', SYSDATE, 0, 'PK-20686', SYSDATE, 'Rua  Renato de Barros Camargo  Centro', 'Rua Renato de Barros Camargo Centro', ' Centro', 'Rua', '3508405', 'Rua Renato de Barros Camargo Centro',' Centro', '1', 'SP', '1', '-2330897', '-47131949', ' Centro' </v>
      </c>
    </row>
    <row r="88" ht="15.75" customHeight="1">
      <c r="A88" s="4" t="s">
        <v>291</v>
      </c>
      <c r="B88" s="5" t="s">
        <v>263</v>
      </c>
      <c r="C88" s="4" t="s">
        <v>10</v>
      </c>
      <c r="D88" s="5" t="s">
        <v>292</v>
      </c>
      <c r="E88" s="6">
        <v>214.0</v>
      </c>
      <c r="F88" s="6" t="s">
        <v>12</v>
      </c>
      <c r="G88" s="3" t="s">
        <v>13</v>
      </c>
      <c r="H88" s="7" t="str">
        <f>IFERROR(__xludf.DUMMYFUNCTION("SPLIT(A87,""Estrada"","""")"),"    do Mirante")</f>
        <v>    do Mirante</v>
      </c>
      <c r="J88" s="3" t="s">
        <v>293</v>
      </c>
      <c r="K88" s="8" t="str">
        <f>IFERROR(__xludf.DUMMYFUNCTION("SPLIT($J88,""   "","""")"),"-23.251018 -47.058874")</f>
        <v>-23.251018 -47.058874</v>
      </c>
      <c r="L88" s="7" t="str">
        <f>IFERROR(__xludf.DUMMYFUNCTION("""COMPUTED_VALUE"""),"Rua")</f>
        <v>Rua</v>
      </c>
      <c r="M88" s="7" t="str">
        <f>IFERROR(__xludf.DUMMYFUNCTION("""COMPUTED_VALUE""")," Cuiabá")</f>
        <v> Cuiabá</v>
      </c>
      <c r="N88" s="7" t="str">
        <f>IFERROR(__xludf.DUMMYFUNCTION("""COMPUTED_VALUE""")," Jacaré")</f>
        <v> Jacaré</v>
      </c>
      <c r="O88" s="7" t="str">
        <f>IFERROR(__xludf.DUMMYFUNCTION("""COMPUTED_VALUE""")," Cabreúva")</f>
        <v> Cabreúva</v>
      </c>
      <c r="P88" s="7" t="str">
        <f>IFERROR(__xludf.DUMMYFUNCTION("""COMPUTED_VALUE"""),"SP")</f>
        <v>SP</v>
      </c>
      <c r="Q88" s="7" t="str">
        <f>IFERROR(__xludf.DUMMYFUNCTION("""COMPUTED_VALUE""")," 13318-086 ")</f>
        <v> 13318-086 </v>
      </c>
      <c r="R88" s="9">
        <f>IFERROR(__xludf.DUMMYFUNCTION("SPLIT($K88,"" "","""")"),-2.3251018E7)</f>
        <v>-23251018</v>
      </c>
      <c r="S88" s="9">
        <f>IFERROR(__xludf.DUMMYFUNCTION("""COMPUTED_VALUE"""),-4.7058874E7)</f>
        <v>-47058874</v>
      </c>
      <c r="T88" s="10">
        <v>3508405.0</v>
      </c>
      <c r="U8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13318-086 ', 'PK-20686', SYSDATE, 0, 'PK-20686', SYSDATE, 'Rua  Cuiabá  Jacaré', 'Rua Cuiabá Jacaré', ' Jacaré', 'Rua', '3508405', 'Rua Cuiabá Jacaré',' Jacaré', '1', 'SP', '1', '-23251018', '-47058874', ' Jacaré' </v>
      </c>
    </row>
    <row r="89" ht="15.75" customHeight="1">
      <c r="A89" s="4" t="s">
        <v>294</v>
      </c>
      <c r="B89" s="5" t="s">
        <v>132</v>
      </c>
      <c r="C89" s="4" t="s">
        <v>10</v>
      </c>
      <c r="D89" s="5" t="s">
        <v>295</v>
      </c>
      <c r="E89" s="6">
        <v>214.0</v>
      </c>
      <c r="F89" s="6" t="s">
        <v>12</v>
      </c>
      <c r="G89" s="3" t="s">
        <v>13</v>
      </c>
      <c r="H89" s="7" t="str">
        <f>IFERROR(__xludf.DUMMYFUNCTION("SPLIT(A88,""Estrada"","""")"),"    do Piraí")</f>
        <v>    do Piraí</v>
      </c>
      <c r="J89" s="3" t="s">
        <v>296</v>
      </c>
      <c r="K89" s="8" t="str">
        <f>IFERROR(__xludf.DUMMYFUNCTION("SPLIT($J89,""   "","""")"),"-23.313604 -47.131425")</f>
        <v>-23.313604 -47.131425</v>
      </c>
      <c r="L89" s="7" t="str">
        <f>IFERROR(__xludf.DUMMYFUNCTION("""COMPUTED_VALUE"""),"Rua")</f>
        <v>Rua</v>
      </c>
      <c r="M89" s="7" t="str">
        <f>IFERROR(__xludf.DUMMYFUNCTION("""COMPUTED_VALUE""")," Benedito Mesquita da Silveira")</f>
        <v> Benedito Mesquita da Silveira</v>
      </c>
      <c r="N89" s="7" t="str">
        <f>IFERROR(__xludf.DUMMYFUNCTION("""COMPUTED_VALUE""")," Jardim Santana (Centro)")</f>
        <v> Jardim Santana (Centro)</v>
      </c>
      <c r="O89" s="7" t="str">
        <f>IFERROR(__xludf.DUMMYFUNCTION("""COMPUTED_VALUE""")," Cabreúva")</f>
        <v> Cabreúva</v>
      </c>
      <c r="P89" s="7" t="str">
        <f>IFERROR(__xludf.DUMMYFUNCTION("""COMPUTED_VALUE"""),"SP")</f>
        <v>SP</v>
      </c>
      <c r="Q89" s="7" t="str">
        <f>IFERROR(__xludf.DUMMYFUNCTION("""COMPUTED_VALUE""")," 13315-086 ")</f>
        <v> 13315-086 </v>
      </c>
      <c r="R89" s="9">
        <f>IFERROR(__xludf.DUMMYFUNCTION("SPLIT($K89,"" "","""")"),-2.3313604E7)</f>
        <v>-23313604</v>
      </c>
      <c r="S89" s="9">
        <f>IFERROR(__xludf.DUMMYFUNCTION("""COMPUTED_VALUE"""),-4.7131425E7)</f>
        <v>-47131425</v>
      </c>
      <c r="T89" s="10">
        <v>3508405.0</v>
      </c>
      <c r="U8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13315-086 ', 'PK-20686', SYSDATE, 0, 'PK-20686', SYSDATE, 'Rua  Benedito Mesquita da Silveira  Jardim Santana (Centro)', 'Rua Benedito Mesquita da Silveira Jardim Santana (Centro)', ' Jardim Santana (Centro)', 'Rua', '3508405', 'Rua Benedito Mesquita da Silveira Jardim Santana (Centro)',' Jardim Santana (Centro)', '1', 'SP', '1', '-23313604', '-47131425', ' Jardim Santana (Centro)' </v>
      </c>
    </row>
    <row r="90" ht="15.75" customHeight="1">
      <c r="A90" s="4" t="s">
        <v>297</v>
      </c>
      <c r="B90" s="5" t="s">
        <v>223</v>
      </c>
      <c r="C90" s="4" t="s">
        <v>10</v>
      </c>
      <c r="D90" s="5" t="s">
        <v>298</v>
      </c>
      <c r="E90" s="6">
        <v>214.0</v>
      </c>
      <c r="F90" s="6" t="s">
        <v>12</v>
      </c>
      <c r="G90" s="3" t="s">
        <v>13</v>
      </c>
      <c r="H90" s="7" t="str">
        <f>IFERROR(__xludf.DUMMYFUNCTION("SPLIT(A89,""Estrada"","""")"),"    do Quito Gordo")</f>
        <v>    do Quito Gordo</v>
      </c>
      <c r="J90" s="3" t="s">
        <v>299</v>
      </c>
      <c r="K90" s="8" t="str">
        <f>IFERROR(__xludf.DUMMYFUNCTION("SPLIT($J90,""   "","""")"),"-23.30952 -47.134647")</f>
        <v>-23.30952 -47.134647</v>
      </c>
      <c r="L90" s="7" t="str">
        <f>IFERROR(__xludf.DUMMYFUNCTION("""COMPUTED_VALUE"""),"Rua")</f>
        <v>Rua</v>
      </c>
      <c r="M90" s="7" t="str">
        <f>IFERROR(__xludf.DUMMYFUNCTION("""COMPUTED_VALUE""")," Oscar Vilela")</f>
        <v> Oscar Vilela</v>
      </c>
      <c r="N90" s="7" t="str">
        <f>IFERROR(__xludf.DUMMYFUNCTION("""COMPUTED_VALUE""")," Jardim Pedroso (Centro)")</f>
        <v> Jardim Pedroso (Centro)</v>
      </c>
      <c r="O90" s="7" t="str">
        <f>IFERROR(__xludf.DUMMYFUNCTION("""COMPUTED_VALUE""")," Cabreúva")</f>
        <v> Cabreúva</v>
      </c>
      <c r="P90" s="7" t="str">
        <f>IFERROR(__xludf.DUMMYFUNCTION("""COMPUTED_VALUE"""),"SP")</f>
        <v>SP</v>
      </c>
      <c r="Q90" s="7" t="str">
        <f>IFERROR(__xludf.DUMMYFUNCTION("""COMPUTED_VALUE""")," 13315-150 ")</f>
        <v> 13315-150 </v>
      </c>
      <c r="R90" s="9">
        <f>IFERROR(__xludf.DUMMYFUNCTION("SPLIT($K90,"" "","""")"),-2330952.0)</f>
        <v>-2330952</v>
      </c>
      <c r="S90" s="9">
        <f>IFERROR(__xludf.DUMMYFUNCTION("""COMPUTED_VALUE"""),-4.7134647E7)</f>
        <v>-47134647</v>
      </c>
      <c r="T90" s="10">
        <v>3508405.0</v>
      </c>
      <c r="U9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13315-150 ', 'PK-20686', SYSDATE, 0, 'PK-20686', SYSDATE, 'Rua  Oscar Vilela  Jardim Pedroso (Centro)', 'Rua Oscar Vilela Jardim Pedroso (Centro)', ' Jardim Pedroso (Centro)', 'Rua', '3508405', 'Rua Oscar Vilela Jardim Pedroso (Centro)',' Jardim Pedroso (Centro)', '1', 'SP', '1', '-2330952', '-47134647', ' Jardim Pedroso (Centro)' </v>
      </c>
    </row>
    <row r="91" ht="15.75" hidden="1" customHeight="1">
      <c r="A91" s="4" t="s">
        <v>300</v>
      </c>
      <c r="B91" s="5" t="s">
        <v>267</v>
      </c>
      <c r="C91" s="4" t="s">
        <v>10</v>
      </c>
      <c r="D91" s="5" t="s">
        <v>301</v>
      </c>
      <c r="E91" s="6">
        <v>214.0</v>
      </c>
      <c r="F91" s="6" t="s">
        <v>12</v>
      </c>
      <c r="G91" s="3" t="s">
        <v>13</v>
      </c>
      <c r="H91" s="7" t="str">
        <f>IFERROR(__xludf.DUMMYFUNCTION("SPLIT(A90,""Estrada"","""")"),"    do Sumidouro")</f>
        <v>    do Sumidouro</v>
      </c>
      <c r="J91" s="3" t="s">
        <v>302</v>
      </c>
      <c r="K91" s="8" t="str">
        <f>IFERROR(__xludf.DUMMYFUNCTION("SPLIT($J91,""   "","""")"),"-23.250523 -47.05444")</f>
        <v>-23.250523 -47.05444</v>
      </c>
      <c r="L91" s="7" t="str">
        <f>IFERROR(__xludf.DUMMYFUNCTION("""COMPUTED_VALUE"""),"Praça")</f>
        <v>Praça</v>
      </c>
      <c r="M91" s="7" t="str">
        <f>IFERROR(__xludf.DUMMYFUNCTION("""COMPUTED_VALUE""")," da Bíblia")</f>
        <v> da Bíblia</v>
      </c>
      <c r="N91" s="7" t="str">
        <f>IFERROR(__xludf.DUMMYFUNCTION("""COMPUTED_VALUE""")," Jardim da Serra (Jacaré)")</f>
        <v> Jardim da Serra (Jacaré)</v>
      </c>
      <c r="O91" s="7" t="str">
        <f>IFERROR(__xludf.DUMMYFUNCTION("""COMPUTED_VALUE""")," Cabreúva")</f>
        <v> Cabreúva</v>
      </c>
      <c r="P91" s="7" t="str">
        <f>IFERROR(__xludf.DUMMYFUNCTION("""COMPUTED_VALUE"""),"SP")</f>
        <v>SP</v>
      </c>
      <c r="Q91" s="7" t="str">
        <f>IFERROR(__xludf.DUMMYFUNCTION("""COMPUTED_VALUE""")," 13318-156 ")</f>
        <v> 13318-156 </v>
      </c>
      <c r="R91" s="9">
        <f>IFERROR(__xludf.DUMMYFUNCTION("SPLIT($K91,"" "","""")"),-2.3250523E7)</f>
        <v>-23250523</v>
      </c>
      <c r="S91" s="9">
        <f>IFERROR(__xludf.DUMMYFUNCTION("""COMPUTED_VALUE"""),-4705444.0)</f>
        <v>-4705444</v>
      </c>
      <c r="T91" s="10">
        <v>3508405.0</v>
      </c>
      <c r="U9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13318-156 ', 'PK-20686', SYSDATE, 0, 'PK-20686', SYSDATE, 'Praça  da Bíblia  Jardim da Serra (Jacaré)', 'Praça da Bíblia Jardim da Serra (Jacaré)', ' Jardim da Serra (Jacaré)', 'Praça', '3508405', 'Praça da Bíblia Jardim da Serra (Jacaré)',' Jardim da Serra (Jacaré)', '1', 'SP', '1', '-23250523', '-4705444', ' Jardim da Serra (Jacaré)' </v>
      </c>
    </row>
    <row r="92" ht="15.75" customHeight="1">
      <c r="A92" s="4" t="s">
        <v>303</v>
      </c>
      <c r="B92" s="5" t="s">
        <v>164</v>
      </c>
      <c r="C92" s="4" t="s">
        <v>10</v>
      </c>
      <c r="D92" s="5" t="s">
        <v>304</v>
      </c>
      <c r="E92" s="6">
        <v>214.0</v>
      </c>
      <c r="F92" s="6" t="s">
        <v>12</v>
      </c>
      <c r="G92" s="3" t="s">
        <v>13</v>
      </c>
      <c r="H92" s="7" t="str">
        <f>IFERROR(__xludf.DUMMYFUNCTION("SPLIT(A91,""Estrada"","""")"),"    dos Eucaliptos")</f>
        <v>    dos Eucaliptos</v>
      </c>
      <c r="J92" s="3" t="s">
        <v>305</v>
      </c>
      <c r="K92" s="8" t="str">
        <f>IFERROR(__xludf.DUMMYFUNCTION("SPLIT($J92,""   "","""")"),"-23.307366 -47.133678")</f>
        <v>-23.307366 -47.133678</v>
      </c>
      <c r="L92" s="7" t="str">
        <f>IFERROR(__xludf.DUMMYFUNCTION("""COMPUTED_VALUE"""),"Rua")</f>
        <v>Rua</v>
      </c>
      <c r="M92" s="7" t="str">
        <f>IFERROR(__xludf.DUMMYFUNCTION("""COMPUTED_VALUE""")," Líbia")</f>
        <v> Líbia</v>
      </c>
      <c r="N92" s="7" t="str">
        <f>IFERROR(__xludf.DUMMYFUNCTION("""COMPUTED_VALUE""")," Villarejo Sopé da Serra (Vilarejo)")</f>
        <v> Villarejo Sopé da Serra (Vilarejo)</v>
      </c>
      <c r="O92" s="7" t="str">
        <f>IFERROR(__xludf.DUMMYFUNCTION("""COMPUTED_VALUE""")," Cabreúva")</f>
        <v> Cabreúva</v>
      </c>
      <c r="P92" s="7" t="str">
        <f>IFERROR(__xludf.DUMMYFUNCTION("""COMPUTED_VALUE"""),"SP")</f>
        <v>SP</v>
      </c>
      <c r="Q92" s="7" t="str">
        <f>IFERROR(__xludf.DUMMYFUNCTION("""COMPUTED_VALUE""")," 13317-661 ")</f>
        <v> 13317-661 </v>
      </c>
      <c r="R92" s="9">
        <f>IFERROR(__xludf.DUMMYFUNCTION("SPLIT($K92,"" "","""")"),-2.3307366E7)</f>
        <v>-23307366</v>
      </c>
      <c r="S92" s="9">
        <f>IFERROR(__xludf.DUMMYFUNCTION("""COMPUTED_VALUE"""),-4.7133678E7)</f>
        <v>-47133678</v>
      </c>
      <c r="T92" s="10">
        <v>3508405.0</v>
      </c>
      <c r="U9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13317-661 ', 'PK-20686', SYSDATE, 0, 'PK-20686', SYSDATE, 'Rua  Líbia  Villarejo Sopé da Serra (Vilarejo)', 'Rua Líbia Villarejo Sopé da Serra (Vilarejo)', ' Villarejo Sopé da Serra (Vilarejo)', 'Rua', '3508405', 'Rua Líbia Villarejo Sopé da Serra (Vilarejo)',' Villarejo Sopé da Serra (Vilarejo)', '1', 'SP', '1', '-23307366', '-47133678', ' Villarejo Sopé da Serra (Vilarejo)' </v>
      </c>
    </row>
    <row r="93" ht="15.75" customHeight="1">
      <c r="A93" s="4" t="s">
        <v>306</v>
      </c>
      <c r="B93" s="5" t="s">
        <v>164</v>
      </c>
      <c r="C93" s="4" t="s">
        <v>10</v>
      </c>
      <c r="D93" s="5" t="s">
        <v>307</v>
      </c>
      <c r="E93" s="6">
        <v>214.0</v>
      </c>
      <c r="F93" s="6" t="s">
        <v>12</v>
      </c>
      <c r="G93" s="3" t="s">
        <v>13</v>
      </c>
      <c r="H93" s="7" t="str">
        <f>IFERROR(__xludf.DUMMYFUNCTION("SPLIT(A92,""Estrada"","""")"),"    dos Romeiros")</f>
        <v>    dos Romeiros</v>
      </c>
      <c r="J93" s="3" t="s">
        <v>308</v>
      </c>
      <c r="K93" s="8" t="str">
        <f>IFERROR(__xludf.DUMMYFUNCTION("SPLIT($J93,""   "","""")"),"-23.240266 -47.053585")</f>
        <v>-23.240266 -47.053585</v>
      </c>
      <c r="L93" s="7" t="str">
        <f>IFERROR(__xludf.DUMMYFUNCTION("""COMPUTED_VALUE"""),"Rua")</f>
        <v>Rua</v>
      </c>
      <c r="M93" s="7" t="str">
        <f>IFERROR(__xludf.DUMMYFUNCTION("""COMPUTED_VALUE""")," Ipanema")</f>
        <v> Ipanema</v>
      </c>
      <c r="N93" s="7" t="str">
        <f>IFERROR(__xludf.DUMMYFUNCTION("""COMPUTED_VALUE""")," Residencial Haras Pindorama I (Jacaré)")</f>
        <v> Residencial Haras Pindorama I (Jacaré)</v>
      </c>
      <c r="O93" s="7" t="str">
        <f>IFERROR(__xludf.DUMMYFUNCTION("""COMPUTED_VALUE""")," Cabreúva")</f>
        <v> Cabreúva</v>
      </c>
      <c r="P93" s="7" t="str">
        <f>IFERROR(__xludf.DUMMYFUNCTION("""COMPUTED_VALUE"""),"SP")</f>
        <v>SP</v>
      </c>
      <c r="Q93" s="7" t="str">
        <f>IFERROR(__xludf.DUMMYFUNCTION("""COMPUTED_VALUE""")," 13318-408 ")</f>
        <v> 13318-408 </v>
      </c>
      <c r="R93" s="9">
        <f>IFERROR(__xludf.DUMMYFUNCTION("SPLIT($K93,"" "","""")"),-2.3240266E7)</f>
        <v>-23240266</v>
      </c>
      <c r="S93" s="9">
        <f>IFERROR(__xludf.DUMMYFUNCTION("""COMPUTED_VALUE"""),-4.7053585E7)</f>
        <v>-47053585</v>
      </c>
      <c r="T93" s="10">
        <v>3508405.0</v>
      </c>
      <c r="U9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13318-408 ', 'PK-20686', SYSDATE, 0, 'PK-20686', SYSDATE, 'Rua  Ipanema  Residencial Haras Pindorama I (Jacaré)', 'Rua Ipanema Residencial Haras Pindorama I (Jacaré)', ' Residencial Haras Pindorama I (Jacaré)', 'Rua', '3508405', 'Rua Ipanema Residencial Haras Pindorama I (Jacaré)',' Residencial Haras Pindorama I (Jacaré)', '1', 'SP', '1', '-23240266', '-47053585', ' Residencial Haras Pindorama I (Jacaré)' </v>
      </c>
    </row>
    <row r="94" ht="15.75" customHeight="1">
      <c r="A94" s="4" t="s">
        <v>309</v>
      </c>
      <c r="B94" s="5" t="s">
        <v>226</v>
      </c>
      <c r="C94" s="4" t="s">
        <v>10</v>
      </c>
      <c r="D94" s="5" t="s">
        <v>310</v>
      </c>
      <c r="E94" s="6">
        <v>214.0</v>
      </c>
      <c r="F94" s="6" t="s">
        <v>12</v>
      </c>
      <c r="G94" s="3" t="s">
        <v>13</v>
      </c>
      <c r="H94" s="7" t="str">
        <f>IFERROR(__xludf.DUMMYFUNCTION("SPLIT(A93,""Estrada"","""")"),"    Garrafinha")</f>
        <v>    Garrafinha</v>
      </c>
      <c r="J94" s="3" t="s">
        <v>311</v>
      </c>
      <c r="K94" s="8" t="str">
        <f>IFERROR(__xludf.DUMMYFUNCTION("SPLIT($J94,""   "","""")"),"-23.245618 -47.064924")</f>
        <v>-23.245618 -47.064924</v>
      </c>
      <c r="L94" s="7" t="str">
        <f>IFERROR(__xludf.DUMMYFUNCTION("""COMPUTED_VALUE"""),"Rua")</f>
        <v>Rua</v>
      </c>
      <c r="M94" s="7" t="str">
        <f>IFERROR(__xludf.DUMMYFUNCTION("""COMPUTED_VALUE""")," Carmenére")</f>
        <v> Carmenére</v>
      </c>
      <c r="N94" s="7" t="str">
        <f>IFERROR(__xludf.DUMMYFUNCTION("""COMPUTED_VALUE""")," Reserva da Quinta (Jacaré)")</f>
        <v> Reserva da Quinta (Jacaré)</v>
      </c>
      <c r="O94" s="7" t="str">
        <f>IFERROR(__xludf.DUMMYFUNCTION("""COMPUTED_VALUE""")," Cabreúva")</f>
        <v> Cabreúva</v>
      </c>
      <c r="P94" s="7" t="str">
        <f>IFERROR(__xludf.DUMMYFUNCTION("""COMPUTED_VALUE"""),"SP")</f>
        <v>SP</v>
      </c>
      <c r="Q94" s="7" t="str">
        <f>IFERROR(__xludf.DUMMYFUNCTION("""COMPUTED_VALUE""")," 13318-444 ")</f>
        <v> 13318-444 </v>
      </c>
      <c r="R94" s="9">
        <f>IFERROR(__xludf.DUMMYFUNCTION("SPLIT($K94,"" "","""")"),-2.3245618E7)</f>
        <v>-23245618</v>
      </c>
      <c r="S94" s="9">
        <f>IFERROR(__xludf.DUMMYFUNCTION("""COMPUTED_VALUE"""),-4.7064924E7)</f>
        <v>-47064924</v>
      </c>
      <c r="T94" s="10">
        <v>3508405.0</v>
      </c>
      <c r="U9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13318-444 ', 'PK-20686', SYSDATE, 0, 'PK-20686', SYSDATE, 'Rua  Carmenére  Reserva da Quinta (Jacaré)', 'Rua Carmenére Reserva da Quinta (Jacaré)', ' Reserva da Quinta (Jacaré)', 'Rua', '3508405', 'Rua Carmenére Reserva da Quinta (Jacaré)',' Reserva da Quinta (Jacaré)', '1', 'SP', '1', '-23245618', '-47064924', ' Reserva da Quinta (Jacaré)' </v>
      </c>
    </row>
    <row r="95" ht="15.75" customHeight="1">
      <c r="A95" s="4" t="s">
        <v>312</v>
      </c>
      <c r="B95" s="5" t="s">
        <v>267</v>
      </c>
      <c r="C95" s="4" t="s">
        <v>10</v>
      </c>
      <c r="D95" s="5" t="s">
        <v>313</v>
      </c>
      <c r="E95" s="6">
        <v>214.0</v>
      </c>
      <c r="F95" s="6" t="s">
        <v>12</v>
      </c>
      <c r="G95" s="3" t="s">
        <v>13</v>
      </c>
      <c r="H95" s="7" t="str">
        <f>IFERROR(__xludf.DUMMYFUNCTION("SPLIT(A94,""Estrada"","""")"),"    Luiz Ferreira de Oliveira")</f>
        <v>    Luiz Ferreira de Oliveira</v>
      </c>
      <c r="J95" s="3" t="s">
        <v>314</v>
      </c>
      <c r="K95" s="8" t="str">
        <f>IFERROR(__xludf.DUMMYFUNCTION("SPLIT($J95,""   "","""")"),"-23.250609 -47.055049")</f>
        <v>-23.250609 -47.055049</v>
      </c>
      <c r="L95" s="7" t="str">
        <f>IFERROR(__xludf.DUMMYFUNCTION("""COMPUTED_VALUE"""),"Rua")</f>
        <v>Rua</v>
      </c>
      <c r="M95" s="7" t="str">
        <f>IFERROR(__xludf.DUMMYFUNCTION("""COMPUTED_VALUE""")," Fernando Nunes")</f>
        <v> Fernando Nunes</v>
      </c>
      <c r="N95" s="7" t="str">
        <f>IFERROR(__xludf.DUMMYFUNCTION("""COMPUTED_VALUE""")," Jardim da Serra (Jacaré)")</f>
        <v> Jardim da Serra (Jacaré)</v>
      </c>
      <c r="O95" s="7" t="str">
        <f>IFERROR(__xludf.DUMMYFUNCTION("""COMPUTED_VALUE""")," Cabreúva")</f>
        <v> Cabreúva</v>
      </c>
      <c r="P95" s="7" t="str">
        <f>IFERROR(__xludf.DUMMYFUNCTION("""COMPUTED_VALUE"""),"SP")</f>
        <v>SP</v>
      </c>
      <c r="Q95" s="7" t="str">
        <f>IFERROR(__xludf.DUMMYFUNCTION("""COMPUTED_VALUE""")," 13318-130 ")</f>
        <v> 13318-130 </v>
      </c>
      <c r="R95" s="9">
        <f>IFERROR(__xludf.DUMMYFUNCTION("SPLIT($K95,"" "","""")"),-2.3250609E7)</f>
        <v>-23250609</v>
      </c>
      <c r="S95" s="9">
        <f>IFERROR(__xludf.DUMMYFUNCTION("""COMPUTED_VALUE"""),-4.7055049E7)</f>
        <v>-47055049</v>
      </c>
      <c r="T95" s="10">
        <v>3508405.0</v>
      </c>
      <c r="U9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13318-130 ', 'PK-20686', SYSDATE, 0, 'PK-20686', SYSDATE, 'Rua  Fernando Nunes  Jardim da Serra (Jacaré)', 'Rua Fernando Nunes Jardim da Serra (Jacaré)', ' Jardim da Serra (Jacaré)', 'Rua', '3508405', 'Rua Fernando Nunes Jardim da Serra (Jacaré)',' Jardim da Serra (Jacaré)', '1', 'SP', '1', '-23250609', '-47055049', ' Jardim da Serra (Jacaré)' </v>
      </c>
    </row>
    <row r="96" ht="15.75" customHeight="1">
      <c r="A96" s="4" t="s">
        <v>315</v>
      </c>
      <c r="B96" s="5" t="s">
        <v>39</v>
      </c>
      <c r="C96" s="4" t="s">
        <v>10</v>
      </c>
      <c r="D96" s="5" t="s">
        <v>316</v>
      </c>
      <c r="E96" s="6">
        <v>214.0</v>
      </c>
      <c r="F96" s="6" t="s">
        <v>12</v>
      </c>
      <c r="G96" s="3" t="s">
        <v>13</v>
      </c>
      <c r="H96" s="7" t="str">
        <f>IFERROR(__xludf.DUMMYFUNCTION("SPLIT(A95,""Estrada"","""")"),"    Manacás")</f>
        <v>    Manacás</v>
      </c>
      <c r="J96" s="3" t="s">
        <v>317</v>
      </c>
      <c r="K96" s="8" t="str">
        <f>IFERROR(__xludf.DUMMYFUNCTION("SPLIT($J96,""   "","""")"),"-23.246262 -47.0611")</f>
        <v>-23.246262 -47.0611</v>
      </c>
      <c r="L96" s="7" t="str">
        <f>IFERROR(__xludf.DUMMYFUNCTION("""COMPUTED_VALUE"""),"Rua")</f>
        <v>Rua</v>
      </c>
      <c r="M96" s="7" t="str">
        <f>IFERROR(__xludf.DUMMYFUNCTION("""COMPUTED_VALUE""")," Goiás")</f>
        <v> Goiás</v>
      </c>
      <c r="N96" s="7" t="str">
        <f>IFERROR(__xludf.DUMMYFUNCTION("""COMPUTED_VALUE""")," Jacaré")</f>
        <v> Jacaré</v>
      </c>
      <c r="O96" s="7" t="str">
        <f>IFERROR(__xludf.DUMMYFUNCTION("""COMPUTED_VALUE""")," Cabreúva")</f>
        <v> Cabreúva</v>
      </c>
      <c r="P96" s="7" t="str">
        <f>IFERROR(__xludf.DUMMYFUNCTION("""COMPUTED_VALUE"""),"SP")</f>
        <v>SP</v>
      </c>
      <c r="Q96" s="7" t="str">
        <f>IFERROR(__xludf.DUMMYFUNCTION("""COMPUTED_VALUE""")," 13318-072 ")</f>
        <v> 13318-072 </v>
      </c>
      <c r="R96" s="9">
        <f>IFERROR(__xludf.DUMMYFUNCTION("SPLIT($K96,"" "","""")"),-2.3246262E7)</f>
        <v>-23246262</v>
      </c>
      <c r="S96" s="9">
        <f>IFERROR(__xludf.DUMMYFUNCTION("""COMPUTED_VALUE"""),-470611.0)</f>
        <v>-470611</v>
      </c>
      <c r="T96" s="10">
        <v>3508405.0</v>
      </c>
      <c r="U9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13318-072 ', 'PK-20686', SYSDATE, 0, 'PK-20686', SYSDATE, 'Rua  Goiás  Jacaré', 'Rua Goiás Jacaré', ' Jacaré', 'Rua', '3508405', 'Rua Goiás Jacaré',' Jacaré', '1', 'SP', '1', '-23246262', '-470611', ' Jacaré' </v>
      </c>
    </row>
    <row r="97" ht="15.75" customHeight="1">
      <c r="A97" s="12" t="s">
        <v>318</v>
      </c>
      <c r="B97" s="13" t="s">
        <v>319</v>
      </c>
      <c r="C97" s="4" t="s">
        <v>10</v>
      </c>
      <c r="D97" s="13" t="s">
        <v>320</v>
      </c>
      <c r="E97" s="6">
        <v>214.0</v>
      </c>
      <c r="F97" s="6" t="s">
        <v>12</v>
      </c>
      <c r="G97" s="3" t="s">
        <v>13</v>
      </c>
      <c r="H97" s="7" t="str">
        <f>IFERROR(__xludf.DUMMYFUNCTION("SPLIT(A96,""Estrada"","""")"),"    Municipal Caracol")</f>
        <v>    Municipal Caracol</v>
      </c>
      <c r="J97" s="3" t="s">
        <v>321</v>
      </c>
      <c r="K97" s="8" t="str">
        <f>IFERROR(__xludf.DUMMYFUNCTION("SPLIT($J97,""   "","""")"),"-23.310244 -47.135428")</f>
        <v>-23.310244 -47.135428</v>
      </c>
      <c r="L97" s="7" t="str">
        <f>IFERROR(__xludf.DUMMYFUNCTION("""COMPUTED_VALUE"""),"Rua")</f>
        <v>Rua</v>
      </c>
      <c r="M97" s="7" t="str">
        <f>IFERROR(__xludf.DUMMYFUNCTION("""COMPUTED_VALUE""")," José Corazza")</f>
        <v> José Corazza</v>
      </c>
      <c r="N97" s="7" t="str">
        <f>IFERROR(__xludf.DUMMYFUNCTION("""COMPUTED_VALUE""")," Jardim Pedroso (Centro)")</f>
        <v> Jardim Pedroso (Centro)</v>
      </c>
      <c r="O97" s="7" t="str">
        <f>IFERROR(__xludf.DUMMYFUNCTION("""COMPUTED_VALUE""")," Cabreúva")</f>
        <v> Cabreúva</v>
      </c>
      <c r="P97" s="7" t="str">
        <f>IFERROR(__xludf.DUMMYFUNCTION("""COMPUTED_VALUE"""),"SP")</f>
        <v>SP</v>
      </c>
      <c r="Q97" s="7" t="str">
        <f>IFERROR(__xludf.DUMMYFUNCTION("""COMPUTED_VALUE""")," 13315-152 ")</f>
        <v> 13315-152 </v>
      </c>
      <c r="R97" s="9">
        <f>IFERROR(__xludf.DUMMYFUNCTION("SPLIT($K97,"" "","""")"),-2.3310244E7)</f>
        <v>-23310244</v>
      </c>
      <c r="S97" s="9">
        <f>IFERROR(__xludf.DUMMYFUNCTION("""COMPUTED_VALUE"""),-4.7135428E7)</f>
        <v>-47135428</v>
      </c>
      <c r="T97" s="10">
        <v>3508405.0</v>
      </c>
      <c r="U9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13315-152 ', 'PK-20686', SYSDATE, 0, 'PK-20686', SYSDATE, 'Rua  José Corazza  Jardim Pedroso (Centro)', 'Rua José Corazza Jardim Pedroso (Centro)', ' Jardim Pedroso (Centro)', 'Rua', '3508405', 'Rua José Corazza Jardim Pedroso (Centro)',' Jardim Pedroso (Centro)', '1', 'SP', '1', '-23310244', '-47135428', ' Jardim Pedroso (Centro)' </v>
      </c>
    </row>
    <row r="98" ht="15.75" hidden="1" customHeight="1">
      <c r="A98" s="4" t="s">
        <v>322</v>
      </c>
      <c r="B98" s="5" t="s">
        <v>246</v>
      </c>
      <c r="C98" s="4" t="s">
        <v>10</v>
      </c>
      <c r="D98" s="5" t="s">
        <v>323</v>
      </c>
      <c r="E98" s="6">
        <v>214.0</v>
      </c>
      <c r="F98" s="6" t="s">
        <v>12</v>
      </c>
      <c r="G98" s="3" t="s">
        <v>13</v>
      </c>
      <c r="H98" s="7" t="str">
        <f>IFERROR(__xludf.DUMMYFUNCTION("SPLIT(A97,""Estrada"","""")"),"    Parque")</f>
        <v>    Parque</v>
      </c>
      <c r="J98" s="3" t="s">
        <v>324</v>
      </c>
      <c r="K98" s="8" t="str">
        <f>IFERROR(__xludf.DUMMYFUNCTION("SPLIT($J98,""   "","""")"),"-23.255814 -47.04546")</f>
        <v>-23.255814 -47.04546</v>
      </c>
      <c r="L98" s="7" t="str">
        <f>IFERROR(__xludf.DUMMYFUNCTION("""COMPUTED_VALUE"""),"Avenida")</f>
        <v>Avenida</v>
      </c>
      <c r="M98" s="7" t="str">
        <f>IFERROR(__xludf.DUMMYFUNCTION("""COMPUTED_VALUE""")," Valderrama")</f>
        <v> Valderrama</v>
      </c>
      <c r="N98" s="7" t="str">
        <f>IFERROR(__xludf.DUMMYFUNCTION("""COMPUTED_VALUE""")," Portal da Concórdia II (Jacaré)")</f>
        <v> Portal da Concórdia II (Jacaré)</v>
      </c>
      <c r="O98" s="7" t="str">
        <f>IFERROR(__xludf.DUMMYFUNCTION("""COMPUTED_VALUE""")," Cabreúva")</f>
        <v> Cabreúva</v>
      </c>
      <c r="P98" s="7" t="str">
        <f>IFERROR(__xludf.DUMMYFUNCTION("""COMPUTED_VALUE"""),"SP")</f>
        <v>SP</v>
      </c>
      <c r="Q98" s="7" t="str">
        <f>IFERROR(__xludf.DUMMYFUNCTION("""COMPUTED_VALUE""")," 13318-302 ")</f>
        <v> 13318-302 </v>
      </c>
      <c r="R98" s="9">
        <f>IFERROR(__xludf.DUMMYFUNCTION("SPLIT($K98,"" "","""")"),-2.3255814E7)</f>
        <v>-23255814</v>
      </c>
      <c r="S98" s="9">
        <f>IFERROR(__xludf.DUMMYFUNCTION("""COMPUTED_VALUE"""),-4704546.0)</f>
        <v>-4704546</v>
      </c>
      <c r="T98" s="10">
        <v>3508405.0</v>
      </c>
      <c r="U9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13318-302 ', 'PK-20686', SYSDATE, 0, 'PK-20686', SYSDATE, 'Avenida  Valderrama  Portal da Concórdia II (Jacaré)', 'Avenida Valderrama Portal da Concórdia II (Jacaré)', ' Portal da Concórdia II (Jacaré)', 'Avenida', '3508405', 'Avenida Valderrama Portal da Concórdia II (Jacaré)',' Portal da Concórdia II (Jacaré)', '1', 'SP', '1', '-23255814', '-4704546', ' Portal da Concórdia II (Jacaré)' </v>
      </c>
    </row>
    <row r="99" ht="15.75" hidden="1" customHeight="1">
      <c r="A99" s="4" t="s">
        <v>325</v>
      </c>
      <c r="B99" s="5" t="s">
        <v>164</v>
      </c>
      <c r="C99" s="4" t="s">
        <v>10</v>
      </c>
      <c r="D99" s="5" t="s">
        <v>326</v>
      </c>
      <c r="E99" s="6">
        <v>214.0</v>
      </c>
      <c r="F99" s="6" t="s">
        <v>12</v>
      </c>
      <c r="G99" s="3" t="s">
        <v>13</v>
      </c>
      <c r="H99" s="7" t="str">
        <f>IFERROR(__xludf.DUMMYFUNCTION("SPLIT(A98,""Estrada"","""")"),"    Particular")</f>
        <v>    Particular</v>
      </c>
      <c r="J99" s="3" t="s">
        <v>327</v>
      </c>
      <c r="K99" s="8" t="str">
        <f>IFERROR(__xludf.DUMMYFUNCTION("SPLIT($J99,""   "","""")"),"-23.245618 -47.064924")</f>
        <v>-23.245618 -47.064924</v>
      </c>
      <c r="L99" s="7" t="str">
        <f>IFERROR(__xludf.DUMMYFUNCTION("""COMPUTED_VALUE"""),"Avenida")</f>
        <v>Avenida</v>
      </c>
      <c r="M99" s="7" t="str">
        <f>IFERROR(__xludf.DUMMYFUNCTION("""COMPUTED_VALUE""")," Vereador José Donato 567 Clique e Retire Correios  AC Jacaré Clique e Retire")</f>
        <v> Vereador José Donato 567 Clique e Retire Correios  AC Jacaré Clique e Retire</v>
      </c>
      <c r="N99" s="7" t="str">
        <f>IFERROR(__xludf.DUMMYFUNCTION("""COMPUTED_VALUE""")," Jacaré")</f>
        <v> Jacaré</v>
      </c>
      <c r="O99" s="7" t="str">
        <f>IFERROR(__xludf.DUMMYFUNCTION("""COMPUTED_VALUE""")," Cabreúva")</f>
        <v> Cabreúva</v>
      </c>
      <c r="P99" s="7" t="str">
        <f>IFERROR(__xludf.DUMMYFUNCTION("""COMPUTED_VALUE"""),"SP")</f>
        <v>SP</v>
      </c>
      <c r="Q99" s="7" t="str">
        <f>IFERROR(__xludf.DUMMYFUNCTION("""COMPUTED_VALUE"""),"13318-959 ")</f>
        <v>13318-959 </v>
      </c>
      <c r="R99" s="9">
        <f>IFERROR(__xludf.DUMMYFUNCTION("SPLIT($K99,"" "","""")"),-2.3245618E7)</f>
        <v>-23245618</v>
      </c>
      <c r="S99" s="9">
        <f>IFERROR(__xludf.DUMMYFUNCTION("""COMPUTED_VALUE"""),-4.7064924E7)</f>
        <v>-47064924</v>
      </c>
      <c r="T99" s="10">
        <v>3508405.0</v>
      </c>
      <c r="U9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SEQ_CEPS.NEXTVAL,'13318-959 ', 'PK-20686', SYSDATE, 0, 'PK-20686', SYSDATE, 'Avenida  Vereador José Donato 567 Clique e Retire Correios  AC Jacaré Clique e Retire  Jacaré', 'Avenida Vereador José Donato 567 Clique e Retire Correios  AC Jacaré Clique e Retire Jacaré', ' Jacaré', 'Avenida', '3508405', 'Avenida Vereador José Donato 567 Clique e Retire Correios  AC Jacaré Clique e Retire Jacaré',' Jacaré', '1', 'SP', '1', '-23245618', '-47064924', ' Jacaré' </v>
      </c>
    </row>
    <row r="100" ht="15.75" customHeight="1">
      <c r="A100" s="4" t="s">
        <v>328</v>
      </c>
      <c r="B100" s="5" t="s">
        <v>164</v>
      </c>
      <c r="C100" s="4" t="s">
        <v>10</v>
      </c>
      <c r="D100" s="5" t="s">
        <v>329</v>
      </c>
      <c r="E100" s="6">
        <v>214.0</v>
      </c>
      <c r="F100" s="6" t="s">
        <v>12</v>
      </c>
      <c r="G100" s="3" t="s">
        <v>13</v>
      </c>
      <c r="H100" s="7" t="str">
        <f>IFERROR(__xludf.DUMMYFUNCTION("SPLIT(A99,""Estrada"","""")"),"    Ribeirão dos Padres")</f>
        <v>    Ribeirão dos Padres</v>
      </c>
      <c r="J100" s="3" t="s">
        <v>330</v>
      </c>
      <c r="K100" s="8" t="str">
        <f>IFERROR(__xludf.DUMMYFUNCTION("SPLIT($J100,""   "","""")"),"-23.364334 -47.099753")</f>
        <v>-23.364334 -47.099753</v>
      </c>
      <c r="L100" s="7" t="str">
        <f>IFERROR(__xludf.DUMMYFUNCTION("""COMPUTED_VALUE"""),"Rua")</f>
        <v>Rua</v>
      </c>
      <c r="M100" s="7" t="str">
        <f>IFERROR(__xludf.DUMMYFUNCTION("""COMPUTED_VALUE""")," D")</f>
        <v> D</v>
      </c>
      <c r="N100" s="7" t="str">
        <f>IFERROR(__xludf.DUMMYFUNCTION("""COMPUTED_VALUE""")," Fazenda Sossego (São Francisco)")</f>
        <v> Fazenda Sossego (São Francisco)</v>
      </c>
      <c r="O100" s="7" t="str">
        <f>IFERROR(__xludf.DUMMYFUNCTION("""COMPUTED_VALUE""")," Cabreúva")</f>
        <v> Cabreúva</v>
      </c>
      <c r="P100" s="7" t="str">
        <f>IFERROR(__xludf.DUMMYFUNCTION("""COMPUTED_VALUE"""),"SP")</f>
        <v>SP</v>
      </c>
      <c r="Q100" s="7" t="str">
        <f>IFERROR(__xludf.DUMMYFUNCTION("""COMPUTED_VALUE""")," 13316-703 ")</f>
        <v> 13316-703 </v>
      </c>
      <c r="R100" s="9">
        <f>IFERROR(__xludf.DUMMYFUNCTION("SPLIT($K100,"" "","""")"),-2.3364334E7)</f>
        <v>-23364334</v>
      </c>
      <c r="S100" s="9">
        <f>IFERROR(__xludf.DUMMYFUNCTION("""COMPUTED_VALUE"""),-4.7099753E7)</f>
        <v>-47099753</v>
      </c>
      <c r="T100" s="10">
        <v>3508405.0</v>
      </c>
      <c r="U10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13316-703 ', 'PK-20686', SYSDATE, 0, 'PK-20686', SYSDATE, 'Rua  D  Fazenda Sossego (São Francisco)', 'Rua D Fazenda Sossego (São Francisco)', ' Fazenda Sossego (São Francisco)', 'Rua', '3508405', 'Rua D Fazenda Sossego (São Francisco)',' Fazenda Sossego (São Francisco)', '1', 'SP', '1', '-23364334', '-47099753', ' Fazenda Sossego (São Francisco)' </v>
      </c>
    </row>
    <row r="101" ht="15.75" customHeight="1">
      <c r="A101" s="4" t="s">
        <v>331</v>
      </c>
      <c r="B101" s="5" t="s">
        <v>180</v>
      </c>
      <c r="C101" s="4" t="s">
        <v>10</v>
      </c>
      <c r="D101" s="5" t="s">
        <v>332</v>
      </c>
      <c r="E101" s="6">
        <v>214.0</v>
      </c>
      <c r="F101" s="6" t="s">
        <v>12</v>
      </c>
      <c r="G101" s="3" t="s">
        <v>13</v>
      </c>
      <c r="H101" s="7" t="str">
        <f>IFERROR(__xludf.DUMMYFUNCTION("SPLIT(A2,""Praça"","""")"),"Alameda    das Spathodeas")</f>
        <v>Alameda    das Spathodeas</v>
      </c>
      <c r="J101" s="3" t="s">
        <v>333</v>
      </c>
      <c r="K101" s="8" t="str">
        <f>IFERROR(__xludf.DUMMYFUNCTION("SPLIT($J101,""   "","""")"),"-23.274515 -47.058766")</f>
        <v>-23.274515 -47.058766</v>
      </c>
      <c r="L101" s="7" t="str">
        <f>IFERROR(__xludf.DUMMYFUNCTION("""COMPUTED_VALUE"""),"Rua")</f>
        <v>Rua</v>
      </c>
      <c r="M101" s="7" t="str">
        <f>IFERROR(__xludf.DUMMYFUNCTION("""COMPUTED_VALUE""")," Taiti")</f>
        <v> Taiti</v>
      </c>
      <c r="N101" s="7" t="str">
        <f>IFERROR(__xludf.DUMMYFUNCTION("""COMPUTED_VALUE""")," Villarejo Sopé da Serra (Vilarejo)")</f>
        <v> Villarejo Sopé da Serra (Vilarejo)</v>
      </c>
      <c r="O101" s="7" t="str">
        <f>IFERROR(__xludf.DUMMYFUNCTION("""COMPUTED_VALUE""")," Cabreúva")</f>
        <v> Cabreúva</v>
      </c>
      <c r="P101" s="7" t="str">
        <f>IFERROR(__xludf.DUMMYFUNCTION("""COMPUTED_VALUE"""),"SP")</f>
        <v>SP</v>
      </c>
      <c r="Q101" s="7" t="str">
        <f>IFERROR(__xludf.DUMMYFUNCTION("""COMPUTED_VALUE""")," 13317-664 ")</f>
        <v> 13317-664 </v>
      </c>
      <c r="R101" s="9">
        <f>IFERROR(__xludf.DUMMYFUNCTION("SPLIT($K101,"" "","""")"),-2.3274515E7)</f>
        <v>-23274515</v>
      </c>
      <c r="S101" s="9">
        <f>IFERROR(__xludf.DUMMYFUNCTION("""COMPUTED_VALUE"""),-4.7058766E7)</f>
        <v>-47058766</v>
      </c>
      <c r="T101" s="10">
        <v>3508405.0</v>
      </c>
      <c r="U10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13317-664 ', 'PK-20686', SYSDATE, 0, 'PK-20686', SYSDATE, 'Rua  Taiti  Villarejo Sopé da Serra (Vilarejo)', 'Rua Taiti Villarejo Sopé da Serra (Vilarejo)', ' Villarejo Sopé da Serra (Vilarejo)', 'Rua', '3508405', 'Rua Taiti Villarejo Sopé da Serra (Vilarejo)',' Villarejo Sopé da Serra (Vilarejo)', '1', 'SP', '1', '-23274515', '-47058766', ' Villarejo Sopé da Serra (Vilarejo)' </v>
      </c>
    </row>
    <row r="102" ht="15.75" hidden="1" customHeight="1">
      <c r="A102" s="4" t="s">
        <v>334</v>
      </c>
      <c r="B102" s="5" t="s">
        <v>180</v>
      </c>
      <c r="C102" s="4" t="s">
        <v>10</v>
      </c>
      <c r="D102" s="5" t="s">
        <v>335</v>
      </c>
      <c r="E102" s="6">
        <v>214.0</v>
      </c>
      <c r="F102" s="6" t="s">
        <v>12</v>
      </c>
      <c r="G102" s="3" t="s">
        <v>13</v>
      </c>
      <c r="H102" s="7" t="str">
        <f>IFERROR(__xludf.DUMMYFUNCTION("SPLIT(A3,""Praça"","""")"),"Estrada    Antonio Spina")</f>
        <v>Estrada    Antonio Spina</v>
      </c>
      <c r="J102" s="3" t="s">
        <v>336</v>
      </c>
      <c r="K102" s="8" t="str">
        <f>IFERROR(__xludf.DUMMYFUNCTION("SPLIT($J102,""   "","""")"),"-23.314575 -47.133471")</f>
        <v>-23.314575 -47.133471</v>
      </c>
      <c r="L102" s="7" t="str">
        <f>IFERROR(__xludf.DUMMYFUNCTION("""COMPUTED_VALUE"""),"Avenida")</f>
        <v>Avenida</v>
      </c>
      <c r="M102" s="7" t="str">
        <f>IFERROR(__xludf.DUMMYFUNCTION("""COMPUTED_VALUE""")," Vereador Durval Amirat")</f>
        <v> Vereador Durval Amirat</v>
      </c>
      <c r="N102" s="7" t="str">
        <f>IFERROR(__xludf.DUMMYFUNCTION("""COMPUTED_VALUE""")," Nova Cabreúva (Centro)")</f>
        <v> Nova Cabreúva (Centro)</v>
      </c>
      <c r="O102" s="7" t="str">
        <f>IFERROR(__xludf.DUMMYFUNCTION("""COMPUTED_VALUE""")," Cabreúva")</f>
        <v> Cabreúva</v>
      </c>
      <c r="P102" s="7" t="str">
        <f>IFERROR(__xludf.DUMMYFUNCTION("""COMPUTED_VALUE"""),"SP")</f>
        <v>SP</v>
      </c>
      <c r="Q102" s="7" t="str">
        <f>IFERROR(__xludf.DUMMYFUNCTION("""COMPUTED_VALUE""")," 13315-100 ")</f>
        <v> 13315-100 </v>
      </c>
      <c r="R102" s="9">
        <f>IFERROR(__xludf.DUMMYFUNCTION("SPLIT($K102,"" "","""")"),-2.3314575E7)</f>
        <v>-23314575</v>
      </c>
      <c r="S102" s="9">
        <f>IFERROR(__xludf.DUMMYFUNCTION("""COMPUTED_VALUE"""),-4.7133471E7)</f>
        <v>-47133471</v>
      </c>
      <c r="T102" s="10">
        <v>3508405.0</v>
      </c>
      <c r="U10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13315-100 ', 'PK-20686', SYSDATE, 0, 'PK-20686', SYSDATE, 'Avenida  Vereador Durval Amirat  Nova Cabreúva (Centro)', 'Avenida Vereador Durval Amirat Nova Cabreúva (Centro)', ' Nova Cabreúva (Centro)', 'Avenida', '3508405', 'Avenida Vereador Durval Amirat Nova Cabreúva (Centro)',' Nova Cabreúva (Centro)', '1', 'SP', '1', '-23314575', '-47133471', ' Nova Cabreúva (Centro)' </v>
      </c>
    </row>
    <row r="103" ht="15.75" customHeight="1">
      <c r="A103" s="4" t="s">
        <v>337</v>
      </c>
      <c r="B103" s="5" t="s">
        <v>231</v>
      </c>
      <c r="C103" s="4" t="s">
        <v>10</v>
      </c>
      <c r="D103" s="5" t="s">
        <v>338</v>
      </c>
      <c r="E103" s="6">
        <v>214.0</v>
      </c>
      <c r="F103" s="6" t="s">
        <v>12</v>
      </c>
      <c r="G103" s="3" t="s">
        <v>13</v>
      </c>
      <c r="H103" s="7" t="str">
        <f>IFERROR(__xludf.DUMMYFUNCTION("SPLIT(A4,""Praça"","""")"),"Rua       Alberto Spina")</f>
        <v>Rua       Alberto Spina</v>
      </c>
      <c r="J103" s="3" t="s">
        <v>339</v>
      </c>
      <c r="K103" s="8" t="str">
        <f>IFERROR(__xludf.DUMMYFUNCTION("SPLIT($J103,""   "","""")"),"-23.351176 -47.083048")</f>
        <v>-23.351176 -47.083048</v>
      </c>
      <c r="L103" s="7" t="str">
        <f>IFERROR(__xludf.DUMMYFUNCTION("""COMPUTED_VALUE"""),"Rua")</f>
        <v>Rua</v>
      </c>
      <c r="M103" s="7" t="str">
        <f>IFERROR(__xludf.DUMMYFUNCTION("""COMPUTED_VALUE""")," Salvador Pinto da Silva")</f>
        <v> Salvador Pinto da Silva</v>
      </c>
      <c r="N103" s="7" t="str">
        <f>IFERROR(__xludf.DUMMYFUNCTION("""COMPUTED_VALUE""")," Bananal")</f>
        <v> Bananal</v>
      </c>
      <c r="O103" s="7" t="str">
        <f>IFERROR(__xludf.DUMMYFUNCTION("""COMPUTED_VALUE""")," Cabreúva")</f>
        <v> Cabreúva</v>
      </c>
      <c r="P103" s="7" t="str">
        <f>IFERROR(__xludf.DUMMYFUNCTION("""COMPUTED_VALUE"""),"SP")</f>
        <v>SP</v>
      </c>
      <c r="Q103" s="7" t="str">
        <f>IFERROR(__xludf.DUMMYFUNCTION("""COMPUTED_VALUE""")," 13316-804 ")</f>
        <v> 13316-804 </v>
      </c>
      <c r="R103" s="9">
        <f>IFERROR(__xludf.DUMMYFUNCTION("SPLIT($K103,"" "","""")"),-2.3351176E7)</f>
        <v>-23351176</v>
      </c>
      <c r="S103" s="9">
        <f>IFERROR(__xludf.DUMMYFUNCTION("""COMPUTED_VALUE"""),-4.7083048E7)</f>
        <v>-47083048</v>
      </c>
      <c r="T103" s="10">
        <v>3508405.0</v>
      </c>
      <c r="U10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13316-804 ', 'PK-20686', SYSDATE, 0, 'PK-20686', SYSDATE, 'Rua  Salvador Pinto da Silva  Bananal', 'Rua Salvador Pinto da Silva Bananal', ' Bananal', 'Rua', '3508405', 'Rua Salvador Pinto da Silva Bananal',' Bananal', '1', 'SP', '1', '-23351176', '-47083048', ' Bananal' </v>
      </c>
    </row>
    <row r="104" ht="15.75" hidden="1" customHeight="1">
      <c r="A104" s="4" t="s">
        <v>340</v>
      </c>
      <c r="B104" s="5" t="s">
        <v>267</v>
      </c>
      <c r="C104" s="4" t="s">
        <v>10</v>
      </c>
      <c r="D104" s="5" t="s">
        <v>341</v>
      </c>
      <c r="E104" s="6">
        <v>214.0</v>
      </c>
      <c r="F104" s="6" t="s">
        <v>12</v>
      </c>
      <c r="G104" s="3" t="s">
        <v>13</v>
      </c>
      <c r="H104" s="7" t="str">
        <f>IFERROR(__xludf.DUMMYFUNCTION("SPLIT(A5,""Praça"","""")"),"Rua       Andrelino Spina")</f>
        <v>Rua       Andrelino Spina</v>
      </c>
      <c r="J104" s="3" t="s">
        <v>342</v>
      </c>
      <c r="K104" s="8" t="str">
        <f>IFERROR(__xludf.DUMMYFUNCTION("SPLIT($J104,""   "","""")"),"-23.272962 -47.09802")</f>
        <v>-23.272962 -47.09802</v>
      </c>
      <c r="L104" s="7" t="str">
        <f>IFERROR(__xludf.DUMMYFUNCTION("""COMPUTED_VALUE"""),"Via")</f>
        <v>Via</v>
      </c>
      <c r="M104" s="7" t="str">
        <f>IFERROR(__xludf.DUMMYFUNCTION("""COMPUTED_VALUE""")," Desembargador Luiz Carlos de Araújo")</f>
        <v> Desembargador Luiz Carlos de Araújo</v>
      </c>
      <c r="N104" s="7" t="str">
        <f>IFERROR(__xludf.DUMMYFUNCTION("""COMPUTED_VALUE""")," Pinhal")</f>
        <v> Pinhal</v>
      </c>
      <c r="O104" s="7" t="str">
        <f>IFERROR(__xludf.DUMMYFUNCTION("""COMPUTED_VALUE""")," Cabreúva")</f>
        <v> Cabreúva</v>
      </c>
      <c r="P104" s="7" t="str">
        <f>IFERROR(__xludf.DUMMYFUNCTION("""COMPUTED_VALUE"""),"SP")</f>
        <v>SP</v>
      </c>
      <c r="Q104" s="7" t="str">
        <f>IFERROR(__xludf.DUMMYFUNCTION("""COMPUTED_VALUE""")," 13317-252 ")</f>
        <v> 13317-252 </v>
      </c>
      <c r="R104" s="9">
        <f>IFERROR(__xludf.DUMMYFUNCTION("SPLIT($K104,"" "","""")"),-2.3272962E7)</f>
        <v>-23272962</v>
      </c>
      <c r="S104" s="9">
        <f>IFERROR(__xludf.DUMMYFUNCTION("""COMPUTED_VALUE"""),-4709802.0)</f>
        <v>-4709802</v>
      </c>
      <c r="T104" s="10">
        <v>3508405.0</v>
      </c>
      <c r="U10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13317-252 ', 'PK-20686', SYSDATE, 0, 'PK-20686', SYSDATE, 'Via  Desembargador Luiz Carlos de Araújo  Pinhal', 'Via Desembargador Luiz Carlos de Araújo Pinhal', ' Pinhal', 'Via', '3508405', 'Via Desembargador Luiz Carlos de Araújo Pinhal',' Pinhal', '1', 'SP', '1', '-23272962', '-4709802', ' Pinhal' </v>
      </c>
    </row>
    <row r="105" ht="15.75" customHeight="1">
      <c r="A105" s="4" t="s">
        <v>343</v>
      </c>
      <c r="B105" s="5" t="s">
        <v>223</v>
      </c>
      <c r="C105" s="4" t="s">
        <v>10</v>
      </c>
      <c r="D105" s="5" t="s">
        <v>344</v>
      </c>
      <c r="E105" s="6">
        <v>214.0</v>
      </c>
      <c r="F105" s="6" t="s">
        <v>12</v>
      </c>
      <c r="G105" s="3" t="s">
        <v>13</v>
      </c>
      <c r="H105" s="7" t="str">
        <f>IFERROR(__xludf.DUMMYFUNCTION("SPLIT(A6,""Praça"","""")"),"Rua       Armando Spina")</f>
        <v>Rua       Armando Spina</v>
      </c>
      <c r="J105" s="3" t="s">
        <v>345</v>
      </c>
      <c r="K105" s="8" t="str">
        <f>IFERROR(__xludf.DUMMYFUNCTION("SPLIT($J105,""   "","""")"),"-23.297543 -47.13876")</f>
        <v>-23.297543 -47.13876</v>
      </c>
      <c r="L105" s="7" t="str">
        <f>IFERROR(__xludf.DUMMYFUNCTION("""COMPUTED_VALUE"""),"Rua")</f>
        <v>Rua</v>
      </c>
      <c r="M105" s="7" t="str">
        <f>IFERROR(__xludf.DUMMYFUNCTION("""COMPUTED_VALUE""")," da Paineira")</f>
        <v> da Paineira</v>
      </c>
      <c r="N105" s="7" t="str">
        <f>IFERROR(__xludf.DUMMYFUNCTION("""COMPUTED_VALUE""")," Vale Verde (Centro)")</f>
        <v> Vale Verde (Centro)</v>
      </c>
      <c r="O105" s="7" t="str">
        <f>IFERROR(__xludf.DUMMYFUNCTION("""COMPUTED_VALUE""")," Cabreúva")</f>
        <v> Cabreúva</v>
      </c>
      <c r="P105" s="7" t="str">
        <f>IFERROR(__xludf.DUMMYFUNCTION("""COMPUTED_VALUE"""),"SP")</f>
        <v>SP</v>
      </c>
      <c r="Q105" s="7" t="str">
        <f>IFERROR(__xludf.DUMMYFUNCTION("""COMPUTED_VALUE""")," 13315-268 ")</f>
        <v> 13315-268 </v>
      </c>
      <c r="R105" s="9">
        <f>IFERROR(__xludf.DUMMYFUNCTION("SPLIT($K105,"" "","""")"),-2.3297543E7)</f>
        <v>-23297543</v>
      </c>
      <c r="S105" s="9">
        <f>IFERROR(__xludf.DUMMYFUNCTION("""COMPUTED_VALUE"""),-4713876.0)</f>
        <v>-4713876</v>
      </c>
      <c r="T105" s="10">
        <v>3508405.0</v>
      </c>
      <c r="U10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13315-268 ', 'PK-20686', SYSDATE, 0, 'PK-20686', SYSDATE, 'Rua  da Paineira  Vale Verde (Centro)', 'Rua da Paineira Vale Verde (Centro)', ' Vale Verde (Centro)', 'Rua', '3508405', 'Rua da Paineira Vale Verde (Centro)',' Vale Verde (Centro)', '1', 'SP', '1', '-23297543', '-4713876', ' Vale Verde (Centro)' </v>
      </c>
    </row>
    <row r="106" ht="15.75" customHeight="1">
      <c r="A106" s="4" t="s">
        <v>346</v>
      </c>
      <c r="B106" s="5" t="s">
        <v>223</v>
      </c>
      <c r="C106" s="4" t="s">
        <v>10</v>
      </c>
      <c r="D106" s="5" t="s">
        <v>347</v>
      </c>
      <c r="E106" s="6">
        <v>214.0</v>
      </c>
      <c r="F106" s="6" t="s">
        <v>12</v>
      </c>
      <c r="G106" s="3" t="s">
        <v>13</v>
      </c>
      <c r="H106" s="7" t="str">
        <f>IFERROR(__xludf.DUMMYFUNCTION("SPLIT(A7,""Praça"","""")"),"Via    André Spina")</f>
        <v>Via    André Spina</v>
      </c>
      <c r="J106" s="3" t="s">
        <v>348</v>
      </c>
      <c r="K106" s="8" t="str">
        <f>IFERROR(__xludf.DUMMYFUNCTION("SPLIT($J106,""   "","""")"),"-23.307366 -47.133678")</f>
        <v>-23.307366 -47.133678</v>
      </c>
      <c r="L106" s="7" t="str">
        <f>IFERROR(__xludf.DUMMYFUNCTION("""COMPUTED_VALUE"""),"Rua")</f>
        <v>Rua</v>
      </c>
      <c r="M106" s="7" t="str">
        <f>IFERROR(__xludf.DUMMYFUNCTION("""COMPUTED_VALUE""")," Rubi")</f>
        <v> Rubi</v>
      </c>
      <c r="N106" s="7" t="str">
        <f>IFERROR(__xludf.DUMMYFUNCTION("""COMPUTED_VALUE""")," Vila Preciosa (Vilarejo)")</f>
        <v> Vila Preciosa (Vilarejo)</v>
      </c>
      <c r="O106" s="7" t="str">
        <f>IFERROR(__xludf.DUMMYFUNCTION("""COMPUTED_VALUE""")," Cabreúva")</f>
        <v> Cabreúva</v>
      </c>
      <c r="P106" s="7" t="str">
        <f>IFERROR(__xludf.DUMMYFUNCTION("""COMPUTED_VALUE"""),"SP")</f>
        <v>SP</v>
      </c>
      <c r="Q106" s="7" t="str">
        <f>IFERROR(__xludf.DUMMYFUNCTION("""COMPUTED_VALUE""")," 13317-520 ")</f>
        <v> 13317-520 </v>
      </c>
      <c r="R106" s="9">
        <f>IFERROR(__xludf.DUMMYFUNCTION("SPLIT($K106,"" "","""")"),-2.3307366E7)</f>
        <v>-23307366</v>
      </c>
      <c r="S106" s="9">
        <f>IFERROR(__xludf.DUMMYFUNCTION("""COMPUTED_VALUE"""),-4.7133678E7)</f>
        <v>-47133678</v>
      </c>
      <c r="T106" s="10">
        <v>3508405.0</v>
      </c>
      <c r="U10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13317-520 ', 'PK-20686', SYSDATE, 0, 'PK-20686', SYSDATE, 'Rua  Rubi  Vila Preciosa (Vilarejo)', 'Rua Rubi Vila Preciosa (Vilarejo)', ' Vila Preciosa (Vilarejo)', 'Rua', '3508405', 'Rua Rubi Vila Preciosa (Vilarejo)',' Vila Preciosa (Vilarejo)', '1', 'SP', '1', '-23307366', '-47133678', ' Vila Preciosa (Vilarejo)' </v>
      </c>
    </row>
    <row r="107" ht="15.75" customHeight="1">
      <c r="A107" s="4" t="s">
        <v>349</v>
      </c>
      <c r="B107" s="5" t="s">
        <v>199</v>
      </c>
      <c r="C107" s="4" t="s">
        <v>10</v>
      </c>
      <c r="D107" s="5" t="s">
        <v>350</v>
      </c>
      <c r="E107" s="6">
        <v>214.0</v>
      </c>
      <c r="F107" s="6" t="s">
        <v>12</v>
      </c>
      <c r="G107" s="3" t="s">
        <v>13</v>
      </c>
      <c r="H107" s="7" t="str">
        <f>IFERROR(__xludf.DUMMYFUNCTION("SPLIT(A8,""Praça"","""")"),"Alameda    Algarve")</f>
        <v>Alameda    Algarve</v>
      </c>
      <c r="J107" s="3" t="s">
        <v>351</v>
      </c>
      <c r="K107" s="8" t="str">
        <f>IFERROR(__xludf.DUMMYFUNCTION("SPLIT($J107,""   "","""")"),"-23.26118 -47.050798")</f>
        <v>-23.26118 -47.050798</v>
      </c>
      <c r="L107" s="7" t="str">
        <f>IFERROR(__xludf.DUMMYFUNCTION("""COMPUTED_VALUE"""),"Rua")</f>
        <v>Rua</v>
      </c>
      <c r="M107" s="7" t="str">
        <f>IFERROR(__xludf.DUMMYFUNCTION("""COMPUTED_VALUE""")," Pirita")</f>
        <v> Pirita</v>
      </c>
      <c r="N107" s="7" t="str">
        <f>IFERROR(__xludf.DUMMYFUNCTION("""COMPUTED_VALUE""")," Jardim Colina da Serra II (Jacaré)")</f>
        <v> Jardim Colina da Serra II (Jacaré)</v>
      </c>
      <c r="O107" s="7" t="str">
        <f>IFERROR(__xludf.DUMMYFUNCTION("""COMPUTED_VALUE""")," Cabreúva")</f>
        <v> Cabreúva</v>
      </c>
      <c r="P107" s="7" t="str">
        <f>IFERROR(__xludf.DUMMYFUNCTION("""COMPUTED_VALUE"""),"SP")</f>
        <v>SP</v>
      </c>
      <c r="Q107" s="7" t="str">
        <f>IFERROR(__xludf.DUMMYFUNCTION("""COMPUTED_VALUE""")," 13318-264 ")</f>
        <v> 13318-264 </v>
      </c>
      <c r="R107" s="9">
        <f>IFERROR(__xludf.DUMMYFUNCTION("SPLIT($K107,"" "","""")"),-2326118.0)</f>
        <v>-2326118</v>
      </c>
      <c r="S107" s="9">
        <f>IFERROR(__xludf.DUMMYFUNCTION("""COMPUTED_VALUE"""),-4.7050798E7)</f>
        <v>-47050798</v>
      </c>
      <c r="T107" s="10">
        <v>3508405.0</v>
      </c>
      <c r="U10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13318-264 ', 'PK-20686', SYSDATE, 0, 'PK-20686', SYSDATE, 'Rua  Pirita  Jardim Colina da Serra II (Jacaré)', 'Rua Pirita Jardim Colina da Serra II (Jacaré)', ' Jardim Colina da Serra II (Jacaré)', 'Rua', '3508405', 'Rua Pirita Jardim Colina da Serra II (Jacaré)',' Jardim Colina da Serra II (Jacaré)', '1', 'SP', '1', '-2326118', '-47050798', ' Jardim Colina da Serra II (Jacaré)' </v>
      </c>
    </row>
    <row r="108" ht="15.75" customHeight="1">
      <c r="A108" s="4" t="s">
        <v>352</v>
      </c>
      <c r="B108" s="5" t="s">
        <v>24</v>
      </c>
      <c r="C108" s="4" t="s">
        <v>10</v>
      </c>
      <c r="D108" s="5" t="s">
        <v>353</v>
      </c>
      <c r="E108" s="6">
        <v>214.0</v>
      </c>
      <c r="F108" s="6" t="s">
        <v>12</v>
      </c>
      <c r="G108" s="3" t="s">
        <v>13</v>
      </c>
      <c r="H108" s="7" t="str">
        <f>IFERROR(__xludf.DUMMYFUNCTION("SPLIT(A2,""Rodovia"","""")"),"Alameda    das Spathodeas")</f>
        <v>Alameda    das Spathodeas</v>
      </c>
      <c r="J108" s="3" t="s">
        <v>354</v>
      </c>
      <c r="K108" s="8" t="str">
        <f>IFERROR(__xludf.DUMMYFUNCTION("SPLIT($J108,""   "","""")"),"-23.25724 -47.05915")</f>
        <v>-23.25724 -47.05915</v>
      </c>
      <c r="L108" s="7" t="str">
        <f>IFERROR(__xludf.DUMMYFUNCTION("""COMPUTED_VALUE"""),"Rua")</f>
        <v>Rua</v>
      </c>
      <c r="M108" s="7" t="str">
        <f>IFERROR(__xludf.DUMMYFUNCTION("""COMPUTED_VALUE""")," Mariana")</f>
        <v> Mariana</v>
      </c>
      <c r="N108" s="7" t="str">
        <f>IFERROR(__xludf.DUMMYFUNCTION("""COMPUTED_VALUE""")," Parque Santo Antônio (Jacaré)")</f>
        <v> Parque Santo Antônio (Jacaré)</v>
      </c>
      <c r="O108" s="7" t="str">
        <f>IFERROR(__xludf.DUMMYFUNCTION("""COMPUTED_VALUE""")," Cabreúva")</f>
        <v> Cabreúva</v>
      </c>
      <c r="P108" s="7" t="str">
        <f>IFERROR(__xludf.DUMMYFUNCTION("""COMPUTED_VALUE"""),"SP")</f>
        <v>SP</v>
      </c>
      <c r="Q108" s="7" t="str">
        <f>IFERROR(__xludf.DUMMYFUNCTION("""COMPUTED_VALUE""")," 13318-176 ")</f>
        <v> 13318-176 </v>
      </c>
      <c r="R108" s="9">
        <f>IFERROR(__xludf.DUMMYFUNCTION("SPLIT($K108,"" "","""")"),-2325724.0)</f>
        <v>-2325724</v>
      </c>
      <c r="S108" s="9">
        <f>IFERROR(__xludf.DUMMYFUNCTION("""COMPUTED_VALUE"""),-4705915.0)</f>
        <v>-4705915</v>
      </c>
      <c r="T108" s="10">
        <v>3508405.0</v>
      </c>
      <c r="U10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13318-176 ', 'PK-20686', SYSDATE, 0, 'PK-20686', SYSDATE, 'Rua  Mariana  Parque Santo Antônio (Jacaré)', 'Rua Mariana Parque Santo Antônio (Jacaré)', ' Parque Santo Antônio (Jacaré)', 'Rua', '3508405', 'Rua Mariana Parque Santo Antônio (Jacaré)',' Parque Santo Antônio (Jacaré)', '1', 'SP', '1', '-2325724', '-4705915', ' Parque Santo Antônio (Jacaré)' </v>
      </c>
    </row>
    <row r="109" ht="15.75" hidden="1" customHeight="1">
      <c r="A109" s="4" t="s">
        <v>352</v>
      </c>
      <c r="B109" s="5" t="s">
        <v>132</v>
      </c>
      <c r="C109" s="4" t="s">
        <v>10</v>
      </c>
      <c r="D109" s="5" t="s">
        <v>355</v>
      </c>
      <c r="E109" s="6">
        <v>214.0</v>
      </c>
      <c r="F109" s="6" t="s">
        <v>12</v>
      </c>
      <c r="G109" s="3" t="s">
        <v>13</v>
      </c>
      <c r="H109" s="7" t="str">
        <f>IFERROR(__xludf.DUMMYFUNCTION("SPLIT(A3,""Rodovia"","""")"),"Estrada    Antonio Spina")</f>
        <v>Estrada    Antonio Spina</v>
      </c>
      <c r="J109" s="3" t="s">
        <v>356</v>
      </c>
      <c r="K109" s="8" t="str">
        <f>IFERROR(__xludf.DUMMYFUNCTION("SPLIT($J109,""   "","""")"),"-23.294821 -47.054836")</f>
        <v>-23.294821 -47.054836</v>
      </c>
      <c r="L109" s="7" t="str">
        <f>IFERROR(__xludf.DUMMYFUNCTION("""COMPUTED_VALUE"""),"Estrada")</f>
        <v>Estrada</v>
      </c>
      <c r="M109" s="7" t="str">
        <f>IFERROR(__xludf.DUMMYFUNCTION("""COMPUTED_VALUE""")," da Adutora")</f>
        <v> da Adutora</v>
      </c>
      <c r="N109" s="7" t="str">
        <f>IFERROR(__xludf.DUMMYFUNCTION("""COMPUTED_VALUE""")," Bonfim")</f>
        <v> Bonfim</v>
      </c>
      <c r="O109" s="7" t="str">
        <f>IFERROR(__xludf.DUMMYFUNCTION("""COMPUTED_VALUE""")," Cabreúva")</f>
        <v> Cabreúva</v>
      </c>
      <c r="P109" s="7" t="str">
        <f>IFERROR(__xludf.DUMMYFUNCTION("""COMPUTED_VALUE"""),"SP")</f>
        <v>SP</v>
      </c>
      <c r="Q109" s="7" t="str">
        <f>IFERROR(__xludf.DUMMYFUNCTION("""COMPUTED_VALUE""")," 13319-036 ")</f>
        <v> 13319-036 </v>
      </c>
      <c r="R109" s="9">
        <f>IFERROR(__xludf.DUMMYFUNCTION("SPLIT($K109,"" "","""")"),-2.3294821E7)</f>
        <v>-23294821</v>
      </c>
      <c r="S109" s="9">
        <f>IFERROR(__xludf.DUMMYFUNCTION("""COMPUTED_VALUE"""),-4.7054836E7)</f>
        <v>-47054836</v>
      </c>
      <c r="T109" s="10">
        <v>3508405.0</v>
      </c>
      <c r="U10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13319-036 ', 'PK-20686', SYSDATE, 0, 'PK-20686', SYSDATE, 'Estrada  da Adutora  Bonfim', 'Estrada da Adutora Bonfim', ' Bonfim', 'Estrada', '3508405', 'Estrada da Adutora Bonfim',' Bonfim', '1', 'SP', '1', '-23294821', '-47054836', ' Bonfim' </v>
      </c>
    </row>
    <row r="110" ht="15.75" customHeight="1">
      <c r="A110" s="4" t="s">
        <v>357</v>
      </c>
      <c r="B110" s="5" t="s">
        <v>132</v>
      </c>
      <c r="C110" s="4" t="s">
        <v>10</v>
      </c>
      <c r="D110" s="5" t="s">
        <v>358</v>
      </c>
      <c r="E110" s="6">
        <v>214.0</v>
      </c>
      <c r="F110" s="6" t="s">
        <v>12</v>
      </c>
      <c r="G110" s="3" t="s">
        <v>13</v>
      </c>
      <c r="H110" s="7" t="str">
        <f>IFERROR(__xludf.DUMMYFUNCTION("SPLIT(A4,""Rodovia"","""")"),"Rua       Alberto Spina")</f>
        <v>Rua       Alberto Spina</v>
      </c>
      <c r="J110" s="3" t="s">
        <v>359</v>
      </c>
      <c r="K110" s="8" t="str">
        <f>IFERROR(__xludf.DUMMYFUNCTION("SPLIT($J110,""   "","""")"),"-23.306537 -47.132059")</f>
        <v>-23.306537 -47.132059</v>
      </c>
      <c r="L110" s="7" t="str">
        <f>IFERROR(__xludf.DUMMYFUNCTION("""COMPUTED_VALUE"""),"Rua")</f>
        <v>Rua</v>
      </c>
      <c r="M110" s="7" t="str">
        <f>IFERROR(__xludf.DUMMYFUNCTION("""COMPUTED_VALUE""")," Mário Faccioli")</f>
        <v> Mário Faccioli</v>
      </c>
      <c r="N110" s="7" t="str">
        <f>IFERROR(__xludf.DUMMYFUNCTION("""COMPUTED_VALUE""")," Centro")</f>
        <v> Centro</v>
      </c>
      <c r="O110" s="7" t="str">
        <f>IFERROR(__xludf.DUMMYFUNCTION("""COMPUTED_VALUE""")," Cabreúva")</f>
        <v> Cabreúva</v>
      </c>
      <c r="P110" s="7" t="str">
        <f>IFERROR(__xludf.DUMMYFUNCTION("""COMPUTED_VALUE"""),"SP")</f>
        <v>SP</v>
      </c>
      <c r="Q110" s="7" t="str">
        <f>IFERROR(__xludf.DUMMYFUNCTION("""COMPUTED_VALUE""")," 13315-013 ")</f>
        <v> 13315-013 </v>
      </c>
      <c r="R110" s="9">
        <f>IFERROR(__xludf.DUMMYFUNCTION("SPLIT($K110,"" "","""")"),-2.3306537E7)</f>
        <v>-23306537</v>
      </c>
      <c r="S110" s="9">
        <f>IFERROR(__xludf.DUMMYFUNCTION("""COMPUTED_VALUE"""),-4.7132059E7)</f>
        <v>-47132059</v>
      </c>
      <c r="T110" s="10">
        <v>3508405.0</v>
      </c>
      <c r="U11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13315-013 ', 'PK-20686', SYSDATE, 0, 'PK-20686', SYSDATE, 'Rua  Mário Faccioli  Centro', 'Rua Mário Faccioli Centro', ' Centro', 'Rua', '3508405', 'Rua Mário Faccioli Centro',' Centro', '1', 'SP', '1', '-23306537', '-47132059', ' Centro' </v>
      </c>
    </row>
    <row r="111" ht="15.75" hidden="1" customHeight="1">
      <c r="A111" s="4" t="s">
        <v>360</v>
      </c>
      <c r="B111" s="5" t="s">
        <v>223</v>
      </c>
      <c r="C111" s="4" t="s">
        <v>10</v>
      </c>
      <c r="D111" s="5" t="s">
        <v>361</v>
      </c>
      <c r="E111" s="6">
        <v>214.0</v>
      </c>
      <c r="F111" s="6" t="s">
        <v>12</v>
      </c>
      <c r="G111" s="3" t="s">
        <v>13</v>
      </c>
      <c r="H111" s="7" t="str">
        <f>IFERROR(__xludf.DUMMYFUNCTION("SPLIT(A5,""Rodovia"","""")"),"Rua       Andrelino Spina")</f>
        <v>Rua       Andrelino Spina</v>
      </c>
      <c r="J111" s="3" t="s">
        <v>362</v>
      </c>
      <c r="K111" s="8" t="str">
        <f>IFERROR(__xludf.DUMMYFUNCTION("SPLIT($J111,""   "","""")"),"-23.307366 -47.133678")</f>
        <v>-23.307366 -47.133678</v>
      </c>
      <c r="L111" s="7" t="str">
        <f>IFERROR(__xludf.DUMMYFUNCTION("""COMPUTED_VALUE"""),"Estrada")</f>
        <v>Estrada</v>
      </c>
      <c r="M111" s="7" t="str">
        <f>IFERROR(__xludf.DUMMYFUNCTION("""COMPUTED_VALUE""")," da Boa Esperança")</f>
        <v> da Boa Esperança</v>
      </c>
      <c r="N111" s="7" t="str">
        <f>IFERROR(__xludf.DUMMYFUNCTION("""COMPUTED_VALUE""")," Guaxatuba")</f>
        <v> Guaxatuba</v>
      </c>
      <c r="O111" s="7" t="str">
        <f>IFERROR(__xludf.DUMMYFUNCTION("""COMPUTED_VALUE""")," Cabreúva")</f>
        <v> Cabreúva</v>
      </c>
      <c r="P111" s="7" t="str">
        <f>IFERROR(__xludf.DUMMYFUNCTION("""COMPUTED_VALUE"""),"SP")</f>
        <v>SP</v>
      </c>
      <c r="Q111" s="7" t="str">
        <f>IFERROR(__xludf.DUMMYFUNCTION("""COMPUTED_VALUE""")," 13316-508 ")</f>
        <v> 13316-508 </v>
      </c>
      <c r="R111" s="9">
        <f>IFERROR(__xludf.DUMMYFUNCTION("SPLIT($K111,"" "","""")"),-2.3307366E7)</f>
        <v>-23307366</v>
      </c>
      <c r="S111" s="9">
        <f>IFERROR(__xludf.DUMMYFUNCTION("""COMPUTED_VALUE"""),-4.7133678E7)</f>
        <v>-47133678</v>
      </c>
      <c r="T111" s="10">
        <v>3508405.0</v>
      </c>
      <c r="U11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13316-508 ', 'PK-20686', SYSDATE, 0, 'PK-20686', SYSDATE, 'Estrada  da Boa Esperança  Guaxatuba', 'Estrada da Boa Esperança Guaxatuba', ' Guaxatuba', 'Estrada', '3508405', 'Estrada da Boa Esperança Guaxatuba',' Guaxatuba', '1', 'SP', '1', '-23307366', '-47133678', ' Guaxatuba' </v>
      </c>
    </row>
    <row r="112" ht="15.75" customHeight="1">
      <c r="A112" s="4" t="s">
        <v>360</v>
      </c>
      <c r="B112" s="5" t="s">
        <v>16</v>
      </c>
      <c r="C112" s="4" t="s">
        <v>10</v>
      </c>
      <c r="D112" s="5" t="s">
        <v>363</v>
      </c>
      <c r="E112" s="6">
        <v>214.0</v>
      </c>
      <c r="F112" s="6" t="s">
        <v>12</v>
      </c>
      <c r="G112" s="3" t="s">
        <v>13</v>
      </c>
      <c r="H112" s="7" t="str">
        <f>IFERROR(__xludf.DUMMYFUNCTION("SPLIT(A6,""Rodovia"","""")"),"Rua       Armando Spina")</f>
        <v>Rua       Armando Spina</v>
      </c>
      <c r="J112" s="3" t="s">
        <v>364</v>
      </c>
      <c r="K112" s="8" t="str">
        <f>IFERROR(__xludf.DUMMYFUNCTION("SPLIT($J112,""   "","""")"),"-23.259419 -47.052878")</f>
        <v>-23.259419 -47.052878</v>
      </c>
      <c r="L112" s="7" t="str">
        <f>IFERROR(__xludf.DUMMYFUNCTION("""COMPUTED_VALUE"""),"Rua")</f>
        <v>Rua</v>
      </c>
      <c r="M112" s="7" t="str">
        <f>IFERROR(__xludf.DUMMYFUNCTION("""COMPUTED_VALUE""")," Berilo")</f>
        <v> Berilo</v>
      </c>
      <c r="N112" s="7" t="str">
        <f>IFERROR(__xludf.DUMMYFUNCTION("""COMPUTED_VALUE""")," Jacaré")</f>
        <v> Jacaré</v>
      </c>
      <c r="O112" s="7" t="str">
        <f>IFERROR(__xludf.DUMMYFUNCTION("""COMPUTED_VALUE""")," Cabreúva")</f>
        <v> Cabreúva</v>
      </c>
      <c r="P112" s="7" t="str">
        <f>IFERROR(__xludf.DUMMYFUNCTION("""COMPUTED_VALUE"""),"SP")</f>
        <v>SP</v>
      </c>
      <c r="Q112" s="7" t="str">
        <f>IFERROR(__xludf.DUMMYFUNCTION("""COMPUTED_VALUE""")," 13318-250 ")</f>
        <v> 13318-250 </v>
      </c>
      <c r="R112" s="9">
        <f>IFERROR(__xludf.DUMMYFUNCTION("SPLIT($K112,"" "","""")"),-2.3259419E7)</f>
        <v>-23259419</v>
      </c>
      <c r="S112" s="9">
        <f>IFERROR(__xludf.DUMMYFUNCTION("""COMPUTED_VALUE"""),-4.7052878E7)</f>
        <v>-47052878</v>
      </c>
      <c r="T112" s="10">
        <v>3508405.0</v>
      </c>
      <c r="U11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13318-250 ', 'PK-20686', SYSDATE, 0, 'PK-20686', SYSDATE, 'Rua  Berilo  Jacaré', 'Rua Berilo Jacaré', ' Jacaré', 'Rua', '3508405', 'Rua Berilo Jacaré',' Jacaré', '1', 'SP', '1', '-23259419', '-47052878', ' Jacaré' </v>
      </c>
    </row>
    <row r="113" ht="15.75" customHeight="1">
      <c r="A113" s="4" t="s">
        <v>360</v>
      </c>
      <c r="B113" s="5" t="s">
        <v>132</v>
      </c>
      <c r="C113" s="4" t="s">
        <v>10</v>
      </c>
      <c r="D113" s="5" t="s">
        <v>365</v>
      </c>
      <c r="E113" s="6">
        <v>214.0</v>
      </c>
      <c r="F113" s="6" t="s">
        <v>12</v>
      </c>
      <c r="G113" s="3" t="s">
        <v>13</v>
      </c>
      <c r="H113" s="7" t="str">
        <f>IFERROR(__xludf.DUMMYFUNCTION("SPLIT(A7,""Rodovia"","""")"),"Via    André Spina")</f>
        <v>Via    André Spina</v>
      </c>
      <c r="J113" s="3" t="s">
        <v>366</v>
      </c>
      <c r="K113" s="8" t="str">
        <f>IFERROR(__xludf.DUMMYFUNCTION("SPLIT($J113,""   "","""")"),"-23.307366 -47.133678")</f>
        <v>-23.307366 -47.133678</v>
      </c>
      <c r="L113" s="7" t="str">
        <f>IFERROR(__xludf.DUMMYFUNCTION("""COMPUTED_VALUE"""),"Rua")</f>
        <v>Rua</v>
      </c>
      <c r="M113" s="7" t="str">
        <f>IFERROR(__xludf.DUMMYFUNCTION("""COMPUTED_VALUE""")," Mauritânia")</f>
        <v> Mauritânia</v>
      </c>
      <c r="N113" s="7" t="str">
        <f>IFERROR(__xludf.DUMMYFUNCTION("""COMPUTED_VALUE""")," Jardim Residencial Bela Vista (Vilarejo)")</f>
        <v> Jardim Residencial Bela Vista (Vilarejo)</v>
      </c>
      <c r="O113" s="7" t="str">
        <f>IFERROR(__xludf.DUMMYFUNCTION("""COMPUTED_VALUE""")," Cabreúva")</f>
        <v> Cabreúva</v>
      </c>
      <c r="P113" s="7" t="str">
        <f>IFERROR(__xludf.DUMMYFUNCTION("""COMPUTED_VALUE"""),"SP")</f>
        <v>SP</v>
      </c>
      <c r="Q113" s="7" t="str">
        <f>IFERROR(__xludf.DUMMYFUNCTION("""COMPUTED_VALUE""")," 13317-736 ")</f>
        <v> 13317-736 </v>
      </c>
      <c r="R113" s="9">
        <f>IFERROR(__xludf.DUMMYFUNCTION("SPLIT($K113,"" "","""")"),-2.3307366E7)</f>
        <v>-23307366</v>
      </c>
      <c r="S113" s="9">
        <f>IFERROR(__xludf.DUMMYFUNCTION("""COMPUTED_VALUE"""),-4.7133678E7)</f>
        <v>-47133678</v>
      </c>
      <c r="T113" s="10">
        <v>3508405.0</v>
      </c>
      <c r="U11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13317-736 ', 'PK-20686', SYSDATE, 0, 'PK-20686', SYSDATE, 'Rua  Mauritânia  Jardim Residencial Bela Vista (Vilarejo)', 'Rua Mauritânia Jardim Residencial Bela Vista (Vilarejo)', ' Jardim Residencial Bela Vista (Vilarejo)', 'Rua', '3508405', 'Rua Mauritânia Jardim Residencial Bela Vista (Vilarejo)',' Jardim Residencial Bela Vista (Vilarejo)', '1', 'SP', '1', '-23307366', '-47133678', ' Jardim Residencial Bela Vista (Vilarejo)' </v>
      </c>
    </row>
    <row r="114" ht="15.75" customHeight="1">
      <c r="A114" s="4" t="s">
        <v>367</v>
      </c>
      <c r="B114" s="5" t="s">
        <v>368</v>
      </c>
      <c r="C114" s="4" t="s">
        <v>10</v>
      </c>
      <c r="D114" s="5" t="s">
        <v>369</v>
      </c>
      <c r="E114" s="6">
        <v>214.0</v>
      </c>
      <c r="F114" s="6" t="s">
        <v>12</v>
      </c>
      <c r="G114" s="3" t="s">
        <v>13</v>
      </c>
      <c r="H114" s="7" t="str">
        <f>IFERROR(__xludf.DUMMYFUNCTION("SPLIT(A112,""Rua"","""")"),"RodoVia    Prefeito João Zacchi")</f>
        <v>RodoVia    Prefeito João Zacchi</v>
      </c>
      <c r="J114" s="3" t="s">
        <v>370</v>
      </c>
      <c r="K114" s="8" t="str">
        <f>IFERROR(__xludf.DUMMYFUNCTION("SPLIT($J114,""   "","""")"),"-23.306712 -47.132691")</f>
        <v>-23.306712 -47.132691</v>
      </c>
      <c r="L114" s="7" t="str">
        <f>IFERROR(__xludf.DUMMYFUNCTION("""COMPUTED_VALUE"""),"Rua")</f>
        <v>Rua</v>
      </c>
      <c r="M114" s="7" t="str">
        <f>IFERROR(__xludf.DUMMYFUNCTION("""COMPUTED_VALUE""")," Cônego Motta")</f>
        <v> Cônego Motta</v>
      </c>
      <c r="N114" s="7" t="str">
        <f>IFERROR(__xludf.DUMMYFUNCTION("""COMPUTED_VALUE""")," Centro")</f>
        <v> Centro</v>
      </c>
      <c r="O114" s="7" t="str">
        <f>IFERROR(__xludf.DUMMYFUNCTION("""COMPUTED_VALUE""")," Cabreúva")</f>
        <v> Cabreúva</v>
      </c>
      <c r="P114" s="7" t="str">
        <f>IFERROR(__xludf.DUMMYFUNCTION("""COMPUTED_VALUE"""),"SP")</f>
        <v>SP</v>
      </c>
      <c r="Q114" s="7" t="str">
        <f>IFERROR(__xludf.DUMMYFUNCTION("""COMPUTED_VALUE""")," 13315-017 ")</f>
        <v> 13315-017 </v>
      </c>
      <c r="R114" s="9">
        <f>IFERROR(__xludf.DUMMYFUNCTION("SPLIT($K114,"" "","""")"),-2.3306712E7)</f>
        <v>-23306712</v>
      </c>
      <c r="S114" s="9">
        <f>IFERROR(__xludf.DUMMYFUNCTION("""COMPUTED_VALUE"""),-4.7132691E7)</f>
        <v>-47132691</v>
      </c>
      <c r="T114" s="10">
        <v>3508405.0</v>
      </c>
      <c r="U11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13315-017 ', 'PK-20686', SYSDATE, 0, 'PK-20686', SYSDATE, 'Rua  Cônego Motta  Centro', 'Rua Cônego Motta Centro', ' Centro', 'Rua', '3508405', 'Rua Cônego Motta Centro',' Centro', '1', 'SP', '1', '-23306712', '-47132691', ' Centro' </v>
      </c>
    </row>
    <row r="115" ht="15.75" customHeight="1">
      <c r="A115" s="4" t="s">
        <v>371</v>
      </c>
      <c r="B115" s="5" t="s">
        <v>372</v>
      </c>
      <c r="C115" s="4" t="s">
        <v>10</v>
      </c>
      <c r="D115" s="5" t="s">
        <v>373</v>
      </c>
      <c r="E115" s="6">
        <v>214.0</v>
      </c>
      <c r="F115" s="6" t="s">
        <v>12</v>
      </c>
      <c r="G115" s="3" t="s">
        <v>13</v>
      </c>
      <c r="H115" s="7" t="str">
        <f>IFERROR(__xludf.DUMMYFUNCTION("SPLIT(A113,""Rua"","""")"),"RodoVia    Prefeito João Zacchi")</f>
        <v>RodoVia    Prefeito João Zacchi</v>
      </c>
      <c r="J115" s="3" t="s">
        <v>374</v>
      </c>
      <c r="K115" s="8" t="str">
        <f>IFERROR(__xludf.DUMMYFUNCTION("SPLIT($J115,""   "","""")"),"-23.307366 -47.133678")</f>
        <v>-23.307366 -47.133678</v>
      </c>
      <c r="L115" s="7" t="str">
        <f>IFERROR(__xludf.DUMMYFUNCTION("""COMPUTED_VALUE"""),"Rua")</f>
        <v>Rua</v>
      </c>
      <c r="M115" s="7" t="str">
        <f>IFERROR(__xludf.DUMMYFUNCTION("""COMPUTED_VALUE""")," Otília Iansen Castaldi")</f>
        <v> Otília Iansen Castaldi</v>
      </c>
      <c r="N115" s="7" t="str">
        <f>IFERROR(__xludf.DUMMYFUNCTION("""COMPUTED_VALUE""")," Jardim Residencial Bela Vista (Vilarejo)")</f>
        <v> Jardim Residencial Bela Vista (Vilarejo)</v>
      </c>
      <c r="O115" s="7" t="str">
        <f>IFERROR(__xludf.DUMMYFUNCTION("""COMPUTED_VALUE""")," Cabreúva")</f>
        <v> Cabreúva</v>
      </c>
      <c r="P115" s="7" t="str">
        <f>IFERROR(__xludf.DUMMYFUNCTION("""COMPUTED_VALUE"""),"SP")</f>
        <v>SP</v>
      </c>
      <c r="Q115" s="7" t="str">
        <f>IFERROR(__xludf.DUMMYFUNCTION("""COMPUTED_VALUE""")," 13317-722 ")</f>
        <v> 13317-722 </v>
      </c>
      <c r="R115" s="9">
        <f>IFERROR(__xludf.DUMMYFUNCTION("SPLIT($K115,"" "","""")"),-2.3307366E7)</f>
        <v>-23307366</v>
      </c>
      <c r="S115" s="9">
        <f>IFERROR(__xludf.DUMMYFUNCTION("""COMPUTED_VALUE"""),-4.7133678E7)</f>
        <v>-47133678</v>
      </c>
      <c r="T115" s="10">
        <v>3508405.0</v>
      </c>
      <c r="U11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13317-722 ', 'PK-20686', SYSDATE, 0, 'PK-20686', SYSDATE, 'Rua  Otília Iansen Castaldi  Jardim Residencial Bela Vista (Vilarejo)', 'Rua Otília Iansen Castaldi Jardim Residencial Bela Vista (Vilarejo)', ' Jardim Residencial Bela Vista (Vilarejo)', 'Rua', '3508405', 'Rua Otília Iansen Castaldi Jardim Residencial Bela Vista (Vilarejo)',' Jardim Residencial Bela Vista (Vilarejo)', '1', 'SP', '1', '-23307366', '-47133678', ' Jardim Residencial Bela Vista (Vilarejo)' </v>
      </c>
    </row>
    <row r="116" ht="15.75" customHeight="1">
      <c r="A116" s="4" t="s">
        <v>375</v>
      </c>
      <c r="B116" s="5" t="s">
        <v>24</v>
      </c>
      <c r="C116" s="4" t="s">
        <v>10</v>
      </c>
      <c r="D116" s="5" t="s">
        <v>376</v>
      </c>
      <c r="E116" s="6">
        <v>214.0</v>
      </c>
      <c r="F116" s="6" t="s">
        <v>12</v>
      </c>
      <c r="G116" s="3" t="s">
        <v>13</v>
      </c>
      <c r="H116" s="7" t="str">
        <f>IFERROR(__xludf.DUMMYFUNCTION("SPLIT(A114,""Rua"","""")"),"       A")</f>
        <v>       A</v>
      </c>
      <c r="J116" s="3" t="s">
        <v>377</v>
      </c>
      <c r="K116" s="8" t="str">
        <f>IFERROR(__xludf.DUMMYFUNCTION("SPLIT($J116,""   "","""")"),"-23.569342 -46.671936")</f>
        <v>-23.569342 -46.671936</v>
      </c>
      <c r="L116" s="7" t="str">
        <f>IFERROR(__xludf.DUMMYFUNCTION("""COMPUTED_VALUE"""),"Rua")</f>
        <v>Rua</v>
      </c>
      <c r="M116" s="7" t="str">
        <f>IFERROR(__xludf.DUMMYFUNCTION("""COMPUTED_VALUE""")," Colômbia")</f>
        <v> Colômbia</v>
      </c>
      <c r="N116" s="7" t="str">
        <f>IFERROR(__xludf.DUMMYFUNCTION("""COMPUTED_VALUE""")," Jardim Fazendinha Real (Vilarejo)")</f>
        <v> Jardim Fazendinha Real (Vilarejo)</v>
      </c>
      <c r="O116" s="7" t="str">
        <f>IFERROR(__xludf.DUMMYFUNCTION("""COMPUTED_VALUE""")," Cabreúva")</f>
        <v> Cabreúva</v>
      </c>
      <c r="P116" s="7" t="str">
        <f>IFERROR(__xludf.DUMMYFUNCTION("""COMPUTED_VALUE"""),"SP")</f>
        <v>SP</v>
      </c>
      <c r="Q116" s="7" t="str">
        <f>IFERROR(__xludf.DUMMYFUNCTION("""COMPUTED_VALUE""")," 13317-764 ")</f>
        <v> 13317-764 </v>
      </c>
      <c r="R116" s="9">
        <f>IFERROR(__xludf.DUMMYFUNCTION("SPLIT($K116,"" "","""")"),-2.3569342E7)</f>
        <v>-23569342</v>
      </c>
      <c r="S116" s="9">
        <f>IFERROR(__xludf.DUMMYFUNCTION("""COMPUTED_VALUE"""),-4.6671936E7)</f>
        <v>-46671936</v>
      </c>
      <c r="T116" s="10">
        <v>3508405.0</v>
      </c>
      <c r="U11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13317-764 ', 'PK-20686', SYSDATE, 0, 'PK-20686', SYSDATE, 'Rua  Colômbia  Jardim Fazendinha Real (Vilarejo)', 'Rua Colômbia Jardim Fazendinha Real (Vilarejo)', ' Jardim Fazendinha Real (Vilarejo)', 'Rua', '3508405', 'Rua Colômbia Jardim Fazendinha Real (Vilarejo)',' Jardim Fazendinha Real (Vilarejo)', '1', 'SP', '1', '-23569342', '-46671936', ' Jardim Fazendinha Real (Vilarejo)' </v>
      </c>
    </row>
    <row r="117" ht="15.75" customHeight="1">
      <c r="A117" s="4" t="s">
        <v>378</v>
      </c>
      <c r="B117" s="5" t="s">
        <v>160</v>
      </c>
      <c r="C117" s="4" t="s">
        <v>10</v>
      </c>
      <c r="D117" s="5" t="s">
        <v>379</v>
      </c>
      <c r="E117" s="6">
        <v>214.0</v>
      </c>
      <c r="F117" s="6" t="s">
        <v>12</v>
      </c>
      <c r="G117" s="3" t="s">
        <v>13</v>
      </c>
      <c r="H117" s="7" t="str">
        <f>IFERROR(__xludf.DUMMYFUNCTION("SPLIT(A115,""Rua"","""")"),"       Abissínia")</f>
        <v>       Abissínia</v>
      </c>
      <c r="J117" s="3" t="s">
        <v>380</v>
      </c>
      <c r="K117" s="8" t="str">
        <f>IFERROR(__xludf.DUMMYFUNCTION("SPLIT($J117,""   "","""")"),"-23.249392 -47.052551")</f>
        <v>-23.249392 -47.052551</v>
      </c>
      <c r="L117" s="7" t="str">
        <f>IFERROR(__xludf.DUMMYFUNCTION("""COMPUTED_VALUE"""),"Rua")</f>
        <v>Rua</v>
      </c>
      <c r="M117" s="7" t="str">
        <f>IFERROR(__xludf.DUMMYFUNCTION("""COMPUTED_VALUE""")," Rogério da Silveira Camargo")</f>
        <v> Rogério da Silveira Camargo</v>
      </c>
      <c r="N117" s="7" t="str">
        <f>IFERROR(__xludf.DUMMYFUNCTION("""COMPUTED_VALUE""")," Jardim da Serra II (Jacaré)")</f>
        <v> Jardim da Serra II (Jacaré)</v>
      </c>
      <c r="O117" s="7" t="str">
        <f>IFERROR(__xludf.DUMMYFUNCTION("""COMPUTED_VALUE""")," Cabreúva")</f>
        <v> Cabreúva</v>
      </c>
      <c r="P117" s="7" t="str">
        <f>IFERROR(__xludf.DUMMYFUNCTION("""COMPUTED_VALUE"""),"SP")</f>
        <v>SP</v>
      </c>
      <c r="Q117" s="7" t="str">
        <f>IFERROR(__xludf.DUMMYFUNCTION("""COMPUTED_VALUE""")," 13318-148 ")</f>
        <v> 13318-148 </v>
      </c>
      <c r="R117" s="9">
        <f>IFERROR(__xludf.DUMMYFUNCTION("SPLIT($K117,"" "","""")"),-2.3249392E7)</f>
        <v>-23249392</v>
      </c>
      <c r="S117" s="9">
        <f>IFERROR(__xludf.DUMMYFUNCTION("""COMPUTED_VALUE"""),-4.7052551E7)</f>
        <v>-47052551</v>
      </c>
      <c r="T117" s="10">
        <v>3508405.0</v>
      </c>
      <c r="U11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13318-148 ', 'PK-20686', SYSDATE, 0, 'PK-20686', SYSDATE, 'Rua  Rogério da Silveira Camargo  Jardim da Serra II (Jacaré)', 'Rua Rogério da Silveira Camargo Jardim da Serra II (Jacaré)', ' Jardim da Serra II (Jacaré)', 'Rua', '3508405', 'Rua Rogério da Silveira Camargo Jardim da Serra II (Jacaré)',' Jardim da Serra II (Jacaré)', '1', 'SP', '1', '-23249392', '-47052551', ' Jardim da Serra II (Jacaré)' </v>
      </c>
    </row>
    <row r="118" ht="15.75" customHeight="1">
      <c r="A118" s="4" t="s">
        <v>381</v>
      </c>
      <c r="B118" s="5" t="s">
        <v>231</v>
      </c>
      <c r="C118" s="4" t="s">
        <v>10</v>
      </c>
      <c r="D118" s="5" t="s">
        <v>382</v>
      </c>
      <c r="E118" s="6">
        <v>214.0</v>
      </c>
      <c r="F118" s="6" t="s">
        <v>12</v>
      </c>
      <c r="G118" s="3" t="s">
        <v>13</v>
      </c>
      <c r="H118" s="7" t="str">
        <f>IFERROR(__xludf.DUMMYFUNCTION("SPLIT(A116,""Rua"","""")"),"       Acre")</f>
        <v>       Acre</v>
      </c>
      <c r="J118" s="3" t="s">
        <v>383</v>
      </c>
      <c r="K118" s="8" t="str">
        <f>IFERROR(__xludf.DUMMYFUNCTION("SPLIT($J118,""   "","""")"),"-23.240266 -47.053585")</f>
        <v>-23.240266 -47.053585</v>
      </c>
      <c r="L118" s="7" t="str">
        <f>IFERROR(__xludf.DUMMYFUNCTION("""COMPUTED_VALUE"""),"Rua")</f>
        <v>Rua</v>
      </c>
      <c r="M118" s="7" t="str">
        <f>IFERROR(__xludf.DUMMYFUNCTION("""COMPUTED_VALUE""")," Ceci")</f>
        <v> Ceci</v>
      </c>
      <c r="N118" s="7" t="str">
        <f>IFERROR(__xludf.DUMMYFUNCTION("""COMPUTED_VALUE""")," Residencial Haras Pindorama I (Jacaré)")</f>
        <v> Residencial Haras Pindorama I (Jacaré)</v>
      </c>
      <c r="O118" s="7" t="str">
        <f>IFERROR(__xludf.DUMMYFUNCTION("""COMPUTED_VALUE""")," Cabreúva")</f>
        <v> Cabreúva</v>
      </c>
      <c r="P118" s="7" t="str">
        <f>IFERROR(__xludf.DUMMYFUNCTION("""COMPUTED_VALUE"""),"SP")</f>
        <v>SP</v>
      </c>
      <c r="Q118" s="7" t="str">
        <f>IFERROR(__xludf.DUMMYFUNCTION("""COMPUTED_VALUE""")," 13318-400 ")</f>
        <v> 13318-400 </v>
      </c>
      <c r="R118" s="9">
        <f>IFERROR(__xludf.DUMMYFUNCTION("SPLIT($K118,"" "","""")"),-2.3240266E7)</f>
        <v>-23240266</v>
      </c>
      <c r="S118" s="9">
        <f>IFERROR(__xludf.DUMMYFUNCTION("""COMPUTED_VALUE"""),-4.7053585E7)</f>
        <v>-47053585</v>
      </c>
      <c r="T118" s="10">
        <v>3508405.0</v>
      </c>
      <c r="U11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13318-400 ', 'PK-20686', SYSDATE, 0, 'PK-20686', SYSDATE, 'Rua  Ceci  Residencial Haras Pindorama I (Jacaré)', 'Rua Ceci Residencial Haras Pindorama I (Jacaré)', ' Residencial Haras Pindorama I (Jacaré)', 'Rua', '3508405', 'Rua Ceci Residencial Haras Pindorama I (Jacaré)',' Residencial Haras Pindorama I (Jacaré)', '1', 'SP', '1', '-23240266', '-47053585', ' Residencial Haras Pindorama I (Jacaré)' </v>
      </c>
    </row>
    <row r="119" ht="15.75" customHeight="1">
      <c r="A119" s="4" t="s">
        <v>384</v>
      </c>
      <c r="B119" s="5" t="s">
        <v>153</v>
      </c>
      <c r="C119" s="4" t="s">
        <v>10</v>
      </c>
      <c r="D119" s="5" t="s">
        <v>385</v>
      </c>
      <c r="E119" s="6">
        <v>214.0</v>
      </c>
      <c r="F119" s="6" t="s">
        <v>12</v>
      </c>
      <c r="G119" s="3" t="s">
        <v>13</v>
      </c>
      <c r="H119" s="7" t="str">
        <f>IFERROR(__xludf.DUMMYFUNCTION("SPLIT(A117,""Rua"","""")"),"       Adélia Barbosa Oliveira")</f>
        <v>       Adélia Barbosa Oliveira</v>
      </c>
      <c r="J119" s="3" t="s">
        <v>386</v>
      </c>
      <c r="K119" s="8" t="str">
        <f>IFERROR(__xludf.DUMMYFUNCTION("SPLIT($J119,""   "","""")"),"-23.286829 -47.056264")</f>
        <v>-23.286829 -47.056264</v>
      </c>
      <c r="L119" s="7" t="str">
        <f>IFERROR(__xludf.DUMMYFUNCTION("""COMPUTED_VALUE"""),"Rua")</f>
        <v>Rua</v>
      </c>
      <c r="M119" s="7" t="str">
        <f>IFERROR(__xludf.DUMMYFUNCTION("""COMPUTED_VALUE""")," Fideles José Oliveira Netto")</f>
        <v> Fideles José Oliveira Netto</v>
      </c>
      <c r="N119" s="7" t="str">
        <f>IFERROR(__xludf.DUMMYFUNCTION("""COMPUTED_VALUE""")," Bonfim")</f>
        <v> Bonfim</v>
      </c>
      <c r="O119" s="7" t="str">
        <f>IFERROR(__xludf.DUMMYFUNCTION("""COMPUTED_VALUE""")," Cabreúva")</f>
        <v> Cabreúva</v>
      </c>
      <c r="P119" s="7" t="str">
        <f>IFERROR(__xludf.DUMMYFUNCTION("""COMPUTED_VALUE"""),"SP")</f>
        <v>SP</v>
      </c>
      <c r="Q119" s="7" t="str">
        <f>IFERROR(__xludf.DUMMYFUNCTION("""COMPUTED_VALUE""")," 13319-008 ")</f>
        <v> 13319-008 </v>
      </c>
      <c r="R119" s="9">
        <f>IFERROR(__xludf.DUMMYFUNCTION("SPLIT($K119,"" "","""")"),-2.3286829E7)</f>
        <v>-23286829</v>
      </c>
      <c r="S119" s="9">
        <f>IFERROR(__xludf.DUMMYFUNCTION("""COMPUTED_VALUE"""),-4.7056264E7)</f>
        <v>-47056264</v>
      </c>
      <c r="T119" s="10">
        <v>3508405.0</v>
      </c>
      <c r="U11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13319-008 ', 'PK-20686', SYSDATE, 0, 'PK-20686', SYSDATE, 'Rua  Fideles José Oliveira Netto  Bonfim', 'Rua Fideles José Oliveira Netto Bonfim', ' Bonfim', 'Rua', '3508405', 'Rua Fideles José Oliveira Netto Bonfim',' Bonfim', '1', 'SP', '1', '-23286829', '-47056264', ' Bonfim' </v>
      </c>
    </row>
    <row r="120" ht="15.75" customHeight="1">
      <c r="A120" s="4" t="s">
        <v>387</v>
      </c>
      <c r="B120" s="5" t="s">
        <v>180</v>
      </c>
      <c r="C120" s="4" t="s">
        <v>10</v>
      </c>
      <c r="D120" s="5" t="s">
        <v>388</v>
      </c>
      <c r="E120" s="6">
        <v>214.0</v>
      </c>
      <c r="F120" s="6" t="s">
        <v>12</v>
      </c>
      <c r="G120" s="3" t="s">
        <v>13</v>
      </c>
      <c r="H120" s="7" t="str">
        <f>IFERROR(__xludf.DUMMYFUNCTION("SPLIT(A118,""Rua"","""")"),"       Ademar Clemente Nunes")</f>
        <v>       Ademar Clemente Nunes</v>
      </c>
      <c r="J120" s="3" t="s">
        <v>389</v>
      </c>
      <c r="K120" s="8" t="str">
        <f>IFERROR(__xludf.DUMMYFUNCTION("SPLIT($J120,""   "","""")"),"-23.251305 -47.060595")</f>
        <v>-23.251305 -47.060595</v>
      </c>
      <c r="L120" s="7" t="str">
        <f>IFERROR(__xludf.DUMMYFUNCTION("""COMPUTED_VALUE"""),"Rua")</f>
        <v>Rua</v>
      </c>
      <c r="M120" s="7" t="str">
        <f>IFERROR(__xludf.DUMMYFUNCTION("""COMPUTED_VALUE""")," Mato Grosso do Sul")</f>
        <v> Mato Grosso do Sul</v>
      </c>
      <c r="N120" s="7" t="str">
        <f>IFERROR(__xludf.DUMMYFUNCTION("""COMPUTED_VALUE""")," Jacaré")</f>
        <v> Jacaré</v>
      </c>
      <c r="O120" s="7" t="str">
        <f>IFERROR(__xludf.DUMMYFUNCTION("""COMPUTED_VALUE""")," Cabreúva")</f>
        <v> Cabreúva</v>
      </c>
      <c r="P120" s="7" t="str">
        <f>IFERROR(__xludf.DUMMYFUNCTION("""COMPUTED_VALUE"""),"SP")</f>
        <v>SP</v>
      </c>
      <c r="Q120" s="7" t="str">
        <f>IFERROR(__xludf.DUMMYFUNCTION("""COMPUTED_VALUE""")," 13318-064 ")</f>
        <v> 13318-064 </v>
      </c>
      <c r="R120" s="9">
        <f>IFERROR(__xludf.DUMMYFUNCTION("SPLIT($K120,"" "","""")"),-2.3251305E7)</f>
        <v>-23251305</v>
      </c>
      <c r="S120" s="9">
        <f>IFERROR(__xludf.DUMMYFUNCTION("""COMPUTED_VALUE"""),-4.7060595E7)</f>
        <v>-47060595</v>
      </c>
      <c r="T120" s="10">
        <v>3508405.0</v>
      </c>
      <c r="U12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13318-064 ', 'PK-20686', SYSDATE, 0, 'PK-20686', SYSDATE, 'Rua  Mato Grosso do Sul  Jacaré', 'Rua Mato Grosso do Sul Jacaré', ' Jacaré', 'Rua', '3508405', 'Rua Mato Grosso do Sul Jacaré',' Jacaré', '1', 'SP', '1', '-23251305', '-47060595', ' Jacaré' </v>
      </c>
    </row>
    <row r="121" ht="15.75" customHeight="1">
      <c r="A121" s="4" t="s">
        <v>390</v>
      </c>
      <c r="B121" s="5" t="s">
        <v>372</v>
      </c>
      <c r="C121" s="4" t="s">
        <v>10</v>
      </c>
      <c r="D121" s="5" t="s">
        <v>391</v>
      </c>
      <c r="E121" s="6">
        <v>214.0</v>
      </c>
      <c r="F121" s="6" t="s">
        <v>12</v>
      </c>
      <c r="G121" s="3" t="s">
        <v>13</v>
      </c>
      <c r="H121" s="7" t="str">
        <f>IFERROR(__xludf.DUMMYFUNCTION("SPLIT(A119,""Rua"","""")"),"       Ademir dos Santos")</f>
        <v>       Ademir dos Santos</v>
      </c>
      <c r="J121" s="3" t="s">
        <v>392</v>
      </c>
      <c r="K121" s="8" t="str">
        <f>IFERROR(__xludf.DUMMYFUNCTION("SPLIT($J121,""   "","""")"),"-23.307366 -47.133678")</f>
        <v>-23.307366 -47.133678</v>
      </c>
      <c r="L121" s="7" t="str">
        <f>IFERROR(__xludf.DUMMYFUNCTION("""COMPUTED_VALUE"""),"Rua")</f>
        <v>Rua</v>
      </c>
      <c r="M121" s="7" t="str">
        <f>IFERROR(__xludf.DUMMYFUNCTION("""COMPUTED_VALUE""")," ArmandoSPina")</f>
        <v> ArmandoSPina</v>
      </c>
      <c r="N121" s="7" t="str">
        <f>IFERROR(__xludf.DUMMYFUNCTION("""COMPUTED_VALUE""")," Vila dos Mineiros")</f>
        <v> Vila dos Mineiros</v>
      </c>
      <c r="O121" s="7" t="str">
        <f>IFERROR(__xludf.DUMMYFUNCTION("""COMPUTED_VALUE""")," Cabreúva")</f>
        <v> Cabreúva</v>
      </c>
      <c r="P121" s="7" t="str">
        <f>IFERROR(__xludf.DUMMYFUNCTION("""COMPUTED_VALUE"""),"SP")</f>
        <v>SP</v>
      </c>
      <c r="Q121" s="7" t="str">
        <f>IFERROR(__xludf.DUMMYFUNCTION("""COMPUTED_VALUE""")," 13317-104 ")</f>
        <v> 13317-104 </v>
      </c>
      <c r="R121" s="9">
        <f>IFERROR(__xludf.DUMMYFUNCTION("SPLIT($K121,"" "","""")"),-2.3307366E7)</f>
        <v>-23307366</v>
      </c>
      <c r="S121" s="9">
        <f>IFERROR(__xludf.DUMMYFUNCTION("""COMPUTED_VALUE"""),-4.7133678E7)</f>
        <v>-47133678</v>
      </c>
      <c r="T121" s="10">
        <v>3508405.0</v>
      </c>
      <c r="U12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13317-104 ', 'PK-20686', SYSDATE, 0, 'PK-20686', SYSDATE, 'Rua  ArmandoSPina  Vila dos Mineiros', 'Rua ArmandoSPina Vila dos Mineiros', ' Vila dos Mineiros', 'Rua', '3508405', 'Rua ArmandoSPina Vila dos Mineiros',' Vila dos Mineiros', '1', 'SP', '1', '-23307366', '-47133678', ' Vila dos Mineiros' </v>
      </c>
    </row>
    <row r="122" ht="15.75" hidden="1" customHeight="1">
      <c r="A122" s="4" t="s">
        <v>393</v>
      </c>
      <c r="B122" s="5" t="s">
        <v>394</v>
      </c>
      <c r="C122" s="4" t="s">
        <v>10</v>
      </c>
      <c r="D122" s="5" t="s">
        <v>395</v>
      </c>
      <c r="E122" s="6">
        <v>214.0</v>
      </c>
      <c r="F122" s="6" t="s">
        <v>12</v>
      </c>
      <c r="G122" s="3" t="s">
        <v>13</v>
      </c>
      <c r="H122" s="7" t="str">
        <f>IFERROR(__xludf.DUMMYFUNCTION("SPLIT(A120,""Rua"","""")"),"       Adolfo Calegari")</f>
        <v>       Adolfo Calegari</v>
      </c>
      <c r="J122" s="3" t="s">
        <v>396</v>
      </c>
      <c r="K122" s="8" t="str">
        <f>IFERROR(__xludf.DUMMYFUNCTION("SPLIT($J122,""   "","""")"),"-23.239465 -47.066836")</f>
        <v>-23.239465 -47.066836</v>
      </c>
      <c r="L122" s="7" t="str">
        <f>IFERROR(__xludf.DUMMYFUNCTION("""COMPUTED_VALUE"""),"Alameda")</f>
        <v>Alameda</v>
      </c>
      <c r="M122" s="7" t="str">
        <f>IFERROR(__xludf.DUMMYFUNCTION("""COMPUTED_VALUE""")," dos Tucanos")</f>
        <v> dos Tucanos</v>
      </c>
      <c r="N122" s="7" t="str">
        <f>IFERROR(__xludf.DUMMYFUNCTION("""COMPUTED_VALUE""")," Quinta do Japi (Jacaré)")</f>
        <v> Quinta do Japi (Jacaré)</v>
      </c>
      <c r="O122" s="7" t="str">
        <f>IFERROR(__xludf.DUMMYFUNCTION("""COMPUTED_VALUE""")," Cabreúva")</f>
        <v> Cabreúva</v>
      </c>
      <c r="P122" s="7" t="str">
        <f>IFERROR(__xludf.DUMMYFUNCTION("""COMPUTED_VALUE"""),"SP")</f>
        <v>SP</v>
      </c>
      <c r="Q122" s="7" t="str">
        <f>IFERROR(__xludf.DUMMYFUNCTION("""COMPUTED_VALUE""")," 13318-430 ")</f>
        <v> 13318-430 </v>
      </c>
      <c r="R122" s="9">
        <f>IFERROR(__xludf.DUMMYFUNCTION("SPLIT($K122,"" "","""")"),-2.3239465E7)</f>
        <v>-23239465</v>
      </c>
      <c r="S122" s="9">
        <f>IFERROR(__xludf.DUMMYFUNCTION("""COMPUTED_VALUE"""),-4.7066836E7)</f>
        <v>-47066836</v>
      </c>
      <c r="T122" s="10">
        <v>3508405.0</v>
      </c>
      <c r="U12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13318-430 ', 'PK-20686', SYSDATE, 0, 'PK-20686', SYSDATE, 'Alameda  dos Tucanos  Quinta do Japi (Jacaré)', 'Alameda dos Tucanos Quinta do Japi (Jacaré)', ' Quinta do Japi (Jacaré)', 'Alameda', '3508405', 'Alameda dos Tucanos Quinta do Japi (Jacaré)',' Quinta do Japi (Jacaré)', '1', 'SP', '1', '-23239465', '-47066836', ' Quinta do Japi (Jacaré)' </v>
      </c>
    </row>
    <row r="123" ht="15.75" customHeight="1">
      <c r="A123" s="4" t="s">
        <v>397</v>
      </c>
      <c r="B123" s="5" t="s">
        <v>24</v>
      </c>
      <c r="C123" s="4" t="s">
        <v>10</v>
      </c>
      <c r="D123" s="5" t="s">
        <v>398</v>
      </c>
      <c r="E123" s="6">
        <v>214.0</v>
      </c>
      <c r="F123" s="6" t="s">
        <v>12</v>
      </c>
      <c r="G123" s="3" t="s">
        <v>13</v>
      </c>
      <c r="H123" s="7" t="str">
        <f>IFERROR(__xludf.DUMMYFUNCTION("SPLIT(A121,""Rua"","""")"),"       África do Sul")</f>
        <v>       África do Sul</v>
      </c>
      <c r="J123" s="3" t="s">
        <v>399</v>
      </c>
      <c r="K123" s="8" t="str">
        <f>IFERROR(__xludf.DUMMYFUNCTION("SPLIT($J123,""   "","""")"),"-23.300484 -47.140219")</f>
        <v>-23.300484 -47.140219</v>
      </c>
      <c r="L123" s="7" t="str">
        <f>IFERROR(__xludf.DUMMYFUNCTION("""COMPUTED_VALUE"""),"Rua")</f>
        <v>Rua</v>
      </c>
      <c r="M123" s="7" t="str">
        <f>IFERROR(__xludf.DUMMYFUNCTION("""COMPUTED_VALUE""")," Amoreira")</f>
        <v> Amoreira</v>
      </c>
      <c r="N123" s="7" t="str">
        <f>IFERROR(__xludf.DUMMYFUNCTION("""COMPUTED_VALUE""")," Vale Verde (Centro)")</f>
        <v> Vale Verde (Centro)</v>
      </c>
      <c r="O123" s="7" t="str">
        <f>IFERROR(__xludf.DUMMYFUNCTION("""COMPUTED_VALUE""")," Cabreúva")</f>
        <v> Cabreúva</v>
      </c>
      <c r="P123" s="7" t="str">
        <f>IFERROR(__xludf.DUMMYFUNCTION("""COMPUTED_VALUE"""),"SP")</f>
        <v>SP</v>
      </c>
      <c r="Q123" s="7" t="str">
        <f>IFERROR(__xludf.DUMMYFUNCTION("""COMPUTED_VALUE""")," 13315-266 ")</f>
        <v> 13315-266 </v>
      </c>
      <c r="R123" s="9">
        <f>IFERROR(__xludf.DUMMYFUNCTION("SPLIT($K123,"" "","""")"),-2.3300484E7)</f>
        <v>-23300484</v>
      </c>
      <c r="S123" s="9">
        <f>IFERROR(__xludf.DUMMYFUNCTION("""COMPUTED_VALUE"""),-4.7140219E7)</f>
        <v>-47140219</v>
      </c>
      <c r="T123" s="10">
        <v>3508405.0</v>
      </c>
      <c r="U12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13315-266 ', 'PK-20686', SYSDATE, 0, 'PK-20686', SYSDATE, 'Rua  Amoreira  Vale Verde (Centro)', 'Rua Amoreira Vale Verde (Centro)', ' Vale Verde (Centro)', 'Rua', '3508405', 'Rua Amoreira Vale Verde (Centro)',' Vale Verde (Centro)', '1', 'SP', '1', '-23300484', '-47140219', ' Vale Verde (Centro)' </v>
      </c>
    </row>
    <row r="124" ht="15.75" customHeight="1">
      <c r="A124" s="4" t="s">
        <v>400</v>
      </c>
      <c r="B124" s="5" t="s">
        <v>24</v>
      </c>
      <c r="C124" s="4" t="s">
        <v>10</v>
      </c>
      <c r="D124" s="5" t="s">
        <v>401</v>
      </c>
      <c r="E124" s="6">
        <v>214.0</v>
      </c>
      <c r="F124" s="6" t="s">
        <v>12</v>
      </c>
      <c r="G124" s="3" t="s">
        <v>13</v>
      </c>
      <c r="H124" s="7" t="str">
        <f>IFERROR(__xludf.DUMMYFUNCTION("SPLIT(A122,""Rua"","""")"),"       Ágata")</f>
        <v>       Ágata</v>
      </c>
      <c r="J124" s="3" t="s">
        <v>402</v>
      </c>
      <c r="K124" s="8" t="str">
        <f>IFERROR(__xludf.DUMMYFUNCTION("SPLIT($J124,""   "","""")"),"-23.307366 -47.133678")</f>
        <v>-23.307366 -47.133678</v>
      </c>
      <c r="L124" s="7" t="str">
        <f>IFERROR(__xludf.DUMMYFUNCTION("""COMPUTED_VALUE"""),"Rua")</f>
        <v>Rua</v>
      </c>
      <c r="M124" s="7" t="str">
        <f>IFERROR(__xludf.DUMMYFUNCTION("""COMPUTED_VALUE""")," K")</f>
        <v> K</v>
      </c>
      <c r="N124" s="7" t="str">
        <f>IFERROR(__xludf.DUMMYFUNCTION("""COMPUTED_VALUE""")," Fazenda Sossego (São Francisco)")</f>
        <v> Fazenda Sossego (São Francisco)</v>
      </c>
      <c r="O124" s="7" t="str">
        <f>IFERROR(__xludf.DUMMYFUNCTION("""COMPUTED_VALUE""")," Cabreúva")</f>
        <v> Cabreúva</v>
      </c>
      <c r="P124" s="7" t="str">
        <f>IFERROR(__xludf.DUMMYFUNCTION("""COMPUTED_VALUE"""),"SP")</f>
        <v>SP</v>
      </c>
      <c r="Q124" s="7" t="str">
        <f>IFERROR(__xludf.DUMMYFUNCTION("""COMPUTED_VALUE""")," 13316-710 ")</f>
        <v> 13316-710 </v>
      </c>
      <c r="R124" s="9">
        <f>IFERROR(__xludf.DUMMYFUNCTION("SPLIT($K124,"" "","""")"),-2.3307366E7)</f>
        <v>-23307366</v>
      </c>
      <c r="S124" s="9">
        <f>IFERROR(__xludf.DUMMYFUNCTION("""COMPUTED_VALUE"""),-4.7133678E7)</f>
        <v>-47133678</v>
      </c>
      <c r="T124" s="10">
        <v>3508405.0</v>
      </c>
      <c r="U12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13316-710 ', 'PK-20686', SYSDATE, 0, 'PK-20686', SYSDATE, 'Rua  K  Fazenda Sossego (São Francisco)', 'Rua K Fazenda Sossego (São Francisco)', ' Fazenda Sossego (São Francisco)', 'Rua', '3508405', 'Rua K Fazenda Sossego (São Francisco)',' Fazenda Sossego (São Francisco)', '1', 'SP', '1', '-23307366', '-47133678', ' Fazenda Sossego (São Francisco)' </v>
      </c>
    </row>
    <row r="125" ht="15.75" customHeight="1">
      <c r="A125" s="4" t="s">
        <v>403</v>
      </c>
      <c r="B125" s="5" t="s">
        <v>160</v>
      </c>
      <c r="C125" s="4" t="s">
        <v>10</v>
      </c>
      <c r="D125" s="5" t="s">
        <v>404</v>
      </c>
      <c r="E125" s="6">
        <v>214.0</v>
      </c>
      <c r="F125" s="6" t="s">
        <v>12</v>
      </c>
      <c r="G125" s="3" t="s">
        <v>13</v>
      </c>
      <c r="H125" s="7" t="str">
        <f>IFERROR(__xludf.DUMMYFUNCTION("SPLIT(A123,""Rua"","""")"),"       Água Marinha")</f>
        <v>       Água Marinha</v>
      </c>
      <c r="J125" s="3" t="s">
        <v>405</v>
      </c>
      <c r="K125" s="8" t="str">
        <f>IFERROR(__xludf.DUMMYFUNCTION("SPLIT($J125,""   "","""")"),"-23.245618 -47.064924")</f>
        <v>-23.245618 -47.064924</v>
      </c>
      <c r="L125" s="7" t="str">
        <f>IFERROR(__xludf.DUMMYFUNCTION("""COMPUTED_VALUE"""),"Rua")</f>
        <v>Rua</v>
      </c>
      <c r="M125" s="7" t="str">
        <f>IFERROR(__xludf.DUMMYFUNCTION("""COMPUTED_VALUE""")," Nebbiolo")</f>
        <v> Nebbiolo</v>
      </c>
      <c r="N125" s="7" t="str">
        <f>IFERROR(__xludf.DUMMYFUNCTION("""COMPUTED_VALUE""")," Reserva da Quinta (Jacaré)")</f>
        <v> Reserva da Quinta (Jacaré)</v>
      </c>
      <c r="O125" s="7" t="str">
        <f>IFERROR(__xludf.DUMMYFUNCTION("""COMPUTED_VALUE""")," Cabreúva")</f>
        <v> Cabreúva</v>
      </c>
      <c r="P125" s="7" t="str">
        <f>IFERROR(__xludf.DUMMYFUNCTION("""COMPUTED_VALUE"""),"SP")</f>
        <v>SP</v>
      </c>
      <c r="Q125" s="7" t="str">
        <f>IFERROR(__xludf.DUMMYFUNCTION("""COMPUTED_VALUE""")," 13318-460 ")</f>
        <v> 13318-460 </v>
      </c>
      <c r="R125" s="9">
        <f>IFERROR(__xludf.DUMMYFUNCTION("SPLIT($K125,"" "","""")"),-2.3245618E7)</f>
        <v>-23245618</v>
      </c>
      <c r="S125" s="9">
        <f>IFERROR(__xludf.DUMMYFUNCTION("""COMPUTED_VALUE"""),-4.7064924E7)</f>
        <v>-47064924</v>
      </c>
      <c r="T125" s="10">
        <v>3508405.0</v>
      </c>
      <c r="U12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13318-460 ', 'PK-20686', SYSDATE, 0, 'PK-20686', SYSDATE, 'Rua  Nebbiolo  Reserva da Quinta (Jacaré)', 'Rua Nebbiolo Reserva da Quinta (Jacaré)', ' Reserva da Quinta (Jacaré)', 'Rua', '3508405', 'Rua Nebbiolo Reserva da Quinta (Jacaré)',' Reserva da Quinta (Jacaré)', '1', 'SP', '1', '-23245618', '-47064924', ' Reserva da Quinta (Jacaré)' </v>
      </c>
    </row>
    <row r="126" ht="15.75" hidden="1" customHeight="1">
      <c r="A126" s="4" t="s">
        <v>406</v>
      </c>
      <c r="B126" s="5" t="s">
        <v>199</v>
      </c>
      <c r="C126" s="4" t="s">
        <v>10</v>
      </c>
      <c r="D126" s="5" t="s">
        <v>407</v>
      </c>
      <c r="E126" s="6">
        <v>214.0</v>
      </c>
      <c r="F126" s="6" t="s">
        <v>12</v>
      </c>
      <c r="G126" s="3" t="s">
        <v>13</v>
      </c>
      <c r="H126" s="7" t="str">
        <f>IFERROR(__xludf.DUMMYFUNCTION("SPLIT(A124,""Rua"","""")"),"       Alagoas")</f>
        <v>       Alagoas</v>
      </c>
      <c r="J126" s="3" t="s">
        <v>408</v>
      </c>
      <c r="K126" s="8" t="str">
        <f>IFERROR(__xludf.DUMMYFUNCTION("SPLIT($J126,""   "","""")"),"-23.299868 -47.119616")</f>
        <v>-23.299868 -47.119616</v>
      </c>
      <c r="L126" s="7" t="str">
        <f>IFERROR(__xludf.DUMMYFUNCTION("""COMPUTED_VALUE"""),"Estrada")</f>
        <v>Estrada</v>
      </c>
      <c r="M126" s="7" t="str">
        <f>IFERROR(__xludf.DUMMYFUNCTION("""COMPUTED_VALUE""")," AntonioSPina")</f>
        <v> AntonioSPina</v>
      </c>
      <c r="N126" s="7" t="str">
        <f>IFERROR(__xludf.DUMMYFUNCTION("""COMPUTED_VALUE""")," Caí")</f>
        <v> Caí</v>
      </c>
      <c r="O126" s="7" t="str">
        <f>IFERROR(__xludf.DUMMYFUNCTION("""COMPUTED_VALUE""")," Cabreúva")</f>
        <v> Cabreúva</v>
      </c>
      <c r="P126" s="7" t="str">
        <f>IFERROR(__xludf.DUMMYFUNCTION("""COMPUTED_VALUE"""),"SP")</f>
        <v>SP</v>
      </c>
      <c r="Q126" s="7" t="str">
        <f>IFERROR(__xludf.DUMMYFUNCTION("""COMPUTED_VALUE""")," 13317-004 ")</f>
        <v> 13317-004 </v>
      </c>
      <c r="R126" s="9">
        <f>IFERROR(__xludf.DUMMYFUNCTION("SPLIT($K126,"" "","""")"),-2.3299868E7)</f>
        <v>-23299868</v>
      </c>
      <c r="S126" s="9">
        <f>IFERROR(__xludf.DUMMYFUNCTION("""COMPUTED_VALUE"""),-4.7119616E7)</f>
        <v>-47119616</v>
      </c>
      <c r="T126" s="10">
        <v>3508405.0</v>
      </c>
      <c r="U12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13317-004 ', 'PK-20686', SYSDATE, 0, 'PK-20686', SYSDATE, 'Estrada  AntonioSPina  Caí', 'Estrada AntonioSPina Caí', ' Caí', 'Estrada', '3508405', 'Estrada AntonioSPina Caí',' Caí', '1', 'SP', '1', '-23299868', '-47119616', ' Caí' </v>
      </c>
    </row>
    <row r="127" ht="15.75" hidden="1" customHeight="1">
      <c r="A127" s="4" t="s">
        <v>409</v>
      </c>
      <c r="B127" s="5" t="s">
        <v>153</v>
      </c>
      <c r="C127" s="4" t="s">
        <v>10</v>
      </c>
      <c r="D127" s="5" t="s">
        <v>410</v>
      </c>
      <c r="E127" s="6">
        <v>214.0</v>
      </c>
      <c r="F127" s="6" t="s">
        <v>12</v>
      </c>
      <c r="G127" s="3" t="s">
        <v>13</v>
      </c>
      <c r="H127" s="7" t="str">
        <f>IFERROR(__xludf.DUMMYFUNCTION("SPLIT(A125,""Rua"","""")"),"       Albânia")</f>
        <v>       Albânia</v>
      </c>
      <c r="J127" s="3" t="s">
        <v>411</v>
      </c>
      <c r="K127" s="8" t="str">
        <f>IFERROR(__xludf.DUMMYFUNCTION("SPLIT($J127,""   "","""")"),"-23.245618 -47.064924")</f>
        <v>-23.245618 -47.064924</v>
      </c>
      <c r="L127" s="7" t="str">
        <f>IFERROR(__xludf.DUMMYFUNCTION("""COMPUTED_VALUE"""),"Alameda")</f>
        <v>Alameda</v>
      </c>
      <c r="M127" s="7" t="str">
        <f>IFERROR(__xludf.DUMMYFUNCTION("""COMPUTED_VALUE""")," Sete")</f>
        <v> Sete</v>
      </c>
      <c r="N127" s="7" t="str">
        <f>IFERROR(__xludf.DUMMYFUNCTION("""COMPUTED_VALUE""")," CECOM (Jacaré)")</f>
        <v> CECOM (Jacaré)</v>
      </c>
      <c r="O127" s="7" t="str">
        <f>IFERROR(__xludf.DUMMYFUNCTION("""COMPUTED_VALUE""")," Cabreúva")</f>
        <v> Cabreúva</v>
      </c>
      <c r="P127" s="7" t="str">
        <f>IFERROR(__xludf.DUMMYFUNCTION("""COMPUTED_VALUE"""),"SP")</f>
        <v>SP</v>
      </c>
      <c r="Q127" s="7" t="str">
        <f>IFERROR(__xludf.DUMMYFUNCTION("""COMPUTED_VALUE""")," 13318-342 ")</f>
        <v> 13318-342 </v>
      </c>
      <c r="R127" s="9">
        <f>IFERROR(__xludf.DUMMYFUNCTION("SPLIT($K127,"" "","""")"),-2.3245618E7)</f>
        <v>-23245618</v>
      </c>
      <c r="S127" s="9">
        <f>IFERROR(__xludf.DUMMYFUNCTION("""COMPUTED_VALUE"""),-4.7064924E7)</f>
        <v>-47064924</v>
      </c>
      <c r="T127" s="10">
        <v>3508405.0</v>
      </c>
      <c r="U12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13318-342 ', 'PK-20686', SYSDATE, 0, 'PK-20686', SYSDATE, 'Alameda  Sete  CECOM (Jacaré)', 'Alameda Sete CECOM (Jacaré)', ' CECOM (Jacaré)', 'Alameda', '3508405', 'Alameda Sete CECOM (Jacaré)',' CECOM (Jacaré)', '1', 'SP', '1', '-23245618', '-47064924', ' CECOM (Jacaré)' </v>
      </c>
    </row>
    <row r="128" ht="15.75" customHeight="1">
      <c r="A128" s="4" t="s">
        <v>412</v>
      </c>
      <c r="B128" s="5" t="s">
        <v>413</v>
      </c>
      <c r="C128" s="4" t="s">
        <v>10</v>
      </c>
      <c r="D128" s="5" t="s">
        <v>414</v>
      </c>
      <c r="E128" s="6">
        <v>214.0</v>
      </c>
      <c r="F128" s="6" t="s">
        <v>12</v>
      </c>
      <c r="G128" s="3" t="s">
        <v>13</v>
      </c>
      <c r="H128" s="7" t="str">
        <f>IFERROR(__xludf.DUMMYFUNCTION("SPLIT(A126,""Rua"","""")"),"       Alecrim")</f>
        <v>       Alecrim</v>
      </c>
      <c r="J128" s="3" t="s">
        <v>415</v>
      </c>
      <c r="K128" s="8" t="str">
        <f>IFERROR(__xludf.DUMMYFUNCTION("SPLIT($J128,""   "","""")"),"-23.300584 -47.141974")</f>
        <v>-23.300584 -47.141974</v>
      </c>
      <c r="L128" s="7" t="str">
        <f>IFERROR(__xludf.DUMMYFUNCTION("""COMPUTED_VALUE"""),"Rua")</f>
        <v>Rua</v>
      </c>
      <c r="M128" s="7" t="str">
        <f>IFERROR(__xludf.DUMMYFUNCTION("""COMPUTED_VALUE""")," Jequitibá")</f>
        <v> Jequitibá</v>
      </c>
      <c r="N128" s="7" t="str">
        <f>IFERROR(__xludf.DUMMYFUNCTION("""COMPUTED_VALUE""")," Vale Verde (Centro)")</f>
        <v> Vale Verde (Centro)</v>
      </c>
      <c r="O128" s="7" t="str">
        <f>IFERROR(__xludf.DUMMYFUNCTION("""COMPUTED_VALUE""")," Cabreúva")</f>
        <v> Cabreúva</v>
      </c>
      <c r="P128" s="7" t="str">
        <f>IFERROR(__xludf.DUMMYFUNCTION("""COMPUTED_VALUE"""),"SP")</f>
        <v>SP</v>
      </c>
      <c r="Q128" s="7" t="str">
        <f>IFERROR(__xludf.DUMMYFUNCTION("""COMPUTED_VALUE""")," 13315-282 ")</f>
        <v> 13315-282 </v>
      </c>
      <c r="R128" s="9">
        <f>IFERROR(__xludf.DUMMYFUNCTION("SPLIT($K128,"" "","""")"),-2.3300584E7)</f>
        <v>-23300584</v>
      </c>
      <c r="S128" s="9">
        <f>IFERROR(__xludf.DUMMYFUNCTION("""COMPUTED_VALUE"""),-4.7141974E7)</f>
        <v>-47141974</v>
      </c>
      <c r="T128" s="10">
        <v>3508405.0</v>
      </c>
      <c r="U12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13315-282 ', 'PK-20686', SYSDATE, 0, 'PK-20686', SYSDATE, 'Rua  Jequitibá  Vale Verde (Centro)', 'Rua Jequitibá Vale Verde (Centro)', ' Vale Verde (Centro)', 'Rua', '3508405', 'Rua Jequitibá Vale Verde (Centro)',' Vale Verde (Centro)', '1', 'SP', '1', '-23300584', '-47141974', ' Vale Verde (Centro)' </v>
      </c>
    </row>
    <row r="129" ht="15.75" customHeight="1">
      <c r="A129" s="4" t="s">
        <v>416</v>
      </c>
      <c r="B129" s="5" t="s">
        <v>24</v>
      </c>
      <c r="C129" s="4" t="s">
        <v>10</v>
      </c>
      <c r="D129" s="5" t="s">
        <v>417</v>
      </c>
      <c r="E129" s="6">
        <v>214.0</v>
      </c>
      <c r="F129" s="6" t="s">
        <v>12</v>
      </c>
      <c r="G129" s="3" t="s">
        <v>13</v>
      </c>
      <c r="H129" s="7" t="str">
        <f>IFERROR(__xludf.DUMMYFUNCTION("SPLIT(A127,""Rua"","""")"),"       Alexandrita")</f>
        <v>       Alexandrita</v>
      </c>
      <c r="J129" s="3" t="s">
        <v>418</v>
      </c>
      <c r="K129" s="8" t="str">
        <f>IFERROR(__xludf.DUMMYFUNCTION("SPLIT($J129,""   "","""")"),"-23.567568 -46.67355")</f>
        <v>-23.567568 -46.67355</v>
      </c>
      <c r="L129" s="7" t="str">
        <f>IFERROR(__xludf.DUMMYFUNCTION("""COMPUTED_VALUE"""),"Rua")</f>
        <v>Rua</v>
      </c>
      <c r="M129" s="7" t="str">
        <f>IFERROR(__xludf.DUMMYFUNCTION("""COMPUTED_VALUE""")," Venezuela")</f>
        <v> Venezuela</v>
      </c>
      <c r="N129" s="7" t="str">
        <f>IFERROR(__xludf.DUMMYFUNCTION("""COMPUTED_VALUE""")," Jardim Fazendinha Real (Vilarejo)")</f>
        <v> Jardim Fazendinha Real (Vilarejo)</v>
      </c>
      <c r="O129" s="7" t="str">
        <f>IFERROR(__xludf.DUMMYFUNCTION("""COMPUTED_VALUE""")," Cabreúva")</f>
        <v> Cabreúva</v>
      </c>
      <c r="P129" s="7" t="str">
        <f>IFERROR(__xludf.DUMMYFUNCTION("""COMPUTED_VALUE"""),"SP")</f>
        <v>SP</v>
      </c>
      <c r="Q129" s="7" t="str">
        <f>IFERROR(__xludf.DUMMYFUNCTION("""COMPUTED_VALUE""")," 13317-756 ")</f>
        <v> 13317-756 </v>
      </c>
      <c r="R129" s="9">
        <f>IFERROR(__xludf.DUMMYFUNCTION("SPLIT($K129,"" "","""")"),-2.3567568E7)</f>
        <v>-23567568</v>
      </c>
      <c r="S129" s="9">
        <f>IFERROR(__xludf.DUMMYFUNCTION("""COMPUTED_VALUE"""),-4667355.0)</f>
        <v>-4667355</v>
      </c>
      <c r="T129" s="10">
        <v>3508405.0</v>
      </c>
      <c r="U12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13317-756 ', 'PK-20686', SYSDATE, 0, 'PK-20686', SYSDATE, 'Rua  Venezuela  Jardim Fazendinha Real (Vilarejo)', 'Rua Venezuela Jardim Fazendinha Real (Vilarejo)', ' Jardim Fazendinha Real (Vilarejo)', 'Rua', '3508405', 'Rua Venezuela Jardim Fazendinha Real (Vilarejo)',' Jardim Fazendinha Real (Vilarejo)', '1', 'SP', '1', '-23567568', '-4667355', ' Jardim Fazendinha Real (Vilarejo)' </v>
      </c>
    </row>
    <row r="130" ht="15.75" customHeight="1">
      <c r="A130" s="4" t="s">
        <v>419</v>
      </c>
      <c r="B130" s="5" t="s">
        <v>24</v>
      </c>
      <c r="C130" s="4" t="s">
        <v>10</v>
      </c>
      <c r="D130" s="5" t="s">
        <v>420</v>
      </c>
      <c r="E130" s="6">
        <v>214.0</v>
      </c>
      <c r="F130" s="6" t="s">
        <v>12</v>
      </c>
      <c r="G130" s="3" t="s">
        <v>13</v>
      </c>
      <c r="H130" s="7" t="str">
        <f>IFERROR(__xludf.DUMMYFUNCTION("SPLIT(A128,""Rua"","""")"),"       Amanari")</f>
        <v>       Amanari</v>
      </c>
      <c r="J130" s="3" t="s">
        <v>421</v>
      </c>
      <c r="K130" s="8" t="str">
        <f>IFERROR(__xludf.DUMMYFUNCTION("SPLIT($J130,""   "","""")"),"-23.270184 -47.056504")</f>
        <v>-23.270184 -47.056504</v>
      </c>
      <c r="L130" s="7" t="str">
        <f>IFERROR(__xludf.DUMMYFUNCTION("""COMPUTED_VALUE"""),"Rua")</f>
        <v>Rua</v>
      </c>
      <c r="M130" s="7" t="str">
        <f>IFERROR(__xludf.DUMMYFUNCTION("""COMPUTED_VALUE""")," Mongólia")</f>
        <v> Mongólia</v>
      </c>
      <c r="N130" s="7" t="str">
        <f>IFERROR(__xludf.DUMMYFUNCTION("""COMPUTED_VALUE""")," Villarejo Sopé da Serra (Vilarejo)")</f>
        <v> Villarejo Sopé da Serra (Vilarejo)</v>
      </c>
      <c r="O130" s="7" t="str">
        <f>IFERROR(__xludf.DUMMYFUNCTION("""COMPUTED_VALUE""")," Cabreúva")</f>
        <v> Cabreúva</v>
      </c>
      <c r="P130" s="7" t="str">
        <f>IFERROR(__xludf.DUMMYFUNCTION("""COMPUTED_VALUE"""),"SP")</f>
        <v>SP</v>
      </c>
      <c r="Q130" s="7" t="str">
        <f>IFERROR(__xludf.DUMMYFUNCTION("""COMPUTED_VALUE""")," 13317-678 ")</f>
        <v> 13317-678 </v>
      </c>
      <c r="R130" s="9">
        <f>IFERROR(__xludf.DUMMYFUNCTION("SPLIT($K130,"" "","""")"),-2.3270184E7)</f>
        <v>-23270184</v>
      </c>
      <c r="S130" s="9">
        <f>IFERROR(__xludf.DUMMYFUNCTION("""COMPUTED_VALUE"""),-4.7056504E7)</f>
        <v>-47056504</v>
      </c>
      <c r="T130" s="10">
        <v>3508405.0</v>
      </c>
      <c r="U13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13317-678 ', 'PK-20686', SYSDATE, 0, 'PK-20686', SYSDATE, 'Rua  Mongólia  Villarejo Sopé da Serra (Vilarejo)', 'Rua Mongólia Villarejo Sopé da Serra (Vilarejo)', ' Villarejo Sopé da Serra (Vilarejo)', 'Rua', '3508405', 'Rua Mongólia Villarejo Sopé da Serra (Vilarejo)',' Villarejo Sopé da Serra (Vilarejo)', '1', 'SP', '1', '-23270184', '-47056504', ' Villarejo Sopé da Serra (Vilarejo)' </v>
      </c>
    </row>
    <row r="131" ht="15.75" customHeight="1">
      <c r="A131" s="4" t="s">
        <v>422</v>
      </c>
      <c r="B131" s="5" t="s">
        <v>153</v>
      </c>
      <c r="C131" s="4" t="s">
        <v>10</v>
      </c>
      <c r="D131" s="5" t="s">
        <v>423</v>
      </c>
      <c r="E131" s="6">
        <v>214.0</v>
      </c>
      <c r="F131" s="6" t="s">
        <v>12</v>
      </c>
      <c r="G131" s="3" t="s">
        <v>13</v>
      </c>
      <c r="H131" s="7" t="str">
        <f>IFERROR(__xludf.DUMMYFUNCTION("SPLIT(A129,""Rua"","""")"),"       Amapá")</f>
        <v>       Amapá</v>
      </c>
      <c r="J131" s="3" t="s">
        <v>424</v>
      </c>
      <c r="K131" s="8" t="str">
        <f>IFERROR(__xludf.DUMMYFUNCTION("SPLIT($J131,""   "","""")"),"-23.097247 -47.714462")</f>
        <v>-23.097247 -47.714462</v>
      </c>
      <c r="L131" s="7" t="str">
        <f>IFERROR(__xludf.DUMMYFUNCTION("""COMPUTED_VALUE"""),"Rua")</f>
        <v>Rua</v>
      </c>
      <c r="M131" s="7" t="str">
        <f>IFERROR(__xludf.DUMMYFUNCTION("""COMPUTED_VALUE""")," Dez")</f>
        <v> Dez</v>
      </c>
      <c r="N131" s="7" t="str">
        <f>IFERROR(__xludf.DUMMYFUNCTION("""COMPUTED_VALUE""")," Alpes do Tietê")</f>
        <v> Alpes do Tietê</v>
      </c>
      <c r="O131" s="7" t="str">
        <f>IFERROR(__xludf.DUMMYFUNCTION("""COMPUTED_VALUE""")," Cabreúva")</f>
        <v> Cabreúva</v>
      </c>
      <c r="P131" s="7" t="str">
        <f>IFERROR(__xludf.DUMMYFUNCTION("""COMPUTED_VALUE"""),"SP")</f>
        <v>SP</v>
      </c>
      <c r="Q131" s="7" t="str">
        <f>IFERROR(__xludf.DUMMYFUNCTION("""COMPUTED_VALUE""")," 13316-609 ")</f>
        <v> 13316-609 </v>
      </c>
      <c r="R131" s="9">
        <f>IFERROR(__xludf.DUMMYFUNCTION("SPLIT($K131,"" "","""")"),-2.3097247E7)</f>
        <v>-23097247</v>
      </c>
      <c r="S131" s="9">
        <f>IFERROR(__xludf.DUMMYFUNCTION("""COMPUTED_VALUE"""),-4.7714462E7)</f>
        <v>-47714462</v>
      </c>
      <c r="T131" s="10">
        <v>3508405.0</v>
      </c>
      <c r="U13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13316-609 ', 'PK-20686', SYSDATE, 0, 'PK-20686', SYSDATE, 'Rua  Dez  Alpes do Tietê', 'Rua Dez Alpes do Tietê', ' Alpes do Tietê', 'Rua', '3508405', 'Rua Dez Alpes do Tietê',' Alpes do Tietê', '1', 'SP', '1', '-23097247', '-47714462', ' Alpes do Tietê' </v>
      </c>
    </row>
    <row r="132" ht="15.75" customHeight="1">
      <c r="A132" s="4" t="s">
        <v>425</v>
      </c>
      <c r="B132" s="5" t="s">
        <v>372</v>
      </c>
      <c r="C132" s="4" t="s">
        <v>10</v>
      </c>
      <c r="D132" s="5" t="s">
        <v>426</v>
      </c>
      <c r="E132" s="6">
        <v>214.0</v>
      </c>
      <c r="F132" s="6" t="s">
        <v>12</v>
      </c>
      <c r="G132" s="3" t="s">
        <v>13</v>
      </c>
      <c r="H132" s="7" t="str">
        <f>IFERROR(__xludf.DUMMYFUNCTION("SPLIT(A130,""Rua"","""")"),"       Amazonas")</f>
        <v>       Amazonas</v>
      </c>
      <c r="J132" s="3" t="s">
        <v>427</v>
      </c>
      <c r="K132" s="8" t="str">
        <f>IFERROR(__xludf.DUMMYFUNCTION("SPLIT($J132,""   "","""")"),"-23.31552 -47.130524")</f>
        <v>-23.31552 -47.130524</v>
      </c>
      <c r="L132" s="7" t="str">
        <f>IFERROR(__xludf.DUMMYFUNCTION("""COMPUTED_VALUE"""),"Rua")</f>
        <v>Rua</v>
      </c>
      <c r="M132" s="7" t="str">
        <f>IFERROR(__xludf.DUMMYFUNCTION("""COMPUTED_VALUE""")," Regente Feijó")</f>
        <v> Regente Feijó</v>
      </c>
      <c r="N132" s="7" t="str">
        <f>IFERROR(__xludf.DUMMYFUNCTION("""COMPUTED_VALUE""")," Jardim SantAna (Centro)")</f>
        <v> Jardim SantAna (Centro)</v>
      </c>
      <c r="O132" s="7" t="str">
        <f>IFERROR(__xludf.DUMMYFUNCTION("""COMPUTED_VALUE""")," Cabreúva")</f>
        <v> Cabreúva</v>
      </c>
      <c r="P132" s="7" t="str">
        <f>IFERROR(__xludf.DUMMYFUNCTION("""COMPUTED_VALUE"""),"SP")</f>
        <v>SP</v>
      </c>
      <c r="Q132" s="7" t="str">
        <f>IFERROR(__xludf.DUMMYFUNCTION("""COMPUTED_VALUE""")," 13315-090 ")</f>
        <v> 13315-090 </v>
      </c>
      <c r="R132" s="9">
        <f>IFERROR(__xludf.DUMMYFUNCTION("SPLIT($K132,"" "","""")"),-2331552.0)</f>
        <v>-2331552</v>
      </c>
      <c r="S132" s="9">
        <f>IFERROR(__xludf.DUMMYFUNCTION("""COMPUTED_VALUE"""),-4.7130524E7)</f>
        <v>-47130524</v>
      </c>
      <c r="T132" s="10">
        <v>3508405.0</v>
      </c>
      <c r="U13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13315-090 ', 'PK-20686', SYSDATE, 0, 'PK-20686', SYSDATE, 'Rua  Regente Feijó  Jardim SantAna (Centro)', 'Rua Regente Feijó Jardim SantAna (Centro)', ' Jardim SantAna (Centro)', 'Rua', '3508405', 'Rua Regente Feijó Jardim SantAna (Centro)',' Jardim SantAna (Centro)', '1', 'SP', '1', '-2331552', '-47130524', ' Jardim SantAna (Centro)' </v>
      </c>
    </row>
    <row r="133" ht="15.75" customHeight="1">
      <c r="A133" s="4" t="s">
        <v>428</v>
      </c>
      <c r="B133" s="5" t="s">
        <v>164</v>
      </c>
      <c r="C133" s="4" t="s">
        <v>10</v>
      </c>
      <c r="D133" s="5" t="s">
        <v>429</v>
      </c>
      <c r="E133" s="6">
        <v>214.0</v>
      </c>
      <c r="F133" s="6" t="s">
        <v>12</v>
      </c>
      <c r="G133" s="3" t="s">
        <v>13</v>
      </c>
      <c r="H133" s="7" t="str">
        <f>IFERROR(__xludf.DUMMYFUNCTION("SPLIT(A131,""Rua"","""")"),"       Amazonita")</f>
        <v>       Amazonita</v>
      </c>
      <c r="J133" s="3" t="s">
        <v>430</v>
      </c>
      <c r="K133" s="8" t="str">
        <f>IFERROR(__xludf.DUMMYFUNCTION("SPLIT($J133,""   "","""")"),"-23.263299 -47.056308")</f>
        <v>-23.263299 -47.056308</v>
      </c>
      <c r="L133" s="7" t="str">
        <f>IFERROR(__xludf.DUMMYFUNCTION("""COMPUTED_VALUE"""),"Rua")</f>
        <v>Rua</v>
      </c>
      <c r="M133" s="7" t="str">
        <f>IFERROR(__xludf.DUMMYFUNCTION("""COMPUTED_VALUE""")," Iraque")</f>
        <v> Iraque</v>
      </c>
      <c r="N133" s="7" t="str">
        <f>IFERROR(__xludf.DUMMYFUNCTION("""COMPUTED_VALUE""")," Villarejo Sopé da Serra (Vilarejo)")</f>
        <v> Villarejo Sopé da Serra (Vilarejo)</v>
      </c>
      <c r="O133" s="7" t="str">
        <f>IFERROR(__xludf.DUMMYFUNCTION("""COMPUTED_VALUE""")," Cabreúva")</f>
        <v> Cabreúva</v>
      </c>
      <c r="P133" s="7" t="str">
        <f>IFERROR(__xludf.DUMMYFUNCTION("""COMPUTED_VALUE"""),"SP")</f>
        <v>SP</v>
      </c>
      <c r="Q133" s="7" t="str">
        <f>IFERROR(__xludf.DUMMYFUNCTION("""COMPUTED_VALUE""")," 13317-694 ")</f>
        <v> 13317-694 </v>
      </c>
      <c r="R133" s="9">
        <f>IFERROR(__xludf.DUMMYFUNCTION("SPLIT($K133,"" "","""")"),-2.3263299E7)</f>
        <v>-23263299</v>
      </c>
      <c r="S133" s="9">
        <f>IFERROR(__xludf.DUMMYFUNCTION("""COMPUTED_VALUE"""),-4.7056308E7)</f>
        <v>-47056308</v>
      </c>
      <c r="T133" s="10">
        <v>3508405.0</v>
      </c>
      <c r="U13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13317-694 ', 'PK-20686', SYSDATE, 0, 'PK-20686', SYSDATE, 'Rua  Iraque  Villarejo Sopé da Serra (Vilarejo)', 'Rua Iraque Villarejo Sopé da Serra (Vilarejo)', ' Villarejo Sopé da Serra (Vilarejo)', 'Rua', '3508405', 'Rua Iraque Villarejo Sopé da Serra (Vilarejo)',' Villarejo Sopé da Serra (Vilarejo)', '1', 'SP', '1', '-23263299', '-47056308', ' Villarejo Sopé da Serra (Vilarejo)' </v>
      </c>
    </row>
    <row r="134" ht="15.75" customHeight="1">
      <c r="A134" s="4" t="s">
        <v>431</v>
      </c>
      <c r="B134" s="5" t="s">
        <v>394</v>
      </c>
      <c r="C134" s="4" t="s">
        <v>10</v>
      </c>
      <c r="D134" s="5" t="s">
        <v>432</v>
      </c>
      <c r="E134" s="6">
        <v>214.0</v>
      </c>
      <c r="F134" s="6" t="s">
        <v>12</v>
      </c>
      <c r="G134" s="3" t="s">
        <v>13</v>
      </c>
      <c r="H134" s="7" t="str">
        <f>IFERROR(__xludf.DUMMYFUNCTION("SPLIT(A132,""Rua"","""")"),"       Ambrósio Castaldi Filho")</f>
        <v>       Ambrósio Castaldi Filho</v>
      </c>
      <c r="J134" s="3" t="s">
        <v>433</v>
      </c>
      <c r="K134" s="8" t="str">
        <f>IFERROR(__xludf.DUMMYFUNCTION("SPLIT($J134,""   "","""")"),"-23.255742 -47.096053")</f>
        <v>-23.255742 -47.096053</v>
      </c>
      <c r="L134" s="7" t="str">
        <f>IFERROR(__xludf.DUMMYFUNCTION("""COMPUTED_VALUE"""),"Rua")</f>
        <v>Rua</v>
      </c>
      <c r="M134" s="7" t="str">
        <f>IFERROR(__xludf.DUMMYFUNCTION("""COMPUTED_VALUE""")," Vereador Alexandre Barbosa Nogueira")</f>
        <v> Vereador Alexandre Barbosa Nogueira</v>
      </c>
      <c r="N134" s="7" t="str">
        <f>IFERROR(__xludf.DUMMYFUNCTION("""COMPUTED_VALUE""")," Pinhal")</f>
        <v> Pinhal</v>
      </c>
      <c r="O134" s="7" t="str">
        <f>IFERROR(__xludf.DUMMYFUNCTION("""COMPUTED_VALUE""")," Cabreúva")</f>
        <v> Cabreúva</v>
      </c>
      <c r="P134" s="7" t="str">
        <f>IFERROR(__xludf.DUMMYFUNCTION("""COMPUTED_VALUE"""),"SP")</f>
        <v>SP</v>
      </c>
      <c r="Q134" s="7" t="str">
        <f>IFERROR(__xludf.DUMMYFUNCTION("""COMPUTED_VALUE""")," 13317-214 ")</f>
        <v> 13317-214 </v>
      </c>
      <c r="R134" s="9">
        <f>IFERROR(__xludf.DUMMYFUNCTION("SPLIT($K134,"" "","""")"),-2.3255742E7)</f>
        <v>-23255742</v>
      </c>
      <c r="S134" s="9">
        <f>IFERROR(__xludf.DUMMYFUNCTION("""COMPUTED_VALUE"""),-4.7096053E7)</f>
        <v>-47096053</v>
      </c>
      <c r="T134" s="10">
        <v>3508405.0</v>
      </c>
      <c r="U13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13317-214 ', 'PK-20686', SYSDATE, 0, 'PK-20686', SYSDATE, 'Rua  Vereador Alexandre Barbosa Nogueira  Pinhal', 'Rua Vereador Alexandre Barbosa Nogueira Pinhal', ' Pinhal', 'Rua', '3508405', 'Rua Vereador Alexandre Barbosa Nogueira Pinhal',' Pinhal', '1', 'SP', '1', '-23255742', '-47096053', ' Pinhal' </v>
      </c>
    </row>
    <row r="135" ht="15.75" hidden="1" customHeight="1">
      <c r="A135" s="4" t="s">
        <v>434</v>
      </c>
      <c r="B135" s="5" t="s">
        <v>212</v>
      </c>
      <c r="C135" s="4" t="s">
        <v>10</v>
      </c>
      <c r="D135" s="5" t="s">
        <v>435</v>
      </c>
      <c r="E135" s="6">
        <v>214.0</v>
      </c>
      <c r="F135" s="6" t="s">
        <v>12</v>
      </c>
      <c r="G135" s="3" t="s">
        <v>13</v>
      </c>
      <c r="H135" s="7" t="str">
        <f>IFERROR(__xludf.DUMMYFUNCTION("SPLIT(A133,""Rua"","""")"),"       Amélia Sório da Cruz")</f>
        <v>       Amélia Sório da Cruz</v>
      </c>
      <c r="J135" s="3" t="s">
        <v>436</v>
      </c>
      <c r="K135" s="8" t="str">
        <f>IFERROR(__xludf.DUMMYFUNCTION("SPLIT($J135,""   "","""")"),"-23.302879 -45.967476")</f>
        <v>-23.302879 -45.967476</v>
      </c>
      <c r="L135" s="7" t="str">
        <f>IFERROR(__xludf.DUMMYFUNCTION("""COMPUTED_VALUE"""),"Alameda")</f>
        <v>Alameda</v>
      </c>
      <c r="M135" s="7" t="str">
        <f>IFERROR(__xludf.DUMMYFUNCTION("""COMPUTED_VALUE""")," Cinco")</f>
        <v> Cinco</v>
      </c>
      <c r="N135" s="7" t="str">
        <f>IFERROR(__xludf.DUMMYFUNCTION("""COMPUTED_VALUE""")," CECOM (Jacaré)")</f>
        <v> CECOM (Jacaré)</v>
      </c>
      <c r="O135" s="7" t="str">
        <f>IFERROR(__xludf.DUMMYFUNCTION("""COMPUTED_VALUE""")," Cabreúva")</f>
        <v> Cabreúva</v>
      </c>
      <c r="P135" s="7" t="str">
        <f>IFERROR(__xludf.DUMMYFUNCTION("""COMPUTED_VALUE"""),"SP")</f>
        <v>SP</v>
      </c>
      <c r="Q135" s="7" t="str">
        <f>IFERROR(__xludf.DUMMYFUNCTION("""COMPUTED_VALUE""")," 13318-344 ")</f>
        <v> 13318-344 </v>
      </c>
      <c r="R135" s="9">
        <f>IFERROR(__xludf.DUMMYFUNCTION("SPLIT($K135,"" "","""")"),-2.3302879E7)</f>
        <v>-23302879</v>
      </c>
      <c r="S135" s="9">
        <f>IFERROR(__xludf.DUMMYFUNCTION("""COMPUTED_VALUE"""),-4.5967476E7)</f>
        <v>-45967476</v>
      </c>
      <c r="T135" s="10">
        <v>3508405.0</v>
      </c>
      <c r="U13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13318-344 ', 'PK-20686', SYSDATE, 0, 'PK-20686', SYSDATE, 'Alameda  Cinco  CECOM (Jacaré)', 'Alameda Cinco CECOM (Jacaré)', ' CECOM (Jacaré)', 'Alameda', '3508405', 'Alameda Cinco CECOM (Jacaré)',' CECOM (Jacaré)', '1', 'SP', '1', '-23302879', '-45967476', ' CECOM (Jacaré)' </v>
      </c>
    </row>
    <row r="136" ht="15.75" customHeight="1">
      <c r="A136" s="4" t="s">
        <v>437</v>
      </c>
      <c r="B136" s="5" t="s">
        <v>226</v>
      </c>
      <c r="C136" s="4" t="s">
        <v>10</v>
      </c>
      <c r="D136" s="5" t="s">
        <v>438</v>
      </c>
      <c r="E136" s="6">
        <v>214.0</v>
      </c>
      <c r="F136" s="6" t="s">
        <v>12</v>
      </c>
      <c r="G136" s="3" t="s">
        <v>13</v>
      </c>
      <c r="H136" s="7" t="str">
        <f>IFERROR(__xludf.DUMMYFUNCTION("SPLIT(A134,""Rua"","""")"),"       Ametista")</f>
        <v>       Ametista</v>
      </c>
      <c r="J136" s="3" t="s">
        <v>439</v>
      </c>
      <c r="K136" s="8" t="str">
        <f>IFERROR(__xludf.DUMMYFUNCTION("SPLIT($J136,""   "","""")"),"-23.307366 -47.133678")</f>
        <v>-23.307366 -47.133678</v>
      </c>
      <c r="L136" s="7" t="str">
        <f>IFERROR(__xludf.DUMMYFUNCTION("""COMPUTED_VALUE"""),"Rua")</f>
        <v>Rua</v>
      </c>
      <c r="M136" s="7" t="str">
        <f>IFERROR(__xludf.DUMMYFUNCTION("""COMPUTED_VALUE""")," Topázio")</f>
        <v> Topázio</v>
      </c>
      <c r="N136" s="7" t="str">
        <f>IFERROR(__xludf.DUMMYFUNCTION("""COMPUTED_VALUE""")," Vila Preciosa (Vilarejo)")</f>
        <v> Vila Preciosa (Vilarejo)</v>
      </c>
      <c r="O136" s="7" t="str">
        <f>IFERROR(__xludf.DUMMYFUNCTION("""COMPUTED_VALUE""")," Cabreúva")</f>
        <v> Cabreúva</v>
      </c>
      <c r="P136" s="7" t="str">
        <f>IFERROR(__xludf.DUMMYFUNCTION("""COMPUTED_VALUE"""),"SP")</f>
        <v>SP</v>
      </c>
      <c r="Q136" s="7" t="str">
        <f>IFERROR(__xludf.DUMMYFUNCTION("""COMPUTED_VALUE""")," 13317-516 ")</f>
        <v> 13317-516 </v>
      </c>
      <c r="R136" s="9">
        <f>IFERROR(__xludf.DUMMYFUNCTION("SPLIT($K136,"" "","""")"),-2.3307366E7)</f>
        <v>-23307366</v>
      </c>
      <c r="S136" s="9">
        <f>IFERROR(__xludf.DUMMYFUNCTION("""COMPUTED_VALUE"""),-4.7133678E7)</f>
        <v>-47133678</v>
      </c>
      <c r="T136" s="10">
        <v>3508405.0</v>
      </c>
      <c r="U13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13317-516 ', 'PK-20686', SYSDATE, 0, 'PK-20686', SYSDATE, 'Rua  Topázio  Vila Preciosa (Vilarejo)', 'Rua Topázio Vila Preciosa (Vilarejo)', ' Vila Preciosa (Vilarejo)', 'Rua', '3508405', 'Rua Topázio Vila Preciosa (Vilarejo)',' Vila Preciosa (Vilarejo)', '1', 'SP', '1', '-23307366', '-47133678', ' Vila Preciosa (Vilarejo)' </v>
      </c>
    </row>
    <row r="137" ht="15.75" customHeight="1">
      <c r="A137" s="4" t="s">
        <v>440</v>
      </c>
      <c r="B137" s="5" t="s">
        <v>372</v>
      </c>
      <c r="C137" s="4" t="s">
        <v>10</v>
      </c>
      <c r="D137" s="5" t="s">
        <v>441</v>
      </c>
      <c r="E137" s="6">
        <v>214.0</v>
      </c>
      <c r="F137" s="6" t="s">
        <v>12</v>
      </c>
      <c r="G137" s="3" t="s">
        <v>13</v>
      </c>
      <c r="H137" s="7" t="str">
        <f>IFERROR(__xludf.DUMMYFUNCTION("SPLIT(A135,""Rua"","""")"),"       Amoreira")</f>
        <v>       Amoreira</v>
      </c>
      <c r="J137" s="3" t="s">
        <v>442</v>
      </c>
      <c r="K137" s="8" t="str">
        <f>IFERROR(__xludf.DUMMYFUNCTION("SPLIT($J137,""   "","""")"),"-23.307366 -47.133678")</f>
        <v>-23.307366 -47.133678</v>
      </c>
      <c r="L137" s="7" t="str">
        <f>IFERROR(__xludf.DUMMYFUNCTION("""COMPUTED_VALUE"""),"Rua")</f>
        <v>Rua</v>
      </c>
      <c r="M137" s="7" t="str">
        <f>IFERROR(__xludf.DUMMYFUNCTION("""COMPUTED_VALUE""")," Maria Nadir Rosa Barroso")</f>
        <v> Maria Nadir Rosa Barroso</v>
      </c>
      <c r="N137" s="7" t="str">
        <f>IFERROR(__xludf.DUMMYFUNCTION("""COMPUTED_VALUE""")," Jacaré")</f>
        <v> Jacaré</v>
      </c>
      <c r="O137" s="7" t="str">
        <f>IFERROR(__xludf.DUMMYFUNCTION("""COMPUTED_VALUE""")," Cabreúva")</f>
        <v> Cabreúva</v>
      </c>
      <c r="P137" s="7" t="str">
        <f>IFERROR(__xludf.DUMMYFUNCTION("""COMPUTED_VALUE"""),"SP")</f>
        <v>SP</v>
      </c>
      <c r="Q137" s="7" t="str">
        <f>IFERROR(__xludf.DUMMYFUNCTION("""COMPUTED_VALUE""")," 13318-098 ")</f>
        <v> 13318-098 </v>
      </c>
      <c r="R137" s="9">
        <f>IFERROR(__xludf.DUMMYFUNCTION("SPLIT($K137,"" "","""")"),-2.3307366E7)</f>
        <v>-23307366</v>
      </c>
      <c r="S137" s="9">
        <f>IFERROR(__xludf.DUMMYFUNCTION("""COMPUTED_VALUE"""),-4.7133678E7)</f>
        <v>-47133678</v>
      </c>
      <c r="T137" s="10">
        <v>3508405.0</v>
      </c>
      <c r="U13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13318-098 ', 'PK-20686', SYSDATE, 0, 'PK-20686', SYSDATE, 'Rua  Maria Nadir Rosa Barroso  Jacaré', 'Rua Maria Nadir Rosa Barroso Jacaré', ' Jacaré', 'Rua', '3508405', 'Rua Maria Nadir Rosa Barroso Jacaré',' Jacaré', '1', 'SP', '1', '-23307366', '-47133678', ' Jacaré' </v>
      </c>
    </row>
    <row r="138" ht="15.75" customHeight="1">
      <c r="A138" s="4" t="s">
        <v>443</v>
      </c>
      <c r="B138" s="5" t="s">
        <v>132</v>
      </c>
      <c r="C138" s="4" t="s">
        <v>10</v>
      </c>
      <c r="D138" s="5" t="s">
        <v>444</v>
      </c>
      <c r="E138" s="6">
        <v>214.0</v>
      </c>
      <c r="F138" s="6" t="s">
        <v>12</v>
      </c>
      <c r="G138" s="3" t="s">
        <v>13</v>
      </c>
      <c r="H138" s="7" t="str">
        <f>IFERROR(__xludf.DUMMYFUNCTION("SPLIT(A136,""Rua"","""")"),"       Ângelo Mezalira")</f>
        <v>       Ângelo Mezalira</v>
      </c>
      <c r="J138" s="3" t="s">
        <v>445</v>
      </c>
      <c r="K138" s="8" t="str">
        <f>IFERROR(__xludf.DUMMYFUNCTION("SPLIT($J138,""   "","""")"),"-23.250604 -47.05384")</f>
        <v>-23.250604 -47.05384</v>
      </c>
      <c r="L138" s="7" t="str">
        <f>IFERROR(__xludf.DUMMYFUNCTION("""COMPUTED_VALUE"""),"Rua")</f>
        <v>Rua</v>
      </c>
      <c r="M138" s="7" t="str">
        <f>IFERROR(__xludf.DUMMYFUNCTION("""COMPUTED_VALUE""")," Luis Nunes")</f>
        <v> Luis Nunes</v>
      </c>
      <c r="N138" s="7" t="str">
        <f>IFERROR(__xludf.DUMMYFUNCTION("""COMPUTED_VALUE""")," Jardim da Serra (Jacaré)")</f>
        <v> Jardim da Serra (Jacaré)</v>
      </c>
      <c r="O138" s="7" t="str">
        <f>IFERROR(__xludf.DUMMYFUNCTION("""COMPUTED_VALUE""")," Cabreúva")</f>
        <v> Cabreúva</v>
      </c>
      <c r="P138" s="7" t="str">
        <f>IFERROR(__xludf.DUMMYFUNCTION("""COMPUTED_VALUE"""),"SP")</f>
        <v>SP</v>
      </c>
      <c r="Q138" s="7" t="str">
        <f>IFERROR(__xludf.DUMMYFUNCTION("""COMPUTED_VALUE""")," 13318-152 ")</f>
        <v> 13318-152 </v>
      </c>
      <c r="R138" s="9">
        <f>IFERROR(__xludf.DUMMYFUNCTION("SPLIT($K138,"" "","""")"),-2.3250604E7)</f>
        <v>-23250604</v>
      </c>
      <c r="S138" s="9">
        <f>IFERROR(__xludf.DUMMYFUNCTION("""COMPUTED_VALUE"""),-4705384.0)</f>
        <v>-4705384</v>
      </c>
      <c r="T138" s="10">
        <v>3508405.0</v>
      </c>
      <c r="U13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13318-152 ', 'PK-20686', SYSDATE, 0, 'PK-20686', SYSDATE, 'Rua  Luis Nunes  Jardim da Serra (Jacaré)', 'Rua Luis Nunes Jardim da Serra (Jacaré)', ' Jardim da Serra (Jacaré)', 'Rua', '3508405', 'Rua Luis Nunes Jardim da Serra (Jacaré)',' Jardim da Serra (Jacaré)', '1', 'SP', '1', '-23250604', '-4705384', ' Jardim da Serra (Jacaré)' </v>
      </c>
    </row>
    <row r="139" ht="15.75" hidden="1" customHeight="1">
      <c r="A139" s="4" t="s">
        <v>446</v>
      </c>
      <c r="B139" s="5" t="s">
        <v>226</v>
      </c>
      <c r="C139" s="4" t="s">
        <v>10</v>
      </c>
      <c r="D139" s="5" t="s">
        <v>447</v>
      </c>
      <c r="E139" s="6">
        <v>214.0</v>
      </c>
      <c r="F139" s="6" t="s">
        <v>12</v>
      </c>
      <c r="G139" s="3" t="s">
        <v>13</v>
      </c>
      <c r="H139" s="7" t="str">
        <f>IFERROR(__xludf.DUMMYFUNCTION("SPLIT(A137,""Rua"","""")"),"       Angola")</f>
        <v>       Angola</v>
      </c>
      <c r="J139" s="3" t="s">
        <v>448</v>
      </c>
      <c r="K139" s="8" t="str">
        <f>IFERROR(__xludf.DUMMYFUNCTION("SPLIT($J139,""   "","""")"),"-23.249062 -47.060059")</f>
        <v>-23.249062 -47.060059</v>
      </c>
      <c r="L139" s="7" t="str">
        <f>IFERROR(__xludf.DUMMYFUNCTION("""COMPUTED_VALUE"""),"Avenida")</f>
        <v>Avenida</v>
      </c>
      <c r="M139" s="7" t="str">
        <f>IFERROR(__xludf.DUMMYFUNCTION("""COMPUTED_VALUE""")," Itália")</f>
        <v> Itália</v>
      </c>
      <c r="N139" s="7" t="str">
        <f>IFERROR(__xludf.DUMMYFUNCTION("""COMPUTED_VALUE""")," Jacaré")</f>
        <v> Jacaré</v>
      </c>
      <c r="O139" s="7" t="str">
        <f>IFERROR(__xludf.DUMMYFUNCTION("""COMPUTED_VALUE""")," Cabreúva")</f>
        <v> Cabreúva</v>
      </c>
      <c r="P139" s="7" t="str">
        <f>IFERROR(__xludf.DUMMYFUNCTION("""COMPUTED_VALUE"""),"SP")</f>
        <v>SP</v>
      </c>
      <c r="Q139" s="7" t="str">
        <f>IFERROR(__xludf.DUMMYFUNCTION("""COMPUTED_VALUE""")," 13318-076 ")</f>
        <v> 13318-076 </v>
      </c>
      <c r="R139" s="9">
        <f>IFERROR(__xludf.DUMMYFUNCTION("SPLIT($K139,"" "","""")"),-2.3249062E7)</f>
        <v>-23249062</v>
      </c>
      <c r="S139" s="9">
        <f>IFERROR(__xludf.DUMMYFUNCTION("""COMPUTED_VALUE"""),-4.7060059E7)</f>
        <v>-47060059</v>
      </c>
      <c r="T139" s="10">
        <v>3508405.0</v>
      </c>
      <c r="U13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13318-076 ', 'PK-20686', SYSDATE, 0, 'PK-20686', SYSDATE, 'Avenida  Itália  Jacaré', 'Avenida Itália Jacaré', ' Jacaré', 'Avenida', '3508405', 'Avenida Itália Jacaré',' Jacaré', '1', 'SP', '1', '-23249062', '-47060059', ' Jacaré' </v>
      </c>
    </row>
    <row r="140" ht="15.75" customHeight="1">
      <c r="A140" s="4" t="s">
        <v>449</v>
      </c>
      <c r="B140" s="5" t="s">
        <v>223</v>
      </c>
      <c r="C140" s="4" t="s">
        <v>10</v>
      </c>
      <c r="D140" s="5" t="s">
        <v>450</v>
      </c>
      <c r="E140" s="6">
        <v>214.0</v>
      </c>
      <c r="F140" s="6" t="s">
        <v>12</v>
      </c>
      <c r="G140" s="3" t="s">
        <v>13</v>
      </c>
      <c r="H140" s="7" t="str">
        <f>IFERROR(__xludf.DUMMYFUNCTION("SPLIT(A138,""Rua"","""")"),"       Anita Maria Botti Pedroso")</f>
        <v>       Anita Maria Botti Pedroso</v>
      </c>
      <c r="J140" s="3" t="s">
        <v>451</v>
      </c>
      <c r="K140" s="8" t="str">
        <f>IFERROR(__xludf.DUMMYFUNCTION("SPLIT($J140,""   "","""")"),"-23.656141 -46.77406")</f>
        <v>-23.656141 -46.77406</v>
      </c>
      <c r="L140" s="7" t="str">
        <f>IFERROR(__xludf.DUMMYFUNCTION("""COMPUTED_VALUE"""),"Rua")</f>
        <v>Rua</v>
      </c>
      <c r="M140" s="7" t="str">
        <f>IFERROR(__xludf.DUMMYFUNCTION("""COMPUTED_VALUE""")," Ângelo Mezalira")</f>
        <v> Ângelo Mezalira</v>
      </c>
      <c r="N140" s="7" t="str">
        <f>IFERROR(__xludf.DUMMYFUNCTION("""COMPUTED_VALUE""")," Cururú")</f>
        <v> Cururú</v>
      </c>
      <c r="O140" s="7" t="str">
        <f>IFERROR(__xludf.DUMMYFUNCTION("""COMPUTED_VALUE""")," Cabreúva")</f>
        <v> Cabreúva</v>
      </c>
      <c r="P140" s="7" t="str">
        <f>IFERROR(__xludf.DUMMYFUNCTION("""COMPUTED_VALUE"""),"SP")</f>
        <v>SP</v>
      </c>
      <c r="Q140" s="7" t="str">
        <f>IFERROR(__xludf.DUMMYFUNCTION("""COMPUTED_VALUE""")," 13317-858 ")</f>
        <v> 13317-858 </v>
      </c>
      <c r="R140" s="9">
        <f>IFERROR(__xludf.DUMMYFUNCTION("SPLIT($K140,"" "","""")"),-2.3656141E7)</f>
        <v>-23656141</v>
      </c>
      <c r="S140" s="9">
        <f>IFERROR(__xludf.DUMMYFUNCTION("""COMPUTED_VALUE"""),-4677406.0)</f>
        <v>-4677406</v>
      </c>
      <c r="T140" s="10">
        <v>3508405.0</v>
      </c>
      <c r="U14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13317-858 ', 'PK-20686', SYSDATE, 0, 'PK-20686', SYSDATE, 'Rua  Ângelo Mezalira  Cururú', 'Rua Ângelo Mezalira Cururú', ' Cururú', 'Rua', '3508405', 'Rua Ângelo Mezalira Cururú',' Cururú', '1', 'SP', '1', '-23656141', '-4677406', ' Cururú' </v>
      </c>
    </row>
    <row r="141" ht="15.75" customHeight="1">
      <c r="A141" s="4" t="s">
        <v>452</v>
      </c>
      <c r="B141" s="5" t="s">
        <v>24</v>
      </c>
      <c r="C141" s="4" t="s">
        <v>10</v>
      </c>
      <c r="D141" s="5" t="s">
        <v>453</v>
      </c>
      <c r="E141" s="6">
        <v>214.0</v>
      </c>
      <c r="F141" s="6" t="s">
        <v>12</v>
      </c>
      <c r="G141" s="3" t="s">
        <v>13</v>
      </c>
      <c r="H141" s="7" t="str">
        <f>IFERROR(__xludf.DUMMYFUNCTION("SPLIT(A139,""Rua"","""")"),"       Anízio da Silveira")</f>
        <v>       Anízio da Silveira</v>
      </c>
      <c r="J141" s="3" t="s">
        <v>454</v>
      </c>
      <c r="K141" s="8" t="str">
        <f>IFERROR(__xludf.DUMMYFUNCTION("SPLIT($J141,""   "","""")"),"-23.265829 -47.061342")</f>
        <v>-23.265829 -47.061342</v>
      </c>
      <c r="L141" s="7" t="str">
        <f>IFERROR(__xludf.DUMMYFUNCTION("""COMPUTED_VALUE"""),"Rua")</f>
        <v>Rua</v>
      </c>
      <c r="M141" s="7" t="str">
        <f>IFERROR(__xludf.DUMMYFUNCTION("""COMPUTED_VALUE""")," Dinamarca")</f>
        <v> Dinamarca</v>
      </c>
      <c r="N141" s="7" t="str">
        <f>IFERROR(__xludf.DUMMYFUNCTION("""COMPUTED_VALUE""")," Villarejo Sopé da Serra (Vilarejo)")</f>
        <v> Villarejo Sopé da Serra (Vilarejo)</v>
      </c>
      <c r="O141" s="7" t="str">
        <f>IFERROR(__xludf.DUMMYFUNCTION("""COMPUTED_VALUE""")," Cabreúva")</f>
        <v> Cabreúva</v>
      </c>
      <c r="P141" s="7" t="str">
        <f>IFERROR(__xludf.DUMMYFUNCTION("""COMPUTED_VALUE"""),"SP")</f>
        <v>SP</v>
      </c>
      <c r="Q141" s="7" t="str">
        <f>IFERROR(__xludf.DUMMYFUNCTION("""COMPUTED_VALUE""")," 13317-626 ")</f>
        <v> 13317-626 </v>
      </c>
      <c r="R141" s="9">
        <f>IFERROR(__xludf.DUMMYFUNCTION("SPLIT($K141,"" "","""")"),-2.3265829E7)</f>
        <v>-23265829</v>
      </c>
      <c r="S141" s="9">
        <f>IFERROR(__xludf.DUMMYFUNCTION("""COMPUTED_VALUE"""),-4.7061342E7)</f>
        <v>-47061342</v>
      </c>
      <c r="T141" s="10">
        <v>3508405.0</v>
      </c>
      <c r="U14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13317-626 ', 'PK-20686', SYSDATE, 0, 'PK-20686', SYSDATE, 'Rua  Dinamarca  Villarejo Sopé da Serra (Vilarejo)', 'Rua Dinamarca Villarejo Sopé da Serra (Vilarejo)', ' Villarejo Sopé da Serra (Vilarejo)', 'Rua', '3508405', 'Rua Dinamarca Villarejo Sopé da Serra (Vilarejo)',' Villarejo Sopé da Serra (Vilarejo)', '1', 'SP', '1', '-23265829', '-47061342', ' Villarejo Sopé da Serra (Vilarejo)' </v>
      </c>
    </row>
    <row r="142" ht="15.75" customHeight="1">
      <c r="A142" s="4" t="s">
        <v>455</v>
      </c>
      <c r="B142" s="5" t="s">
        <v>456</v>
      </c>
      <c r="C142" s="4" t="s">
        <v>10</v>
      </c>
      <c r="D142" s="5" t="s">
        <v>457</v>
      </c>
      <c r="E142" s="6">
        <v>214.0</v>
      </c>
      <c r="F142" s="6" t="s">
        <v>12</v>
      </c>
      <c r="G142" s="3" t="s">
        <v>13</v>
      </c>
      <c r="H142" s="7" t="str">
        <f>IFERROR(__xludf.DUMMYFUNCTION("SPLIT(A140,""Rua"","""")"),"       Antonio Adenir Federsoni")</f>
        <v>       Antonio Adenir Federsoni</v>
      </c>
      <c r="J142" s="3" t="s">
        <v>458</v>
      </c>
      <c r="K142" s="8" t="str">
        <f>IFERROR(__xludf.DUMMYFUNCTION("SPLIT($J142,""   "","""")"),"-23.271528 -47.055962")</f>
        <v>-23.271528 -47.055962</v>
      </c>
      <c r="L142" s="7" t="str">
        <f>IFERROR(__xludf.DUMMYFUNCTION("""COMPUTED_VALUE"""),"Rua")</f>
        <v>Rua</v>
      </c>
      <c r="M142" s="7" t="str">
        <f>IFERROR(__xludf.DUMMYFUNCTION("""COMPUTED_VALUE""")," Albânia")</f>
        <v> Albânia</v>
      </c>
      <c r="N142" s="7" t="str">
        <f>IFERROR(__xludf.DUMMYFUNCTION("""COMPUTED_VALUE""")," Villarejo Sopé da Serra (Vilarejo)")</f>
        <v> Villarejo Sopé da Serra (Vilarejo)</v>
      </c>
      <c r="O142" s="7" t="str">
        <f>IFERROR(__xludf.DUMMYFUNCTION("""COMPUTED_VALUE""")," Cabreúva")</f>
        <v> Cabreúva</v>
      </c>
      <c r="P142" s="7" t="str">
        <f>IFERROR(__xludf.DUMMYFUNCTION("""COMPUTED_VALUE"""),"SP")</f>
        <v>SP</v>
      </c>
      <c r="Q142" s="7" t="str">
        <f>IFERROR(__xludf.DUMMYFUNCTION("""COMPUTED_VALUE""")," 13317-676 ")</f>
        <v> 13317-676 </v>
      </c>
      <c r="R142" s="9">
        <f>IFERROR(__xludf.DUMMYFUNCTION("SPLIT($K142,"" "","""")"),-2.3271528E7)</f>
        <v>-23271528</v>
      </c>
      <c r="S142" s="9">
        <f>IFERROR(__xludf.DUMMYFUNCTION("""COMPUTED_VALUE"""),-4.7055962E7)</f>
        <v>-47055962</v>
      </c>
      <c r="T142" s="10">
        <v>3508405.0</v>
      </c>
      <c r="U14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13317-676 ', 'PK-20686', SYSDATE, 0, 'PK-20686', SYSDATE, 'Rua  Albânia  Villarejo Sopé da Serra (Vilarejo)', 'Rua Albânia Villarejo Sopé da Serra (Vilarejo)', ' Villarejo Sopé da Serra (Vilarejo)', 'Rua', '3508405', 'Rua Albânia Villarejo Sopé da Serra (Vilarejo)',' Villarejo Sopé da Serra (Vilarejo)', '1', 'SP', '1', '-23271528', '-47055962', ' Villarejo Sopé da Serra (Vilarejo)' </v>
      </c>
    </row>
    <row r="143" ht="15.75" hidden="1" customHeight="1">
      <c r="A143" s="4" t="s">
        <v>459</v>
      </c>
      <c r="B143" s="5" t="s">
        <v>193</v>
      </c>
      <c r="C143" s="4" t="s">
        <v>10</v>
      </c>
      <c r="D143" s="5" t="s">
        <v>460</v>
      </c>
      <c r="E143" s="6">
        <v>214.0</v>
      </c>
      <c r="F143" s="6" t="s">
        <v>12</v>
      </c>
      <c r="G143" s="3" t="s">
        <v>13</v>
      </c>
      <c r="H143" s="7" t="str">
        <f>IFERROR(__xludf.DUMMYFUNCTION("SPLIT(A141,""Rua"","""")"),"       Antonio Furquim")</f>
        <v>       Antonio Furquim</v>
      </c>
      <c r="J143" s="3" t="s">
        <v>461</v>
      </c>
      <c r="K143" s="8" t="str">
        <f>IFERROR(__xludf.DUMMYFUNCTION("SPLIT($J143,""   "","""")"),"-23.245618 -47.064924")</f>
        <v>-23.245618 -47.064924</v>
      </c>
      <c r="L143" s="7" t="str">
        <f>IFERROR(__xludf.DUMMYFUNCTION("""COMPUTED_VALUE"""),"Alameda")</f>
        <v>Alameda</v>
      </c>
      <c r="M143" s="7" t="str">
        <f>IFERROR(__xludf.DUMMYFUNCTION("""COMPUTED_VALUE""")," Seis")</f>
        <v> Seis</v>
      </c>
      <c r="N143" s="7" t="str">
        <f>IFERROR(__xludf.DUMMYFUNCTION("""COMPUTED_VALUE""")," CECOM (Jacaré)")</f>
        <v> CECOM (Jacaré)</v>
      </c>
      <c r="O143" s="7" t="str">
        <f>IFERROR(__xludf.DUMMYFUNCTION("""COMPUTED_VALUE""")," Cabreúva")</f>
        <v> Cabreúva</v>
      </c>
      <c r="P143" s="7" t="str">
        <f>IFERROR(__xludf.DUMMYFUNCTION("""COMPUTED_VALUE"""),"SP")</f>
        <v>SP</v>
      </c>
      <c r="Q143" s="7" t="str">
        <f>IFERROR(__xludf.DUMMYFUNCTION("""COMPUTED_VALUE""")," 13318-346 ")</f>
        <v> 13318-346 </v>
      </c>
      <c r="R143" s="9">
        <f>IFERROR(__xludf.DUMMYFUNCTION("SPLIT($K143,"" "","""")"),-2.3245618E7)</f>
        <v>-23245618</v>
      </c>
      <c r="S143" s="9">
        <f>IFERROR(__xludf.DUMMYFUNCTION("""COMPUTED_VALUE"""),-4.7064924E7)</f>
        <v>-47064924</v>
      </c>
      <c r="T143" s="10">
        <v>3508405.0</v>
      </c>
      <c r="U14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13318-346 ', 'PK-20686', SYSDATE, 0, 'PK-20686', SYSDATE, 'Alameda  Seis  CECOM (Jacaré)', 'Alameda Seis CECOM (Jacaré)', ' CECOM (Jacaré)', 'Alameda', '3508405', 'Alameda Seis CECOM (Jacaré)',' CECOM (Jacaré)', '1', 'SP', '1', '-23245618', '-47064924', ' CECOM (Jacaré)' </v>
      </c>
    </row>
    <row r="144" ht="15.75" customHeight="1">
      <c r="A144" s="4" t="s">
        <v>462</v>
      </c>
      <c r="B144" s="5" t="s">
        <v>463</v>
      </c>
      <c r="C144" s="4" t="s">
        <v>10</v>
      </c>
      <c r="D144" s="5" t="s">
        <v>464</v>
      </c>
      <c r="E144" s="6">
        <v>214.0</v>
      </c>
      <c r="F144" s="6" t="s">
        <v>12</v>
      </c>
      <c r="G144" s="3" t="s">
        <v>13</v>
      </c>
      <c r="H144" s="7" t="str">
        <f>IFERROR(__xludf.DUMMYFUNCTION("SPLIT(A142,""Rua"","""")"),"       Antonio Pavani")</f>
        <v>       Antonio Pavani</v>
      </c>
      <c r="J144" s="3" t="s">
        <v>465</v>
      </c>
      <c r="K144" s="8" t="str">
        <f>IFERROR(__xludf.DUMMYFUNCTION("SPLIT($J144,""   "","""")"),"-23.245618 -47.064924")</f>
        <v>-23.245618 -47.064924</v>
      </c>
      <c r="L144" s="7" t="str">
        <f>IFERROR(__xludf.DUMMYFUNCTION("""COMPUTED_VALUE"""),"Rua")</f>
        <v>Rua</v>
      </c>
      <c r="M144" s="7" t="str">
        <f>IFERROR(__xludf.DUMMYFUNCTION("""COMPUTED_VALUE""")," Brunello")</f>
        <v> Brunello</v>
      </c>
      <c r="N144" s="7" t="str">
        <f>IFERROR(__xludf.DUMMYFUNCTION("""COMPUTED_VALUE""")," Reserva da Quinta (Jacaré)")</f>
        <v> Reserva da Quinta (Jacaré)</v>
      </c>
      <c r="O144" s="7" t="str">
        <f>IFERROR(__xludf.DUMMYFUNCTION("""COMPUTED_VALUE""")," Cabreúva")</f>
        <v> Cabreúva</v>
      </c>
      <c r="P144" s="7" t="str">
        <f>IFERROR(__xludf.DUMMYFUNCTION("""COMPUTED_VALUE"""),"SP")</f>
        <v>SP</v>
      </c>
      <c r="Q144" s="7" t="str">
        <f>IFERROR(__xludf.DUMMYFUNCTION("""COMPUTED_VALUE""")," 13318-454 ")</f>
        <v> 13318-454 </v>
      </c>
      <c r="R144" s="9">
        <f>IFERROR(__xludf.DUMMYFUNCTION("SPLIT($K144,"" "","""")"),-2.3245618E7)</f>
        <v>-23245618</v>
      </c>
      <c r="S144" s="9">
        <f>IFERROR(__xludf.DUMMYFUNCTION("""COMPUTED_VALUE"""),-4.7064924E7)</f>
        <v>-47064924</v>
      </c>
      <c r="T144" s="10">
        <v>3508405.0</v>
      </c>
      <c r="U14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13318-454 ', 'PK-20686', SYSDATE, 0, 'PK-20686', SYSDATE, 'Rua  Brunello  Reserva da Quinta (Jacaré)', 'Rua Brunello Reserva da Quinta (Jacaré)', ' Reserva da Quinta (Jacaré)', 'Rua', '3508405', 'Rua Brunello Reserva da Quinta (Jacaré)',' Reserva da Quinta (Jacaré)', '1', 'SP', '1', '-23245618', '-47064924', ' Reserva da Quinta (Jacaré)' </v>
      </c>
    </row>
    <row r="145" ht="15.75" hidden="1" customHeight="1">
      <c r="A145" s="4" t="s">
        <v>466</v>
      </c>
      <c r="B145" s="5" t="s">
        <v>193</v>
      </c>
      <c r="C145" s="4" t="s">
        <v>10</v>
      </c>
      <c r="D145" s="5" t="s">
        <v>467</v>
      </c>
      <c r="E145" s="6">
        <v>214.0</v>
      </c>
      <c r="F145" s="6" t="s">
        <v>12</v>
      </c>
      <c r="G145" s="3" t="s">
        <v>13</v>
      </c>
      <c r="H145" s="7" t="str">
        <f>IFERROR(__xludf.DUMMYFUNCTION("SPLIT(A143,""Rua"","""")"),"       Araçatuba")</f>
        <v>       Araçatuba</v>
      </c>
      <c r="J145" s="3" t="s">
        <v>468</v>
      </c>
      <c r="K145" s="8" t="str">
        <f>IFERROR(__xludf.DUMMYFUNCTION("SPLIT($J145,""   "","""")"),"-23.257524 -47.048024")</f>
        <v>-23.257524 -47.048024</v>
      </c>
      <c r="L145" s="7" t="str">
        <f>IFERROR(__xludf.DUMMYFUNCTION("""COMPUTED_VALUE"""),"Alameda")</f>
        <v>Alameda</v>
      </c>
      <c r="M145" s="7" t="str">
        <f>IFERROR(__xludf.DUMMYFUNCTION("""COMPUTED_VALUE""")," dos Jacarandás")</f>
        <v> dos Jacarandás</v>
      </c>
      <c r="N145" s="7" t="str">
        <f>IFERROR(__xludf.DUMMYFUNCTION("""COMPUTED_VALUE""")," Portal da Concórdia (Jacaré)")</f>
        <v> Portal da Concórdia (Jacaré)</v>
      </c>
      <c r="O145" s="7" t="str">
        <f>IFERROR(__xludf.DUMMYFUNCTION("""COMPUTED_VALUE""")," Cabreúva")</f>
        <v> Cabreúva</v>
      </c>
      <c r="P145" s="7" t="str">
        <f>IFERROR(__xludf.DUMMYFUNCTION("""COMPUTED_VALUE"""),"SP")</f>
        <v>SP</v>
      </c>
      <c r="Q145" s="7" t="str">
        <f>IFERROR(__xludf.DUMMYFUNCTION("""COMPUTED_VALUE""")," 13318-310 ")</f>
        <v> 13318-310 </v>
      </c>
      <c r="R145" s="9">
        <f>IFERROR(__xludf.DUMMYFUNCTION("SPLIT($K145,"" "","""")"),-2.3257524E7)</f>
        <v>-23257524</v>
      </c>
      <c r="S145" s="9">
        <f>IFERROR(__xludf.DUMMYFUNCTION("""COMPUTED_VALUE"""),-4.7048024E7)</f>
        <v>-47048024</v>
      </c>
      <c r="T145" s="10">
        <v>3508405.0</v>
      </c>
      <c r="U14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13318-310 ', 'PK-20686', SYSDATE, 0, 'PK-20686', SYSDATE, 'Alameda  dos Jacarandás  Portal da Concórdia (Jacaré)', 'Alameda dos Jacarandás Portal da Concórdia (Jacaré)', ' Portal da Concórdia (Jacaré)', 'Alameda', '3508405', 'Alameda dos Jacarandás Portal da Concórdia (Jacaré)',' Portal da Concórdia (Jacaré)', '1', 'SP', '1', '-23257524', '-47048024', ' Portal da Concórdia (Jacaré)' </v>
      </c>
    </row>
    <row r="146" ht="15.75" customHeight="1">
      <c r="A146" s="4" t="s">
        <v>469</v>
      </c>
      <c r="B146" s="5" t="s">
        <v>372</v>
      </c>
      <c r="C146" s="4" t="s">
        <v>10</v>
      </c>
      <c r="D146" s="5" t="s">
        <v>470</v>
      </c>
      <c r="E146" s="6">
        <v>214.0</v>
      </c>
      <c r="F146" s="6" t="s">
        <v>12</v>
      </c>
      <c r="G146" s="3" t="s">
        <v>13</v>
      </c>
      <c r="H146" s="7" t="str">
        <f>IFERROR(__xludf.DUMMYFUNCTION("SPLIT(A144,""Rua"","""")"),"       Araguaina")</f>
        <v>       Araguaina</v>
      </c>
      <c r="J146" s="3" t="s">
        <v>471</v>
      </c>
      <c r="K146" s="8" t="str">
        <f>IFERROR(__xludf.DUMMYFUNCTION("SPLIT($J146,""   "","""")"),"-23.258608 -47.050187")</f>
        <v>-23.258608 -47.050187</v>
      </c>
      <c r="L146" s="7" t="str">
        <f>IFERROR(__xludf.DUMMYFUNCTION("""COMPUTED_VALUE"""),"Rua")</f>
        <v>Rua</v>
      </c>
      <c r="M146" s="7" t="str">
        <f>IFERROR(__xludf.DUMMYFUNCTION("""COMPUTED_VALUE""")," Água Marinha")</f>
        <v> Água Marinha</v>
      </c>
      <c r="N146" s="7" t="str">
        <f>IFERROR(__xludf.DUMMYFUNCTION("""COMPUTED_VALUE""")," Jacaré")</f>
        <v> Jacaré</v>
      </c>
      <c r="O146" s="7" t="str">
        <f>IFERROR(__xludf.DUMMYFUNCTION("""COMPUTED_VALUE""")," Cabreúva")</f>
        <v> Cabreúva</v>
      </c>
      <c r="P146" s="7" t="str">
        <f>IFERROR(__xludf.DUMMYFUNCTION("""COMPUTED_VALUE"""),"SP")</f>
        <v>SP</v>
      </c>
      <c r="Q146" s="7" t="str">
        <f>IFERROR(__xludf.DUMMYFUNCTION("""COMPUTED_VALUE""")," 13318-280 ")</f>
        <v> 13318-280 </v>
      </c>
      <c r="R146" s="9">
        <f>IFERROR(__xludf.DUMMYFUNCTION("SPLIT($K146,"" "","""")"),-2.3258608E7)</f>
        <v>-23258608</v>
      </c>
      <c r="S146" s="9">
        <f>IFERROR(__xludf.DUMMYFUNCTION("""COMPUTED_VALUE"""),-4.7050187E7)</f>
        <v>-47050187</v>
      </c>
      <c r="T146" s="10">
        <v>3508405.0</v>
      </c>
      <c r="U14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13318-280 ', 'PK-20686', SYSDATE, 0, 'PK-20686', SYSDATE, 'Rua  Água Marinha  Jacaré', 'Rua Água Marinha Jacaré', ' Jacaré', 'Rua', '3508405', 'Rua Água Marinha Jacaré',' Jacaré', '1', 'SP', '1', '-23258608', '-47050187', ' Jacaré' </v>
      </c>
    </row>
    <row r="147" ht="15.75" customHeight="1">
      <c r="A147" s="12" t="s">
        <v>472</v>
      </c>
      <c r="B147" s="13" t="s">
        <v>190</v>
      </c>
      <c r="C147" s="4" t="s">
        <v>10</v>
      </c>
      <c r="D147" s="13" t="s">
        <v>473</v>
      </c>
      <c r="E147" s="6">
        <v>214.0</v>
      </c>
      <c r="F147" s="6" t="s">
        <v>12</v>
      </c>
      <c r="G147" s="3" t="s">
        <v>13</v>
      </c>
      <c r="H147" s="7" t="str">
        <f>IFERROR(__xludf.DUMMYFUNCTION("SPLIT(A145,""Rua"","""")"),"       Araxá")</f>
        <v>       Araxá</v>
      </c>
      <c r="J147" s="3" t="s">
        <v>474</v>
      </c>
      <c r="K147" s="8" t="str">
        <f>IFERROR(__xludf.DUMMYFUNCTION("SPLIT($J147,""   "","""")"),"-23.307463 -47.135637")</f>
        <v>-23.307463 -47.135637</v>
      </c>
      <c r="L147" s="7" t="str">
        <f>IFERROR(__xludf.DUMMYFUNCTION("""COMPUTED_VALUE"""),"Rua")</f>
        <v>Rua</v>
      </c>
      <c r="M147" s="7" t="str">
        <f>IFERROR(__xludf.DUMMYFUNCTION("""COMPUTED_VALUE""")," Campo Limpo")</f>
        <v> Campo Limpo</v>
      </c>
      <c r="N147" s="7" t="str">
        <f>IFERROR(__xludf.DUMMYFUNCTION("""COMPUTED_VALUE""")," Nova Cabreúva (Centro)")</f>
        <v> Nova Cabreúva (Centro)</v>
      </c>
      <c r="O147" s="7" t="str">
        <f>IFERROR(__xludf.DUMMYFUNCTION("""COMPUTED_VALUE""")," Cabreúva")</f>
        <v> Cabreúva</v>
      </c>
      <c r="P147" s="7" t="str">
        <f>IFERROR(__xludf.DUMMYFUNCTION("""COMPUTED_VALUE"""),"SP")</f>
        <v>SP</v>
      </c>
      <c r="Q147" s="7" t="str">
        <f>IFERROR(__xludf.DUMMYFUNCTION("""COMPUTED_VALUE""")," 13315-104 ")</f>
        <v> 13315-104 </v>
      </c>
      <c r="R147" s="9">
        <f>IFERROR(__xludf.DUMMYFUNCTION("SPLIT($K147,"" "","""")"),-2.3307463E7)</f>
        <v>-23307463</v>
      </c>
      <c r="S147" s="9">
        <f>IFERROR(__xludf.DUMMYFUNCTION("""COMPUTED_VALUE"""),-4.7135637E7)</f>
        <v>-47135637</v>
      </c>
      <c r="T147" s="10">
        <v>3508405.0</v>
      </c>
      <c r="U14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13315-104 ', 'PK-20686', SYSDATE, 0, 'PK-20686', SYSDATE, 'Rua  Campo Limpo  Nova Cabreúva (Centro)', 'Rua Campo Limpo Nova Cabreúva (Centro)', ' Nova Cabreúva (Centro)', 'Rua', '3508405', 'Rua Campo Limpo Nova Cabreúva (Centro)',' Nova Cabreúva (Centro)', '1', 'SP', '1', '-23307463', '-47135637', ' Nova Cabreúva (Centro)' </v>
      </c>
    </row>
    <row r="148" ht="15.75" customHeight="1">
      <c r="A148" s="4" t="s">
        <v>475</v>
      </c>
      <c r="B148" s="5" t="s">
        <v>476</v>
      </c>
      <c r="C148" s="4" t="s">
        <v>10</v>
      </c>
      <c r="D148" s="5" t="s">
        <v>477</v>
      </c>
      <c r="E148" s="6">
        <v>214.0</v>
      </c>
      <c r="F148" s="6" t="s">
        <v>12</v>
      </c>
      <c r="G148" s="3" t="s">
        <v>13</v>
      </c>
      <c r="H148" s="7" t="str">
        <f>IFERROR(__xludf.DUMMYFUNCTION("SPLIT(A146,""Rua"","""")"),"       Argélia")</f>
        <v>       Argélia</v>
      </c>
      <c r="J148" s="3" t="s">
        <v>478</v>
      </c>
      <c r="K148" s="8" t="str">
        <f>IFERROR(__xludf.DUMMYFUNCTION("SPLIT($J148,""   "","""")"),"-23.258763 -47.053329")</f>
        <v>-23.258763 -47.053329</v>
      </c>
      <c r="L148" s="7" t="str">
        <f>IFERROR(__xludf.DUMMYFUNCTION("""COMPUTED_VALUE"""),"Rua")</f>
        <v>Rua</v>
      </c>
      <c r="M148" s="7" t="str">
        <f>IFERROR(__xludf.DUMMYFUNCTION("""COMPUTED_VALUE""")," Turmalina")</f>
        <v> Turmalina</v>
      </c>
      <c r="N148" s="7" t="str">
        <f>IFERROR(__xludf.DUMMYFUNCTION("""COMPUTED_VALUE""")," Jardim Colina da Serra (Jacaré)")</f>
        <v> Jardim Colina da Serra (Jacaré)</v>
      </c>
      <c r="O148" s="7" t="str">
        <f>IFERROR(__xludf.DUMMYFUNCTION("""COMPUTED_VALUE""")," Cabreúva")</f>
        <v> Cabreúva</v>
      </c>
      <c r="P148" s="7" t="str">
        <f>IFERROR(__xludf.DUMMYFUNCTION("""COMPUTED_VALUE"""),"SP")</f>
        <v>SP</v>
      </c>
      <c r="Q148" s="7" t="str">
        <f>IFERROR(__xludf.DUMMYFUNCTION("""COMPUTED_VALUE""")," 13318-242 ")</f>
        <v> 13318-242 </v>
      </c>
      <c r="R148" s="9">
        <f>IFERROR(__xludf.DUMMYFUNCTION("SPLIT($K148,"" "","""")"),-2.3258763E7)</f>
        <v>-23258763</v>
      </c>
      <c r="S148" s="9">
        <f>IFERROR(__xludf.DUMMYFUNCTION("""COMPUTED_VALUE"""),-4.7053329E7)</f>
        <v>-47053329</v>
      </c>
      <c r="T148" s="10">
        <v>3508405.0</v>
      </c>
      <c r="U14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13318-242 ', 'PK-20686', SYSDATE, 0, 'PK-20686', SYSDATE, 'Rua  Turmalina  Jardim Colina da Serra (Jacaré)', 'Rua Turmalina Jardim Colina da Serra (Jacaré)', ' Jardim Colina da Serra (Jacaré)', 'Rua', '3508405', 'Rua Turmalina Jardim Colina da Serra (Jacaré)',' Jardim Colina da Serra (Jacaré)', '1', 'SP', '1', '-23258763', '-47053329', ' Jardim Colina da Serra (Jacaré)' </v>
      </c>
    </row>
    <row r="149" ht="15.75" customHeight="1">
      <c r="A149" s="4" t="s">
        <v>479</v>
      </c>
      <c r="B149" s="5" t="s">
        <v>212</v>
      </c>
      <c r="C149" s="4" t="s">
        <v>10</v>
      </c>
      <c r="D149" s="5" t="s">
        <v>480</v>
      </c>
      <c r="E149" s="6">
        <v>214.0</v>
      </c>
      <c r="F149" s="6" t="s">
        <v>12</v>
      </c>
      <c r="G149" s="3" t="s">
        <v>13</v>
      </c>
      <c r="H149" s="7" t="str">
        <f>IFERROR(__xludf.DUMMYFUNCTION("SPLIT(A147,""Rua"","""")"),"       Argentina")</f>
        <v>       Argentina</v>
      </c>
      <c r="J149" s="3" t="s">
        <v>481</v>
      </c>
      <c r="K149" s="8" t="str">
        <f>IFERROR(__xludf.DUMMYFUNCTION("SPLIT($J149,""   "","""")"),"-23.253332 -47.102278")</f>
        <v>-23.253332 -47.102278</v>
      </c>
      <c r="L149" s="7" t="str">
        <f>IFERROR(__xludf.DUMMYFUNCTION("""COMPUTED_VALUE"""),"Rua")</f>
        <v>Rua</v>
      </c>
      <c r="M149" s="7" t="str">
        <f>IFERROR(__xludf.DUMMYFUNCTION("""COMPUTED_VALUE""")," Anita Maria Botti Pedroso")</f>
        <v> Anita Maria Botti Pedroso</v>
      </c>
      <c r="N149" s="7" t="str">
        <f>IFERROR(__xludf.DUMMYFUNCTION("""COMPUTED_VALUE""")," Pinhal")</f>
        <v> Pinhal</v>
      </c>
      <c r="O149" s="7" t="str">
        <f>IFERROR(__xludf.DUMMYFUNCTION("""COMPUTED_VALUE""")," Cabreúva")</f>
        <v> Cabreúva</v>
      </c>
      <c r="P149" s="7" t="str">
        <f>IFERROR(__xludf.DUMMYFUNCTION("""COMPUTED_VALUE"""),"SP")</f>
        <v>SP</v>
      </c>
      <c r="Q149" s="7" t="str">
        <f>IFERROR(__xludf.DUMMYFUNCTION("""COMPUTED_VALUE""")," 13317-210 ")</f>
        <v> 13317-210 </v>
      </c>
      <c r="R149" s="9">
        <f>IFERROR(__xludf.DUMMYFUNCTION("SPLIT($K149,"" "","""")"),-2.3253332E7)</f>
        <v>-23253332</v>
      </c>
      <c r="S149" s="9">
        <f>IFERROR(__xludf.DUMMYFUNCTION("""COMPUTED_VALUE"""),-4.7102278E7)</f>
        <v>-47102278</v>
      </c>
      <c r="T149" s="10">
        <v>3508405.0</v>
      </c>
      <c r="U14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13317-210 ', 'PK-20686', SYSDATE, 0, 'PK-20686', SYSDATE, 'Rua  Anita Maria Botti Pedroso  Pinhal', 'Rua Anita Maria Botti Pedroso Pinhal', ' Pinhal', 'Rua', '3508405', 'Rua Anita Maria Botti Pedroso Pinhal',' Pinhal', '1', 'SP', '1', '-23253332', '-47102278', ' Pinhal' </v>
      </c>
    </row>
    <row r="150" ht="15.75" hidden="1" customHeight="1">
      <c r="A150" s="4" t="s">
        <v>482</v>
      </c>
      <c r="B150" s="5" t="s">
        <v>193</v>
      </c>
      <c r="C150" s="4" t="s">
        <v>10</v>
      </c>
      <c r="D150" s="5" t="s">
        <v>483</v>
      </c>
      <c r="E150" s="6">
        <v>214.0</v>
      </c>
      <c r="F150" s="6" t="s">
        <v>12</v>
      </c>
      <c r="G150" s="3" t="s">
        <v>13</v>
      </c>
      <c r="H150" s="7" t="str">
        <f>IFERROR(__xludf.DUMMYFUNCTION("SPLIT(A148,""Rua"","""")"),"       Arminda da Costa Soares")</f>
        <v>       Arminda da Costa Soares</v>
      </c>
      <c r="J150" s="3" t="s">
        <v>484</v>
      </c>
      <c r="K150" s="8" t="str">
        <f>IFERROR(__xludf.DUMMYFUNCTION("SPLIT($J150,""   "","""")"),"-23.257909 -47.051612")</f>
        <v>-23.257909 -47.051612</v>
      </c>
      <c r="L150" s="7" t="str">
        <f>IFERROR(__xludf.DUMMYFUNCTION("""COMPUTED_VALUE"""),"Alameda")</f>
        <v>Alameda</v>
      </c>
      <c r="M150" s="7" t="str">
        <f>IFERROR(__xludf.DUMMYFUNCTION("""COMPUTED_VALUE""")," Morfantaine")</f>
        <v> Morfantaine</v>
      </c>
      <c r="N150" s="7" t="str">
        <f>IFERROR(__xludf.DUMMYFUNCTION("""COMPUTED_VALUE""")," Portal da Concórdia II (Jacaré)")</f>
        <v> Portal da Concórdia II (Jacaré)</v>
      </c>
      <c r="O150" s="7" t="str">
        <f>IFERROR(__xludf.DUMMYFUNCTION("""COMPUTED_VALUE""")," Cabreúva")</f>
        <v> Cabreúva</v>
      </c>
      <c r="P150" s="7" t="str">
        <f>IFERROR(__xludf.DUMMYFUNCTION("""COMPUTED_VALUE"""),"SP")</f>
        <v>SP</v>
      </c>
      <c r="Q150" s="7" t="str">
        <f>IFERROR(__xludf.DUMMYFUNCTION("""COMPUTED_VALUE""")," 13318-306 ")</f>
        <v> 13318-306 </v>
      </c>
      <c r="R150" s="9">
        <f>IFERROR(__xludf.DUMMYFUNCTION("SPLIT($K150,"" "","""")"),-2.3257909E7)</f>
        <v>-23257909</v>
      </c>
      <c r="S150" s="9">
        <f>IFERROR(__xludf.DUMMYFUNCTION("""COMPUTED_VALUE"""),-4.7051612E7)</f>
        <v>-47051612</v>
      </c>
      <c r="T150" s="10">
        <v>3508405.0</v>
      </c>
      <c r="U15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13318-306 ', 'PK-20686', SYSDATE, 0, 'PK-20686', SYSDATE, 'Alameda  Morfantaine  Portal da Concórdia II (Jacaré)', 'Alameda Morfantaine Portal da Concórdia II (Jacaré)', ' Portal da Concórdia II (Jacaré)', 'Alameda', '3508405', 'Alameda Morfantaine Portal da Concórdia II (Jacaré)',' Portal da Concórdia II (Jacaré)', '1', 'SP', '1', '-23257909', '-47051612', ' Portal da Concórdia II (Jacaré)' </v>
      </c>
    </row>
    <row r="151" ht="15.75" hidden="1" customHeight="1">
      <c r="A151" s="4" t="s">
        <v>485</v>
      </c>
      <c r="B151" s="5" t="s">
        <v>153</v>
      </c>
      <c r="C151" s="4" t="s">
        <v>10</v>
      </c>
      <c r="D151" s="5" t="s">
        <v>486</v>
      </c>
      <c r="E151" s="6">
        <v>214.0</v>
      </c>
      <c r="F151" s="6" t="s">
        <v>12</v>
      </c>
      <c r="G151" s="3" t="s">
        <v>13</v>
      </c>
      <c r="H151" s="7" t="str">
        <f>IFERROR(__xludf.DUMMYFUNCTION("SPLIT(A149,""Rua"","""")"),"       Aroeira")</f>
        <v>       Aroeira</v>
      </c>
      <c r="J151" s="3" t="s">
        <v>487</v>
      </c>
      <c r="K151" s="8" t="str">
        <f>IFERROR(__xludf.DUMMYFUNCTION("SPLIT($J151,""   "","""")"),"-23.244503 -47.062564")</f>
        <v>-23.244503 -47.062564</v>
      </c>
      <c r="L151" s="7" t="str">
        <f>IFERROR(__xludf.DUMMYFUNCTION("""COMPUTED_VALUE"""),"Avenida")</f>
        <v>Avenida</v>
      </c>
      <c r="M151" s="7" t="str">
        <f>IFERROR(__xludf.DUMMYFUNCTION("""COMPUTED_VALUE""")," Alberto Peratello")</f>
        <v> Alberto Peratello</v>
      </c>
      <c r="N151" s="7" t="str">
        <f>IFERROR(__xludf.DUMMYFUNCTION("""COMPUTED_VALUE""")," Jacaré")</f>
        <v> Jacaré</v>
      </c>
      <c r="O151" s="7" t="str">
        <f>IFERROR(__xludf.DUMMYFUNCTION("""COMPUTED_VALUE""")," Cabreúva")</f>
        <v> Cabreúva</v>
      </c>
      <c r="P151" s="7" t="str">
        <f>IFERROR(__xludf.DUMMYFUNCTION("""COMPUTED_VALUE"""),"SP")</f>
        <v>SP</v>
      </c>
      <c r="Q151" s="7" t="str">
        <f>IFERROR(__xludf.DUMMYFUNCTION("""COMPUTED_VALUE""")," 13318-002 ")</f>
        <v> 13318-002 </v>
      </c>
      <c r="R151" s="9">
        <f>IFERROR(__xludf.DUMMYFUNCTION("SPLIT($K151,"" "","""")"),-2.3244503E7)</f>
        <v>-23244503</v>
      </c>
      <c r="S151" s="9">
        <f>IFERROR(__xludf.DUMMYFUNCTION("""COMPUTED_VALUE"""),-4.7062564E7)</f>
        <v>-47062564</v>
      </c>
      <c r="T151" s="10">
        <v>3508405.0</v>
      </c>
      <c r="U15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13318-002 ', 'PK-20686', SYSDATE, 0, 'PK-20686', SYSDATE, 'Avenida  Alberto Peratello  Jacaré', 'Avenida Alberto Peratello Jacaré', ' Jacaré', 'Avenida', '3508405', 'Avenida Alberto Peratello Jacaré',' Jacaré', '1', 'SP', '1', '-23244503', '-47062564', ' Jacaré' </v>
      </c>
    </row>
    <row r="152" ht="15.75" hidden="1" customHeight="1">
      <c r="A152" s="4" t="s">
        <v>488</v>
      </c>
      <c r="B152" s="5" t="s">
        <v>160</v>
      </c>
      <c r="C152" s="4" t="s">
        <v>10</v>
      </c>
      <c r="D152" s="5" t="s">
        <v>489</v>
      </c>
      <c r="E152" s="6">
        <v>214.0</v>
      </c>
      <c r="F152" s="6" t="s">
        <v>12</v>
      </c>
      <c r="G152" s="3" t="s">
        <v>13</v>
      </c>
      <c r="H152" s="7" t="str">
        <f>IFERROR(__xludf.DUMMYFUNCTION("SPLIT(A150,""Rua"","""")"),"       Atibaia")</f>
        <v>       Atibaia</v>
      </c>
      <c r="J152" s="3" t="s">
        <v>490</v>
      </c>
      <c r="K152" s="8" t="str">
        <f>IFERROR(__xludf.DUMMYFUNCTION("SPLIT($J152,""   "","""")"),"-23.289426 -47.088971")</f>
        <v>-23.289426 -47.088971</v>
      </c>
      <c r="L152" s="7" t="str">
        <f>IFERROR(__xludf.DUMMYFUNCTION("""COMPUTED_VALUE"""),"RodoVia")</f>
        <v>RodoVia</v>
      </c>
      <c r="M152" s="7" t="str">
        <f>IFERROR(__xludf.DUMMYFUNCTION("""COMPUTED_VALUE""")," Prefeito João Zacchi")</f>
        <v> Prefeito João Zacchi</v>
      </c>
      <c r="N152" s="7" t="str">
        <f>IFERROR(__xludf.DUMMYFUNCTION("""COMPUTED_VALUE""")," Pinhal")</f>
        <v> Pinhal</v>
      </c>
      <c r="O152" s="7" t="str">
        <f>IFERROR(__xludf.DUMMYFUNCTION("""COMPUTED_VALUE""")," Cabreúva")</f>
        <v> Cabreúva</v>
      </c>
      <c r="P152" s="7" t="str">
        <f>IFERROR(__xludf.DUMMYFUNCTION("""COMPUTED_VALUE"""),"SP")</f>
        <v>SP</v>
      </c>
      <c r="Q152" s="7" t="str">
        <f>IFERROR(__xludf.DUMMYFUNCTION("""COMPUTED_VALUE""")," 13317-202 ")</f>
        <v> 13317-202 </v>
      </c>
      <c r="R152" s="9">
        <f>IFERROR(__xludf.DUMMYFUNCTION("SPLIT($K152,"" "","""")"),-2.3289426E7)</f>
        <v>-23289426</v>
      </c>
      <c r="S152" s="9">
        <f>IFERROR(__xludf.DUMMYFUNCTION("""COMPUTED_VALUE"""),-4.7088971E7)</f>
        <v>-47088971</v>
      </c>
      <c r="T152" s="10">
        <v>3508405.0</v>
      </c>
      <c r="U15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13317-202 ', 'PK-20686', SYSDATE, 0, 'PK-20686', SYSDATE, 'RodoVia  Prefeito João Zacchi  Pinhal', 'RodoVia Prefeito João Zacchi Pinhal', ' Pinhal', 'RodoVia', '3508405', 'RodoVia Prefeito João Zacchi Pinhal',' Pinhal', '1', 'SP', '1', '-23289426', '-47088971', ' Pinhal' </v>
      </c>
    </row>
    <row r="153" ht="15.75" customHeight="1">
      <c r="A153" s="4" t="s">
        <v>491</v>
      </c>
      <c r="B153" s="5" t="s">
        <v>372</v>
      </c>
      <c r="C153" s="4" t="s">
        <v>10</v>
      </c>
      <c r="D153" s="5" t="s">
        <v>492</v>
      </c>
      <c r="E153" s="6">
        <v>214.0</v>
      </c>
      <c r="F153" s="6" t="s">
        <v>12</v>
      </c>
      <c r="G153" s="3" t="s">
        <v>13</v>
      </c>
      <c r="H153" s="7" t="str">
        <f>IFERROR(__xludf.DUMMYFUNCTION("SPLIT(A151,""Rua"","""")"),"       Augelita")</f>
        <v>       Augelita</v>
      </c>
      <c r="J153" s="3" t="s">
        <v>493</v>
      </c>
      <c r="K153" s="8" t="str">
        <f>IFERROR(__xludf.DUMMYFUNCTION("SPLIT($J153,""   "","""")"),"-23.245618 -47.064924")</f>
        <v>-23.245618 -47.064924</v>
      </c>
      <c r="L153" s="7" t="str">
        <f>IFERROR(__xludf.DUMMYFUNCTION("""COMPUTED_VALUE"""),"Rua")</f>
        <v>Rua</v>
      </c>
      <c r="M153" s="7" t="str">
        <f>IFERROR(__xludf.DUMMYFUNCTION("""COMPUTED_VALUE""")," Georgios Kordoutis")</f>
        <v> Georgios Kordoutis</v>
      </c>
      <c r="N153" s="7" t="str">
        <f>IFERROR(__xludf.DUMMYFUNCTION("""COMPUTED_VALUE""")," Jacaré")</f>
        <v> Jacaré</v>
      </c>
      <c r="O153" s="7" t="str">
        <f>IFERROR(__xludf.DUMMYFUNCTION("""COMPUTED_VALUE""")," Cabreúva")</f>
        <v> Cabreúva</v>
      </c>
      <c r="P153" s="7" t="str">
        <f>IFERROR(__xludf.DUMMYFUNCTION("""COMPUTED_VALUE"""),"SP")</f>
        <v>SP</v>
      </c>
      <c r="Q153" s="7" t="str">
        <f>IFERROR(__xludf.DUMMYFUNCTION("""COMPUTED_VALUE""")," 13318-020 ")</f>
        <v> 13318-020 </v>
      </c>
      <c r="R153" s="9">
        <f>IFERROR(__xludf.DUMMYFUNCTION("SPLIT($K153,"" "","""")"),-2.3245618E7)</f>
        <v>-23245618</v>
      </c>
      <c r="S153" s="9">
        <f>IFERROR(__xludf.DUMMYFUNCTION("""COMPUTED_VALUE"""),-4.7064924E7)</f>
        <v>-47064924</v>
      </c>
      <c r="T153" s="10">
        <v>3508405.0</v>
      </c>
      <c r="U15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13318-020 ', 'PK-20686', SYSDATE, 0, 'PK-20686', SYSDATE, 'Rua  Georgios Kordoutis  Jacaré', 'Rua Georgios Kordoutis Jacaré', ' Jacaré', 'Rua', '3508405', 'Rua Georgios Kordoutis Jacaré',' Jacaré', '1', 'SP', '1', '-23245618', '-47064924', ' Jacaré' </v>
      </c>
    </row>
    <row r="154" ht="15.75" customHeight="1">
      <c r="A154" s="4" t="s">
        <v>494</v>
      </c>
      <c r="B154" s="5" t="s">
        <v>368</v>
      </c>
      <c r="C154" s="4" t="s">
        <v>10</v>
      </c>
      <c r="D154" s="5" t="s">
        <v>495</v>
      </c>
      <c r="E154" s="6">
        <v>214.0</v>
      </c>
      <c r="F154" s="6" t="s">
        <v>12</v>
      </c>
      <c r="G154" s="3" t="s">
        <v>13</v>
      </c>
      <c r="H154" s="7" t="str">
        <f>IFERROR(__xludf.DUMMYFUNCTION("SPLIT(A152,""Rua"","""")"),"       Austrália")</f>
        <v>       Austrália</v>
      </c>
      <c r="J154" s="3" t="s">
        <v>496</v>
      </c>
      <c r="K154" s="8" t="str">
        <f>IFERROR(__xludf.DUMMYFUNCTION("SPLIT($J154,""   "","""")"),"-23.246327 -47.05406")</f>
        <v>-23.246327 -47.05406</v>
      </c>
      <c r="L154" s="7" t="str">
        <f>IFERROR(__xludf.DUMMYFUNCTION("""COMPUTED_VALUE"""),"Rua")</f>
        <v>Rua</v>
      </c>
      <c r="M154" s="7" t="str">
        <f>IFERROR(__xludf.DUMMYFUNCTION("""COMPUTED_VALUE""")," AndrelinoSPina")</f>
        <v> AndrelinoSPina</v>
      </c>
      <c r="N154" s="7" t="str">
        <f>IFERROR(__xludf.DUMMYFUNCTION("""COMPUTED_VALUE""")," Jacaré")</f>
        <v> Jacaré</v>
      </c>
      <c r="O154" s="7" t="str">
        <f>IFERROR(__xludf.DUMMYFUNCTION("""COMPUTED_VALUE""")," Cabreúva")</f>
        <v> Cabreúva</v>
      </c>
      <c r="P154" s="7" t="str">
        <f>IFERROR(__xludf.DUMMYFUNCTION("""COMPUTED_VALUE"""),"SP")</f>
        <v>SP</v>
      </c>
      <c r="Q154" s="7" t="str">
        <f>IFERROR(__xludf.DUMMYFUNCTION("""COMPUTED_VALUE""")," 13318-118 ")</f>
        <v> 13318-118 </v>
      </c>
      <c r="R154" s="9">
        <f>IFERROR(__xludf.DUMMYFUNCTION("SPLIT($K154,"" "","""")"),-2.3246327E7)</f>
        <v>-23246327</v>
      </c>
      <c r="S154" s="9">
        <f>IFERROR(__xludf.DUMMYFUNCTION("""COMPUTED_VALUE"""),-4705406.0)</f>
        <v>-4705406</v>
      </c>
      <c r="T154" s="10">
        <v>3508405.0</v>
      </c>
      <c r="U15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13318-118 ', 'PK-20686', SYSDATE, 0, 'PK-20686', SYSDATE, 'Rua  AndrelinoSPina  Jacaré', 'Rua AndrelinoSPina Jacaré', ' Jacaré', 'Rua', '3508405', 'Rua AndrelinoSPina Jacaré',' Jacaré', '1', 'SP', '1', '-23246327', '-4705406', ' Jacaré' </v>
      </c>
    </row>
    <row r="155" ht="15.75" customHeight="1">
      <c r="A155" s="4" t="s">
        <v>497</v>
      </c>
      <c r="B155" s="5" t="s">
        <v>24</v>
      </c>
      <c r="C155" s="4" t="s">
        <v>10</v>
      </c>
      <c r="D155" s="5" t="s">
        <v>498</v>
      </c>
      <c r="E155" s="6">
        <v>214.0</v>
      </c>
      <c r="F155" s="6" t="s">
        <v>12</v>
      </c>
      <c r="G155" s="3" t="s">
        <v>13</v>
      </c>
      <c r="H155" s="7" t="str">
        <f>IFERROR(__xludf.DUMMYFUNCTION("SPLIT(A153,""Rua"","""")"),"       Áustria")</f>
        <v>       Áustria</v>
      </c>
      <c r="J155" s="3" t="s">
        <v>499</v>
      </c>
      <c r="K155" s="8" t="str">
        <f>IFERROR(__xludf.DUMMYFUNCTION("SPLIT($J155,""   "","""")"),"-23.306632 -47.134365")</f>
        <v>-23.306632 -47.134365</v>
      </c>
      <c r="L155" s="7" t="str">
        <f>IFERROR(__xludf.DUMMYFUNCTION("""COMPUTED_VALUE"""),"Rua")</f>
        <v>Rua</v>
      </c>
      <c r="M155" s="7" t="str">
        <f>IFERROR(__xludf.DUMMYFUNCTION("""COMPUTED_VALUE""")," Joaquim Rabello Cintra")</f>
        <v> Joaquim Rabello Cintra</v>
      </c>
      <c r="N155" s="7" t="str">
        <f>IFERROR(__xludf.DUMMYFUNCTION("""COMPUTED_VALUE""")," Centro")</f>
        <v> Centro</v>
      </c>
      <c r="O155" s="7" t="str">
        <f>IFERROR(__xludf.DUMMYFUNCTION("""COMPUTED_VALUE""")," Cabreúva")</f>
        <v> Cabreúva</v>
      </c>
      <c r="P155" s="7" t="str">
        <f>IFERROR(__xludf.DUMMYFUNCTION("""COMPUTED_VALUE"""),"SP")</f>
        <v>SP</v>
      </c>
      <c r="Q155" s="7" t="str">
        <f>IFERROR(__xludf.DUMMYFUNCTION("""COMPUTED_VALUE""")," 13315-023 ")</f>
        <v> 13315-023 </v>
      </c>
      <c r="R155" s="9">
        <f>IFERROR(__xludf.DUMMYFUNCTION("SPLIT($K155,"" "","""")"),-2.3306632E7)</f>
        <v>-23306632</v>
      </c>
      <c r="S155" s="9">
        <f>IFERROR(__xludf.DUMMYFUNCTION("""COMPUTED_VALUE"""),-4.7134365E7)</f>
        <v>-47134365</v>
      </c>
      <c r="T155" s="10">
        <v>3508405.0</v>
      </c>
      <c r="U15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13315-023 ', 'PK-20686', SYSDATE, 0, 'PK-20686', SYSDATE, 'Rua  Joaquim Rabello Cintra  Centro', 'Rua Joaquim Rabello Cintra Centro', ' Centro', 'Rua', '3508405', 'Rua Joaquim Rabello Cintra Centro',' Centro', '1', 'SP', '1', '-23306632', '-47134365', ' Centro' </v>
      </c>
    </row>
    <row r="156" ht="15.75" customHeight="1">
      <c r="A156" s="4" t="s">
        <v>500</v>
      </c>
      <c r="B156" s="5" t="s">
        <v>501</v>
      </c>
      <c r="C156" s="4" t="s">
        <v>10</v>
      </c>
      <c r="D156" s="5" t="s">
        <v>502</v>
      </c>
      <c r="E156" s="6">
        <v>214.0</v>
      </c>
      <c r="F156" s="6" t="s">
        <v>12</v>
      </c>
      <c r="G156" s="3" t="s">
        <v>13</v>
      </c>
      <c r="H156" s="7" t="str">
        <f>IFERROR(__xludf.DUMMYFUNCTION("SPLIT(A154,""Rua"","""")"),"       B")</f>
        <v>       B</v>
      </c>
      <c r="J156" s="3" t="s">
        <v>503</v>
      </c>
      <c r="K156" s="8" t="str">
        <f>IFERROR(__xludf.DUMMYFUNCTION("SPLIT($J156,""   "","""")"),"-23.269641 -47.059634")</f>
        <v>-23.269641 -47.059634</v>
      </c>
      <c r="L156" s="7" t="str">
        <f>IFERROR(__xludf.DUMMYFUNCTION("""COMPUTED_VALUE"""),"Rua")</f>
        <v>Rua</v>
      </c>
      <c r="M156" s="7" t="str">
        <f>IFERROR(__xludf.DUMMYFUNCTION("""COMPUTED_VALUE""")," Madagascar")</f>
        <v> Madagascar</v>
      </c>
      <c r="N156" s="7" t="str">
        <f>IFERROR(__xludf.DUMMYFUNCTION("""COMPUTED_VALUE""")," Villarejo Sopé da Serra (Vilarejo)")</f>
        <v> Villarejo Sopé da Serra (Vilarejo)</v>
      </c>
      <c r="O156" s="7" t="str">
        <f>IFERROR(__xludf.DUMMYFUNCTION("""COMPUTED_VALUE""")," Cabreúva")</f>
        <v> Cabreúva</v>
      </c>
      <c r="P156" s="7" t="str">
        <f>IFERROR(__xludf.DUMMYFUNCTION("""COMPUTED_VALUE"""),"SP")</f>
        <v>SP</v>
      </c>
      <c r="Q156" s="7" t="str">
        <f>IFERROR(__xludf.DUMMYFUNCTION("""COMPUTED_VALUE""")," 13317-648 ")</f>
        <v> 13317-648 </v>
      </c>
      <c r="R156" s="9">
        <f>IFERROR(__xludf.DUMMYFUNCTION("SPLIT($K156,"" "","""")"),-2.3269641E7)</f>
        <v>-23269641</v>
      </c>
      <c r="S156" s="9">
        <f>IFERROR(__xludf.DUMMYFUNCTION("""COMPUTED_VALUE"""),-4.7059634E7)</f>
        <v>-47059634</v>
      </c>
      <c r="T156" s="10">
        <v>3508405.0</v>
      </c>
      <c r="U15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13317-648 ', 'PK-20686', SYSDATE, 0, 'PK-20686', SYSDATE, 'Rua  Madagascar  Villarejo Sopé da Serra (Vilarejo)', 'Rua Madagascar Villarejo Sopé da Serra (Vilarejo)', ' Villarejo Sopé da Serra (Vilarejo)', 'Rua', '3508405', 'Rua Madagascar Villarejo Sopé da Serra (Vilarejo)',' Villarejo Sopé da Serra (Vilarejo)', '1', 'SP', '1', '-23269641', '-47059634', ' Villarejo Sopé da Serra (Vilarejo)' </v>
      </c>
    </row>
    <row r="157" ht="15.75" customHeight="1">
      <c r="A157" s="4" t="s">
        <v>504</v>
      </c>
      <c r="B157" s="5" t="s">
        <v>505</v>
      </c>
      <c r="C157" s="4" t="s">
        <v>10</v>
      </c>
      <c r="D157" s="5" t="s">
        <v>506</v>
      </c>
      <c r="E157" s="6">
        <v>214.0</v>
      </c>
      <c r="F157" s="6" t="s">
        <v>12</v>
      </c>
      <c r="G157" s="3" t="s">
        <v>13</v>
      </c>
      <c r="H157" s="7" t="str">
        <f>IFERROR(__xludf.DUMMYFUNCTION("SPLIT(A155,""Rua"","""")"),"       Bahia")</f>
        <v>       Bahia</v>
      </c>
      <c r="J157" s="3" t="s">
        <v>507</v>
      </c>
      <c r="K157" s="8" t="str">
        <f>IFERROR(__xludf.DUMMYFUNCTION("SPLIT($J157,""   "","""")"),"-23.305567 -47.12963")</f>
        <v>-23.305567 -47.12963</v>
      </c>
      <c r="L157" s="7" t="str">
        <f>IFERROR(__xludf.DUMMYFUNCTION("""COMPUTED_VALUE"""),"Rua")</f>
        <v>Rua</v>
      </c>
      <c r="M157" s="7" t="str">
        <f>IFERROR(__xludf.DUMMYFUNCTION("""COMPUTED_VALUE""")," Idalina Russo Câmara")</f>
        <v> Idalina Russo Câmara</v>
      </c>
      <c r="N157" s="7" t="str">
        <f>IFERROR(__xludf.DUMMYFUNCTION("""COMPUTED_VALUE""")," Jardim Zicatti (Centro)")</f>
        <v> Jardim Zicatti (Centro)</v>
      </c>
      <c r="O157" s="7" t="str">
        <f>IFERROR(__xludf.DUMMYFUNCTION("""COMPUTED_VALUE""")," Cabreúva")</f>
        <v> Cabreúva</v>
      </c>
      <c r="P157" s="7" t="str">
        <f>IFERROR(__xludf.DUMMYFUNCTION("""COMPUTED_VALUE"""),"SP")</f>
        <v>SP</v>
      </c>
      <c r="Q157" s="7" t="str">
        <f>IFERROR(__xludf.DUMMYFUNCTION("""COMPUTED_VALUE""")," 13315-184 ")</f>
        <v> 13315-184 </v>
      </c>
      <c r="R157" s="9">
        <f>IFERROR(__xludf.DUMMYFUNCTION("SPLIT($K157,"" "","""")"),-2.3305567E7)</f>
        <v>-23305567</v>
      </c>
      <c r="S157" s="9">
        <f>IFERROR(__xludf.DUMMYFUNCTION("""COMPUTED_VALUE"""),-4712963.0)</f>
        <v>-4712963</v>
      </c>
      <c r="T157" s="10">
        <v>3508405.0</v>
      </c>
      <c r="U15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13315-184 ', 'PK-20686', SYSDATE, 0, 'PK-20686', SYSDATE, 'Rua  Idalina Russo Câmara  Jardim Zicatti (Centro)', 'Rua Idalina Russo Câmara Jardim Zicatti (Centro)', ' Jardim Zicatti (Centro)', 'Rua', '3508405', 'Rua Idalina Russo Câmara Jardim Zicatti (Centro)',' Jardim Zicatti (Centro)', '1', 'SP', '1', '-23305567', '-4712963', ' Jardim Zicatti (Centro)' </v>
      </c>
    </row>
    <row r="158" ht="15.75" hidden="1" customHeight="1">
      <c r="A158" s="4" t="s">
        <v>508</v>
      </c>
      <c r="B158" s="5" t="s">
        <v>160</v>
      </c>
      <c r="C158" s="4" t="s">
        <v>10</v>
      </c>
      <c r="D158" s="5" t="s">
        <v>509</v>
      </c>
      <c r="E158" s="6">
        <v>214.0</v>
      </c>
      <c r="F158" s="6" t="s">
        <v>12</v>
      </c>
      <c r="G158" s="3" t="s">
        <v>13</v>
      </c>
      <c r="H158" s="7" t="str">
        <f>IFERROR(__xludf.DUMMYFUNCTION("SPLIT(A156,""Rua"","""")"),"       Barão do Rio Branco")</f>
        <v>       Barão do Rio Branco</v>
      </c>
      <c r="J158" s="3" t="s">
        <v>510</v>
      </c>
      <c r="K158" s="8" t="str">
        <f>IFERROR(__xludf.DUMMYFUNCTION("SPLIT($J158,""   "","""")"),"-23.254569 -47.095717")</f>
        <v>-23.254569 -47.095717</v>
      </c>
      <c r="L158" s="7" t="str">
        <f>IFERROR(__xludf.DUMMYFUNCTION("""COMPUTED_VALUE"""),"Praça")</f>
        <v>Praça</v>
      </c>
      <c r="M158" s="7" t="str">
        <f>IFERROR(__xludf.DUMMYFUNCTION("""COMPUTED_VALUE""")," Santa Catarina")</f>
        <v> Santa Catarina</v>
      </c>
      <c r="N158" s="7" t="str">
        <f>IFERROR(__xludf.DUMMYFUNCTION("""COMPUTED_VALUE""")," Jardim das Paineiras (Pinhal)")</f>
        <v> Jardim das Paineiras (Pinhal)</v>
      </c>
      <c r="O158" s="7" t="str">
        <f>IFERROR(__xludf.DUMMYFUNCTION("""COMPUTED_VALUE""")," Cabreúva")</f>
        <v> Cabreúva</v>
      </c>
      <c r="P158" s="7" t="str">
        <f>IFERROR(__xludf.DUMMYFUNCTION("""COMPUTED_VALUE"""),"SP")</f>
        <v>SP</v>
      </c>
      <c r="Q158" s="7" t="str">
        <f>IFERROR(__xludf.DUMMYFUNCTION("""COMPUTED_VALUE""")," 13317-218 ")</f>
        <v> 13317-218 </v>
      </c>
      <c r="R158" s="9">
        <f>IFERROR(__xludf.DUMMYFUNCTION("SPLIT($K158,"" "","""")"),-2.3254569E7)</f>
        <v>-23254569</v>
      </c>
      <c r="S158" s="9">
        <f>IFERROR(__xludf.DUMMYFUNCTION("""COMPUTED_VALUE"""),-4.7095717E7)</f>
        <v>-47095717</v>
      </c>
      <c r="T158" s="10">
        <v>3508405.0</v>
      </c>
      <c r="U15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13317-218 ', 'PK-20686', SYSDATE, 0, 'PK-20686', SYSDATE, 'Praça  Santa Catarina  Jardim das Paineiras (Pinhal)', 'Praça Santa Catarina Jardim das Paineiras (Pinhal)', ' Jardim das Paineiras (Pinhal)', 'Praça', '3508405', 'Praça Santa Catarina Jardim das Paineiras (Pinhal)',' Jardim das Paineiras (Pinhal)', '1', 'SP', '1', '-23254569', '-47095717', ' Jardim das Paineiras (Pinhal)' </v>
      </c>
    </row>
    <row r="159" ht="15.75" customHeight="1">
      <c r="A159" s="4" t="s">
        <v>511</v>
      </c>
      <c r="B159" s="5" t="s">
        <v>24</v>
      </c>
      <c r="C159" s="4" t="s">
        <v>10</v>
      </c>
      <c r="D159" s="5" t="s">
        <v>512</v>
      </c>
      <c r="E159" s="6">
        <v>214.0</v>
      </c>
      <c r="F159" s="6" t="s">
        <v>12</v>
      </c>
      <c r="G159" s="3" t="s">
        <v>13</v>
      </c>
      <c r="H159" s="7" t="str">
        <f>IFERROR(__xludf.DUMMYFUNCTION("SPLIT(A157,""Rua"","""")"),"       Barcelona")</f>
        <v>       Barcelona</v>
      </c>
      <c r="J159" s="3" t="s">
        <v>513</v>
      </c>
      <c r="K159" s="8" t="str">
        <f>IFERROR(__xludf.DUMMYFUNCTION("SPLIT($J159,""   "","""")"),"-23.307366 -47.133678")</f>
        <v>-23.307366 -47.133678</v>
      </c>
      <c r="L159" s="7" t="str">
        <f>IFERROR(__xludf.DUMMYFUNCTION("""COMPUTED_VALUE"""),"Rua")</f>
        <v>Rua</v>
      </c>
      <c r="M159" s="7" t="str">
        <f>IFERROR(__xludf.DUMMYFUNCTION("""COMPUTED_VALUE""")," Dois")</f>
        <v> Dois</v>
      </c>
      <c r="N159" s="7" t="str">
        <f>IFERROR(__xludf.DUMMYFUNCTION("""COMPUTED_VALUE""")," Alpes do Tietê")</f>
        <v> Alpes do Tietê</v>
      </c>
      <c r="O159" s="7" t="str">
        <f>IFERROR(__xludf.DUMMYFUNCTION("""COMPUTED_VALUE""")," Cabreúva")</f>
        <v> Cabreúva</v>
      </c>
      <c r="P159" s="7" t="str">
        <f>IFERROR(__xludf.DUMMYFUNCTION("""COMPUTED_VALUE"""),"SP")</f>
        <v>SP</v>
      </c>
      <c r="Q159" s="7" t="str">
        <f>IFERROR(__xludf.DUMMYFUNCTION("""COMPUTED_VALUE""")," 13316-601 ")</f>
        <v> 13316-601 </v>
      </c>
      <c r="R159" s="9">
        <f>IFERROR(__xludf.DUMMYFUNCTION("SPLIT($K159,"" "","""")"),-2.3307366E7)</f>
        <v>-23307366</v>
      </c>
      <c r="S159" s="9">
        <f>IFERROR(__xludf.DUMMYFUNCTION("""COMPUTED_VALUE"""),-4.7133678E7)</f>
        <v>-47133678</v>
      </c>
      <c r="T159" s="10">
        <v>3508405.0</v>
      </c>
      <c r="U15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13316-601 ', 'PK-20686', SYSDATE, 0, 'PK-20686', SYSDATE, 'Rua  Dois  Alpes do Tietê', 'Rua Dois Alpes do Tietê', ' Alpes do Tietê', 'Rua', '3508405', 'Rua Dois Alpes do Tietê',' Alpes do Tietê', '1', 'SP', '1', '-23307366', '-47133678', ' Alpes do Tietê' </v>
      </c>
    </row>
    <row r="160" ht="15.75" customHeight="1">
      <c r="A160" s="4" t="s">
        <v>514</v>
      </c>
      <c r="B160" s="5" t="s">
        <v>515</v>
      </c>
      <c r="C160" s="4" t="s">
        <v>10</v>
      </c>
      <c r="D160" s="5" t="s">
        <v>516</v>
      </c>
      <c r="E160" s="6">
        <v>214.0</v>
      </c>
      <c r="F160" s="6" t="s">
        <v>12</v>
      </c>
      <c r="G160" s="3" t="s">
        <v>13</v>
      </c>
      <c r="H160" s="7" t="str">
        <f>IFERROR(__xludf.DUMMYFUNCTION("SPLIT(A158,""Rua"","""")"),"       Bélgica")</f>
        <v>       Bélgica</v>
      </c>
      <c r="J160" s="3" t="s">
        <v>517</v>
      </c>
      <c r="K160" s="8" t="str">
        <f>IFERROR(__xludf.DUMMYFUNCTION("SPLIT($J160,""   "","""")"),"-23.570462 -46.663571")</f>
        <v>-23.570462 -46.663571</v>
      </c>
      <c r="L160" s="7" t="str">
        <f>IFERROR(__xludf.DUMMYFUNCTION("""COMPUTED_VALUE"""),"Rua")</f>
        <v>Rua</v>
      </c>
      <c r="M160" s="7" t="str">
        <f>IFERROR(__xludf.DUMMYFUNCTION("""COMPUTED_VALUE""")," Paraguai")</f>
        <v> Paraguai</v>
      </c>
      <c r="N160" s="7" t="str">
        <f>IFERROR(__xludf.DUMMYFUNCTION("""COMPUTED_VALUE""")," Jardim Fazendinha Real (Vilarejo)")</f>
        <v> Jardim Fazendinha Real (Vilarejo)</v>
      </c>
      <c r="O160" s="7" t="str">
        <f>IFERROR(__xludf.DUMMYFUNCTION("""COMPUTED_VALUE""")," Cabreúva")</f>
        <v> Cabreúva</v>
      </c>
      <c r="P160" s="7" t="str">
        <f>IFERROR(__xludf.DUMMYFUNCTION("""COMPUTED_VALUE"""),"SP")</f>
        <v>SP</v>
      </c>
      <c r="Q160" s="7" t="str">
        <f>IFERROR(__xludf.DUMMYFUNCTION("""COMPUTED_VALUE""")," 13317-758 ")</f>
        <v> 13317-758 </v>
      </c>
      <c r="R160" s="9">
        <f>IFERROR(__xludf.DUMMYFUNCTION("SPLIT($K160,"" "","""")"),-2.3570462E7)</f>
        <v>-23570462</v>
      </c>
      <c r="S160" s="9">
        <f>IFERROR(__xludf.DUMMYFUNCTION("""COMPUTED_VALUE"""),-4.6663571E7)</f>
        <v>-46663571</v>
      </c>
      <c r="T160" s="10">
        <v>3508405.0</v>
      </c>
      <c r="U16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13317-758 ', 'PK-20686', SYSDATE, 0, 'PK-20686', SYSDATE, 'Rua  Paraguai  Jardim Fazendinha Real (Vilarejo)', 'Rua Paraguai Jardim Fazendinha Real (Vilarejo)', ' Jardim Fazendinha Real (Vilarejo)', 'Rua', '3508405', 'Rua Paraguai Jardim Fazendinha Real (Vilarejo)',' Jardim Fazendinha Real (Vilarejo)', '1', 'SP', '1', '-23570462', '-46663571', ' Jardim Fazendinha Real (Vilarejo)' </v>
      </c>
    </row>
    <row r="161" ht="15.75" customHeight="1">
      <c r="A161" s="4" t="s">
        <v>518</v>
      </c>
      <c r="B161" s="5" t="s">
        <v>515</v>
      </c>
      <c r="C161" s="4" t="s">
        <v>10</v>
      </c>
      <c r="D161" s="5" t="s">
        <v>519</v>
      </c>
      <c r="E161" s="6">
        <v>214.0</v>
      </c>
      <c r="F161" s="6" t="s">
        <v>12</v>
      </c>
      <c r="G161" s="3" t="s">
        <v>13</v>
      </c>
      <c r="H161" s="7" t="str">
        <f>IFERROR(__xludf.DUMMYFUNCTION("SPLIT(A159,""Rua"","""")"),"       Belo Horizonte")</f>
        <v>       Belo Horizonte</v>
      </c>
      <c r="J161" s="3" t="s">
        <v>520</v>
      </c>
      <c r="K161" s="8" t="str">
        <f>IFERROR(__xludf.DUMMYFUNCTION("SPLIT($J161,""   "","""")"),"-23.31083 -47.136199")</f>
        <v>-23.31083 -47.136199</v>
      </c>
      <c r="L161" s="7" t="str">
        <f>IFERROR(__xludf.DUMMYFUNCTION("""COMPUTED_VALUE"""),"Rua")</f>
        <v>Rua</v>
      </c>
      <c r="M161" s="7" t="str">
        <f>IFERROR(__xludf.DUMMYFUNCTION("""COMPUTED_VALUE""")," Antonio Pavani")</f>
        <v> Antonio Pavani</v>
      </c>
      <c r="N161" s="7" t="str">
        <f>IFERROR(__xludf.DUMMYFUNCTION("""COMPUTED_VALUE""")," Jardim Pedroso (Centro)")</f>
        <v> Jardim Pedroso (Centro)</v>
      </c>
      <c r="O161" s="7" t="str">
        <f>IFERROR(__xludf.DUMMYFUNCTION("""COMPUTED_VALUE""")," Cabreúva")</f>
        <v> Cabreúva</v>
      </c>
      <c r="P161" s="7" t="str">
        <f>IFERROR(__xludf.DUMMYFUNCTION("""COMPUTED_VALUE"""),"SP")</f>
        <v>SP</v>
      </c>
      <c r="Q161" s="7" t="str">
        <f>IFERROR(__xludf.DUMMYFUNCTION("""COMPUTED_VALUE""")," 13315-154 ")</f>
        <v> 13315-154 </v>
      </c>
      <c r="R161" s="9">
        <f>IFERROR(__xludf.DUMMYFUNCTION("SPLIT($K161,"" "","""")"),-2331083.0)</f>
        <v>-2331083</v>
      </c>
      <c r="S161" s="9">
        <f>IFERROR(__xludf.DUMMYFUNCTION("""COMPUTED_VALUE"""),-4.7136199E7)</f>
        <v>-47136199</v>
      </c>
      <c r="T161" s="10">
        <v>3508405.0</v>
      </c>
      <c r="U16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13315-154 ', 'PK-20686', SYSDATE, 0, 'PK-20686', SYSDATE, 'Rua  Antonio Pavani  Jardim Pedroso (Centro)', 'Rua Antonio Pavani Jardim Pedroso (Centro)', ' Jardim Pedroso (Centro)', 'Rua', '3508405', 'Rua Antonio Pavani Jardim Pedroso (Centro)',' Jardim Pedroso (Centro)', '1', 'SP', '1', '-2331083', '-47136199', ' Jardim Pedroso (Centro)' </v>
      </c>
    </row>
    <row r="162" ht="15.75" customHeight="1">
      <c r="A162" s="4" t="s">
        <v>521</v>
      </c>
      <c r="B162" s="5" t="s">
        <v>501</v>
      </c>
      <c r="C162" s="4" t="s">
        <v>10</v>
      </c>
      <c r="D162" s="5" t="s">
        <v>522</v>
      </c>
      <c r="E162" s="6">
        <v>214.0</v>
      </c>
      <c r="F162" s="6" t="s">
        <v>12</v>
      </c>
      <c r="G162" s="3" t="s">
        <v>13</v>
      </c>
      <c r="H162" s="7" t="str">
        <f>IFERROR(__xludf.DUMMYFUNCTION("SPLIT(A160,""Rua"","""")"),"       Benedito Alves dos Santos")</f>
        <v>       Benedito Alves dos Santos</v>
      </c>
      <c r="J162" s="3" t="s">
        <v>523</v>
      </c>
      <c r="K162" s="8" t="str">
        <f>IFERROR(__xludf.DUMMYFUNCTION("SPLIT($J162,""   "","""")"),"-23.25729 -47.09146")</f>
        <v>-23.25729 -47.09146</v>
      </c>
      <c r="L162" s="7" t="str">
        <f>IFERROR(__xludf.DUMMYFUNCTION("""COMPUTED_VALUE"""),"Rua")</f>
        <v>Rua</v>
      </c>
      <c r="M162" s="7" t="str">
        <f>IFERROR(__xludf.DUMMYFUNCTION("""COMPUTED_VALUE""")," dos Bem-Te-Vis")</f>
        <v> dos Bem-Te-Vis</v>
      </c>
      <c r="N162" s="7" t="str">
        <f>IFERROR(__xludf.DUMMYFUNCTION("""COMPUTED_VALUE""")," Chácaras do Pinhal (Pinhal)")</f>
        <v> Chácaras do Pinhal (Pinhal)</v>
      </c>
      <c r="O162" s="7" t="str">
        <f>IFERROR(__xludf.DUMMYFUNCTION("""COMPUTED_VALUE""")," Cabreúva")</f>
        <v> Cabreúva</v>
      </c>
      <c r="P162" s="7" t="str">
        <f>IFERROR(__xludf.DUMMYFUNCTION("""COMPUTED_VALUE"""),"SP")</f>
        <v>SP</v>
      </c>
      <c r="Q162" s="7" t="str">
        <f>IFERROR(__xludf.DUMMYFUNCTION("""COMPUTED_VALUE""")," 13317-242 ")</f>
        <v> 13317-242 </v>
      </c>
      <c r="R162" s="9">
        <f>IFERROR(__xludf.DUMMYFUNCTION("SPLIT($K162,"" "","""")"),-2325729.0)</f>
        <v>-2325729</v>
      </c>
      <c r="S162" s="9">
        <f>IFERROR(__xludf.DUMMYFUNCTION("""COMPUTED_VALUE"""),-4709146.0)</f>
        <v>-4709146</v>
      </c>
      <c r="T162" s="10">
        <v>3508405.0</v>
      </c>
      <c r="U16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13317-242 ', 'PK-20686', SYSDATE, 0, 'PK-20686', SYSDATE, 'Rua  dos Bem-Te-Vis  Chácaras do Pinhal (Pinhal)', 'Rua dos Bem-Te-Vis Chácaras do Pinhal (Pinhal)', ' Chácaras do Pinhal (Pinhal)', 'Rua', '3508405', 'Rua dos Bem-Te-Vis Chácaras do Pinhal (Pinhal)',' Chácaras do Pinhal (Pinhal)', '1', 'SP', '1', '-2325729', '-4709146', ' Chácaras do Pinhal (Pinhal)' </v>
      </c>
    </row>
    <row r="163" ht="15.75" customHeight="1">
      <c r="A163" s="4" t="s">
        <v>524</v>
      </c>
      <c r="B163" s="5" t="s">
        <v>180</v>
      </c>
      <c r="C163" s="4" t="s">
        <v>10</v>
      </c>
      <c r="D163" s="5" t="s">
        <v>525</v>
      </c>
      <c r="E163" s="6">
        <v>214.0</v>
      </c>
      <c r="F163" s="6" t="s">
        <v>12</v>
      </c>
      <c r="G163" s="3" t="s">
        <v>13</v>
      </c>
      <c r="H163" s="7" t="str">
        <f>IFERROR(__xludf.DUMMYFUNCTION("SPLIT(A161,""Rua"","""")"),"       Benedito Mesquita Camargo")</f>
        <v>       Benedito Mesquita Camargo</v>
      </c>
      <c r="J163" s="3" t="s">
        <v>526</v>
      </c>
      <c r="K163" s="8" t="str">
        <f>IFERROR(__xludf.DUMMYFUNCTION("SPLIT($J163,""   "","""")"),"-23.273439 -47.059836")</f>
        <v>-23.273439 -47.059836</v>
      </c>
      <c r="L163" s="7" t="str">
        <f>IFERROR(__xludf.DUMMYFUNCTION("""COMPUTED_VALUE"""),"Rua")</f>
        <v>Rua</v>
      </c>
      <c r="M163" s="7" t="str">
        <f>IFERROR(__xludf.DUMMYFUNCTION("""COMPUTED_VALUE""")," Bélgica")</f>
        <v> Bélgica</v>
      </c>
      <c r="N163" s="7" t="str">
        <f>IFERROR(__xludf.DUMMYFUNCTION("""COMPUTED_VALUE""")," Villarejo Sopé da Serra (Vilarejo)")</f>
        <v> Villarejo Sopé da Serra (Vilarejo)</v>
      </c>
      <c r="O163" s="7" t="str">
        <f>IFERROR(__xludf.DUMMYFUNCTION("""COMPUTED_VALUE""")," Cabreúva")</f>
        <v> Cabreúva</v>
      </c>
      <c r="P163" s="7" t="str">
        <f>IFERROR(__xludf.DUMMYFUNCTION("""COMPUTED_VALUE"""),"SP")</f>
        <v>SP</v>
      </c>
      <c r="Q163" s="7" t="str">
        <f>IFERROR(__xludf.DUMMYFUNCTION("""COMPUTED_VALUE""")," 13317-656 ")</f>
        <v> 13317-656 </v>
      </c>
      <c r="R163" s="9">
        <f>IFERROR(__xludf.DUMMYFUNCTION("SPLIT($K163,"" "","""")"),-2.3273439E7)</f>
        <v>-23273439</v>
      </c>
      <c r="S163" s="9">
        <f>IFERROR(__xludf.DUMMYFUNCTION("""COMPUTED_VALUE"""),-4.7059836E7)</f>
        <v>-47059836</v>
      </c>
      <c r="T163" s="10">
        <v>3508405.0</v>
      </c>
      <c r="U16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13317-656 ', 'PK-20686', SYSDATE, 0, 'PK-20686', SYSDATE, 'Rua  Bélgica  Villarejo Sopé da Serra (Vilarejo)', 'Rua Bélgica Villarejo Sopé da Serra (Vilarejo)', ' Villarejo Sopé da Serra (Vilarejo)', 'Rua', '3508405', 'Rua Bélgica Villarejo Sopé da Serra (Vilarejo)',' Villarejo Sopé da Serra (Vilarejo)', '1', 'SP', '1', '-23273439', '-47059836', ' Villarejo Sopé da Serra (Vilarejo)' </v>
      </c>
    </row>
    <row r="164" ht="15.75" customHeight="1">
      <c r="A164" s="4" t="s">
        <v>527</v>
      </c>
      <c r="B164" s="5" t="s">
        <v>24</v>
      </c>
      <c r="C164" s="4" t="s">
        <v>10</v>
      </c>
      <c r="D164" s="5" t="s">
        <v>528</v>
      </c>
      <c r="E164" s="6">
        <v>214.0</v>
      </c>
      <c r="F164" s="6" t="s">
        <v>12</v>
      </c>
      <c r="G164" s="3" t="s">
        <v>13</v>
      </c>
      <c r="H164" s="7" t="str">
        <f>IFERROR(__xludf.DUMMYFUNCTION("SPLIT(A162,""Rua"","""")"),"       Benedito Mesquita da Silveira")</f>
        <v>       Benedito Mesquita da Silveira</v>
      </c>
      <c r="J164" s="3" t="s">
        <v>529</v>
      </c>
      <c r="K164" s="8" t="str">
        <f>IFERROR(__xludf.DUMMYFUNCTION("SPLIT($J164,""   "","""")"),"-23.25729 -47.09146")</f>
        <v>-23.25729 -47.09146</v>
      </c>
      <c r="L164" s="7" t="str">
        <f>IFERROR(__xludf.DUMMYFUNCTION("""COMPUTED_VALUE"""),"Rua")</f>
        <v>Rua</v>
      </c>
      <c r="M164" s="7" t="str">
        <f>IFERROR(__xludf.DUMMYFUNCTION("""COMPUTED_VALUE""")," dos Jasmins")</f>
        <v> dos Jasmins</v>
      </c>
      <c r="N164" s="7" t="str">
        <f>IFERROR(__xludf.DUMMYFUNCTION("""COMPUTED_VALUE""")," Chácaras do Pinhal (Pinhal)")</f>
        <v> Chácaras do Pinhal (Pinhal)</v>
      </c>
      <c r="O164" s="7" t="str">
        <f>IFERROR(__xludf.DUMMYFUNCTION("""COMPUTED_VALUE""")," Cabreúva")</f>
        <v> Cabreúva</v>
      </c>
      <c r="P164" s="7" t="str">
        <f>IFERROR(__xludf.DUMMYFUNCTION("""COMPUTED_VALUE"""),"SP")</f>
        <v>SP</v>
      </c>
      <c r="Q164" s="7" t="str">
        <f>IFERROR(__xludf.DUMMYFUNCTION("""COMPUTED_VALUE""")," 13317-272 ")</f>
        <v> 13317-272 </v>
      </c>
      <c r="R164" s="9">
        <f>IFERROR(__xludf.DUMMYFUNCTION("SPLIT($K164,"" "","""")"),-2325729.0)</f>
        <v>-2325729</v>
      </c>
      <c r="S164" s="9">
        <f>IFERROR(__xludf.DUMMYFUNCTION("""COMPUTED_VALUE"""),-4709146.0)</f>
        <v>-4709146</v>
      </c>
      <c r="T164" s="10">
        <v>3508405.0</v>
      </c>
      <c r="U16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13317-272 ', 'PK-20686', SYSDATE, 0, 'PK-20686', SYSDATE, 'Rua  dos Jasmins  Chácaras do Pinhal (Pinhal)', 'Rua dos Jasmins Chácaras do Pinhal (Pinhal)', ' Chácaras do Pinhal (Pinhal)', 'Rua', '3508405', 'Rua dos Jasmins Chácaras do Pinhal (Pinhal)',' Chácaras do Pinhal (Pinhal)', '1', 'SP', '1', '-2325729', '-4709146', ' Chácaras do Pinhal (Pinhal)' </v>
      </c>
    </row>
    <row r="165" ht="15.75" customHeight="1">
      <c r="A165" s="4" t="s">
        <v>530</v>
      </c>
      <c r="B165" s="5" t="s">
        <v>190</v>
      </c>
      <c r="C165" s="4" t="s">
        <v>10</v>
      </c>
      <c r="D165" s="5" t="s">
        <v>531</v>
      </c>
      <c r="E165" s="6">
        <v>214.0</v>
      </c>
      <c r="F165" s="6" t="s">
        <v>12</v>
      </c>
      <c r="G165" s="3" t="s">
        <v>13</v>
      </c>
      <c r="H165" s="7" t="str">
        <f>IFERROR(__xludf.DUMMYFUNCTION("SPLIT(A163,""Rua"","""")"),"       Benevenuto Faccioli")</f>
        <v>       Benevenuto Faccioli</v>
      </c>
      <c r="J165" s="3" t="s">
        <v>532</v>
      </c>
      <c r="K165" s="8" t="str">
        <f>IFERROR(__xludf.DUMMYFUNCTION("SPLIT($J165,""   "","""")"),"-23.278211 -47.060863")</f>
        <v>-23.278211 -47.060863</v>
      </c>
      <c r="L165" s="7" t="str">
        <f>IFERROR(__xludf.DUMMYFUNCTION("""COMPUTED_VALUE"""),"Rua")</f>
        <v>Rua</v>
      </c>
      <c r="M165" s="7" t="str">
        <f>IFERROR(__xludf.DUMMYFUNCTION("""COMPUTED_VALUE""")," Itajubá")</f>
        <v> Itajubá</v>
      </c>
      <c r="N165" s="7" t="str">
        <f>IFERROR(__xludf.DUMMYFUNCTION("""COMPUTED_VALUE""")," Novo Bonfim (Vilarejo)")</f>
        <v> Novo Bonfim (Vilarejo)</v>
      </c>
      <c r="O165" s="7" t="str">
        <f>IFERROR(__xludf.DUMMYFUNCTION("""COMPUTED_VALUE""")," Cabreúva")</f>
        <v> Cabreúva</v>
      </c>
      <c r="P165" s="7" t="str">
        <f>IFERROR(__xludf.DUMMYFUNCTION("""COMPUTED_VALUE"""),"SP")</f>
        <v>SP</v>
      </c>
      <c r="Q165" s="7" t="str">
        <f>IFERROR(__xludf.DUMMYFUNCTION("""COMPUTED_VALUE""")," 13317-778 ")</f>
        <v> 13317-778 </v>
      </c>
      <c r="R165" s="9">
        <f>IFERROR(__xludf.DUMMYFUNCTION("SPLIT($K165,"" "","""")"),-2.3278211E7)</f>
        <v>-23278211</v>
      </c>
      <c r="S165" s="9">
        <f>IFERROR(__xludf.DUMMYFUNCTION("""COMPUTED_VALUE"""),-4.7060863E7)</f>
        <v>-47060863</v>
      </c>
      <c r="T165" s="10">
        <v>3508405.0</v>
      </c>
      <c r="U16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13317-778 ', 'PK-20686', SYSDATE, 0, 'PK-20686', SYSDATE, 'Rua  Itajubá  Novo Bonfim (Vilarejo)', 'Rua Itajubá Novo Bonfim (Vilarejo)', ' Novo Bonfim (Vilarejo)', 'Rua', '3508405', 'Rua Itajubá Novo Bonfim (Vilarejo)',' Novo Bonfim (Vilarejo)', '1', 'SP', '1', '-23278211', '-47060863', ' Novo Bonfim (Vilarejo)' </v>
      </c>
    </row>
    <row r="166" ht="15.75" hidden="1" customHeight="1">
      <c r="A166" s="4" t="s">
        <v>533</v>
      </c>
      <c r="B166" s="5" t="s">
        <v>24</v>
      </c>
      <c r="C166" s="4" t="s">
        <v>10</v>
      </c>
      <c r="D166" s="5" t="s">
        <v>534</v>
      </c>
      <c r="E166" s="6">
        <v>214.0</v>
      </c>
      <c r="F166" s="6" t="s">
        <v>12</v>
      </c>
      <c r="G166" s="3" t="s">
        <v>13</v>
      </c>
      <c r="H166" s="7" t="str">
        <f>IFERROR(__xludf.DUMMYFUNCTION("SPLIT(A164,""Rua"","""")"),"       Berilo")</f>
        <v>       Berilo</v>
      </c>
      <c r="J166" s="3" t="s">
        <v>535</v>
      </c>
      <c r="K166" s="8" t="str">
        <f>IFERROR(__xludf.DUMMYFUNCTION("SPLIT($J166,""   "","""")"),"-23.256424 -47.048345")</f>
        <v>-23.256424 -47.048345</v>
      </c>
      <c r="L166" s="7" t="str">
        <f>IFERROR(__xludf.DUMMYFUNCTION("""COMPUTED_VALUE"""),"Alameda")</f>
        <v>Alameda</v>
      </c>
      <c r="M166" s="7" t="str">
        <f>IFERROR(__xludf.DUMMYFUNCTION("""COMPUTED_VALUE""")," dos Acássias")</f>
        <v> dos Acássias</v>
      </c>
      <c r="N166" s="7" t="str">
        <f>IFERROR(__xludf.DUMMYFUNCTION("""COMPUTED_VALUE""")," Portal da Concórdia (Jacaré)")</f>
        <v> Portal da Concórdia (Jacaré)</v>
      </c>
      <c r="O166" s="7" t="str">
        <f>IFERROR(__xludf.DUMMYFUNCTION("""COMPUTED_VALUE""")," Cabreúva")</f>
        <v> Cabreúva</v>
      </c>
      <c r="P166" s="7" t="str">
        <f>IFERROR(__xludf.DUMMYFUNCTION("""COMPUTED_VALUE"""),"SP")</f>
        <v>SP</v>
      </c>
      <c r="Q166" s="7" t="str">
        <f>IFERROR(__xludf.DUMMYFUNCTION("""COMPUTED_VALUE""")," 13318-312 ")</f>
        <v> 13318-312 </v>
      </c>
      <c r="R166" s="9">
        <f>IFERROR(__xludf.DUMMYFUNCTION("SPLIT($K166,"" "","""")"),-2.3256424E7)</f>
        <v>-23256424</v>
      </c>
      <c r="S166" s="9">
        <f>IFERROR(__xludf.DUMMYFUNCTION("""COMPUTED_VALUE"""),-4.7048345E7)</f>
        <v>-47048345</v>
      </c>
      <c r="T166" s="10">
        <v>3508405.0</v>
      </c>
      <c r="U16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13318-312 ', 'PK-20686', SYSDATE, 0, 'PK-20686', SYSDATE, 'Alameda  dos Acássias  Portal da Concórdia (Jacaré)', 'Alameda dos Acássias Portal da Concórdia (Jacaré)', ' Portal da Concórdia (Jacaré)', 'Alameda', '3508405', 'Alameda dos Acássias Portal da Concórdia (Jacaré)',' Portal da Concórdia (Jacaré)', '1', 'SP', '1', '-23256424', '-47048345', ' Portal da Concórdia (Jacaré)' </v>
      </c>
    </row>
    <row r="167" ht="15.75" hidden="1" customHeight="1">
      <c r="A167" s="4" t="s">
        <v>536</v>
      </c>
      <c r="B167" s="5" t="s">
        <v>142</v>
      </c>
      <c r="C167" s="4" t="s">
        <v>10</v>
      </c>
      <c r="D167" s="5" t="s">
        <v>537</v>
      </c>
      <c r="E167" s="6">
        <v>214.0</v>
      </c>
      <c r="F167" s="6" t="s">
        <v>12</v>
      </c>
      <c r="G167" s="3" t="s">
        <v>13</v>
      </c>
      <c r="H167" s="7" t="str">
        <f>IFERROR(__xludf.DUMMYFUNCTION("SPLIT(A165,""Rua"","""")"),"       BolíVia   ")</f>
        <v>       BolíVia   </v>
      </c>
      <c r="J167" s="3" t="s">
        <v>538</v>
      </c>
      <c r="K167" s="8" t="str">
        <f>IFERROR(__xludf.DUMMYFUNCTION("SPLIT($J167,""   "","""")"),"-23.270225 -47.102882")</f>
        <v>-23.270225 -47.102882</v>
      </c>
      <c r="L167" s="7" t="str">
        <f>IFERROR(__xludf.DUMMYFUNCTION("""COMPUTED_VALUE"""),"Alameda")</f>
        <v>Alameda</v>
      </c>
      <c r="M167" s="7" t="str">
        <f>IFERROR(__xludf.DUMMYFUNCTION("""COMPUTED_VALUE""")," Dois")</f>
        <v> Dois</v>
      </c>
      <c r="N167" s="7" t="str">
        <f>IFERROR(__xludf.DUMMYFUNCTION("""COMPUTED_VALUE""")," CECOM (Jacaré)")</f>
        <v> CECOM (Jacaré)</v>
      </c>
      <c r="O167" s="7" t="str">
        <f>IFERROR(__xludf.DUMMYFUNCTION("""COMPUTED_VALUE""")," Cabreúva")</f>
        <v> Cabreúva</v>
      </c>
      <c r="P167" s="7" t="str">
        <f>IFERROR(__xludf.DUMMYFUNCTION("""COMPUTED_VALUE"""),"SP")</f>
        <v>SP</v>
      </c>
      <c r="Q167" s="7" t="str">
        <f>IFERROR(__xludf.DUMMYFUNCTION("""COMPUTED_VALUE""")," 13318-348 ")</f>
        <v> 13318-348 </v>
      </c>
      <c r="R167" s="9">
        <f>IFERROR(__xludf.DUMMYFUNCTION("SPLIT($K167,"" "","""")"),-2.3270225E7)</f>
        <v>-23270225</v>
      </c>
      <c r="S167" s="9">
        <f>IFERROR(__xludf.DUMMYFUNCTION("""COMPUTED_VALUE"""),-4.7102882E7)</f>
        <v>-47102882</v>
      </c>
      <c r="T167" s="10">
        <v>3508405.0</v>
      </c>
      <c r="U16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13318-348 ', 'PK-20686', SYSDATE, 0, 'PK-20686', SYSDATE, 'Alameda  Dois  CECOM (Jacaré)', 'Alameda Dois CECOM (Jacaré)', ' CECOM (Jacaré)', 'Alameda', '3508405', 'Alameda Dois CECOM (Jacaré)',' CECOM (Jacaré)', '1', 'SP', '1', '-23270225', '-47102882', ' CECOM (Jacaré)' </v>
      </c>
    </row>
    <row r="168" ht="15.75" customHeight="1">
      <c r="A168" s="4" t="s">
        <v>539</v>
      </c>
      <c r="B168" s="5" t="s">
        <v>160</v>
      </c>
      <c r="C168" s="4" t="s">
        <v>10</v>
      </c>
      <c r="D168" s="5" t="s">
        <v>540</v>
      </c>
      <c r="E168" s="6">
        <v>214.0</v>
      </c>
      <c r="F168" s="6" t="s">
        <v>12</v>
      </c>
      <c r="G168" s="3" t="s">
        <v>13</v>
      </c>
      <c r="H168" s="7" t="str">
        <f>IFERROR(__xludf.DUMMYFUNCTION("SPLIT(A166,""Rua"","""")"),"       Braz Lopes Filho")</f>
        <v>       Braz Lopes Filho</v>
      </c>
      <c r="J168" s="3" t="s">
        <v>541</v>
      </c>
      <c r="K168" s="8" t="str">
        <f>IFERROR(__xludf.DUMMYFUNCTION("SPLIT($J168,""   "","""")"),"-23.566677 -46.670845")</f>
        <v>-23.566677 -46.670845</v>
      </c>
      <c r="L168" s="7" t="str">
        <f>IFERROR(__xludf.DUMMYFUNCTION("""COMPUTED_VALUE"""),"Rua")</f>
        <v>Rua</v>
      </c>
      <c r="M168" s="7" t="str">
        <f>IFERROR(__xludf.DUMMYFUNCTION("""COMPUTED_VALUE""")," Uruguai")</f>
        <v> Uruguai</v>
      </c>
      <c r="N168" s="7" t="str">
        <f>IFERROR(__xludf.DUMMYFUNCTION("""COMPUTED_VALUE""")," Jardim Fazendinha Real (Vilarejo)")</f>
        <v> Jardim Fazendinha Real (Vilarejo)</v>
      </c>
      <c r="O168" s="7" t="str">
        <f>IFERROR(__xludf.DUMMYFUNCTION("""COMPUTED_VALUE""")," Cabreúva")</f>
        <v> Cabreúva</v>
      </c>
      <c r="P168" s="7" t="str">
        <f>IFERROR(__xludf.DUMMYFUNCTION("""COMPUTED_VALUE"""),"SP")</f>
        <v>SP</v>
      </c>
      <c r="Q168" s="7" t="str">
        <f>IFERROR(__xludf.DUMMYFUNCTION("""COMPUTED_VALUE""")," 13317-760 ")</f>
        <v> 13317-760 </v>
      </c>
      <c r="R168" s="9">
        <f>IFERROR(__xludf.DUMMYFUNCTION("SPLIT($K168,"" "","""")"),-2.3566677E7)</f>
        <v>-23566677</v>
      </c>
      <c r="S168" s="9">
        <f>IFERROR(__xludf.DUMMYFUNCTION("""COMPUTED_VALUE"""),-4.6670845E7)</f>
        <v>-46670845</v>
      </c>
      <c r="T168" s="10">
        <v>3508405.0</v>
      </c>
      <c r="U16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13317-760 ', 'PK-20686', SYSDATE, 0, 'PK-20686', SYSDATE, 'Rua  Uruguai  Jardim Fazendinha Real (Vilarejo)', 'Rua Uruguai Jardim Fazendinha Real (Vilarejo)', ' Jardim Fazendinha Real (Vilarejo)', 'Rua', '3508405', 'Rua Uruguai Jardim Fazendinha Real (Vilarejo)',' Jardim Fazendinha Real (Vilarejo)', '1', 'SP', '1', '-23566677', '-46670845', ' Jardim Fazendinha Real (Vilarejo)' </v>
      </c>
    </row>
    <row r="169" ht="15.75" customHeight="1">
      <c r="A169" s="4" t="s">
        <v>542</v>
      </c>
      <c r="B169" s="5" t="s">
        <v>368</v>
      </c>
      <c r="C169" s="4" t="s">
        <v>10</v>
      </c>
      <c r="D169" s="5" t="s">
        <v>543</v>
      </c>
      <c r="E169" s="6">
        <v>214.0</v>
      </c>
      <c r="F169" s="6" t="s">
        <v>12</v>
      </c>
      <c r="G169" s="3" t="s">
        <v>13</v>
      </c>
      <c r="H169" s="7" t="str">
        <f>IFERROR(__xludf.DUMMYFUNCTION("SPLIT(A167,""Rua"","""")"),"       Brunello")</f>
        <v>       Brunello</v>
      </c>
      <c r="J169" s="3" t="s">
        <v>544</v>
      </c>
      <c r="K169" s="8" t="str">
        <f>IFERROR(__xludf.DUMMYFUNCTION("SPLIT($J169,""   "","""")"),"-23.281132 -47.060127")</f>
        <v>-23.281132 -47.060127</v>
      </c>
      <c r="L169" s="7" t="str">
        <f>IFERROR(__xludf.DUMMYFUNCTION("""COMPUTED_VALUE"""),"Rua")</f>
        <v>Rua</v>
      </c>
      <c r="M169" s="7" t="str">
        <f>IFERROR(__xludf.DUMMYFUNCTION("""COMPUTED_VALUE""")," Rio Claro")</f>
        <v> Rio Claro</v>
      </c>
      <c r="N169" s="7" t="str">
        <f>IFERROR(__xludf.DUMMYFUNCTION("""COMPUTED_VALUE""")," Novo Bonfim (Vilarejo)")</f>
        <v> Novo Bonfim (Vilarejo)</v>
      </c>
      <c r="O169" s="7" t="str">
        <f>IFERROR(__xludf.DUMMYFUNCTION("""COMPUTED_VALUE""")," Cabreúva")</f>
        <v> Cabreúva</v>
      </c>
      <c r="P169" s="7" t="str">
        <f>IFERROR(__xludf.DUMMYFUNCTION("""COMPUTED_VALUE"""),"SP")</f>
        <v>SP</v>
      </c>
      <c r="Q169" s="7" t="str">
        <f>IFERROR(__xludf.DUMMYFUNCTION("""COMPUTED_VALUE""")," 13317-784 ")</f>
        <v> 13317-784 </v>
      </c>
      <c r="R169" s="9">
        <f>IFERROR(__xludf.DUMMYFUNCTION("SPLIT($K169,"" "","""")"),-2.3281132E7)</f>
        <v>-23281132</v>
      </c>
      <c r="S169" s="9">
        <f>IFERROR(__xludf.DUMMYFUNCTION("""COMPUTED_VALUE"""),-4.7060127E7)</f>
        <v>-47060127</v>
      </c>
      <c r="T169" s="10">
        <v>3508405.0</v>
      </c>
      <c r="U16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13317-784 ', 'PK-20686', SYSDATE, 0, 'PK-20686', SYSDATE, 'Rua  Rio Claro  Novo Bonfim (Vilarejo)', 'Rua Rio Claro Novo Bonfim (Vilarejo)', ' Novo Bonfim (Vilarejo)', 'Rua', '3508405', 'Rua Rio Claro Novo Bonfim (Vilarejo)',' Novo Bonfim (Vilarejo)', '1', 'SP', '1', '-23281132', '-47060127', ' Novo Bonfim (Vilarejo)' </v>
      </c>
    </row>
    <row r="170" ht="15.75" customHeight="1">
      <c r="A170" s="4" t="s">
        <v>545</v>
      </c>
      <c r="B170" s="5" t="s">
        <v>160</v>
      </c>
      <c r="C170" s="4" t="s">
        <v>10</v>
      </c>
      <c r="D170" s="5" t="s">
        <v>546</v>
      </c>
      <c r="E170" s="6">
        <v>214.0</v>
      </c>
      <c r="F170" s="6" t="s">
        <v>12</v>
      </c>
      <c r="G170" s="3" t="s">
        <v>13</v>
      </c>
      <c r="H170" s="7" t="str">
        <f>IFERROR(__xludf.DUMMYFUNCTION("SPLIT(A168,""Rua"","""")"),"       Bulgária")</f>
        <v>       Bulgária</v>
      </c>
      <c r="J170" s="3" t="s">
        <v>547</v>
      </c>
      <c r="K170" s="8" t="str">
        <f>IFERROR(__xludf.DUMMYFUNCTION("SPLIT($J170,""   "","""")"),"-23.260302 -47.051612")</f>
        <v>-23.260302 -47.051612</v>
      </c>
      <c r="L170" s="7" t="str">
        <f>IFERROR(__xludf.DUMMYFUNCTION("""COMPUTED_VALUE"""),"Rua")</f>
        <v>Rua</v>
      </c>
      <c r="M170" s="7" t="str">
        <f>IFERROR(__xludf.DUMMYFUNCTION("""COMPUTED_VALUE""")," Opala")</f>
        <v> Opala</v>
      </c>
      <c r="N170" s="7" t="str">
        <f>IFERROR(__xludf.DUMMYFUNCTION("""COMPUTED_VALUE""")," Jardim Colina da Serra (Jacaré)")</f>
        <v> Jardim Colina da Serra (Jacaré)</v>
      </c>
      <c r="O170" s="7" t="str">
        <f>IFERROR(__xludf.DUMMYFUNCTION("""COMPUTED_VALUE""")," Cabreúva")</f>
        <v> Cabreúva</v>
      </c>
      <c r="P170" s="7" t="str">
        <f>IFERROR(__xludf.DUMMYFUNCTION("""COMPUTED_VALUE"""),"SP")</f>
        <v>SP</v>
      </c>
      <c r="Q170" s="7" t="str">
        <f>IFERROR(__xludf.DUMMYFUNCTION("""COMPUTED_VALUE""")," 13318-234 ")</f>
        <v> 13318-234 </v>
      </c>
      <c r="R170" s="9">
        <f>IFERROR(__xludf.DUMMYFUNCTION("SPLIT($K170,"" "","""")"),-2.3260302E7)</f>
        <v>-23260302</v>
      </c>
      <c r="S170" s="9">
        <f>IFERROR(__xludf.DUMMYFUNCTION("""COMPUTED_VALUE"""),-4.7051612E7)</f>
        <v>-47051612</v>
      </c>
      <c r="T170" s="10">
        <v>3508405.0</v>
      </c>
      <c r="U17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13318-234 ', 'PK-20686', SYSDATE, 0, 'PK-20686', SYSDATE, 'Rua  Opala  Jardim Colina da Serra (Jacaré)', 'Rua Opala Jardim Colina da Serra (Jacaré)', ' Jardim Colina da Serra (Jacaré)', 'Rua', '3508405', 'Rua Opala Jardim Colina da Serra (Jacaré)',' Jardim Colina da Serra (Jacaré)', '1', 'SP', '1', '-23260302', '-47051612', ' Jardim Colina da Serra (Jacaré)' </v>
      </c>
    </row>
    <row r="171" ht="15.75" customHeight="1">
      <c r="A171" s="4" t="s">
        <v>548</v>
      </c>
      <c r="B171" s="5" t="s">
        <v>193</v>
      </c>
      <c r="C171" s="4" t="s">
        <v>10</v>
      </c>
      <c r="D171" s="5" t="s">
        <v>549</v>
      </c>
      <c r="E171" s="6">
        <v>214.0</v>
      </c>
      <c r="F171" s="6" t="s">
        <v>12</v>
      </c>
      <c r="G171" s="3" t="s">
        <v>13</v>
      </c>
      <c r="H171" s="7" t="str">
        <f>IFERROR(__xludf.DUMMYFUNCTION("SPLIT(A169,""Rua"","""")"),"       C")</f>
        <v>       C</v>
      </c>
      <c r="J171" s="3" t="s">
        <v>550</v>
      </c>
      <c r="K171" s="8" t="str">
        <f>IFERROR(__xludf.DUMMYFUNCTION("SPLIT($J171,""   "","""")"),"-23.244411 -47.05535")</f>
        <v>-23.244411 -47.05535</v>
      </c>
      <c r="L171" s="7" t="str">
        <f>IFERROR(__xludf.DUMMYFUNCTION("""COMPUTED_VALUE"""),"Rua")</f>
        <v>Rua</v>
      </c>
      <c r="M171" s="7" t="str">
        <f>IFERROR(__xludf.DUMMYFUNCTION("""COMPUTED_VALUE""")," dos Oliveiras")</f>
        <v> dos Oliveiras</v>
      </c>
      <c r="N171" s="7" t="str">
        <f>IFERROR(__xludf.DUMMYFUNCTION("""COMPUTED_VALUE""")," Jacaré")</f>
        <v> Jacaré</v>
      </c>
      <c r="O171" s="7" t="str">
        <f>IFERROR(__xludf.DUMMYFUNCTION("""COMPUTED_VALUE""")," Cabreúva")</f>
        <v> Cabreúva</v>
      </c>
      <c r="P171" s="7" t="str">
        <f>IFERROR(__xludf.DUMMYFUNCTION("""COMPUTED_VALUE"""),"SP")</f>
        <v>SP</v>
      </c>
      <c r="Q171" s="7" t="str">
        <f>IFERROR(__xludf.DUMMYFUNCTION("""COMPUTED_VALUE""")," 13318-114 ")</f>
        <v> 13318-114 </v>
      </c>
      <c r="R171" s="9">
        <f>IFERROR(__xludf.DUMMYFUNCTION("SPLIT($K171,"" "","""")"),-2.3244411E7)</f>
        <v>-23244411</v>
      </c>
      <c r="S171" s="9">
        <f>IFERROR(__xludf.DUMMYFUNCTION("""COMPUTED_VALUE"""),-4705535.0)</f>
        <v>-4705535</v>
      </c>
      <c r="T171" s="10">
        <v>3508405.0</v>
      </c>
      <c r="U17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13318-114 ', 'PK-20686', SYSDATE, 0, 'PK-20686', SYSDATE, 'Rua  dos Oliveiras  Jacaré', 'Rua dos Oliveiras Jacaré', ' Jacaré', 'Rua', '3508405', 'Rua dos Oliveiras Jacaré',' Jacaré', '1', 'SP', '1', '-23244411', '-4705535', ' Jacaré' </v>
      </c>
    </row>
    <row r="172" ht="15.75" hidden="1" customHeight="1">
      <c r="A172" s="4" t="s">
        <v>551</v>
      </c>
      <c r="B172" s="5" t="s">
        <v>231</v>
      </c>
      <c r="C172" s="4" t="s">
        <v>10</v>
      </c>
      <c r="D172" s="5" t="s">
        <v>552</v>
      </c>
      <c r="E172" s="6">
        <v>214.0</v>
      </c>
      <c r="F172" s="6" t="s">
        <v>12</v>
      </c>
      <c r="G172" s="3" t="s">
        <v>13</v>
      </c>
      <c r="H172" s="7" t="str">
        <f>IFERROR(__xludf.DUMMYFUNCTION("SPLIT(A170,""Rua"","""")"),"       Cabo Verde")</f>
        <v>       Cabo Verde</v>
      </c>
      <c r="J172" s="3" t="s">
        <v>553</v>
      </c>
      <c r="K172" s="8" t="str">
        <f>IFERROR(__xludf.DUMMYFUNCTION("SPLIT($J172,""   "","""")"),"-23.255741 -47.049237")</f>
        <v>-23.255741 -47.049237</v>
      </c>
      <c r="L172" s="7" t="str">
        <f>IFERROR(__xludf.DUMMYFUNCTION("""COMPUTED_VALUE"""),"Travessa")</f>
        <v>Travessa</v>
      </c>
      <c r="M172" s="7" t="str">
        <f>IFERROR(__xludf.DUMMYFUNCTION("""COMPUTED_VALUE""")," dos Ipês")</f>
        <v> dos Ipês</v>
      </c>
      <c r="N172" s="7" t="str">
        <f>IFERROR(__xludf.DUMMYFUNCTION("""COMPUTED_VALUE""")," Portal da Concórdia (Jacaré)")</f>
        <v> Portal da Concórdia (Jacaré)</v>
      </c>
      <c r="O172" s="7" t="str">
        <f>IFERROR(__xludf.DUMMYFUNCTION("""COMPUTED_VALUE""")," Cabreúva")</f>
        <v> Cabreúva</v>
      </c>
      <c r="P172" s="7" t="str">
        <f>IFERROR(__xludf.DUMMYFUNCTION("""COMPUTED_VALUE"""),"SP")</f>
        <v>SP</v>
      </c>
      <c r="Q172" s="7" t="str">
        <f>IFERROR(__xludf.DUMMYFUNCTION("""COMPUTED_VALUE""")," 13318-314 ")</f>
        <v> 13318-314 </v>
      </c>
      <c r="R172" s="9">
        <f>IFERROR(__xludf.DUMMYFUNCTION("SPLIT($K172,"" "","""")"),-2.3255741E7)</f>
        <v>-23255741</v>
      </c>
      <c r="S172" s="9">
        <f>IFERROR(__xludf.DUMMYFUNCTION("""COMPUTED_VALUE"""),-4.7049237E7)</f>
        <v>-47049237</v>
      </c>
      <c r="T172" s="10">
        <v>3508405.0</v>
      </c>
      <c r="U17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13318-314 ', 'PK-20686', SYSDATE, 0, 'PK-20686', SYSDATE, 'Travessa  dos Ipês  Portal da Concórdia (Jacaré)', 'Travessa dos Ipês Portal da Concórdia (Jacaré)', ' Portal da Concórdia (Jacaré)', 'Travessa', '3508405', 'Travessa dos Ipês Portal da Concórdia (Jacaré)',' Portal da Concórdia (Jacaré)', '1', 'SP', '1', '-23255741', '-47049237', ' Portal da Concórdia (Jacaré)' </v>
      </c>
    </row>
    <row r="173" ht="15.75" hidden="1" customHeight="1">
      <c r="A173" s="4" t="s">
        <v>554</v>
      </c>
      <c r="B173" s="5" t="s">
        <v>153</v>
      </c>
      <c r="C173" s="4" t="s">
        <v>10</v>
      </c>
      <c r="D173" s="5" t="s">
        <v>555</v>
      </c>
      <c r="E173" s="6">
        <v>214.0</v>
      </c>
      <c r="F173" s="6" t="s">
        <v>12</v>
      </c>
      <c r="G173" s="3" t="s">
        <v>13</v>
      </c>
      <c r="H173" s="7" t="str">
        <f>IFERROR(__xludf.DUMMYFUNCTION("SPLIT(A171,""Rua"","""")"),"       Cafelândia")</f>
        <v>       Cafelândia</v>
      </c>
      <c r="J173" s="3" t="s">
        <v>556</v>
      </c>
      <c r="K173" s="8" t="str">
        <f>IFERROR(__xludf.DUMMYFUNCTION("SPLIT($J173,""   "","""")"),"-23.26604 -47.100669")</f>
        <v>-23.26604 -47.100669</v>
      </c>
      <c r="L173" s="7" t="str">
        <f>IFERROR(__xludf.DUMMYFUNCTION("""COMPUTED_VALUE"""),"Via")</f>
        <v>Via</v>
      </c>
      <c r="M173" s="7" t="str">
        <f>IFERROR(__xludf.DUMMYFUNCTION("""COMPUTED_VALUE""")," das Tulipas")</f>
        <v> das Tulipas</v>
      </c>
      <c r="N173" s="7" t="str">
        <f>IFERROR(__xludf.DUMMYFUNCTION("""COMPUTED_VALUE""")," Chácaras do Pinhal (Pinhal)")</f>
        <v> Chácaras do Pinhal (Pinhal)</v>
      </c>
      <c r="O173" s="7" t="str">
        <f>IFERROR(__xludf.DUMMYFUNCTION("""COMPUTED_VALUE""")," Cabreúva")</f>
        <v> Cabreúva</v>
      </c>
      <c r="P173" s="7" t="str">
        <f>IFERROR(__xludf.DUMMYFUNCTION("""COMPUTED_VALUE"""),"SP")</f>
        <v>SP</v>
      </c>
      <c r="Q173" s="7" t="str">
        <f>IFERROR(__xludf.DUMMYFUNCTION("""COMPUTED_VALUE""")," 13317-264 ")</f>
        <v> 13317-264 </v>
      </c>
      <c r="R173" s="9">
        <f>IFERROR(__xludf.DUMMYFUNCTION("SPLIT($K173,"" "","""")"),-2326604.0)</f>
        <v>-2326604</v>
      </c>
      <c r="S173" s="9">
        <f>IFERROR(__xludf.DUMMYFUNCTION("""COMPUTED_VALUE"""),-4.7100669E7)</f>
        <v>-47100669</v>
      </c>
      <c r="T173" s="10">
        <v>3508405.0</v>
      </c>
      <c r="U17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13317-264 ', 'PK-20686', SYSDATE, 0, 'PK-20686', SYSDATE, 'Via  das Tulipas  Chácaras do Pinhal (Pinhal)', 'Via das Tulipas Chácaras do Pinhal (Pinhal)', ' Chácaras do Pinhal (Pinhal)', 'Via', '3508405', 'Via das Tulipas Chácaras do Pinhal (Pinhal)',' Chácaras do Pinhal (Pinhal)', '1', 'SP', '1', '-2326604', '-47100669', ' Chácaras do Pinhal (Pinhal)' </v>
      </c>
    </row>
    <row r="174" ht="15.75" hidden="1" customHeight="1">
      <c r="A174" s="4" t="s">
        <v>557</v>
      </c>
      <c r="B174" s="5" t="s">
        <v>212</v>
      </c>
      <c r="C174" s="4" t="s">
        <v>10</v>
      </c>
      <c r="D174" s="5" t="s">
        <v>558</v>
      </c>
      <c r="E174" s="6">
        <v>214.0</v>
      </c>
      <c r="F174" s="6" t="s">
        <v>12</v>
      </c>
      <c r="G174" s="3" t="s">
        <v>13</v>
      </c>
      <c r="H174" s="7" t="str">
        <f>IFERROR(__xludf.DUMMYFUNCTION("SPLIT(A172,""Rua"","""")"),"       Caí")</f>
        <v>       Caí</v>
      </c>
      <c r="J174" s="3" t="s">
        <v>559</v>
      </c>
      <c r="K174" s="8" t="str">
        <f>IFERROR(__xludf.DUMMYFUNCTION("SPLIT($J174,""   "","""")"),"-23.310661 -47.129337")</f>
        <v>-23.310661 -47.129337</v>
      </c>
      <c r="L174" s="7" t="str">
        <f>IFERROR(__xludf.DUMMYFUNCTION("""COMPUTED_VALUE"""),"Travessa")</f>
        <v>Travessa</v>
      </c>
      <c r="M174" s="7" t="str">
        <f>IFERROR(__xludf.DUMMYFUNCTION("""COMPUTED_VALUE""")," Ivo Facioli")</f>
        <v> Ivo Facioli</v>
      </c>
      <c r="N174" s="7" t="str">
        <f>IFERROR(__xludf.DUMMYFUNCTION("""COMPUTED_VALUE""")," Centro")</f>
        <v> Centro</v>
      </c>
      <c r="O174" s="7" t="str">
        <f>IFERROR(__xludf.DUMMYFUNCTION("""COMPUTED_VALUE""")," Cabreúva")</f>
        <v> Cabreúva</v>
      </c>
      <c r="P174" s="7" t="str">
        <f>IFERROR(__xludf.DUMMYFUNCTION("""COMPUTED_VALUE"""),"SP")</f>
        <v>SP</v>
      </c>
      <c r="Q174" s="7" t="str">
        <f>IFERROR(__xludf.DUMMYFUNCTION("""COMPUTED_VALUE""")," 13315-049 ")</f>
        <v> 13315-049 </v>
      </c>
      <c r="R174" s="9">
        <f>IFERROR(__xludf.DUMMYFUNCTION("SPLIT($K174,"" "","""")"),-2.3310661E7)</f>
        <v>-23310661</v>
      </c>
      <c r="S174" s="9">
        <f>IFERROR(__xludf.DUMMYFUNCTION("""COMPUTED_VALUE"""),-4.7129337E7)</f>
        <v>-47129337</v>
      </c>
      <c r="T174" s="10">
        <v>3508405.0</v>
      </c>
      <c r="U17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13315-049 ', 'PK-20686', SYSDATE, 0, 'PK-20686', SYSDATE, 'Travessa  Ivo Facioli  Centro', 'Travessa Ivo Facioli Centro', ' Centro', 'Travessa', '3508405', 'Travessa Ivo Facioli Centro',' Centro', '1', 'SP', '1', '-23310661', '-47129337', ' Centro' </v>
      </c>
    </row>
    <row r="175" ht="15.75" customHeight="1">
      <c r="A175" s="4" t="s">
        <v>560</v>
      </c>
      <c r="B175" s="5" t="s">
        <v>216</v>
      </c>
      <c r="C175" s="4" t="s">
        <v>10</v>
      </c>
      <c r="D175" s="5" t="s">
        <v>561</v>
      </c>
      <c r="E175" s="6">
        <v>214.0</v>
      </c>
      <c r="F175" s="6" t="s">
        <v>12</v>
      </c>
      <c r="G175" s="3" t="s">
        <v>13</v>
      </c>
      <c r="H175" s="7" t="str">
        <f>IFERROR(__xludf.DUMMYFUNCTION("SPLIT(A173,""Rua"","""")"),"       Calcita")</f>
        <v>       Calcita</v>
      </c>
      <c r="J175" s="3" t="s">
        <v>562</v>
      </c>
      <c r="K175" s="8" t="str">
        <f>IFERROR(__xludf.DUMMYFUNCTION("SPLIT($J175,""   "","""")"),"-23.571526 -46.668903")</f>
        <v>-23.571526 -46.668903</v>
      </c>
      <c r="L175" s="7" t="str">
        <f>IFERROR(__xludf.DUMMYFUNCTION("""COMPUTED_VALUE"""),"Rua")</f>
        <v>Rua</v>
      </c>
      <c r="M175" s="7" t="str">
        <f>IFERROR(__xludf.DUMMYFUNCTION("""COMPUTED_VALUE""")," Argentina")</f>
        <v> Argentina</v>
      </c>
      <c r="N175" s="7" t="str">
        <f>IFERROR(__xludf.DUMMYFUNCTION("""COMPUTED_VALUE""")," Jardim Fazendinha Real (Vilarejo)")</f>
        <v> Jardim Fazendinha Real (Vilarejo)</v>
      </c>
      <c r="O175" s="7" t="str">
        <f>IFERROR(__xludf.DUMMYFUNCTION("""COMPUTED_VALUE""")," Cabreúva")</f>
        <v> Cabreúva</v>
      </c>
      <c r="P175" s="7" t="str">
        <f>IFERROR(__xludf.DUMMYFUNCTION("""COMPUTED_VALUE"""),"SP")</f>
        <v>SP</v>
      </c>
      <c r="Q175" s="7" t="str">
        <f>IFERROR(__xludf.DUMMYFUNCTION("""COMPUTED_VALUE""")," 13317-750 ")</f>
        <v> 13317-750 </v>
      </c>
      <c r="R175" s="9">
        <f>IFERROR(__xludf.DUMMYFUNCTION("SPLIT($K175,"" "","""")"),-2.3571526E7)</f>
        <v>-23571526</v>
      </c>
      <c r="S175" s="9">
        <f>IFERROR(__xludf.DUMMYFUNCTION("""COMPUTED_VALUE"""),-4.6668903E7)</f>
        <v>-46668903</v>
      </c>
      <c r="T175" s="10">
        <v>3508405.0</v>
      </c>
      <c r="U17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13317-750 ', 'PK-20686', SYSDATE, 0, 'PK-20686', SYSDATE, 'Rua  Argentina  Jardim Fazendinha Real (Vilarejo)', 'Rua Argentina Jardim Fazendinha Real (Vilarejo)', ' Jardim Fazendinha Real (Vilarejo)', 'Rua', '3508405', 'Rua Argentina Jardim Fazendinha Real (Vilarejo)',' Jardim Fazendinha Real (Vilarejo)', '1', 'SP', '1', '-23571526', '-46668903', ' Jardim Fazendinha Real (Vilarejo)' </v>
      </c>
    </row>
    <row r="176" ht="15.75" customHeight="1">
      <c r="A176" s="4" t="s">
        <v>563</v>
      </c>
      <c r="B176" s="5" t="s">
        <v>193</v>
      </c>
      <c r="C176" s="4" t="s">
        <v>10</v>
      </c>
      <c r="D176" s="5" t="s">
        <v>564</v>
      </c>
      <c r="E176" s="6">
        <v>214.0</v>
      </c>
      <c r="F176" s="6" t="s">
        <v>12</v>
      </c>
      <c r="G176" s="3" t="s">
        <v>13</v>
      </c>
      <c r="H176" s="7" t="str">
        <f>IFERROR(__xludf.DUMMYFUNCTION("SPLIT(A174,""Rua"","""")"),"       Cambará")</f>
        <v>       Cambará</v>
      </c>
      <c r="J176" s="3" t="s">
        <v>565</v>
      </c>
      <c r="K176" s="8" t="str">
        <f>IFERROR(__xludf.DUMMYFUNCTION("SPLIT($J176,""   "","""")"),"-23.309299 -47.130218")</f>
        <v>-23.309299 -47.130218</v>
      </c>
      <c r="L176" s="7" t="str">
        <f>IFERROR(__xludf.DUMMYFUNCTION("""COMPUTED_VALUE"""),"Rua")</f>
        <v>Rua</v>
      </c>
      <c r="M176" s="7" t="str">
        <f>IFERROR(__xludf.DUMMYFUNCTION("""COMPUTED_VALUE""")," Adolfo Calegari")</f>
        <v> Adolfo Calegari</v>
      </c>
      <c r="N176" s="7" t="str">
        <f>IFERROR(__xludf.DUMMYFUNCTION("""COMPUTED_VALUE""")," Centro")</f>
        <v> Centro</v>
      </c>
      <c r="O176" s="7" t="str">
        <f>IFERROR(__xludf.DUMMYFUNCTION("""COMPUTED_VALUE""")," Cabreúva")</f>
        <v> Cabreúva</v>
      </c>
      <c r="P176" s="7" t="str">
        <f>IFERROR(__xludf.DUMMYFUNCTION("""COMPUTED_VALUE"""),"SP")</f>
        <v>SP</v>
      </c>
      <c r="Q176" s="7" t="str">
        <f>IFERROR(__xludf.DUMMYFUNCTION("""COMPUTED_VALUE""")," 13315-047 ")</f>
        <v> 13315-047 </v>
      </c>
      <c r="R176" s="9">
        <f>IFERROR(__xludf.DUMMYFUNCTION("SPLIT($K176,"" "","""")"),-2.3309299E7)</f>
        <v>-23309299</v>
      </c>
      <c r="S176" s="9">
        <f>IFERROR(__xludf.DUMMYFUNCTION("""COMPUTED_VALUE"""),-4.7130218E7)</f>
        <v>-47130218</v>
      </c>
      <c r="T176" s="10">
        <v>3508405.0</v>
      </c>
      <c r="U17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13315-047 ', 'PK-20686', SYSDATE, 0, 'PK-20686', SYSDATE, 'Rua  Adolfo Calegari  Centro', 'Rua Adolfo Calegari Centro', ' Centro', 'Rua', '3508405', 'Rua Adolfo Calegari Centro',' Centro', '1', 'SP', '1', '-23309299', '-47130218', ' Centro' </v>
      </c>
    </row>
    <row r="177" ht="15.75" hidden="1" customHeight="1">
      <c r="A177" s="4" t="s">
        <v>566</v>
      </c>
      <c r="B177" s="5" t="s">
        <v>24</v>
      </c>
      <c r="C177" s="4" t="s">
        <v>10</v>
      </c>
      <c r="D177" s="5" t="s">
        <v>567</v>
      </c>
      <c r="E177" s="6">
        <v>214.0</v>
      </c>
      <c r="F177" s="6" t="s">
        <v>12</v>
      </c>
      <c r="G177" s="3" t="s">
        <v>13</v>
      </c>
      <c r="H177" s="7" t="str">
        <f>IFERROR(__xludf.DUMMYFUNCTION("SPLIT(A175,""Rua"","""")"),"       Campinas")</f>
        <v>       Campinas</v>
      </c>
      <c r="J177" s="3" t="s">
        <v>568</v>
      </c>
      <c r="K177" s="8" t="str">
        <f>IFERROR(__xludf.DUMMYFUNCTION("SPLIT($J177,""   "","""")"),"-23.257909 -47.051612")</f>
        <v>-23.257909 -47.051612</v>
      </c>
      <c r="L177" s="7" t="str">
        <f>IFERROR(__xludf.DUMMYFUNCTION("""COMPUTED_VALUE"""),"Alameda")</f>
        <v>Alameda</v>
      </c>
      <c r="M177" s="7" t="str">
        <f>IFERROR(__xludf.DUMMYFUNCTION("""COMPUTED_VALUE""")," dos Cedros")</f>
        <v> dos Cedros</v>
      </c>
      <c r="N177" s="7" t="str">
        <f>IFERROR(__xludf.DUMMYFUNCTION("""COMPUTED_VALUE""")," Portal da Concórdia (Jacaré)")</f>
        <v> Portal da Concórdia (Jacaré)</v>
      </c>
      <c r="O177" s="7" t="str">
        <f>IFERROR(__xludf.DUMMYFUNCTION("""COMPUTED_VALUE""")," Cabreúva")</f>
        <v> Cabreúva</v>
      </c>
      <c r="P177" s="7" t="str">
        <f>IFERROR(__xludf.DUMMYFUNCTION("""COMPUTED_VALUE"""),"SP")</f>
        <v>SP</v>
      </c>
      <c r="Q177" s="7" t="str">
        <f>IFERROR(__xludf.DUMMYFUNCTION("""COMPUTED_VALUE""")," 13318-336 ")</f>
        <v> 13318-336 </v>
      </c>
      <c r="R177" s="9">
        <f>IFERROR(__xludf.DUMMYFUNCTION("SPLIT($K177,"" "","""")"),-2.3257909E7)</f>
        <v>-23257909</v>
      </c>
      <c r="S177" s="9">
        <f>IFERROR(__xludf.DUMMYFUNCTION("""COMPUTED_VALUE"""),-4.7051612E7)</f>
        <v>-47051612</v>
      </c>
      <c r="T177" s="10">
        <v>3508405.0</v>
      </c>
      <c r="U17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13318-336 ', 'PK-20686', SYSDATE, 0, 'PK-20686', SYSDATE, 'Alameda  dos Cedros  Portal da Concórdia (Jacaré)', 'Alameda dos Cedros Portal da Concórdia (Jacaré)', ' Portal da Concórdia (Jacaré)', 'Alameda', '3508405', 'Alameda dos Cedros Portal da Concórdia (Jacaré)',' Portal da Concórdia (Jacaré)', '1', 'SP', '1', '-23257909', '-47051612', ' Portal da Concórdia (Jacaré)' </v>
      </c>
    </row>
    <row r="178" ht="15.75" customHeight="1">
      <c r="A178" s="4" t="s">
        <v>569</v>
      </c>
      <c r="B178" s="5" t="s">
        <v>216</v>
      </c>
      <c r="C178" s="4" t="s">
        <v>10</v>
      </c>
      <c r="D178" s="5" t="s">
        <v>570</v>
      </c>
      <c r="E178" s="6">
        <v>214.0</v>
      </c>
      <c r="F178" s="6" t="s">
        <v>12</v>
      </c>
      <c r="G178" s="3" t="s">
        <v>13</v>
      </c>
      <c r="H178" s="7" t="str">
        <f>IFERROR(__xludf.DUMMYFUNCTION("SPLIT(A176,""Rua"","""")"),"       Campo Belo")</f>
        <v>       Campo Belo</v>
      </c>
      <c r="J178" s="3" t="s">
        <v>571</v>
      </c>
      <c r="K178" s="8" t="str">
        <f>IFERROR(__xludf.DUMMYFUNCTION("SPLIT($J178,""   "","""")"),"-23.275347 -47.051086")</f>
        <v>-23.275347 -47.051086</v>
      </c>
      <c r="L178" s="7" t="str">
        <f>IFERROR(__xludf.DUMMYFUNCTION("""COMPUTED_VALUE"""),"Rua")</f>
        <v>Rua</v>
      </c>
      <c r="M178" s="7" t="str">
        <f>IFERROR(__xludf.DUMMYFUNCTION("""COMPUTED_VALUE""")," José Soares Silva Neto")</f>
        <v> José Soares Silva Neto</v>
      </c>
      <c r="N178" s="7" t="str">
        <f>IFERROR(__xludf.DUMMYFUNCTION("""COMPUTED_VALUE""")," Cururú")</f>
        <v> Cururú</v>
      </c>
      <c r="O178" s="7" t="str">
        <f>IFERROR(__xludf.DUMMYFUNCTION("""COMPUTED_VALUE""")," Cabreúva")</f>
        <v> Cabreúva</v>
      </c>
      <c r="P178" s="7" t="str">
        <f>IFERROR(__xludf.DUMMYFUNCTION("""COMPUTED_VALUE"""),"SP")</f>
        <v>SP</v>
      </c>
      <c r="Q178" s="7" t="str">
        <f>IFERROR(__xludf.DUMMYFUNCTION("""COMPUTED_VALUE""")," 13317-852 ")</f>
        <v> 13317-852 </v>
      </c>
      <c r="R178" s="9">
        <f>IFERROR(__xludf.DUMMYFUNCTION("SPLIT($K178,"" "","""")"),-2.3275347E7)</f>
        <v>-23275347</v>
      </c>
      <c r="S178" s="9">
        <f>IFERROR(__xludf.DUMMYFUNCTION("""COMPUTED_VALUE"""),-4.7051086E7)</f>
        <v>-47051086</v>
      </c>
      <c r="T178" s="10">
        <v>3508405.0</v>
      </c>
      <c r="U17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13317-852 ', 'PK-20686', SYSDATE, 0, 'PK-20686', SYSDATE, 'Rua  José Soares Silva Neto  Cururú', 'Rua José Soares Silva Neto Cururú', ' Cururú', 'Rua', '3508405', 'Rua José Soares Silva Neto Cururú',' Cururú', '1', 'SP', '1', '-23275347', '-47051086', ' Cururú' </v>
      </c>
    </row>
    <row r="179" ht="15.75" customHeight="1">
      <c r="A179" s="4" t="s">
        <v>572</v>
      </c>
      <c r="B179" s="5" t="s">
        <v>573</v>
      </c>
      <c r="C179" s="4" t="s">
        <v>10</v>
      </c>
      <c r="D179" s="5" t="s">
        <v>574</v>
      </c>
      <c r="E179" s="6">
        <v>214.0</v>
      </c>
      <c r="F179" s="6" t="s">
        <v>12</v>
      </c>
      <c r="G179" s="3" t="s">
        <v>13</v>
      </c>
      <c r="H179" s="7" t="str">
        <f>IFERROR(__xludf.DUMMYFUNCTION("SPLIT(A177,""Rua"","""")"),"       Campo Grande")</f>
        <v>       Campo Grande</v>
      </c>
      <c r="J179" s="3" t="s">
        <v>575</v>
      </c>
      <c r="K179" s="8" t="str">
        <f>IFERROR(__xludf.DUMMYFUNCTION("SPLIT($J179,""   "","""")"),"-23.295174 -47.137384")</f>
        <v>-23.295174 -47.137384</v>
      </c>
      <c r="L179" s="7" t="str">
        <f>IFERROR(__xludf.DUMMYFUNCTION("""COMPUTED_VALUE"""),"Rua")</f>
        <v>Rua</v>
      </c>
      <c r="M179" s="7" t="str">
        <f>IFERROR(__xludf.DUMMYFUNCTION("""COMPUTED_VALUE""")," Quaresmeira")</f>
        <v> Quaresmeira</v>
      </c>
      <c r="N179" s="7" t="str">
        <f>IFERROR(__xludf.DUMMYFUNCTION("""COMPUTED_VALUE""")," Vale Verde (Centro)")</f>
        <v> Vale Verde (Centro)</v>
      </c>
      <c r="O179" s="7" t="str">
        <f>IFERROR(__xludf.DUMMYFUNCTION("""COMPUTED_VALUE""")," Cabreúva")</f>
        <v> Cabreúva</v>
      </c>
      <c r="P179" s="7" t="str">
        <f>IFERROR(__xludf.DUMMYFUNCTION("""COMPUTED_VALUE"""),"SP")</f>
        <v>SP</v>
      </c>
      <c r="Q179" s="7" t="str">
        <f>IFERROR(__xludf.DUMMYFUNCTION("""COMPUTED_VALUE""")," 13315-284 ")</f>
        <v> 13315-284 </v>
      </c>
      <c r="R179" s="9">
        <f>IFERROR(__xludf.DUMMYFUNCTION("SPLIT($K179,"" "","""")"),-2.3295174E7)</f>
        <v>-23295174</v>
      </c>
      <c r="S179" s="9">
        <f>IFERROR(__xludf.DUMMYFUNCTION("""COMPUTED_VALUE"""),-4.7137384E7)</f>
        <v>-47137384</v>
      </c>
      <c r="T179" s="10">
        <v>3508405.0</v>
      </c>
      <c r="U17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13315-284 ', 'PK-20686', SYSDATE, 0, 'PK-20686', SYSDATE, 'Rua  Quaresmeira  Vale Verde (Centro)', 'Rua Quaresmeira Vale Verde (Centro)', ' Vale Verde (Centro)', 'Rua', '3508405', 'Rua Quaresmeira Vale Verde (Centro)',' Vale Verde (Centro)', '1', 'SP', '1', '-23295174', '-47137384', ' Vale Verde (Centro)' </v>
      </c>
    </row>
    <row r="180" ht="15.75" customHeight="1">
      <c r="A180" s="4" t="s">
        <v>576</v>
      </c>
      <c r="B180" s="5" t="s">
        <v>577</v>
      </c>
      <c r="C180" s="4" t="s">
        <v>10</v>
      </c>
      <c r="D180" s="5" t="s">
        <v>578</v>
      </c>
      <c r="E180" s="6">
        <v>214.0</v>
      </c>
      <c r="F180" s="6" t="s">
        <v>12</v>
      </c>
      <c r="G180" s="3" t="s">
        <v>13</v>
      </c>
      <c r="H180" s="7" t="str">
        <f>IFERROR(__xludf.DUMMYFUNCTION("SPLIT(A178,""Rua"","""")"),"       Campo Limpo")</f>
        <v>       Campo Limpo</v>
      </c>
      <c r="J180" s="3" t="s">
        <v>579</v>
      </c>
      <c r="K180" s="8" t="str">
        <f>IFERROR(__xludf.DUMMYFUNCTION("SPLIT($J180,""   "","""")"),"-23.269314 -47.093396")</f>
        <v>-23.269314 -47.093396</v>
      </c>
      <c r="L180" s="7" t="str">
        <f>IFERROR(__xludf.DUMMYFUNCTION("""COMPUTED_VALUE"""),"Rua")</f>
        <v>Rua</v>
      </c>
      <c r="M180" s="7" t="str">
        <f>IFERROR(__xludf.DUMMYFUNCTION("""COMPUTED_VALUE""")," das Camélias")</f>
        <v> das Camélias</v>
      </c>
      <c r="N180" s="7" t="str">
        <f>IFERROR(__xludf.DUMMYFUNCTION("""COMPUTED_VALUE""")," Chácaras do Pinhal (Pinhal)")</f>
        <v> Chácaras do Pinhal (Pinhal)</v>
      </c>
      <c r="O180" s="7" t="str">
        <f>IFERROR(__xludf.DUMMYFUNCTION("""COMPUTED_VALUE""")," Cabreúva")</f>
        <v> Cabreúva</v>
      </c>
      <c r="P180" s="7" t="str">
        <f>IFERROR(__xludf.DUMMYFUNCTION("""COMPUTED_VALUE"""),"SP")</f>
        <v>SP</v>
      </c>
      <c r="Q180" s="7" t="str">
        <f>IFERROR(__xludf.DUMMYFUNCTION("""COMPUTED_VALUE""")," 13317-270 ")</f>
        <v> 13317-270 </v>
      </c>
      <c r="R180" s="9">
        <f>IFERROR(__xludf.DUMMYFUNCTION("SPLIT($K180,"" "","""")"),-2.3269314E7)</f>
        <v>-23269314</v>
      </c>
      <c r="S180" s="9">
        <f>IFERROR(__xludf.DUMMYFUNCTION("""COMPUTED_VALUE"""),-4.7093396E7)</f>
        <v>-47093396</v>
      </c>
      <c r="T180" s="10">
        <v>3508405.0</v>
      </c>
      <c r="U18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13317-270 ', 'PK-20686', SYSDATE, 0, 'PK-20686', SYSDATE, 'Rua  das Camélias  Chácaras do Pinhal (Pinhal)', 'Rua das Camélias Chácaras do Pinhal (Pinhal)', ' Chácaras do Pinhal (Pinhal)', 'Rua', '3508405', 'Rua das Camélias Chácaras do Pinhal (Pinhal)',' Chácaras do Pinhal (Pinhal)', '1', 'SP', '1', '-23269314', '-47093396', ' Chácaras do Pinhal (Pinhal)' </v>
      </c>
    </row>
    <row r="181" ht="15.75" customHeight="1">
      <c r="A181" s="4" t="s">
        <v>580</v>
      </c>
      <c r="B181" s="5" t="s">
        <v>142</v>
      </c>
      <c r="C181" s="4" t="s">
        <v>10</v>
      </c>
      <c r="D181" s="5" t="s">
        <v>581</v>
      </c>
      <c r="E181" s="6">
        <v>214.0</v>
      </c>
      <c r="F181" s="6" t="s">
        <v>12</v>
      </c>
      <c r="G181" s="3" t="s">
        <v>13</v>
      </c>
      <c r="H181" s="7" t="str">
        <f>IFERROR(__xludf.DUMMYFUNCTION("SPLIT(A179,""Rua"","""")"),"       Caracol")</f>
        <v>       Caracol</v>
      </c>
      <c r="J181" s="3" t="s">
        <v>582</v>
      </c>
      <c r="K181" s="8" t="str">
        <f>IFERROR(__xludf.DUMMYFUNCTION("SPLIT($J181,""   "","""")"),"-23.307463 -47.135637")</f>
        <v>-23.307463 -47.135637</v>
      </c>
      <c r="L181" s="7" t="str">
        <f>IFERROR(__xludf.DUMMYFUNCTION("""COMPUTED_VALUE"""),"Rua")</f>
        <v>Rua</v>
      </c>
      <c r="M181" s="7" t="str">
        <f>IFERROR(__xludf.DUMMYFUNCTION("""COMPUTED_VALUE""")," Erothides de Campos")</f>
        <v> Erothides de Campos</v>
      </c>
      <c r="N181" s="7" t="str">
        <f>IFERROR(__xludf.DUMMYFUNCTION("""COMPUTED_VALUE""")," Jardim Ipê (Centro)")</f>
        <v> Jardim Ipê (Centro)</v>
      </c>
      <c r="O181" s="7" t="str">
        <f>IFERROR(__xludf.DUMMYFUNCTION("""COMPUTED_VALUE""")," Cabreúva")</f>
        <v> Cabreúva</v>
      </c>
      <c r="P181" s="7" t="str">
        <f>IFERROR(__xludf.DUMMYFUNCTION("""COMPUTED_VALUE"""),"SP")</f>
        <v>SP</v>
      </c>
      <c r="Q181" s="7" t="str">
        <f>IFERROR(__xludf.DUMMYFUNCTION("""COMPUTED_VALUE""")," 13315-166 ")</f>
        <v> 13315-166 </v>
      </c>
      <c r="R181" s="9">
        <f>IFERROR(__xludf.DUMMYFUNCTION("SPLIT($K181,"" "","""")"),-2.3307463E7)</f>
        <v>-23307463</v>
      </c>
      <c r="S181" s="9">
        <f>IFERROR(__xludf.DUMMYFUNCTION("""COMPUTED_VALUE"""),-4.7135637E7)</f>
        <v>-47135637</v>
      </c>
      <c r="T181" s="10">
        <v>3508405.0</v>
      </c>
      <c r="U18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13315-166 ', 'PK-20686', SYSDATE, 0, 'PK-20686', SYSDATE, 'Rua  Erothides de Campos  Jardim Ipê (Centro)', 'Rua Erothides de Campos Jardim Ipê (Centro)', ' Jardim Ipê (Centro)', 'Rua', '3508405', 'Rua Erothides de Campos Jardim Ipê (Centro)',' Jardim Ipê (Centro)', '1', 'SP', '1', '-23307463', '-47135637', ' Jardim Ipê (Centro)' </v>
      </c>
    </row>
    <row r="182" ht="15.75" customHeight="1">
      <c r="A182" s="4" t="s">
        <v>583</v>
      </c>
      <c r="B182" s="5" t="s">
        <v>180</v>
      </c>
      <c r="C182" s="4" t="s">
        <v>10</v>
      </c>
      <c r="D182" s="5" t="s">
        <v>584</v>
      </c>
      <c r="E182" s="6">
        <v>214.0</v>
      </c>
      <c r="F182" s="6" t="s">
        <v>12</v>
      </c>
      <c r="G182" s="3" t="s">
        <v>13</v>
      </c>
      <c r="H182" s="7" t="str">
        <f>IFERROR(__xludf.DUMMYFUNCTION("SPLIT(A180,""Rua"","""")"),"       Carlos Silveira Franco Neto")</f>
        <v>       Carlos Silveira Franco Neto</v>
      </c>
      <c r="J182" s="3" t="s">
        <v>585</v>
      </c>
      <c r="K182" s="8" t="str">
        <f>IFERROR(__xludf.DUMMYFUNCTION("SPLIT($J182,""   "","""")"),"-23.307366 -47.133678")</f>
        <v>-23.307366 -47.133678</v>
      </c>
      <c r="L182" s="7" t="str">
        <f>IFERROR(__xludf.DUMMYFUNCTION("""COMPUTED_VALUE"""),"Rua")</f>
        <v>Rua</v>
      </c>
      <c r="M182" s="7" t="str">
        <f>IFERROR(__xludf.DUMMYFUNCTION("""COMPUTED_VALUE""")," Nigéria")</f>
        <v> Nigéria</v>
      </c>
      <c r="N182" s="7" t="str">
        <f>IFERROR(__xludf.DUMMYFUNCTION("""COMPUTED_VALUE""")," Jardim Residencial Bela Vista (Vilarejo)")</f>
        <v> Jardim Residencial Bela Vista (Vilarejo)</v>
      </c>
      <c r="O182" s="7" t="str">
        <f>IFERROR(__xludf.DUMMYFUNCTION("""COMPUTED_VALUE""")," Cabreúva")</f>
        <v> Cabreúva</v>
      </c>
      <c r="P182" s="7" t="str">
        <f>IFERROR(__xludf.DUMMYFUNCTION("""COMPUTED_VALUE"""),"SP")</f>
        <v>SP</v>
      </c>
      <c r="Q182" s="7" t="str">
        <f>IFERROR(__xludf.DUMMYFUNCTION("""COMPUTED_VALUE""")," 13317-724 ")</f>
        <v> 13317-724 </v>
      </c>
      <c r="R182" s="9">
        <f>IFERROR(__xludf.DUMMYFUNCTION("SPLIT($K182,"" "","""")"),-2.3307366E7)</f>
        <v>-23307366</v>
      </c>
      <c r="S182" s="9">
        <f>IFERROR(__xludf.DUMMYFUNCTION("""COMPUTED_VALUE"""),-4.7133678E7)</f>
        <v>-47133678</v>
      </c>
      <c r="T182" s="10">
        <v>3508405.0</v>
      </c>
      <c r="U18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13317-724 ', 'PK-20686', SYSDATE, 0, 'PK-20686', SYSDATE, 'Rua  Nigéria  Jardim Residencial Bela Vista (Vilarejo)', 'Rua Nigéria Jardim Residencial Bela Vista (Vilarejo)', ' Jardim Residencial Bela Vista (Vilarejo)', 'Rua', '3508405', 'Rua Nigéria Jardim Residencial Bela Vista (Vilarejo)',' Jardim Residencial Bela Vista (Vilarejo)', '1', 'SP', '1', '-23307366', '-47133678', ' Jardim Residencial Bela Vista (Vilarejo)' </v>
      </c>
    </row>
    <row r="183" ht="15.75" customHeight="1">
      <c r="A183" s="4" t="s">
        <v>586</v>
      </c>
      <c r="B183" s="5" t="s">
        <v>153</v>
      </c>
      <c r="C183" s="4" t="s">
        <v>10</v>
      </c>
      <c r="D183" s="5" t="s">
        <v>587</v>
      </c>
      <c r="E183" s="6">
        <v>214.0</v>
      </c>
      <c r="F183" s="6" t="s">
        <v>12</v>
      </c>
      <c r="G183" s="3" t="s">
        <v>13</v>
      </c>
      <c r="H183" s="7" t="str">
        <f>IFERROR(__xludf.DUMMYFUNCTION("SPLIT(A181,""Rua"","""")"),"       Carmenére")</f>
        <v>       Carmenére</v>
      </c>
      <c r="J183" s="3" t="s">
        <v>588</v>
      </c>
      <c r="K183" s="8" t="str">
        <f>IFERROR(__xludf.DUMMYFUNCTION("SPLIT($J183,""   "","""")"),"-23.287089 -47.05739")</f>
        <v>-23.287089 -47.05739</v>
      </c>
      <c r="L183" s="7" t="str">
        <f>IFERROR(__xludf.DUMMYFUNCTION("""COMPUTED_VALUE"""),"Rua")</f>
        <v>Rua</v>
      </c>
      <c r="M183" s="7" t="str">
        <f>IFERROR(__xludf.DUMMYFUNCTION("""COMPUTED_VALUE""")," Pedro Federsoni  225")</f>
        <v> Pedro Federsoni  225</v>
      </c>
      <c r="N183" s="7" t="str">
        <f>IFERROR(__xludf.DUMMYFUNCTION("""COMPUTED_VALUE""")," AGC Bonfim do Bom Jesus Bonfim")</f>
        <v> AGC Bonfim do Bom Jesus Bonfim</v>
      </c>
      <c r="O183" s="7" t="str">
        <f>IFERROR(__xludf.DUMMYFUNCTION("""COMPUTED_VALUE""")," Cabreúva")</f>
        <v> Cabreúva</v>
      </c>
      <c r="P183" s="7" t="str">
        <f>IFERROR(__xludf.DUMMYFUNCTION("""COMPUTED_VALUE"""),"SP")</f>
        <v>SP</v>
      </c>
      <c r="Q183" s="7" t="str">
        <f>IFERROR(__xludf.DUMMYFUNCTION("""COMPUTED_VALUE""")," 13319-970 ")</f>
        <v> 13319-970 </v>
      </c>
      <c r="R183" s="9">
        <f>IFERROR(__xludf.DUMMYFUNCTION("SPLIT($K183,"" "","""")"),-2.3287089E7)</f>
        <v>-23287089</v>
      </c>
      <c r="S183" s="9">
        <f>IFERROR(__xludf.DUMMYFUNCTION("""COMPUTED_VALUE"""),-4705739.0)</f>
        <v>-4705739</v>
      </c>
      <c r="T183" s="10">
        <v>3508405.0</v>
      </c>
      <c r="U18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13319-970 ', 'PK-20686', SYSDATE, 0, 'PK-20686', SYSDATE, 'Rua  Pedro Federsoni  225  AGC Bonfim do Bom Jesus Bonfim', 'Rua Pedro Federsoni  225 AGC Bonfim do Bom Jesus Bonfim', ' AGC Bonfim do Bom Jesus Bonfim', 'Rua', '3508405', 'Rua Pedro Federsoni  225 AGC Bonfim do Bom Jesus Bonfim',' AGC Bonfim do Bom Jesus Bonfim', '1', 'SP', '1', '-23287089', '-4705739', ' AGC Bonfim do Bom Jesus Bonfim' </v>
      </c>
    </row>
    <row r="184" ht="15.75" customHeight="1">
      <c r="A184" s="4" t="s">
        <v>589</v>
      </c>
      <c r="B184" s="5" t="s">
        <v>24</v>
      </c>
      <c r="C184" s="4" t="s">
        <v>10</v>
      </c>
      <c r="D184" s="5" t="s">
        <v>590</v>
      </c>
      <c r="E184" s="6">
        <v>214.0</v>
      </c>
      <c r="F184" s="6" t="s">
        <v>12</v>
      </c>
      <c r="G184" s="3" t="s">
        <v>13</v>
      </c>
      <c r="H184" s="7" t="str">
        <f>IFERROR(__xludf.DUMMYFUNCTION("SPLIT(A182,""Rua"","""")"),"       Cássio Xavier de Mendonça")</f>
        <v>       Cássio Xavier de Mendonça</v>
      </c>
      <c r="J184" s="3" t="s">
        <v>591</v>
      </c>
      <c r="K184" s="8" t="str">
        <f>IFERROR(__xludf.DUMMYFUNCTION("SPLIT($J184,""   "","""")"),"-23.262545 -47.048996")</f>
        <v>-23.262545 -47.048996</v>
      </c>
      <c r="L184" s="7" t="str">
        <f>IFERROR(__xludf.DUMMYFUNCTION("""COMPUTED_VALUE"""),"Rua")</f>
        <v>Rua</v>
      </c>
      <c r="M184" s="7" t="str">
        <f>IFERROR(__xludf.DUMMYFUNCTION("""COMPUTED_VALUE""")," Zircônio")</f>
        <v> Zircônio</v>
      </c>
      <c r="N184" s="7" t="str">
        <f>IFERROR(__xludf.DUMMYFUNCTION("""COMPUTED_VALUE""")," Jardim Colina da Serra II (Jacaré)")</f>
        <v> Jardim Colina da Serra II (Jacaré)</v>
      </c>
      <c r="O184" s="7" t="str">
        <f>IFERROR(__xludf.DUMMYFUNCTION("""COMPUTED_VALUE""")," Cabreúva")</f>
        <v> Cabreúva</v>
      </c>
      <c r="P184" s="7" t="str">
        <f>IFERROR(__xludf.DUMMYFUNCTION("""COMPUTED_VALUE"""),"SP")</f>
        <v>SP</v>
      </c>
      <c r="Q184" s="7" t="str">
        <f>IFERROR(__xludf.DUMMYFUNCTION("""COMPUTED_VALUE""")," 13318-284 ")</f>
        <v> 13318-284 </v>
      </c>
      <c r="R184" s="9">
        <f>IFERROR(__xludf.DUMMYFUNCTION("SPLIT($K184,"" "","""")"),-2.3262545E7)</f>
        <v>-23262545</v>
      </c>
      <c r="S184" s="9">
        <f>IFERROR(__xludf.DUMMYFUNCTION("""COMPUTED_VALUE"""),-4.7048996E7)</f>
        <v>-47048996</v>
      </c>
      <c r="T184" s="10">
        <v>3508405.0</v>
      </c>
      <c r="U18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13318-284 ', 'PK-20686', SYSDATE, 0, 'PK-20686', SYSDATE, 'Rua  Zircônio  Jardim Colina da Serra II (Jacaré)', 'Rua Zircônio Jardim Colina da Serra II (Jacaré)', ' Jardim Colina da Serra II (Jacaré)', 'Rua', '3508405', 'Rua Zircônio Jardim Colina da Serra II (Jacaré)',' Jardim Colina da Serra II (Jacaré)', '1', 'SP', '1', '-23262545', '-47048996', ' Jardim Colina da Serra II (Jacaré)' </v>
      </c>
    </row>
    <row r="185" ht="15.75" customHeight="1">
      <c r="A185" s="4" t="s">
        <v>592</v>
      </c>
      <c r="B185" s="5" t="s">
        <v>413</v>
      </c>
      <c r="C185" s="4" t="s">
        <v>10</v>
      </c>
      <c r="D185" s="5" t="s">
        <v>593</v>
      </c>
      <c r="E185" s="6">
        <v>214.0</v>
      </c>
      <c r="F185" s="6" t="s">
        <v>12</v>
      </c>
      <c r="G185" s="3" t="s">
        <v>13</v>
      </c>
      <c r="H185" s="7" t="str">
        <f>IFERROR(__xludf.DUMMYFUNCTION("SPLIT(A183,""Rua"","""")"),"       Cassiterita")</f>
        <v>       Cassiterita</v>
      </c>
      <c r="J185" s="3" t="s">
        <v>594</v>
      </c>
      <c r="K185" s="8" t="str">
        <f>IFERROR(__xludf.DUMMYFUNCTION("SPLIT($J185,""   "","""")"),"-23.263205 -47.064147")</f>
        <v>-23.263205 -47.064147</v>
      </c>
      <c r="L185" s="7" t="str">
        <f>IFERROR(__xludf.DUMMYFUNCTION("""COMPUTED_VALUE"""),"Rua")</f>
        <v>Rua</v>
      </c>
      <c r="M185" s="7" t="str">
        <f>IFERROR(__xludf.DUMMYFUNCTION("""COMPUTED_VALUE""")," Hungria")</f>
        <v> Hungria</v>
      </c>
      <c r="N185" s="7" t="str">
        <f>IFERROR(__xludf.DUMMYFUNCTION("""COMPUTED_VALUE""")," Villarejo Sopé da Serra (Vilarejo)")</f>
        <v> Villarejo Sopé da Serra (Vilarejo)</v>
      </c>
      <c r="O185" s="7" t="str">
        <f>IFERROR(__xludf.DUMMYFUNCTION("""COMPUTED_VALUE""")," Cabreúva")</f>
        <v> Cabreúva</v>
      </c>
      <c r="P185" s="7" t="str">
        <f>IFERROR(__xludf.DUMMYFUNCTION("""COMPUTED_VALUE"""),"SP")</f>
        <v>SP</v>
      </c>
      <c r="Q185" s="7" t="str">
        <f>IFERROR(__xludf.DUMMYFUNCTION("""COMPUTED_VALUE""")," 13317-612 ")</f>
        <v> 13317-612 </v>
      </c>
      <c r="R185" s="9">
        <f>IFERROR(__xludf.DUMMYFUNCTION("SPLIT($K185,"" "","""")"),-2.3263205E7)</f>
        <v>-23263205</v>
      </c>
      <c r="S185" s="9">
        <f>IFERROR(__xludf.DUMMYFUNCTION("""COMPUTED_VALUE"""),-4.7064147E7)</f>
        <v>-47064147</v>
      </c>
      <c r="T185" s="10">
        <v>3508405.0</v>
      </c>
      <c r="U18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13317-612 ', 'PK-20686', SYSDATE, 0, 'PK-20686', SYSDATE, 'Rua  Hungria  Villarejo Sopé da Serra (Vilarejo)', 'Rua Hungria Villarejo Sopé da Serra (Vilarejo)', ' Villarejo Sopé da Serra (Vilarejo)', 'Rua', '3508405', 'Rua Hungria Villarejo Sopé da Serra (Vilarejo)',' Villarejo Sopé da Serra (Vilarejo)', '1', 'SP', '1', '-23263205', '-47064147', ' Villarejo Sopé da Serra (Vilarejo)' </v>
      </c>
    </row>
    <row r="186" ht="15.75" customHeight="1">
      <c r="A186" s="4" t="s">
        <v>595</v>
      </c>
      <c r="B186" s="5" t="s">
        <v>212</v>
      </c>
      <c r="C186" s="4" t="s">
        <v>10</v>
      </c>
      <c r="D186" s="5" t="s">
        <v>596</v>
      </c>
      <c r="E186" s="6">
        <v>214.0</v>
      </c>
      <c r="F186" s="6" t="s">
        <v>12</v>
      </c>
      <c r="G186" s="3" t="s">
        <v>13</v>
      </c>
      <c r="H186" s="7" t="str">
        <f>IFERROR(__xludf.DUMMYFUNCTION("SPLIT(A184,""Rua"","""")"),"       Ceará")</f>
        <v>       Ceará</v>
      </c>
      <c r="J186" s="3" t="s">
        <v>597</v>
      </c>
      <c r="K186" s="8" t="str">
        <f>IFERROR(__xludf.DUMMYFUNCTION("SPLIT($J186,""   "","""")"),"-23.251016 -47.057402")</f>
        <v>-23.251016 -47.057402</v>
      </c>
      <c r="L186" s="7" t="str">
        <f>IFERROR(__xludf.DUMMYFUNCTION("""COMPUTED_VALUE"""),"Rua")</f>
        <v>Rua</v>
      </c>
      <c r="M186" s="7" t="str">
        <f>IFERROR(__xludf.DUMMYFUNCTION("""COMPUTED_VALUE""")," Paraíba")</f>
        <v> Paraíba</v>
      </c>
      <c r="N186" s="7" t="str">
        <f>IFERROR(__xludf.DUMMYFUNCTION("""COMPUTED_VALUE""")," Jacaré")</f>
        <v> Jacaré</v>
      </c>
      <c r="O186" s="7" t="str">
        <f>IFERROR(__xludf.DUMMYFUNCTION("""COMPUTED_VALUE""")," Cabreúva")</f>
        <v> Cabreúva</v>
      </c>
      <c r="P186" s="7" t="str">
        <f>IFERROR(__xludf.DUMMYFUNCTION("""COMPUTED_VALUE"""),"SP")</f>
        <v>SP</v>
      </c>
      <c r="Q186" s="7" t="str">
        <f>IFERROR(__xludf.DUMMYFUNCTION("""COMPUTED_VALUE""")," 13318-104 ")</f>
        <v> 13318-104 </v>
      </c>
      <c r="R186" s="9">
        <f>IFERROR(__xludf.DUMMYFUNCTION("SPLIT($K186,"" "","""")"),-2.3251016E7)</f>
        <v>-23251016</v>
      </c>
      <c r="S186" s="9">
        <f>IFERROR(__xludf.DUMMYFUNCTION("""COMPUTED_VALUE"""),-4.7057402E7)</f>
        <v>-47057402</v>
      </c>
      <c r="T186" s="10">
        <v>3508405.0</v>
      </c>
      <c r="U18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13318-104 ', 'PK-20686', SYSDATE, 0, 'PK-20686', SYSDATE, 'Rua  Paraíba  Jacaré', 'Rua Paraíba Jacaré', ' Jacaré', 'Rua', '3508405', 'Rua Paraíba Jacaré',' Jacaré', '1', 'SP', '1', '-23251016', '-47057402', ' Jacaré' </v>
      </c>
    </row>
    <row r="187" ht="15.75" hidden="1" customHeight="1">
      <c r="A187" s="4" t="s">
        <v>598</v>
      </c>
      <c r="B187" s="5" t="s">
        <v>212</v>
      </c>
      <c r="C187" s="4" t="s">
        <v>10</v>
      </c>
      <c r="D187" s="5" t="s">
        <v>599</v>
      </c>
      <c r="E187" s="6">
        <v>214.0</v>
      </c>
      <c r="F187" s="6" t="s">
        <v>12</v>
      </c>
      <c r="G187" s="3" t="s">
        <v>13</v>
      </c>
      <c r="H187" s="7" t="str">
        <f>IFERROR(__xludf.DUMMYFUNCTION("SPLIT(A185,""Rua"","""")"),"       Ceci")</f>
        <v>       Ceci</v>
      </c>
      <c r="J187" s="3" t="s">
        <v>600</v>
      </c>
      <c r="K187" s="8" t="str">
        <f>IFERROR(__xludf.DUMMYFUNCTION("SPLIT($J187,""   "","""")"),"-23.259822 -47.056104")</f>
        <v>-23.259822 -47.056104</v>
      </c>
      <c r="L187" s="7" t="str">
        <f>IFERROR(__xludf.DUMMYFUNCTION("""COMPUTED_VALUE"""),"Avenida")</f>
        <v>Avenida</v>
      </c>
      <c r="M187" s="7" t="str">
        <f>IFERROR(__xludf.DUMMYFUNCTION("""COMPUTED_VALUE""")," Vereador José Donato")</f>
        <v> Vereador José Donato</v>
      </c>
      <c r="N187" s="7" t="str">
        <f>IFERROR(__xludf.DUMMYFUNCTION("""COMPUTED_VALUE""")," Bonfim")</f>
        <v> Bonfim</v>
      </c>
      <c r="O187" s="7" t="str">
        <f>IFERROR(__xludf.DUMMYFUNCTION("""COMPUTED_VALUE""")," Cabreúva")</f>
        <v> Cabreúva</v>
      </c>
      <c r="P187" s="7" t="str">
        <f>IFERROR(__xludf.DUMMYFUNCTION("""COMPUTED_VALUE"""),"SP")</f>
        <v>SP</v>
      </c>
      <c r="Q187" s="7" t="str">
        <f>IFERROR(__xludf.DUMMYFUNCTION("""COMPUTED_VALUE""")," 13319-010 ")</f>
        <v> 13319-010 </v>
      </c>
      <c r="R187" s="9">
        <f>IFERROR(__xludf.DUMMYFUNCTION("SPLIT($K187,"" "","""")"),-2.3259822E7)</f>
        <v>-23259822</v>
      </c>
      <c r="S187" s="9">
        <f>IFERROR(__xludf.DUMMYFUNCTION("""COMPUTED_VALUE"""),-4.7056104E7)</f>
        <v>-47056104</v>
      </c>
      <c r="T187" s="10">
        <v>3508405.0</v>
      </c>
      <c r="U18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13319-010 ', 'PK-20686', SYSDATE, 0, 'PK-20686', SYSDATE, 'Avenida  Vereador José Donato  Bonfim', 'Avenida Vereador José Donato Bonfim', ' Bonfim', 'Avenida', '3508405', 'Avenida Vereador José Donato Bonfim',' Bonfim', '1', 'SP', '1', '-23259822', '-47056104', ' Bonfim' </v>
      </c>
    </row>
    <row r="188" ht="15.75" hidden="1" customHeight="1">
      <c r="A188" s="4" t="s">
        <v>601</v>
      </c>
      <c r="B188" s="5" t="s">
        <v>142</v>
      </c>
      <c r="C188" s="4" t="s">
        <v>10</v>
      </c>
      <c r="D188" s="5" t="s">
        <v>602</v>
      </c>
      <c r="E188" s="6">
        <v>214.0</v>
      </c>
      <c r="F188" s="6" t="s">
        <v>12</v>
      </c>
      <c r="G188" s="3" t="s">
        <v>13</v>
      </c>
      <c r="H188" s="7" t="str">
        <f>IFERROR(__xludf.DUMMYFUNCTION("SPLIT(A186,""Rua"","""")"),"       Cerejeira")</f>
        <v>       Cerejeira</v>
      </c>
      <c r="J188" s="3" t="s">
        <v>603</v>
      </c>
      <c r="K188" s="8" t="str">
        <f>IFERROR(__xludf.DUMMYFUNCTION("SPLIT($J188,""   "","""")"),"-23.253074 -47.088722")</f>
        <v>-23.253074 -47.088722</v>
      </c>
      <c r="L188" s="7" t="str">
        <f>IFERROR(__xludf.DUMMYFUNCTION("""COMPUTED_VALUE"""),"Estrada")</f>
        <v>Estrada</v>
      </c>
      <c r="M188" s="7" t="str">
        <f>IFERROR(__xludf.DUMMYFUNCTION("""COMPUTED_VALUE""")," da Concórdia")</f>
        <v> da Concórdia</v>
      </c>
      <c r="N188" s="7" t="str">
        <f>IFERROR(__xludf.DUMMYFUNCTION("""COMPUTED_VALUE""")," Pinhal")</f>
        <v> Pinhal</v>
      </c>
      <c r="O188" s="7" t="str">
        <f>IFERROR(__xludf.DUMMYFUNCTION("""COMPUTED_VALUE""")," Cabreúva")</f>
        <v> Cabreúva</v>
      </c>
      <c r="P188" s="7" t="str">
        <f>IFERROR(__xludf.DUMMYFUNCTION("""COMPUTED_VALUE"""),"SP")</f>
        <v>SP</v>
      </c>
      <c r="Q188" s="7" t="str">
        <f>IFERROR(__xludf.DUMMYFUNCTION("""COMPUTED_VALUE""")," 13317-206 ")</f>
        <v> 13317-206 </v>
      </c>
      <c r="R188" s="9">
        <f>IFERROR(__xludf.DUMMYFUNCTION("SPLIT($K188,"" "","""")"),-2.3253074E7)</f>
        <v>-23253074</v>
      </c>
      <c r="S188" s="9">
        <f>IFERROR(__xludf.DUMMYFUNCTION("""COMPUTED_VALUE"""),-4.7088722E7)</f>
        <v>-47088722</v>
      </c>
      <c r="T188" s="10">
        <v>3508405.0</v>
      </c>
      <c r="U18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13317-206 ', 'PK-20686', SYSDATE, 0, 'PK-20686', SYSDATE, 'Estrada  da Concórdia  Pinhal', 'Estrada da Concórdia Pinhal', ' Pinhal', 'Estrada', '3508405', 'Estrada da Concórdia Pinhal',' Pinhal', '1', 'SP', '1', '-23253074', '-47088722', ' Pinhal' </v>
      </c>
    </row>
    <row r="189" ht="15.75" customHeight="1">
      <c r="A189" s="4" t="s">
        <v>604</v>
      </c>
      <c r="B189" s="5" t="s">
        <v>190</v>
      </c>
      <c r="C189" s="4" t="s">
        <v>10</v>
      </c>
      <c r="D189" s="5" t="s">
        <v>605</v>
      </c>
      <c r="E189" s="6">
        <v>214.0</v>
      </c>
      <c r="F189" s="6" t="s">
        <v>12</v>
      </c>
      <c r="G189" s="3" t="s">
        <v>13</v>
      </c>
      <c r="H189" s="7" t="str">
        <f>IFERROR(__xludf.DUMMYFUNCTION("SPLIT(A187,""Rua"","""")"),"       Chapéu de Sol")</f>
        <v>       Chapéu de Sol</v>
      </c>
      <c r="J189" s="3" t="s">
        <v>606</v>
      </c>
      <c r="K189" s="8" t="str">
        <f>IFERROR(__xludf.DUMMYFUNCTION("SPLIT($J189,""   "","""")"),"-23.307366 -47.133678")</f>
        <v>-23.307366 -47.133678</v>
      </c>
      <c r="L189" s="7" t="str">
        <f>IFERROR(__xludf.DUMMYFUNCTION("""COMPUTED_VALUE"""),"Rua")</f>
        <v>Rua</v>
      </c>
      <c r="M189" s="7" t="str">
        <f>IFERROR(__xludf.DUMMYFUNCTION("""COMPUTED_VALUE""")," Safira")</f>
        <v> Safira</v>
      </c>
      <c r="N189" s="7" t="str">
        <f>IFERROR(__xludf.DUMMYFUNCTION("""COMPUTED_VALUE""")," Vila Preciosa (Vilarejo)")</f>
        <v> Vila Preciosa (Vilarejo)</v>
      </c>
      <c r="O189" s="7" t="str">
        <f>IFERROR(__xludf.DUMMYFUNCTION("""COMPUTED_VALUE""")," Cabreúva")</f>
        <v> Cabreúva</v>
      </c>
      <c r="P189" s="7" t="str">
        <f>IFERROR(__xludf.DUMMYFUNCTION("""COMPUTED_VALUE"""),"SP")</f>
        <v>SP</v>
      </c>
      <c r="Q189" s="7" t="str">
        <f>IFERROR(__xludf.DUMMYFUNCTION("""COMPUTED_VALUE""")," 13317-512 ")</f>
        <v> 13317-512 </v>
      </c>
      <c r="R189" s="9">
        <f>IFERROR(__xludf.DUMMYFUNCTION("SPLIT($K189,"" "","""")"),-2.3307366E7)</f>
        <v>-23307366</v>
      </c>
      <c r="S189" s="9">
        <f>IFERROR(__xludf.DUMMYFUNCTION("""COMPUTED_VALUE"""),-4.7133678E7)</f>
        <v>-47133678</v>
      </c>
      <c r="T189" s="10">
        <v>3508405.0</v>
      </c>
      <c r="U18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13317-512 ', 'PK-20686', SYSDATE, 0, 'PK-20686', SYSDATE, 'Rua  Safira  Vila Preciosa (Vilarejo)', 'Rua Safira Vila Preciosa (Vilarejo)', ' Vila Preciosa (Vilarejo)', 'Rua', '3508405', 'Rua Safira Vila Preciosa (Vilarejo)',' Vila Preciosa (Vilarejo)', '1', 'SP', '1', '-23307366', '-47133678', ' Vila Preciosa (Vilarejo)' </v>
      </c>
    </row>
    <row r="190" ht="15.75" customHeight="1">
      <c r="A190" s="4" t="s">
        <v>607</v>
      </c>
      <c r="B190" s="5" t="s">
        <v>160</v>
      </c>
      <c r="C190" s="4" t="s">
        <v>10</v>
      </c>
      <c r="D190" s="5" t="s">
        <v>608</v>
      </c>
      <c r="E190" s="6">
        <v>214.0</v>
      </c>
      <c r="F190" s="6" t="s">
        <v>12</v>
      </c>
      <c r="G190" s="3" t="s">
        <v>13</v>
      </c>
      <c r="H190" s="7" t="str">
        <f>IFERROR(__xludf.DUMMYFUNCTION("SPLIT(A188,""Rua"","""")"),"       Chardonnay")</f>
        <v>       Chardonnay</v>
      </c>
      <c r="J190" s="3" t="s">
        <v>609</v>
      </c>
      <c r="K190" s="8" t="str">
        <f>IFERROR(__xludf.DUMMYFUNCTION("SPLIT($J190,""   "","""")"),"-23.536632 -46.677175")</f>
        <v>-23.536632 -46.677175</v>
      </c>
      <c r="L190" s="7" t="str">
        <f>IFERROR(__xludf.DUMMYFUNCTION("""COMPUTED_VALUE"""),"Rua")</f>
        <v>Rua</v>
      </c>
      <c r="M190" s="7" t="str">
        <f>IFERROR(__xludf.DUMMYFUNCTION("""COMPUTED_VALUE""")," Vereador Renardi Peratello")</f>
        <v> Vereador Renardi Peratello</v>
      </c>
      <c r="N190" s="7" t="str">
        <f>IFERROR(__xludf.DUMMYFUNCTION("""COMPUTED_VALUE""")," Flor de Ipê (Jacaré)")</f>
        <v> Flor de Ipê (Jacaré)</v>
      </c>
      <c r="O190" s="7" t="str">
        <f>IFERROR(__xludf.DUMMYFUNCTION("""COMPUTED_VALUE""")," Cabreúva")</f>
        <v> Cabreúva</v>
      </c>
      <c r="P190" s="7" t="str">
        <f>IFERROR(__xludf.DUMMYFUNCTION("""COMPUTED_VALUE"""),"SP")</f>
        <v>SP</v>
      </c>
      <c r="Q190" s="7" t="str">
        <f>IFERROR(__xludf.DUMMYFUNCTION("""COMPUTED_VALUE""")," 13318-412 ")</f>
        <v> 13318-412 </v>
      </c>
      <c r="R190" s="9">
        <f>IFERROR(__xludf.DUMMYFUNCTION("SPLIT($K190,"" "","""")"),-2.3536632E7)</f>
        <v>-23536632</v>
      </c>
      <c r="S190" s="9">
        <f>IFERROR(__xludf.DUMMYFUNCTION("""COMPUTED_VALUE"""),-4.6677175E7)</f>
        <v>-46677175</v>
      </c>
      <c r="T190" s="10">
        <v>3508405.0</v>
      </c>
      <c r="U19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13318-412 ', 'PK-20686', SYSDATE, 0, 'PK-20686', SYSDATE, 'Rua  Vereador Renardi Peratello  Flor de Ipê (Jacaré)', 'Rua Vereador Renardi Peratello Flor de Ipê (Jacaré)', ' Flor de Ipê (Jacaré)', 'Rua', '3508405', 'Rua Vereador Renardi Peratello Flor de Ipê (Jacaré)',' Flor de Ipê (Jacaré)', '1', 'SP', '1', '-23536632', '-46677175', ' Flor de Ipê (Jacaré)' </v>
      </c>
    </row>
    <row r="191" ht="15.75" customHeight="1">
      <c r="A191" s="4" t="s">
        <v>610</v>
      </c>
      <c r="B191" s="5" t="s">
        <v>611</v>
      </c>
      <c r="C191" s="4" t="s">
        <v>10</v>
      </c>
      <c r="D191" s="5" t="s">
        <v>612</v>
      </c>
      <c r="E191" s="6">
        <v>214.0</v>
      </c>
      <c r="F191" s="6" t="s">
        <v>12</v>
      </c>
      <c r="G191" s="3" t="s">
        <v>13</v>
      </c>
      <c r="H191" s="7" t="str">
        <f>IFERROR(__xludf.DUMMYFUNCTION("SPLIT(A189,""Rua"","""")"),"       Chile")</f>
        <v>       Chile</v>
      </c>
      <c r="J191" s="3" t="s">
        <v>613</v>
      </c>
      <c r="K191" s="8" t="str">
        <f>IFERROR(__xludf.DUMMYFUNCTION("SPLIT($J191,""   "","""")"),"-23.279262 -47.061116")</f>
        <v>-23.279262 -47.061116</v>
      </c>
      <c r="L191" s="7" t="str">
        <f>IFERROR(__xludf.DUMMYFUNCTION("""COMPUTED_VALUE"""),"Rua")</f>
        <v>Rua</v>
      </c>
      <c r="M191" s="7" t="str">
        <f>IFERROR(__xludf.DUMMYFUNCTION("""COMPUTED_VALUE""")," Uberlândia")</f>
        <v> Uberlândia</v>
      </c>
      <c r="N191" s="7" t="str">
        <f>IFERROR(__xludf.DUMMYFUNCTION("""COMPUTED_VALUE""")," Novo Bonfim (Vilarejo)")</f>
        <v> Novo Bonfim (Vilarejo)</v>
      </c>
      <c r="O191" s="7" t="str">
        <f>IFERROR(__xludf.DUMMYFUNCTION("""COMPUTED_VALUE""")," Cabreúva")</f>
        <v> Cabreúva</v>
      </c>
      <c r="P191" s="7" t="str">
        <f>IFERROR(__xludf.DUMMYFUNCTION("""COMPUTED_VALUE"""),"SP")</f>
        <v>SP</v>
      </c>
      <c r="Q191" s="7" t="str">
        <f>IFERROR(__xludf.DUMMYFUNCTION("""COMPUTED_VALUE""")," 13317-782 ")</f>
        <v> 13317-782 </v>
      </c>
      <c r="R191" s="9">
        <f>IFERROR(__xludf.DUMMYFUNCTION("SPLIT($K191,"" "","""")"),-2.3279262E7)</f>
        <v>-23279262</v>
      </c>
      <c r="S191" s="9">
        <f>IFERROR(__xludf.DUMMYFUNCTION("""COMPUTED_VALUE"""),-4.7061116E7)</f>
        <v>-47061116</v>
      </c>
      <c r="T191" s="10">
        <v>3508405.0</v>
      </c>
      <c r="U19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13317-782 ', 'PK-20686', SYSDATE, 0, 'PK-20686', SYSDATE, 'Rua  Uberlândia  Novo Bonfim (Vilarejo)', 'Rua Uberlândia Novo Bonfim (Vilarejo)', ' Novo Bonfim (Vilarejo)', 'Rua', '3508405', 'Rua Uberlândia Novo Bonfim (Vilarejo)',' Novo Bonfim (Vilarejo)', '1', 'SP', '1', '-23279262', '-47061116', ' Novo Bonfim (Vilarejo)' </v>
      </c>
    </row>
    <row r="192" ht="15.75" customHeight="1">
      <c r="A192" s="4" t="s">
        <v>614</v>
      </c>
      <c r="B192" s="5" t="s">
        <v>24</v>
      </c>
      <c r="C192" s="4" t="s">
        <v>10</v>
      </c>
      <c r="D192" s="5" t="s">
        <v>615</v>
      </c>
      <c r="E192" s="6">
        <v>214.0</v>
      </c>
      <c r="F192" s="6" t="s">
        <v>12</v>
      </c>
      <c r="G192" s="3" t="s">
        <v>13</v>
      </c>
      <c r="H192" s="7" t="str">
        <f>IFERROR(__xludf.DUMMYFUNCTION("SPLIT(A190,""Rua"","""")"),"       China")</f>
        <v>       China</v>
      </c>
      <c r="J192" s="3" t="s">
        <v>616</v>
      </c>
      <c r="K192" s="8" t="str">
        <f>IFERROR(__xludf.DUMMYFUNCTION("SPLIT($J192,""   "","""")"),"-23.270554 -47.053416")</f>
        <v>-23.270554 -47.053416</v>
      </c>
      <c r="L192" s="7" t="str">
        <f>IFERROR(__xludf.DUMMYFUNCTION("""COMPUTED_VALUE"""),"Rua")</f>
        <v>Rua</v>
      </c>
      <c r="M192" s="7" t="str">
        <f>IFERROR(__xludf.DUMMYFUNCTION("""COMPUTED_VALUE""")," Turquia")</f>
        <v> Turquia</v>
      </c>
      <c r="N192" s="7" t="str">
        <f>IFERROR(__xludf.DUMMYFUNCTION("""COMPUTED_VALUE""")," Villarejo Sopé da Serra (Vilarejo)")</f>
        <v> Villarejo Sopé da Serra (Vilarejo)</v>
      </c>
      <c r="O192" s="7" t="str">
        <f>IFERROR(__xludf.DUMMYFUNCTION("""COMPUTED_VALUE""")," Cabreúva")</f>
        <v> Cabreúva</v>
      </c>
      <c r="P192" s="7" t="str">
        <f>IFERROR(__xludf.DUMMYFUNCTION("""COMPUTED_VALUE"""),"SP")</f>
        <v>SP</v>
      </c>
      <c r="Q192" s="7" t="str">
        <f>IFERROR(__xludf.DUMMYFUNCTION("""COMPUTED_VALUE""")," 13317-682 ")</f>
        <v> 13317-682 </v>
      </c>
      <c r="R192" s="9">
        <f>IFERROR(__xludf.DUMMYFUNCTION("SPLIT($K192,"" "","""")"),-2.3270554E7)</f>
        <v>-23270554</v>
      </c>
      <c r="S192" s="9">
        <f>IFERROR(__xludf.DUMMYFUNCTION("""COMPUTED_VALUE"""),-4.7053416E7)</f>
        <v>-47053416</v>
      </c>
      <c r="T192" s="10">
        <v>3508405.0</v>
      </c>
      <c r="U19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13317-682 ', 'PK-20686', SYSDATE, 0, 'PK-20686', SYSDATE, 'Rua  Turquia  Villarejo Sopé da Serra (Vilarejo)', 'Rua Turquia Villarejo Sopé da Serra (Vilarejo)', ' Villarejo Sopé da Serra (Vilarejo)', 'Rua', '3508405', 'Rua Turquia Villarejo Sopé da Serra (Vilarejo)',' Villarejo Sopé da Serra (Vilarejo)', '1', 'SP', '1', '-23270554', '-47053416', ' Villarejo Sopé da Serra (Vilarejo)' </v>
      </c>
    </row>
    <row r="193" ht="15.75" customHeight="1">
      <c r="A193" s="4" t="s">
        <v>617</v>
      </c>
      <c r="B193" s="5" t="s">
        <v>190</v>
      </c>
      <c r="C193" s="4" t="s">
        <v>10</v>
      </c>
      <c r="D193" s="5" t="s">
        <v>618</v>
      </c>
      <c r="E193" s="6">
        <v>214.0</v>
      </c>
      <c r="F193" s="6" t="s">
        <v>12</v>
      </c>
      <c r="G193" s="3" t="s">
        <v>13</v>
      </c>
      <c r="H193" s="7" t="str">
        <f>IFERROR(__xludf.DUMMYFUNCTION("SPLIT(A191,""Rua"","""")"),"       Cinco")</f>
        <v>       Cinco</v>
      </c>
      <c r="J193" s="3" t="s">
        <v>619</v>
      </c>
      <c r="K193" s="8" t="str">
        <f>IFERROR(__xludf.DUMMYFUNCTION("SPLIT($J193,""   "","""")"),"-23.307366 -47.133678")</f>
        <v>-23.307366 -47.133678</v>
      </c>
      <c r="L193" s="7" t="str">
        <f>IFERROR(__xludf.DUMMYFUNCTION("""COMPUTED_VALUE"""),"Rua")</f>
        <v>Rua</v>
      </c>
      <c r="M193" s="7" t="str">
        <f>IFERROR(__xludf.DUMMYFUNCTION("""COMPUTED_VALUE""")," C")</f>
        <v> C</v>
      </c>
      <c r="N193" s="7" t="str">
        <f>IFERROR(__xludf.DUMMYFUNCTION("""COMPUTED_VALUE""")," Fazenda Sossego (São Francisco)")</f>
        <v> Fazenda Sossego (São Francisco)</v>
      </c>
      <c r="O193" s="7" t="str">
        <f>IFERROR(__xludf.DUMMYFUNCTION("""COMPUTED_VALUE""")," Cabreúva")</f>
        <v> Cabreúva</v>
      </c>
      <c r="P193" s="7" t="str">
        <f>IFERROR(__xludf.DUMMYFUNCTION("""COMPUTED_VALUE"""),"SP")</f>
        <v>SP</v>
      </c>
      <c r="Q193" s="7" t="str">
        <f>IFERROR(__xludf.DUMMYFUNCTION("""COMPUTED_VALUE""")," 13316-702 ")</f>
        <v> 13316-702 </v>
      </c>
      <c r="R193" s="9">
        <f>IFERROR(__xludf.DUMMYFUNCTION("SPLIT($K193,"" "","""")"),-2.3307366E7)</f>
        <v>-23307366</v>
      </c>
      <c r="S193" s="9">
        <f>IFERROR(__xludf.DUMMYFUNCTION("""COMPUTED_VALUE"""),-4.7133678E7)</f>
        <v>-47133678</v>
      </c>
      <c r="T193" s="10">
        <v>3508405.0</v>
      </c>
      <c r="U19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13316-702 ', 'PK-20686', SYSDATE, 0, 'PK-20686', SYSDATE, 'Rua  C  Fazenda Sossego (São Francisco)', 'Rua C Fazenda Sossego (São Francisco)', ' Fazenda Sossego (São Francisco)', 'Rua', '3508405', 'Rua C Fazenda Sossego (São Francisco)',' Fazenda Sossego (São Francisco)', '1', 'SP', '1', '-23307366', '-47133678', ' Fazenda Sossego (São Francisco)' </v>
      </c>
    </row>
    <row r="194" ht="15.75" hidden="1" customHeight="1">
      <c r="A194" s="4" t="s">
        <v>620</v>
      </c>
      <c r="B194" s="5" t="s">
        <v>231</v>
      </c>
      <c r="C194" s="4" t="s">
        <v>10</v>
      </c>
      <c r="D194" s="5" t="s">
        <v>621</v>
      </c>
      <c r="E194" s="6">
        <v>214.0</v>
      </c>
      <c r="F194" s="6" t="s">
        <v>12</v>
      </c>
      <c r="G194" s="3" t="s">
        <v>13</v>
      </c>
      <c r="H194" s="7" t="str">
        <f>IFERROR(__xludf.DUMMYFUNCTION("SPLIT(A192,""Rua"","""")"),"       Citrino")</f>
        <v>       Citrino</v>
      </c>
      <c r="J194" s="3" t="s">
        <v>622</v>
      </c>
      <c r="K194" s="8" t="str">
        <f>IFERROR(__xludf.DUMMYFUNCTION("SPLIT($J194,""   "","""")"),"-23.307366 -47.133678")</f>
        <v>-23.307366 -47.133678</v>
      </c>
      <c r="L194" s="7" t="str">
        <f>IFERROR(__xludf.DUMMYFUNCTION("""COMPUTED_VALUE"""),"Estrada")</f>
        <v>Estrada</v>
      </c>
      <c r="M194" s="7" t="str">
        <f>IFERROR(__xludf.DUMMYFUNCTION("""COMPUTED_VALUE""")," da Fazenda Cristal")</f>
        <v> da Fazenda Cristal</v>
      </c>
      <c r="N194" s="7" t="str">
        <f>IFERROR(__xludf.DUMMYFUNCTION("""COMPUTED_VALUE""")," Guaxatuba")</f>
        <v> Guaxatuba</v>
      </c>
      <c r="O194" s="7" t="str">
        <f>IFERROR(__xludf.DUMMYFUNCTION("""COMPUTED_VALUE""")," Cabreúva")</f>
        <v> Cabreúva</v>
      </c>
      <c r="P194" s="7" t="str">
        <f>IFERROR(__xludf.DUMMYFUNCTION("""COMPUTED_VALUE"""),"SP")</f>
        <v>SP</v>
      </c>
      <c r="Q194" s="7" t="str">
        <f>IFERROR(__xludf.DUMMYFUNCTION("""COMPUTED_VALUE""")," 13316-502 ")</f>
        <v> 13316-502 </v>
      </c>
      <c r="R194" s="9">
        <f>IFERROR(__xludf.DUMMYFUNCTION("SPLIT($K194,"" "","""")"),-2.3307366E7)</f>
        <v>-23307366</v>
      </c>
      <c r="S194" s="9">
        <f>IFERROR(__xludf.DUMMYFUNCTION("""COMPUTED_VALUE"""),-4.7133678E7)</f>
        <v>-47133678</v>
      </c>
      <c r="T194" s="10">
        <v>3508405.0</v>
      </c>
      <c r="U19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13316-502 ', 'PK-20686', SYSDATE, 0, 'PK-20686', SYSDATE, 'Estrada  da Fazenda Cristal  Guaxatuba', 'Estrada da Fazenda Cristal Guaxatuba', ' Guaxatuba', 'Estrada', '3508405', 'Estrada da Fazenda Cristal Guaxatuba',' Guaxatuba', '1', 'SP', '1', '-23307366', '-47133678', ' Guaxatuba' </v>
      </c>
    </row>
    <row r="195" ht="15.75" customHeight="1">
      <c r="A195" s="4" t="s">
        <v>623</v>
      </c>
      <c r="B195" s="5" t="s">
        <v>180</v>
      </c>
      <c r="C195" s="4" t="s">
        <v>10</v>
      </c>
      <c r="D195" s="5" t="s">
        <v>624</v>
      </c>
      <c r="E195" s="6">
        <v>214.0</v>
      </c>
      <c r="F195" s="6" t="s">
        <v>12</v>
      </c>
      <c r="G195" s="3" t="s">
        <v>13</v>
      </c>
      <c r="H195" s="7" t="str">
        <f>IFERROR(__xludf.DUMMYFUNCTION("SPLIT(A193,""Rua"","""")"),"       Colômbia")</f>
        <v>       Colômbia</v>
      </c>
      <c r="J195" s="3" t="s">
        <v>625</v>
      </c>
      <c r="K195" s="8" t="str">
        <f>IFERROR(__xludf.DUMMYFUNCTION("SPLIT($J195,""   "","""")"),"-23.245618 -47.064924")</f>
        <v>-23.245618 -47.064924</v>
      </c>
      <c r="L195" s="7" t="str">
        <f>IFERROR(__xludf.DUMMYFUNCTION("""COMPUTED_VALUE"""),"Rua")</f>
        <v>Rua</v>
      </c>
      <c r="M195" s="7" t="str">
        <f>IFERROR(__xludf.DUMMYFUNCTION("""COMPUTED_VALUE""")," Merlot")</f>
        <v> Merlot</v>
      </c>
      <c r="N195" s="7" t="str">
        <f>IFERROR(__xludf.DUMMYFUNCTION("""COMPUTED_VALUE""")," Reserva da Quinta (Jacaré)")</f>
        <v> Reserva da Quinta (Jacaré)</v>
      </c>
      <c r="O195" s="7" t="str">
        <f>IFERROR(__xludf.DUMMYFUNCTION("""COMPUTED_VALUE""")," Cabreúva")</f>
        <v> Cabreúva</v>
      </c>
      <c r="P195" s="7" t="str">
        <f>IFERROR(__xludf.DUMMYFUNCTION("""COMPUTED_VALUE"""),"SP")</f>
        <v>SP</v>
      </c>
      <c r="Q195" s="7" t="str">
        <f>IFERROR(__xludf.DUMMYFUNCTION("""COMPUTED_VALUE""")," 13318-458 ")</f>
        <v> 13318-458 </v>
      </c>
      <c r="R195" s="9">
        <f>IFERROR(__xludf.DUMMYFUNCTION("SPLIT($K195,"" "","""")"),-2.3245618E7)</f>
        <v>-23245618</v>
      </c>
      <c r="S195" s="9">
        <f>IFERROR(__xludf.DUMMYFUNCTION("""COMPUTED_VALUE"""),-4.7064924E7)</f>
        <v>-47064924</v>
      </c>
      <c r="T195" s="10">
        <v>3508405.0</v>
      </c>
      <c r="U19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13318-458 ', 'PK-20686', SYSDATE, 0, 'PK-20686', SYSDATE, 'Rua  Merlot  Reserva da Quinta (Jacaré)', 'Rua Merlot Reserva da Quinta (Jacaré)', ' Reserva da Quinta (Jacaré)', 'Rua', '3508405', 'Rua Merlot Reserva da Quinta (Jacaré)',' Reserva da Quinta (Jacaré)', '1', 'SP', '1', '-23245618', '-47064924', ' Reserva da Quinta (Jacaré)' </v>
      </c>
    </row>
    <row r="196" ht="15.75" customHeight="1">
      <c r="A196" s="4" t="s">
        <v>626</v>
      </c>
      <c r="B196" s="5" t="s">
        <v>180</v>
      </c>
      <c r="C196" s="4" t="s">
        <v>10</v>
      </c>
      <c r="D196" s="5" t="s">
        <v>627</v>
      </c>
      <c r="E196" s="6">
        <v>214.0</v>
      </c>
      <c r="F196" s="6" t="s">
        <v>12</v>
      </c>
      <c r="G196" s="3" t="s">
        <v>13</v>
      </c>
      <c r="H196" s="7" t="str">
        <f>IFERROR(__xludf.DUMMYFUNCTION("SPLIT(A194,""Rua"","""")"),"       Concórdia")</f>
        <v>       Concórdia</v>
      </c>
      <c r="J196" s="3" t="s">
        <v>628</v>
      </c>
      <c r="K196" s="8" t="str">
        <f>IFERROR(__xludf.DUMMYFUNCTION("SPLIT($J196,""   "","""")"),"-23.28103 -47.060922")</f>
        <v>-23.28103 -47.060922</v>
      </c>
      <c r="L196" s="7" t="str">
        <f>IFERROR(__xludf.DUMMYFUNCTION("""COMPUTED_VALUE"""),"Rua")</f>
        <v>Rua</v>
      </c>
      <c r="M196" s="7" t="str">
        <f>IFERROR(__xludf.DUMMYFUNCTION("""COMPUTED_VALUE""")," Itapetininga")</f>
        <v> Itapetininga</v>
      </c>
      <c r="N196" s="7" t="str">
        <f>IFERROR(__xludf.DUMMYFUNCTION("""COMPUTED_VALUE""")," Novo Bonfim (Vilarejo)")</f>
        <v> Novo Bonfim (Vilarejo)</v>
      </c>
      <c r="O196" s="7" t="str">
        <f>IFERROR(__xludf.DUMMYFUNCTION("""COMPUTED_VALUE""")," Cabreúva")</f>
        <v> Cabreúva</v>
      </c>
      <c r="P196" s="7" t="str">
        <f>IFERROR(__xludf.DUMMYFUNCTION("""COMPUTED_VALUE"""),"SP")</f>
        <v>SP</v>
      </c>
      <c r="Q196" s="7" t="str">
        <f>IFERROR(__xludf.DUMMYFUNCTION("""COMPUTED_VALUE""")," 13317-794 ")</f>
        <v> 13317-794 </v>
      </c>
      <c r="R196" s="9">
        <f>IFERROR(__xludf.DUMMYFUNCTION("SPLIT($K196,"" "","""")"),-2328103.0)</f>
        <v>-2328103</v>
      </c>
      <c r="S196" s="9">
        <f>IFERROR(__xludf.DUMMYFUNCTION("""COMPUTED_VALUE"""),-4.7060922E7)</f>
        <v>-47060922</v>
      </c>
      <c r="T196" s="10">
        <v>3508405.0</v>
      </c>
      <c r="U19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13317-794 ', 'PK-20686', SYSDATE, 0, 'PK-20686', SYSDATE, 'Rua  Itapetininga  Novo Bonfim (Vilarejo)', 'Rua Itapetininga Novo Bonfim (Vilarejo)', ' Novo Bonfim (Vilarejo)', 'Rua', '3508405', 'Rua Itapetininga Novo Bonfim (Vilarejo)',' Novo Bonfim (Vilarejo)', '1', 'SP', '1', '-2328103', '-47060922', ' Novo Bonfim (Vilarejo)' </v>
      </c>
    </row>
    <row r="197" ht="15.75" customHeight="1">
      <c r="A197" s="12" t="s">
        <v>629</v>
      </c>
      <c r="B197" s="13" t="s">
        <v>180</v>
      </c>
      <c r="C197" s="4" t="s">
        <v>10</v>
      </c>
      <c r="D197" s="13" t="s">
        <v>630</v>
      </c>
      <c r="E197" s="6">
        <v>214.0</v>
      </c>
      <c r="F197" s="6" t="s">
        <v>12</v>
      </c>
      <c r="G197" s="3" t="s">
        <v>13</v>
      </c>
      <c r="H197" s="7" t="str">
        <f>IFERROR(__xludf.DUMMYFUNCTION("SPLIT(A195,""Rua"","""")"),"       Cônego Motta")</f>
        <v>       Cônego Motta</v>
      </c>
      <c r="J197" s="3" t="s">
        <v>631</v>
      </c>
      <c r="K197" s="8" t="str">
        <f>IFERROR(__xludf.DUMMYFUNCTION("SPLIT($J197,""   "","""")"),"-23.307026 -47.131545")</f>
        <v>-23.307026 -47.131545</v>
      </c>
      <c r="L197" s="7" t="str">
        <f>IFERROR(__xludf.DUMMYFUNCTION("""COMPUTED_VALUE"""),"Rua")</f>
        <v>Rua</v>
      </c>
      <c r="M197" s="7" t="str">
        <f>IFERROR(__xludf.DUMMYFUNCTION("""COMPUTED_VALUE""")," Cônego Motta")</f>
        <v> Cônego Motta</v>
      </c>
      <c r="N197" s="7" t="str">
        <f>IFERROR(__xludf.DUMMYFUNCTION("""COMPUTED_VALUE""")," 84 AC Cabreúva  Centro")</f>
        <v> 84 AC Cabreúva  Centro</v>
      </c>
      <c r="O197" s="7" t="str">
        <f>IFERROR(__xludf.DUMMYFUNCTION("""COMPUTED_VALUE""")," Cabreúva")</f>
        <v> Cabreúva</v>
      </c>
      <c r="P197" s="7" t="str">
        <f>IFERROR(__xludf.DUMMYFUNCTION("""COMPUTED_VALUE"""),"SP")</f>
        <v>SP</v>
      </c>
      <c r="Q197" s="7" t="str">
        <f>IFERROR(__xludf.DUMMYFUNCTION("""COMPUTED_VALUE""")," 13315-970 ")</f>
        <v> 13315-970 </v>
      </c>
      <c r="R197" s="9">
        <f>IFERROR(__xludf.DUMMYFUNCTION("SPLIT($K197,"" "","""")"),-2.3307026E7)</f>
        <v>-23307026</v>
      </c>
      <c r="S197" s="9">
        <f>IFERROR(__xludf.DUMMYFUNCTION("""COMPUTED_VALUE"""),-4.7131545E7)</f>
        <v>-47131545</v>
      </c>
      <c r="T197" s="10">
        <v>3508405.0</v>
      </c>
      <c r="U19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13315-970 ', 'PK-20686', SYSDATE, 0, 'PK-20686', SYSDATE, 'Rua  Cônego Motta  84 AC Cabreúva  Centro', 'Rua Cônego Motta 84 AC Cabreúva  Centro', ' 84 AC Cabreúva  Centro', 'Rua', '3508405', 'Rua Cônego Motta 84 AC Cabreúva  Centro',' 84 AC Cabreúva  Centro', '1', 'SP', '1', '-23307026', '-47131545', ' 84 AC Cabreúva  Centro' </v>
      </c>
    </row>
    <row r="198" ht="15.75" customHeight="1">
      <c r="A198" s="4" t="s">
        <v>632</v>
      </c>
      <c r="B198" s="5" t="s">
        <v>372</v>
      </c>
      <c r="C198" s="4" t="s">
        <v>10</v>
      </c>
      <c r="D198" s="5" t="s">
        <v>633</v>
      </c>
      <c r="E198" s="6">
        <v>214.0</v>
      </c>
      <c r="F198" s="6" t="s">
        <v>12</v>
      </c>
      <c r="G198" s="3" t="s">
        <v>13</v>
      </c>
      <c r="H198" s="7" t="str">
        <f>IFERROR(__xludf.DUMMYFUNCTION("SPLIT(A196,""Rua"","""")"),"       Cônego Motta    84
AC Cabreúva")</f>
        <v>       Cônego Motta    84
AC Cabreúva</v>
      </c>
      <c r="J198" s="3" t="s">
        <v>634</v>
      </c>
      <c r="K198" s="8" t="str">
        <f>IFERROR(__xludf.DUMMYFUNCTION("SPLIT($J198,""   "","""")"),"-23.256832 -47.058119")</f>
        <v>-23.256832 -47.058119</v>
      </c>
      <c r="L198" s="7" t="str">
        <f>IFERROR(__xludf.DUMMYFUNCTION("""COMPUTED_VALUE"""),"Rua")</f>
        <v>Rua</v>
      </c>
      <c r="M198" s="7" t="str">
        <f>IFERROR(__xludf.DUMMYFUNCTION("""COMPUTED_VALUE""")," Tiradentes")</f>
        <v> Tiradentes</v>
      </c>
      <c r="N198" s="7" t="str">
        <f>IFERROR(__xludf.DUMMYFUNCTION("""COMPUTED_VALUE""")," Parque Santo Antônio (Jacaré)")</f>
        <v> Parque Santo Antônio (Jacaré)</v>
      </c>
      <c r="O198" s="7" t="str">
        <f>IFERROR(__xludf.DUMMYFUNCTION("""COMPUTED_VALUE""")," Cabreúva")</f>
        <v> Cabreúva</v>
      </c>
      <c r="P198" s="7" t="str">
        <f>IFERROR(__xludf.DUMMYFUNCTION("""COMPUTED_VALUE"""),"SP")</f>
        <v>SP</v>
      </c>
      <c r="Q198" s="7" t="str">
        <f>IFERROR(__xludf.DUMMYFUNCTION("""COMPUTED_VALUE""")," 13318-178 ")</f>
        <v> 13318-178 </v>
      </c>
      <c r="R198" s="9">
        <f>IFERROR(__xludf.DUMMYFUNCTION("SPLIT($K198,"" "","""")"),-2.3256832E7)</f>
        <v>-23256832</v>
      </c>
      <c r="S198" s="9">
        <f>IFERROR(__xludf.DUMMYFUNCTION("""COMPUTED_VALUE"""),-4.7058119E7)</f>
        <v>-47058119</v>
      </c>
      <c r="T198" s="10">
        <v>3508405.0</v>
      </c>
      <c r="U19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13318-178 ', 'PK-20686', SYSDATE, 0, 'PK-20686', SYSDATE, 'Rua  Tiradentes  Parque Santo Antônio (Jacaré)', 'Rua Tiradentes Parque Santo Antônio (Jacaré)', ' Parque Santo Antônio (Jacaré)', 'Rua', '3508405', 'Rua Tiradentes Parque Santo Antônio (Jacaré)',' Parque Santo Antônio (Jacaré)', '1', 'SP', '1', '-23256832', '-47058119', ' Parque Santo Antônio (Jacaré)' </v>
      </c>
    </row>
    <row r="199" ht="15.75" customHeight="1">
      <c r="A199" s="4" t="s">
        <v>635</v>
      </c>
      <c r="B199" s="5" t="s">
        <v>180</v>
      </c>
      <c r="C199" s="4" t="s">
        <v>10</v>
      </c>
      <c r="D199" s="5" t="s">
        <v>636</v>
      </c>
      <c r="E199" s="6">
        <v>214.0</v>
      </c>
      <c r="F199" s="6" t="s">
        <v>12</v>
      </c>
      <c r="G199" s="3" t="s">
        <v>13</v>
      </c>
      <c r="H199" s="7" t="str">
        <f>IFERROR(__xludf.DUMMYFUNCTION("SPLIT(A197,""Rua"","""")"),"       Cônego Motta    84 Clique e Retire Correios
AC Cabreúva Clique e Retire")</f>
        <v>       Cônego Motta    84 Clique e Retire Correios
AC Cabreúva Clique e Retire</v>
      </c>
      <c r="J199" s="3" t="s">
        <v>637</v>
      </c>
      <c r="K199" s="8" t="str">
        <f>IFERROR(__xludf.DUMMYFUNCTION("SPLIT($J199,""   "","""")"),"-23.295531 -47.141772")</f>
        <v>-23.295531 -47.141772</v>
      </c>
      <c r="L199" s="7" t="str">
        <f>IFERROR(__xludf.DUMMYFUNCTION("""COMPUTED_VALUE"""),"Rua")</f>
        <v>Rua</v>
      </c>
      <c r="M199" s="7" t="str">
        <f>IFERROR(__xludf.DUMMYFUNCTION("""COMPUTED_VALUE""")," Cerejeira")</f>
        <v> Cerejeira</v>
      </c>
      <c r="N199" s="7" t="str">
        <f>IFERROR(__xludf.DUMMYFUNCTION("""COMPUTED_VALUE""")," Vale Verde (Centro)")</f>
        <v> Vale Verde (Centro)</v>
      </c>
      <c r="O199" s="7" t="str">
        <f>IFERROR(__xludf.DUMMYFUNCTION("""COMPUTED_VALUE""")," Cabreúva")</f>
        <v> Cabreúva</v>
      </c>
      <c r="P199" s="7" t="str">
        <f>IFERROR(__xludf.DUMMYFUNCTION("""COMPUTED_VALUE"""),"SP")</f>
        <v>SP</v>
      </c>
      <c r="Q199" s="7" t="str">
        <f>IFERROR(__xludf.DUMMYFUNCTION("""COMPUTED_VALUE""")," 13315-292 ")</f>
        <v> 13315-292 </v>
      </c>
      <c r="R199" s="9">
        <f>IFERROR(__xludf.DUMMYFUNCTION("SPLIT($K199,"" "","""")"),-2.3295531E7)</f>
        <v>-23295531</v>
      </c>
      <c r="S199" s="9">
        <f>IFERROR(__xludf.DUMMYFUNCTION("""COMPUTED_VALUE"""),-4.7141772E7)</f>
        <v>-47141772</v>
      </c>
      <c r="T199" s="10">
        <v>3508405.0</v>
      </c>
      <c r="U19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13315-292 ', 'PK-20686', SYSDATE, 0, 'PK-20686', SYSDATE, 'Rua  Cerejeira  Vale Verde (Centro)', 'Rua Cerejeira Vale Verde (Centro)', ' Vale Verde (Centro)', 'Rua', '3508405', 'Rua Cerejeira Vale Verde (Centro)',' Vale Verde (Centro)', '1', 'SP', '1', '-23295531', '-47141772', ' Vale Verde (Centro)' </v>
      </c>
    </row>
    <row r="200" ht="15.75" hidden="1" customHeight="1">
      <c r="A200" s="4" t="s">
        <v>638</v>
      </c>
      <c r="B200" s="5" t="s">
        <v>149</v>
      </c>
      <c r="C200" s="4" t="s">
        <v>10</v>
      </c>
      <c r="D200" s="5" t="s">
        <v>639</v>
      </c>
      <c r="E200" s="6">
        <v>214.0</v>
      </c>
      <c r="F200" s="6" t="s">
        <v>12</v>
      </c>
      <c r="G200" s="3" t="s">
        <v>13</v>
      </c>
      <c r="H200" s="7" t="str">
        <f>IFERROR(__xludf.DUMMYFUNCTION("SPLIT(A198,""Rua"","""")"),"       Congo")</f>
        <v>       Congo</v>
      </c>
      <c r="J200" s="3" t="s">
        <v>640</v>
      </c>
      <c r="K200" s="8" t="str">
        <f>IFERROR(__xludf.DUMMYFUNCTION("SPLIT($J200,""   "","""")"),"-23.309687 -47.130745")</f>
        <v>-23.309687 -47.130745</v>
      </c>
      <c r="L200" s="7" t="str">
        <f>IFERROR(__xludf.DUMMYFUNCTION("""COMPUTED_VALUE"""),"Avenida")</f>
        <v>Avenida</v>
      </c>
      <c r="M200" s="7" t="str">
        <f>IFERROR(__xludf.DUMMYFUNCTION("""COMPUTED_VALUE""")," Marciano Xavier Oliveira")</f>
        <v> Marciano Xavier Oliveira</v>
      </c>
      <c r="N200" s="7" t="str">
        <f>IFERROR(__xludf.DUMMYFUNCTION("""COMPUTED_VALUE""")," Centro")</f>
        <v> Centro</v>
      </c>
      <c r="O200" s="7" t="str">
        <f>IFERROR(__xludf.DUMMYFUNCTION("""COMPUTED_VALUE""")," Cabreúva")</f>
        <v> Cabreúva</v>
      </c>
      <c r="P200" s="7" t="str">
        <f>IFERROR(__xludf.DUMMYFUNCTION("""COMPUTED_VALUE"""),"SP")</f>
        <v>SP</v>
      </c>
      <c r="Q200" s="7" t="str">
        <f>IFERROR(__xludf.DUMMYFUNCTION("""COMPUTED_VALUE""")," 13315-045 ")</f>
        <v> 13315-045 </v>
      </c>
      <c r="R200" s="9">
        <f>IFERROR(__xludf.DUMMYFUNCTION("SPLIT($K200,"" "","""")"),-2.3309687E7)</f>
        <v>-23309687</v>
      </c>
      <c r="S200" s="9">
        <f>IFERROR(__xludf.DUMMYFUNCTION("""COMPUTED_VALUE"""),-4.7130745E7)</f>
        <v>-47130745</v>
      </c>
      <c r="T200" s="10">
        <v>3508405.0</v>
      </c>
      <c r="U20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13315-045 ', 'PK-20686', SYSDATE, 0, 'PK-20686', SYSDATE, 'Avenida  Marciano Xavier Oliveira  Centro', 'Avenida Marciano Xavier Oliveira Centro', ' Centro', 'Avenida', '3508405', 'Avenida Marciano Xavier Oliveira Centro',' Centro', '1', 'SP', '1', '-23309687', '-47130745', ' Centro' </v>
      </c>
    </row>
    <row r="201" ht="15.75" customHeight="1">
      <c r="A201" s="4" t="s">
        <v>641</v>
      </c>
      <c r="B201" s="5" t="s">
        <v>24</v>
      </c>
      <c r="C201" s="4" t="s">
        <v>10</v>
      </c>
      <c r="D201" s="5" t="s">
        <v>642</v>
      </c>
      <c r="E201" s="6">
        <v>214.0</v>
      </c>
      <c r="F201" s="6" t="s">
        <v>12</v>
      </c>
      <c r="G201" s="3" t="s">
        <v>13</v>
      </c>
      <c r="H201" s="7" t="str">
        <f>IFERROR(__xludf.DUMMYFUNCTION("SPLIT(A199,""Rua"","""")"),"       Conselheiro Rodrigues Alves")</f>
        <v>       Conselheiro Rodrigues Alves</v>
      </c>
      <c r="J201" s="3" t="s">
        <v>643</v>
      </c>
      <c r="K201" s="8" t="str">
        <f>IFERROR(__xludf.DUMMYFUNCTION("SPLIT($J201,""   "","""")"),"-23.253074 -47.088722")</f>
        <v>-23.253074 -47.088722</v>
      </c>
      <c r="L201" s="7" t="str">
        <f>IFERROR(__xludf.DUMMYFUNCTION("""COMPUTED_VALUE"""),"Rua")</f>
        <v>Rua</v>
      </c>
      <c r="M201" s="7" t="str">
        <f>IFERROR(__xludf.DUMMYFUNCTION("""COMPUTED_VALUE""")," das Palmeiras")</f>
        <v> das Palmeiras</v>
      </c>
      <c r="N201" s="7" t="str">
        <f>IFERROR(__xludf.DUMMYFUNCTION("""COMPUTED_VALUE""")," Jardim das Paineiras (Pinhal)")</f>
        <v> Jardim das Paineiras (Pinhal)</v>
      </c>
      <c r="O201" s="7" t="str">
        <f>IFERROR(__xludf.DUMMYFUNCTION("""COMPUTED_VALUE""")," Cabreúva")</f>
        <v> Cabreúva</v>
      </c>
      <c r="P201" s="7" t="str">
        <f>IFERROR(__xludf.DUMMYFUNCTION("""COMPUTED_VALUE"""),"SP")</f>
        <v>SP</v>
      </c>
      <c r="Q201" s="7" t="str">
        <f>IFERROR(__xludf.DUMMYFUNCTION("""COMPUTED_VALUE""")," 13317-226 ")</f>
        <v> 13317-226 </v>
      </c>
      <c r="R201" s="9">
        <f>IFERROR(__xludf.DUMMYFUNCTION("SPLIT($K201,"" "","""")"),-2.3253074E7)</f>
        <v>-23253074</v>
      </c>
      <c r="S201" s="9">
        <f>IFERROR(__xludf.DUMMYFUNCTION("""COMPUTED_VALUE"""),-4.7088722E7)</f>
        <v>-47088722</v>
      </c>
      <c r="T201" s="10">
        <v>3508405.0</v>
      </c>
      <c r="U20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13317-226 ', 'PK-20686', SYSDATE, 0, 'PK-20686', SYSDATE, 'Rua  das Palmeiras  Jardim das Paineiras (Pinhal)', 'Rua das Palmeiras Jardim das Paineiras (Pinhal)', ' Jardim das Paineiras (Pinhal)', 'Rua', '3508405', 'Rua das Palmeiras Jardim das Paineiras (Pinhal)',' Jardim das Paineiras (Pinhal)', '1', 'SP', '1', '-23253074', '-47088722', ' Jardim das Paineiras (Pinhal)' </v>
      </c>
    </row>
    <row r="202" ht="15.75" customHeight="1">
      <c r="A202" s="4" t="s">
        <v>644</v>
      </c>
      <c r="B202" s="5" t="s">
        <v>231</v>
      </c>
      <c r="C202" s="4" t="s">
        <v>10</v>
      </c>
      <c r="D202" s="5" t="s">
        <v>645</v>
      </c>
      <c r="E202" s="6">
        <v>214.0</v>
      </c>
      <c r="F202" s="6" t="s">
        <v>12</v>
      </c>
      <c r="G202" s="3" t="s">
        <v>13</v>
      </c>
      <c r="H202" s="7" t="str">
        <f>IFERROR(__xludf.DUMMYFUNCTION("SPLIT(A200,""Rua"","""")"),"       Cristal")</f>
        <v>       Cristal</v>
      </c>
      <c r="J202" s="3" t="s">
        <v>646</v>
      </c>
      <c r="K202" s="8" t="str">
        <f>IFERROR(__xludf.DUMMYFUNCTION("SPLIT($J202,""   "","""")"),"-23.316271 -47.131882")</f>
        <v>-23.316271 -47.131882</v>
      </c>
      <c r="L202" s="7" t="str">
        <f>IFERROR(__xludf.DUMMYFUNCTION("""COMPUTED_VALUE"""),"Rua")</f>
        <v>Rua</v>
      </c>
      <c r="M202" s="7" t="str">
        <f>IFERROR(__xludf.DUMMYFUNCTION("""COMPUTED_VALUE""")," Pirapóra")</f>
        <v> Pirapóra</v>
      </c>
      <c r="N202" s="7" t="str">
        <f>IFERROR(__xludf.DUMMYFUNCTION("""COMPUTED_VALUE""")," Nova Cabreúva (Centro)")</f>
        <v> Nova Cabreúva (Centro)</v>
      </c>
      <c r="O202" s="7" t="str">
        <f>IFERROR(__xludf.DUMMYFUNCTION("""COMPUTED_VALUE""")," Cabreúva")</f>
        <v> Cabreúva</v>
      </c>
      <c r="P202" s="7" t="str">
        <f>IFERROR(__xludf.DUMMYFUNCTION("""COMPUTED_VALUE"""),"SP")</f>
        <v>SP</v>
      </c>
      <c r="Q202" s="7" t="str">
        <f>IFERROR(__xludf.DUMMYFUNCTION("""COMPUTED_VALUE""")," 13315-110 ")</f>
        <v> 13315-110 </v>
      </c>
      <c r="R202" s="9">
        <f>IFERROR(__xludf.DUMMYFUNCTION("SPLIT($K202,"" "","""")"),-2.3316271E7)</f>
        <v>-23316271</v>
      </c>
      <c r="S202" s="9">
        <f>IFERROR(__xludf.DUMMYFUNCTION("""COMPUTED_VALUE"""),-4.7131882E7)</f>
        <v>-47131882</v>
      </c>
      <c r="T202" s="10">
        <v>3508405.0</v>
      </c>
      <c r="U20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13315-110 ', 'PK-20686', SYSDATE, 0, 'PK-20686', SYSDATE, 'Rua  Pirapóra  Nova Cabreúva (Centro)', 'Rua Pirapóra Nova Cabreúva (Centro)', ' Nova Cabreúva (Centro)', 'Rua', '3508405', 'Rua Pirapóra Nova Cabreúva (Centro)',' Nova Cabreúva (Centro)', '1', 'SP', '1', '-23316271', '-47131882', ' Nova Cabreúva (Centro)' </v>
      </c>
    </row>
    <row r="203" ht="15.75" customHeight="1">
      <c r="A203" s="4" t="s">
        <v>647</v>
      </c>
      <c r="B203" s="5" t="s">
        <v>368</v>
      </c>
      <c r="C203" s="4" t="s">
        <v>10</v>
      </c>
      <c r="D203" s="5" t="s">
        <v>648</v>
      </c>
      <c r="E203" s="6">
        <v>214.0</v>
      </c>
      <c r="F203" s="6" t="s">
        <v>12</v>
      </c>
      <c r="G203" s="3" t="s">
        <v>13</v>
      </c>
      <c r="H203" s="7" t="str">
        <f>IFERROR(__xludf.DUMMYFUNCTION("SPLIT(A201,""Rua"","""")"),"       Cuiabá")</f>
        <v>       Cuiabá</v>
      </c>
      <c r="J203" s="3" t="s">
        <v>649</v>
      </c>
      <c r="K203" s="8" t="str">
        <f>IFERROR(__xludf.DUMMYFUNCTION("SPLIT($J203,""   "","""")"),"-23.275933 -47.054263")</f>
        <v>-23.275933 -47.054263</v>
      </c>
      <c r="L203" s="7" t="str">
        <f>IFERROR(__xludf.DUMMYFUNCTION("""COMPUTED_VALUE"""),"Rua")</f>
        <v>Rua</v>
      </c>
      <c r="M203" s="7" t="str">
        <f>IFERROR(__xludf.DUMMYFUNCTION("""COMPUTED_VALUE""")," Ambrósio Castaldi Filho")</f>
        <v> Ambrósio Castaldi Filho</v>
      </c>
      <c r="N203" s="7" t="str">
        <f>IFERROR(__xludf.DUMMYFUNCTION("""COMPUTED_VALUE""")," Jardim Residencial Bela Vista (Vilarejo)")</f>
        <v> Jardim Residencial Bela Vista (Vilarejo)</v>
      </c>
      <c r="O203" s="7" t="str">
        <f>IFERROR(__xludf.DUMMYFUNCTION("""COMPUTED_VALUE""")," Cabreúva")</f>
        <v> Cabreúva</v>
      </c>
      <c r="P203" s="7" t="str">
        <f>IFERROR(__xludf.DUMMYFUNCTION("""COMPUTED_VALUE"""),"SP")</f>
        <v>SP</v>
      </c>
      <c r="Q203" s="7" t="str">
        <f>IFERROR(__xludf.DUMMYFUNCTION("""COMPUTED_VALUE""")," 13317-704 ")</f>
        <v> 13317-704 </v>
      </c>
      <c r="R203" s="9">
        <f>IFERROR(__xludf.DUMMYFUNCTION("SPLIT($K203,"" "","""")"),-2.3275933E7)</f>
        <v>-23275933</v>
      </c>
      <c r="S203" s="9">
        <f>IFERROR(__xludf.DUMMYFUNCTION("""COMPUTED_VALUE"""),-4.7054263E7)</f>
        <v>-47054263</v>
      </c>
      <c r="T203" s="10">
        <v>3508405.0</v>
      </c>
      <c r="U20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13317-704 ', 'PK-20686', SYSDATE, 0, 'PK-20686', SYSDATE, 'Rua  Ambrósio Castaldi Filho  Jardim Residencial Bela Vista (Vilarejo)', 'Rua Ambrósio Castaldi Filho Jardim Residencial Bela Vista (Vilarejo)', ' Jardim Residencial Bela Vista (Vilarejo)', 'Rua', '3508405', 'Rua Ambrósio Castaldi Filho Jardim Residencial Bela Vista (Vilarejo)',' Jardim Residencial Bela Vista (Vilarejo)', '1', 'SP', '1', '-23275933', '-47054263', ' Jardim Residencial Bela Vista (Vilarejo)' </v>
      </c>
    </row>
    <row r="204" ht="15.75" customHeight="1">
      <c r="A204" s="4" t="s">
        <v>650</v>
      </c>
      <c r="B204" s="5" t="s">
        <v>212</v>
      </c>
      <c r="C204" s="4" t="s">
        <v>10</v>
      </c>
      <c r="D204" s="5" t="s">
        <v>651</v>
      </c>
      <c r="E204" s="6">
        <v>214.0</v>
      </c>
      <c r="F204" s="6" t="s">
        <v>12</v>
      </c>
      <c r="G204" s="3" t="s">
        <v>13</v>
      </c>
      <c r="H204" s="7" t="str">
        <f>IFERROR(__xludf.DUMMYFUNCTION("SPLIT(A202,""Rua"","""")"),"       Cururu")</f>
        <v>       Cururu</v>
      </c>
      <c r="J204" s="3" t="s">
        <v>652</v>
      </c>
      <c r="K204" s="8" t="str">
        <f>IFERROR(__xludf.DUMMYFUNCTION("SPLIT($J204,""   "","""")"),"-23.354134 -47.083171")</f>
        <v>-23.354134 -47.083171</v>
      </c>
      <c r="L204" s="7" t="str">
        <f>IFERROR(__xludf.DUMMYFUNCTION("""COMPUTED_VALUE"""),"Rua")</f>
        <v>Rua</v>
      </c>
      <c r="M204" s="7" t="str">
        <f>IFERROR(__xludf.DUMMYFUNCTION("""COMPUTED_VALUE""")," Amélia Sório da Cruz")</f>
        <v> Amélia Sório da Cruz</v>
      </c>
      <c r="N204" s="7" t="str">
        <f>IFERROR(__xludf.DUMMYFUNCTION("""COMPUTED_VALUE""")," Bananal")</f>
        <v> Bananal</v>
      </c>
      <c r="O204" s="7" t="str">
        <f>IFERROR(__xludf.DUMMYFUNCTION("""COMPUTED_VALUE""")," Cabreúva")</f>
        <v> Cabreúva</v>
      </c>
      <c r="P204" s="7" t="str">
        <f>IFERROR(__xludf.DUMMYFUNCTION("""COMPUTED_VALUE"""),"SP")</f>
        <v>SP</v>
      </c>
      <c r="Q204" s="7" t="str">
        <f>IFERROR(__xludf.DUMMYFUNCTION("""COMPUTED_VALUE""")," 13316-811 ")</f>
        <v> 13316-811 </v>
      </c>
      <c r="R204" s="9">
        <f>IFERROR(__xludf.DUMMYFUNCTION("SPLIT($K204,"" "","""")"),-2.3354134E7)</f>
        <v>-23354134</v>
      </c>
      <c r="S204" s="9">
        <f>IFERROR(__xludf.DUMMYFUNCTION("""COMPUTED_VALUE"""),-4.7083171E7)</f>
        <v>-47083171</v>
      </c>
      <c r="T204" s="10">
        <v>3508405.0</v>
      </c>
      <c r="U20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13316-811 ', 'PK-20686', SYSDATE, 0, 'PK-20686', SYSDATE, 'Rua  Amélia Sório da Cruz  Bananal', 'Rua Amélia Sório da Cruz Bananal', ' Bananal', 'Rua', '3508405', 'Rua Amélia Sório da Cruz Bananal',' Bananal', '1', 'SP', '1', '-23354134', '-47083171', ' Bananal' </v>
      </c>
    </row>
    <row r="205" ht="15.75" customHeight="1">
      <c r="A205" s="4" t="s">
        <v>653</v>
      </c>
      <c r="B205" s="5" t="s">
        <v>654</v>
      </c>
      <c r="C205" s="4" t="s">
        <v>10</v>
      </c>
      <c r="D205" s="5" t="s">
        <v>655</v>
      </c>
      <c r="E205" s="6">
        <v>214.0</v>
      </c>
      <c r="F205" s="6" t="s">
        <v>12</v>
      </c>
      <c r="G205" s="3" t="s">
        <v>13</v>
      </c>
      <c r="H205" s="7" t="str">
        <f>IFERROR(__xludf.DUMMYFUNCTION("SPLIT(A203,""Rua"","""")"),"       D")</f>
        <v>       D</v>
      </c>
      <c r="J205" s="3" t="s">
        <v>656</v>
      </c>
      <c r="K205" s="8" t="str">
        <f>IFERROR(__xludf.DUMMYFUNCTION("SPLIT($J205,""   "","""")"),"-23.253074 -47.088722")</f>
        <v>-23.253074 -47.088722</v>
      </c>
      <c r="L205" s="7" t="str">
        <f>IFERROR(__xludf.DUMMYFUNCTION("""COMPUTED_VALUE"""),"Rua")</f>
        <v>Rua</v>
      </c>
      <c r="M205" s="7" t="str">
        <f>IFERROR(__xludf.DUMMYFUNCTION("""COMPUTED_VALUE""")," Ipê")</f>
        <v> Ipê</v>
      </c>
      <c r="N205" s="7" t="str">
        <f>IFERROR(__xludf.DUMMYFUNCTION("""COMPUTED_VALUE""")," Jardim das Paineiras (Pinhal)")</f>
        <v> Jardim das Paineiras (Pinhal)</v>
      </c>
      <c r="O205" s="7" t="str">
        <f>IFERROR(__xludf.DUMMYFUNCTION("""COMPUTED_VALUE""")," Cabreúva")</f>
        <v> Cabreúva</v>
      </c>
      <c r="P205" s="7" t="str">
        <f>IFERROR(__xludf.DUMMYFUNCTION("""COMPUTED_VALUE"""),"SP")</f>
        <v>SP</v>
      </c>
      <c r="Q205" s="7" t="str">
        <f>IFERROR(__xludf.DUMMYFUNCTION("""COMPUTED_VALUE""")," 13317-222 ")</f>
        <v> 13317-222 </v>
      </c>
      <c r="R205" s="9">
        <f>IFERROR(__xludf.DUMMYFUNCTION("SPLIT($K205,"" "","""")"),-2.3253074E7)</f>
        <v>-23253074</v>
      </c>
      <c r="S205" s="9">
        <f>IFERROR(__xludf.DUMMYFUNCTION("""COMPUTED_VALUE"""),-4.7088722E7)</f>
        <v>-47088722</v>
      </c>
      <c r="T205" s="10">
        <v>3508405.0</v>
      </c>
      <c r="U20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13317-222 ', 'PK-20686', SYSDATE, 0, 'PK-20686', SYSDATE, 'Rua  Ipê  Jardim das Paineiras (Pinhal)', 'Rua Ipê Jardim das Paineiras (Pinhal)', ' Jardim das Paineiras (Pinhal)', 'Rua', '3508405', 'Rua Ipê Jardim das Paineiras (Pinhal)',' Jardim das Paineiras (Pinhal)', '1', 'SP', '1', '-23253074', '-47088722', ' Jardim das Paineiras (Pinhal)' </v>
      </c>
    </row>
    <row r="206" ht="15.75" customHeight="1">
      <c r="A206" s="4" t="s">
        <v>657</v>
      </c>
      <c r="B206" s="5" t="s">
        <v>658</v>
      </c>
      <c r="C206" s="4" t="s">
        <v>10</v>
      </c>
      <c r="D206" s="5" t="s">
        <v>659</v>
      </c>
      <c r="E206" s="6">
        <v>214.0</v>
      </c>
      <c r="F206" s="6" t="s">
        <v>12</v>
      </c>
      <c r="G206" s="3" t="s">
        <v>13</v>
      </c>
      <c r="H206" s="7" t="str">
        <f>IFERROR(__xludf.DUMMYFUNCTION("SPLIT(A204,""Rua"","""")"),"       da Paineira")</f>
        <v>       da Paineira</v>
      </c>
      <c r="J206" s="3" t="s">
        <v>660</v>
      </c>
      <c r="K206" s="8" t="str">
        <f>IFERROR(__xludf.DUMMYFUNCTION("SPLIT($J206,""   "","""")"),"-23.307366 -47.133678")</f>
        <v>-23.307366 -47.133678</v>
      </c>
      <c r="L206" s="7" t="str">
        <f>IFERROR(__xludf.DUMMYFUNCTION("""COMPUTED_VALUE"""),"Rua")</f>
        <v>Rua</v>
      </c>
      <c r="M206" s="7" t="str">
        <f>IFERROR(__xludf.DUMMYFUNCTION("""COMPUTED_VALUE""")," F")</f>
        <v> F</v>
      </c>
      <c r="N206" s="7" t="str">
        <f>IFERROR(__xludf.DUMMYFUNCTION("""COMPUTED_VALUE""")," Fazenda Sossego (São Francisco)")</f>
        <v> Fazenda Sossego (São Francisco)</v>
      </c>
      <c r="O206" s="7" t="str">
        <f>IFERROR(__xludf.DUMMYFUNCTION("""COMPUTED_VALUE""")," Cabreúva")</f>
        <v> Cabreúva</v>
      </c>
      <c r="P206" s="7" t="str">
        <f>IFERROR(__xludf.DUMMYFUNCTION("""COMPUTED_VALUE"""),"SP")</f>
        <v>SP</v>
      </c>
      <c r="Q206" s="7" t="str">
        <f>IFERROR(__xludf.DUMMYFUNCTION("""COMPUTED_VALUE""")," 13316-705 ")</f>
        <v> 13316-705 </v>
      </c>
      <c r="R206" s="9">
        <f>IFERROR(__xludf.DUMMYFUNCTION("SPLIT($K206,"" "","""")"),-2.3307366E7)</f>
        <v>-23307366</v>
      </c>
      <c r="S206" s="9">
        <f>IFERROR(__xludf.DUMMYFUNCTION("""COMPUTED_VALUE"""),-4.7133678E7)</f>
        <v>-47133678</v>
      </c>
      <c r="T206" s="10">
        <v>3508405.0</v>
      </c>
      <c r="U20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13316-705 ', 'PK-20686', SYSDATE, 0, 'PK-20686', SYSDATE, 'Rua  F  Fazenda Sossego (São Francisco)', 'Rua F Fazenda Sossego (São Francisco)', ' Fazenda Sossego (São Francisco)', 'Rua', '3508405', 'Rua F Fazenda Sossego (São Francisco)',' Fazenda Sossego (São Francisco)', '1', 'SP', '1', '-23307366', '-47133678', ' Fazenda Sossego (São Francisco)' </v>
      </c>
    </row>
    <row r="207" ht="15.75" customHeight="1">
      <c r="A207" s="4" t="s">
        <v>661</v>
      </c>
      <c r="B207" s="5" t="s">
        <v>658</v>
      </c>
      <c r="C207" s="4" t="s">
        <v>10</v>
      </c>
      <c r="D207" s="5" t="s">
        <v>662</v>
      </c>
      <c r="E207" s="6">
        <v>214.0</v>
      </c>
      <c r="F207" s="6" t="s">
        <v>12</v>
      </c>
      <c r="G207" s="3" t="s">
        <v>13</v>
      </c>
      <c r="H207" s="7" t="str">
        <f>IFERROR(__xludf.DUMMYFUNCTION("SPLIT(A205,""Rua"","""")"),"       das Avencas")</f>
        <v>       das Avencas</v>
      </c>
      <c r="J207" s="3" t="s">
        <v>663</v>
      </c>
      <c r="K207" s="8" t="str">
        <f>IFERROR(__xludf.DUMMYFUNCTION("SPLIT($J207,""   "","""")"),"-23.307366 -47.133678")</f>
        <v>-23.307366 -47.133678</v>
      </c>
      <c r="L207" s="7" t="str">
        <f>IFERROR(__xludf.DUMMYFUNCTION("""COMPUTED_VALUE"""),"Rua")</f>
        <v>Rua</v>
      </c>
      <c r="M207" s="7" t="str">
        <f>IFERROR(__xludf.DUMMYFUNCTION("""COMPUTED_VALUE""")," Uganda")</f>
        <v> Uganda</v>
      </c>
      <c r="N207" s="7" t="str">
        <f>IFERROR(__xludf.DUMMYFUNCTION("""COMPUTED_VALUE""")," Villarejo Sopé da Serra (Vilarejo)")</f>
        <v> Villarejo Sopé da Serra (Vilarejo)</v>
      </c>
      <c r="O207" s="7" t="str">
        <f>IFERROR(__xludf.DUMMYFUNCTION("""COMPUTED_VALUE""")," Cabreúva")</f>
        <v> Cabreúva</v>
      </c>
      <c r="P207" s="7" t="str">
        <f>IFERROR(__xludf.DUMMYFUNCTION("""COMPUTED_VALUE"""),"SP")</f>
        <v>SP</v>
      </c>
      <c r="Q207" s="7" t="str">
        <f>IFERROR(__xludf.DUMMYFUNCTION("""COMPUTED_VALUE""")," 13317-632 ")</f>
        <v> 13317-632 </v>
      </c>
      <c r="R207" s="9">
        <f>IFERROR(__xludf.DUMMYFUNCTION("SPLIT($K207,"" "","""")"),-2.3307366E7)</f>
        <v>-23307366</v>
      </c>
      <c r="S207" s="9">
        <f>IFERROR(__xludf.DUMMYFUNCTION("""COMPUTED_VALUE"""),-4.7133678E7)</f>
        <v>-47133678</v>
      </c>
      <c r="T207" s="10">
        <v>3508405.0</v>
      </c>
      <c r="U20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13317-632 ', 'PK-20686', SYSDATE, 0, 'PK-20686', SYSDATE, 'Rua  Uganda  Villarejo Sopé da Serra (Vilarejo)', 'Rua Uganda Villarejo Sopé da Serra (Vilarejo)', ' Villarejo Sopé da Serra (Vilarejo)', 'Rua', '3508405', 'Rua Uganda Villarejo Sopé da Serra (Vilarejo)',' Villarejo Sopé da Serra (Vilarejo)', '1', 'SP', '1', '-23307366', '-47133678', ' Villarejo Sopé da Serra (Vilarejo)' </v>
      </c>
    </row>
    <row r="208" ht="15.75" customHeight="1">
      <c r="A208" s="4" t="s">
        <v>664</v>
      </c>
      <c r="B208" s="5" t="s">
        <v>212</v>
      </c>
      <c r="C208" s="4" t="s">
        <v>10</v>
      </c>
      <c r="D208" s="5" t="s">
        <v>665</v>
      </c>
      <c r="E208" s="6">
        <v>214.0</v>
      </c>
      <c r="F208" s="6" t="s">
        <v>12</v>
      </c>
      <c r="G208" s="3" t="s">
        <v>13</v>
      </c>
      <c r="H208" s="7" t="str">
        <f>IFERROR(__xludf.DUMMYFUNCTION("SPLIT(A206,""Rua"","""")"),"       das Azaléias")</f>
        <v>       das Azaléias</v>
      </c>
      <c r="J208" s="3" t="s">
        <v>666</v>
      </c>
      <c r="K208" s="8" t="str">
        <f>IFERROR(__xludf.DUMMYFUNCTION("SPLIT($J208,""   "","""")"),"-23.570561 -46.673199")</f>
        <v>-23.570561 -46.673199</v>
      </c>
      <c r="L208" s="7" t="str">
        <f>IFERROR(__xludf.DUMMYFUNCTION("""COMPUTED_VALUE"""),"Rua")</f>
        <v>Rua</v>
      </c>
      <c r="M208" s="7" t="str">
        <f>IFERROR(__xludf.DUMMYFUNCTION("""COMPUTED_VALUE""")," Peru")</f>
        <v> Peru</v>
      </c>
      <c r="N208" s="7" t="str">
        <f>IFERROR(__xludf.DUMMYFUNCTION("""COMPUTED_VALUE""")," Jardim Fazendinha Real (Vilarejo)")</f>
        <v> Jardim Fazendinha Real (Vilarejo)</v>
      </c>
      <c r="O208" s="7" t="str">
        <f>IFERROR(__xludf.DUMMYFUNCTION("""COMPUTED_VALUE""")," Cabreúva")</f>
        <v> Cabreúva</v>
      </c>
      <c r="P208" s="7" t="str">
        <f>IFERROR(__xludf.DUMMYFUNCTION("""COMPUTED_VALUE"""),"SP")</f>
        <v>SP</v>
      </c>
      <c r="Q208" s="7" t="str">
        <f>IFERROR(__xludf.DUMMYFUNCTION("""COMPUTED_VALUE""")," 13317-752 ")</f>
        <v> 13317-752 </v>
      </c>
      <c r="R208" s="9">
        <f>IFERROR(__xludf.DUMMYFUNCTION("SPLIT($K208,"" "","""")"),-2.3570561E7)</f>
        <v>-23570561</v>
      </c>
      <c r="S208" s="9">
        <f>IFERROR(__xludf.DUMMYFUNCTION("""COMPUTED_VALUE"""),-4.6673199E7)</f>
        <v>-46673199</v>
      </c>
      <c r="T208" s="10">
        <v>3508405.0</v>
      </c>
      <c r="U20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13317-752 ', 'PK-20686', SYSDATE, 0, 'PK-20686', SYSDATE, 'Rua  Peru  Jardim Fazendinha Real (Vilarejo)', 'Rua Peru Jardim Fazendinha Real (Vilarejo)', ' Jardim Fazendinha Real (Vilarejo)', 'Rua', '3508405', 'Rua Peru Jardim Fazendinha Real (Vilarejo)',' Jardim Fazendinha Real (Vilarejo)', '1', 'SP', '1', '-23570561', '-46673199', ' Jardim Fazendinha Real (Vilarejo)' </v>
      </c>
    </row>
    <row r="209" ht="15.75" hidden="1" customHeight="1">
      <c r="A209" s="4" t="s">
        <v>667</v>
      </c>
      <c r="B209" s="5" t="s">
        <v>9</v>
      </c>
      <c r="C209" s="4" t="s">
        <v>10</v>
      </c>
      <c r="D209" s="5" t="s">
        <v>668</v>
      </c>
      <c r="E209" s="6">
        <v>214.0</v>
      </c>
      <c r="F209" s="6" t="s">
        <v>12</v>
      </c>
      <c r="G209" s="3" t="s">
        <v>13</v>
      </c>
      <c r="H209" s="7" t="str">
        <f>IFERROR(__xludf.DUMMYFUNCTION("SPLIT(A207,""Rua"","""")"),"       das Camélias")</f>
        <v>       das Camélias</v>
      </c>
      <c r="J209" s="3" t="s">
        <v>669</v>
      </c>
      <c r="K209" s="8" t="str">
        <f>IFERROR(__xludf.DUMMYFUNCTION("SPLIT($J209,""   "","""")"),"-23.267306 -47.103876")</f>
        <v>-23.267306 -47.103876</v>
      </c>
      <c r="L209" s="7" t="str">
        <f>IFERROR(__xludf.DUMMYFUNCTION("""COMPUTED_VALUE"""),"Via")</f>
        <v>Via</v>
      </c>
      <c r="M209" s="7" t="str">
        <f>IFERROR(__xludf.DUMMYFUNCTION("""COMPUTED_VALUE""")," dos Miosótis")</f>
        <v> dos Miosótis</v>
      </c>
      <c r="N209" s="7" t="str">
        <f>IFERROR(__xludf.DUMMYFUNCTION("""COMPUTED_VALUE""")," Chácaras do Pinhal (Pinhal)")</f>
        <v> Chácaras do Pinhal (Pinhal)</v>
      </c>
      <c r="O209" s="7" t="str">
        <f>IFERROR(__xludf.DUMMYFUNCTION("""COMPUTED_VALUE""")," Cabreúva")</f>
        <v> Cabreúva</v>
      </c>
      <c r="P209" s="7" t="str">
        <f>IFERROR(__xludf.DUMMYFUNCTION("""COMPUTED_VALUE"""),"SP")</f>
        <v>SP</v>
      </c>
      <c r="Q209" s="7" t="str">
        <f>IFERROR(__xludf.DUMMYFUNCTION("""COMPUTED_VALUE""")," 13317-254 ")</f>
        <v> 13317-254 </v>
      </c>
      <c r="R209" s="9">
        <f>IFERROR(__xludf.DUMMYFUNCTION("SPLIT($K209,"" "","""")"),-2.3267306E7)</f>
        <v>-23267306</v>
      </c>
      <c r="S209" s="9">
        <f>IFERROR(__xludf.DUMMYFUNCTION("""COMPUTED_VALUE"""),-4.7103876E7)</f>
        <v>-47103876</v>
      </c>
      <c r="T209" s="10">
        <v>3508405.0</v>
      </c>
      <c r="U20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13317-254 ', 'PK-20686', SYSDATE, 0, 'PK-20686', SYSDATE, 'Via  dos Miosótis  Chácaras do Pinhal (Pinhal)', 'Via dos Miosótis Chácaras do Pinhal (Pinhal)', ' Chácaras do Pinhal (Pinhal)', 'Via', '3508405', 'Via dos Miosótis Chácaras do Pinhal (Pinhal)',' Chácaras do Pinhal (Pinhal)', '1', 'SP', '1', '-23267306', '-47103876', ' Chácaras do Pinhal (Pinhal)' </v>
      </c>
    </row>
    <row r="210" ht="15.75" customHeight="1">
      <c r="A210" s="4" t="s">
        <v>670</v>
      </c>
      <c r="B210" s="5" t="s">
        <v>658</v>
      </c>
      <c r="C210" s="4" t="s">
        <v>10</v>
      </c>
      <c r="D210" s="5" t="s">
        <v>671</v>
      </c>
      <c r="E210" s="6">
        <v>214.0</v>
      </c>
      <c r="F210" s="6" t="s">
        <v>12</v>
      </c>
      <c r="G210" s="3" t="s">
        <v>13</v>
      </c>
      <c r="H210" s="7" t="str">
        <f>IFERROR(__xludf.DUMMYFUNCTION("SPLIT(A208,""Rua"","""")"),"       das Candeias")</f>
        <v>       das Candeias</v>
      </c>
      <c r="J210" s="3" t="s">
        <v>672</v>
      </c>
      <c r="K210" s="8" t="str">
        <f>IFERROR(__xludf.DUMMYFUNCTION("SPLIT($J210,""   "","""")"),"-23.253911 -47.059561")</f>
        <v>-23.253911 -47.059561</v>
      </c>
      <c r="L210" s="7" t="str">
        <f>IFERROR(__xludf.DUMMYFUNCTION("""COMPUTED_VALUE"""),"Rua")</f>
        <v>Rua</v>
      </c>
      <c r="M210" s="7" t="str">
        <f>IFERROR(__xludf.DUMMYFUNCTION("""COMPUTED_VALUE""")," Pará")</f>
        <v> Pará</v>
      </c>
      <c r="N210" s="7" t="str">
        <f>IFERROR(__xludf.DUMMYFUNCTION("""COMPUTED_VALUE""")," Jacaré")</f>
        <v> Jacaré</v>
      </c>
      <c r="O210" s="7" t="str">
        <f>IFERROR(__xludf.DUMMYFUNCTION("""COMPUTED_VALUE""")," Cabreúva")</f>
        <v> Cabreúva</v>
      </c>
      <c r="P210" s="7" t="str">
        <f>IFERROR(__xludf.DUMMYFUNCTION("""COMPUTED_VALUE"""),"SP")</f>
        <v>SP</v>
      </c>
      <c r="Q210" s="7" t="str">
        <f>IFERROR(__xludf.DUMMYFUNCTION("""COMPUTED_VALUE""")," 13318-090 ")</f>
        <v> 13318-090 </v>
      </c>
      <c r="R210" s="9">
        <f>IFERROR(__xludf.DUMMYFUNCTION("SPLIT($K210,"" "","""")"),-2.3253911E7)</f>
        <v>-23253911</v>
      </c>
      <c r="S210" s="9">
        <f>IFERROR(__xludf.DUMMYFUNCTION("""COMPUTED_VALUE"""),-4.7059561E7)</f>
        <v>-47059561</v>
      </c>
      <c r="T210" s="10">
        <v>3508405.0</v>
      </c>
      <c r="U21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13318-090 ', 'PK-20686', SYSDATE, 0, 'PK-20686', SYSDATE, 'Rua  Pará  Jacaré', 'Rua Pará Jacaré', ' Jacaré', 'Rua', '3508405', 'Rua Pará Jacaré',' Jacaré', '1', 'SP', '1', '-23253911', '-47059561', ' Jacaré' </v>
      </c>
    </row>
    <row r="211" ht="15.75" customHeight="1">
      <c r="A211" s="4" t="s">
        <v>673</v>
      </c>
      <c r="B211" s="5" t="s">
        <v>658</v>
      </c>
      <c r="C211" s="4" t="s">
        <v>10</v>
      </c>
      <c r="D211" s="5" t="s">
        <v>674</v>
      </c>
      <c r="E211" s="6">
        <v>214.0</v>
      </c>
      <c r="F211" s="6" t="s">
        <v>12</v>
      </c>
      <c r="G211" s="3" t="s">
        <v>13</v>
      </c>
      <c r="H211" s="7" t="str">
        <f>IFERROR(__xludf.DUMMYFUNCTION("SPLIT(A209,""Rua"","""")"),"       das Casuarinas")</f>
        <v>       das Casuarinas</v>
      </c>
      <c r="J211" s="3" t="s">
        <v>675</v>
      </c>
      <c r="K211" s="8" t="str">
        <f>IFERROR(__xludf.DUMMYFUNCTION("SPLIT($J211,""   "","""")"),"-23.260149 -47.052721")</f>
        <v>-23.260149 -47.052721</v>
      </c>
      <c r="L211" s="7" t="str">
        <f>IFERROR(__xludf.DUMMYFUNCTION("""COMPUTED_VALUE"""),"Rua")</f>
        <v>Rua</v>
      </c>
      <c r="M211" s="7" t="str">
        <f>IFERROR(__xludf.DUMMYFUNCTION("""COMPUTED_VALUE""")," Platina")</f>
        <v> Platina</v>
      </c>
      <c r="N211" s="7" t="str">
        <f>IFERROR(__xludf.DUMMYFUNCTION("""COMPUTED_VALUE""")," Jacaré")</f>
        <v> Jacaré</v>
      </c>
      <c r="O211" s="7" t="str">
        <f>IFERROR(__xludf.DUMMYFUNCTION("""COMPUTED_VALUE""")," Cabreúva")</f>
        <v> Cabreúva</v>
      </c>
      <c r="P211" s="7" t="str">
        <f>IFERROR(__xludf.DUMMYFUNCTION("""COMPUTED_VALUE"""),"SP")</f>
        <v>SP</v>
      </c>
      <c r="Q211" s="7" t="str">
        <f>IFERROR(__xludf.DUMMYFUNCTION("""COMPUTED_VALUE""")," 13318-246 ")</f>
        <v> 13318-246 </v>
      </c>
      <c r="R211" s="9">
        <f>IFERROR(__xludf.DUMMYFUNCTION("SPLIT($K211,"" "","""")"),-2.3260149E7)</f>
        <v>-23260149</v>
      </c>
      <c r="S211" s="9">
        <f>IFERROR(__xludf.DUMMYFUNCTION("""COMPUTED_VALUE"""),-4.7052721E7)</f>
        <v>-47052721</v>
      </c>
      <c r="T211" s="10">
        <v>3508405.0</v>
      </c>
      <c r="U21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13318-246 ', 'PK-20686', SYSDATE, 0, 'PK-20686', SYSDATE, 'Rua  Platina  Jacaré', 'Rua Platina Jacaré', ' Jacaré', 'Rua', '3508405', 'Rua Platina Jacaré',' Jacaré', '1', 'SP', '1', '-23260149', '-47052721', ' Jacaré' </v>
      </c>
    </row>
    <row r="212" ht="15.75" customHeight="1">
      <c r="A212" s="4" t="s">
        <v>676</v>
      </c>
      <c r="B212" s="5" t="s">
        <v>654</v>
      </c>
      <c r="C212" s="4" t="s">
        <v>10</v>
      </c>
      <c r="D212" s="5" t="s">
        <v>677</v>
      </c>
      <c r="E212" s="6">
        <v>214.0</v>
      </c>
      <c r="F212" s="6" t="s">
        <v>12</v>
      </c>
      <c r="G212" s="3" t="s">
        <v>13</v>
      </c>
      <c r="H212" s="7" t="str">
        <f>IFERROR(__xludf.DUMMYFUNCTION("SPLIT(A210,""Rua"","""")"),"       das CotoVia   s")</f>
        <v>       das CotoVia   s</v>
      </c>
      <c r="J212" s="3" t="s">
        <v>678</v>
      </c>
      <c r="K212" s="8" t="str">
        <f>IFERROR(__xludf.DUMMYFUNCTION("SPLIT($J212,""   "","""")"),"-23.282 -47.059652")</f>
        <v>-23.282 -47.059652</v>
      </c>
      <c r="L212" s="7" t="str">
        <f>IFERROR(__xludf.DUMMYFUNCTION("""COMPUTED_VALUE"""),"Rua")</f>
        <v>Rua</v>
      </c>
      <c r="M212" s="7" t="str">
        <f>IFERROR(__xludf.DUMMYFUNCTION("""COMPUTED_VALUE""")," Araçatuba")</f>
        <v> Araçatuba</v>
      </c>
      <c r="N212" s="7" t="str">
        <f>IFERROR(__xludf.DUMMYFUNCTION("""COMPUTED_VALUE""")," Novo Bonfim (Vilarejo)")</f>
        <v> Novo Bonfim (Vilarejo)</v>
      </c>
      <c r="O212" s="7" t="str">
        <f>IFERROR(__xludf.DUMMYFUNCTION("""COMPUTED_VALUE""")," Cabreúva")</f>
        <v> Cabreúva</v>
      </c>
      <c r="P212" s="7" t="str">
        <f>IFERROR(__xludf.DUMMYFUNCTION("""COMPUTED_VALUE"""),"SP")</f>
        <v>SP</v>
      </c>
      <c r="Q212" s="7" t="str">
        <f>IFERROR(__xludf.DUMMYFUNCTION("""COMPUTED_VALUE""")," 13317-800 ")</f>
        <v> 13317-800 </v>
      </c>
      <c r="R212" s="9">
        <f>IFERROR(__xludf.DUMMYFUNCTION("SPLIT($K212,"" "","""")"),-23282.0)</f>
        <v>-23282</v>
      </c>
      <c r="S212" s="9">
        <f>IFERROR(__xludf.DUMMYFUNCTION("""COMPUTED_VALUE"""),-4.7059652E7)</f>
        <v>-47059652</v>
      </c>
      <c r="T212" s="10">
        <v>3508405.0</v>
      </c>
      <c r="U21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13317-800 ', 'PK-20686', SYSDATE, 0, 'PK-20686', SYSDATE, 'Rua  Araçatuba  Novo Bonfim (Vilarejo)', 'Rua Araçatuba Novo Bonfim (Vilarejo)', ' Novo Bonfim (Vilarejo)', 'Rua', '3508405', 'Rua Araçatuba Novo Bonfim (Vilarejo)',' Novo Bonfim (Vilarejo)', '1', 'SP', '1', '-23282', '-47059652', ' Novo Bonfim (Vilarejo)' </v>
      </c>
    </row>
    <row r="213" ht="15.75" customHeight="1">
      <c r="A213" s="4" t="s">
        <v>679</v>
      </c>
      <c r="B213" s="5" t="s">
        <v>658</v>
      </c>
      <c r="C213" s="4" t="s">
        <v>10</v>
      </c>
      <c r="D213" s="5" t="s">
        <v>680</v>
      </c>
      <c r="E213" s="6">
        <v>214.0</v>
      </c>
      <c r="F213" s="6" t="s">
        <v>12</v>
      </c>
      <c r="G213" s="3" t="s">
        <v>13</v>
      </c>
      <c r="H213" s="7" t="str">
        <f>IFERROR(__xludf.DUMMYFUNCTION("SPLIT(A211,""Rua"","""")"),"       das Dálias")</f>
        <v>       das Dálias</v>
      </c>
      <c r="J213" s="3" t="s">
        <v>681</v>
      </c>
      <c r="K213" s="8" t="str">
        <f>IFERROR(__xludf.DUMMYFUNCTION("SPLIT($J213,""   "","""")"),"-23.269639 -47.053007")</f>
        <v>-23.269639 -47.053007</v>
      </c>
      <c r="L213" s="7" t="str">
        <f>IFERROR(__xludf.DUMMYFUNCTION("""COMPUTED_VALUE"""),"Rua")</f>
        <v>Rua</v>
      </c>
      <c r="M213" s="7" t="str">
        <f>IFERROR(__xludf.DUMMYFUNCTION("""COMPUTED_VALUE""")," Jordânia")</f>
        <v> Jordânia</v>
      </c>
      <c r="N213" s="7" t="str">
        <f>IFERROR(__xludf.DUMMYFUNCTION("""COMPUTED_VALUE""")," Villarejo Sopé da Serra (Vilarejo)")</f>
        <v> Villarejo Sopé da Serra (Vilarejo)</v>
      </c>
      <c r="O213" s="7" t="str">
        <f>IFERROR(__xludf.DUMMYFUNCTION("""COMPUTED_VALUE""")," Cabreúva")</f>
        <v> Cabreúva</v>
      </c>
      <c r="P213" s="7" t="str">
        <f>IFERROR(__xludf.DUMMYFUNCTION("""COMPUTED_VALUE"""),"SP")</f>
        <v>SP</v>
      </c>
      <c r="Q213" s="7" t="str">
        <f>IFERROR(__xludf.DUMMYFUNCTION("""COMPUTED_VALUE""")," 13317-686 ")</f>
        <v> 13317-686 </v>
      </c>
      <c r="R213" s="9">
        <f>IFERROR(__xludf.DUMMYFUNCTION("SPLIT($K213,"" "","""")"),-2.3269639E7)</f>
        <v>-23269639</v>
      </c>
      <c r="S213" s="9">
        <f>IFERROR(__xludf.DUMMYFUNCTION("""COMPUTED_VALUE"""),-4.7053007E7)</f>
        <v>-47053007</v>
      </c>
      <c r="T213" s="10">
        <v>3508405.0</v>
      </c>
      <c r="U21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13317-686 ', 'PK-20686', SYSDATE, 0, 'PK-20686', SYSDATE, 'Rua  Jordânia  Villarejo Sopé da Serra (Vilarejo)', 'Rua Jordânia Villarejo Sopé da Serra (Vilarejo)', ' Villarejo Sopé da Serra (Vilarejo)', 'Rua', '3508405', 'Rua Jordânia Villarejo Sopé da Serra (Vilarejo)',' Villarejo Sopé da Serra (Vilarejo)', '1', 'SP', '1', '-23269639', '-47053007', ' Villarejo Sopé da Serra (Vilarejo)' </v>
      </c>
    </row>
    <row r="214" ht="15.75" customHeight="1">
      <c r="A214" s="4" t="s">
        <v>682</v>
      </c>
      <c r="B214" s="5" t="s">
        <v>658</v>
      </c>
      <c r="C214" s="4" t="s">
        <v>10</v>
      </c>
      <c r="D214" s="5" t="s">
        <v>683</v>
      </c>
      <c r="E214" s="6">
        <v>214.0</v>
      </c>
      <c r="F214" s="6" t="s">
        <v>12</v>
      </c>
      <c r="G214" s="3" t="s">
        <v>13</v>
      </c>
      <c r="H214" s="7" t="str">
        <f>IFERROR(__xludf.DUMMYFUNCTION("SPLIT(A212,""Rua"","""")"),"       das Flores")</f>
        <v>       das Flores</v>
      </c>
      <c r="J214" s="3" t="s">
        <v>684</v>
      </c>
      <c r="K214" s="8" t="str">
        <f>IFERROR(__xludf.DUMMYFUNCTION("SPLIT($J214,""   "","""")"),"-23.249467 -47.052575")</f>
        <v>-23.249467 -47.052575</v>
      </c>
      <c r="L214" s="7" t="str">
        <f>IFERROR(__xludf.DUMMYFUNCTION("""COMPUTED_VALUE"""),"Rua")</f>
        <v>Rua</v>
      </c>
      <c r="M214" s="7" t="str">
        <f>IFERROR(__xludf.DUMMYFUNCTION("""COMPUTED_VALUE""")," Caracol")</f>
        <v> Caracol</v>
      </c>
      <c r="N214" s="7" t="str">
        <f>IFERROR(__xludf.DUMMYFUNCTION("""COMPUTED_VALUE""")," Jardim da Serra II (Jacaré)")</f>
        <v> Jardim da Serra II (Jacaré)</v>
      </c>
      <c r="O214" s="7" t="str">
        <f>IFERROR(__xludf.DUMMYFUNCTION("""COMPUTED_VALUE""")," Cabreúva")</f>
        <v> Cabreúva</v>
      </c>
      <c r="P214" s="7" t="str">
        <f>IFERROR(__xludf.DUMMYFUNCTION("""COMPUTED_VALUE"""),"SP")</f>
        <v>SP</v>
      </c>
      <c r="Q214" s="7" t="str">
        <f>IFERROR(__xludf.DUMMYFUNCTION("""COMPUTED_VALUE""")," 13318-150 ")</f>
        <v> 13318-150 </v>
      </c>
      <c r="R214" s="9">
        <f>IFERROR(__xludf.DUMMYFUNCTION("SPLIT($K214,"" "","""")"),-2.3249467E7)</f>
        <v>-23249467</v>
      </c>
      <c r="S214" s="9">
        <f>IFERROR(__xludf.DUMMYFUNCTION("""COMPUTED_VALUE"""),-4.7052575E7)</f>
        <v>-47052575</v>
      </c>
      <c r="T214" s="10">
        <v>3508405.0</v>
      </c>
      <c r="U21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13318-150 ', 'PK-20686', SYSDATE, 0, 'PK-20686', SYSDATE, 'Rua  Caracol  Jardim da Serra II (Jacaré)', 'Rua Caracol Jardim da Serra II (Jacaré)', ' Jardim da Serra II (Jacaré)', 'Rua', '3508405', 'Rua Caracol Jardim da Serra II (Jacaré)',' Jardim da Serra II (Jacaré)', '1', 'SP', '1', '-23249467', '-47052575', ' Jardim da Serra II (Jacaré)' </v>
      </c>
    </row>
    <row r="215" ht="15.75" customHeight="1">
      <c r="A215" s="4" t="s">
        <v>685</v>
      </c>
      <c r="B215" s="5" t="s">
        <v>654</v>
      </c>
      <c r="C215" s="4" t="s">
        <v>10</v>
      </c>
      <c r="D215" s="5" t="s">
        <v>686</v>
      </c>
      <c r="E215" s="6">
        <v>214.0</v>
      </c>
      <c r="F215" s="6" t="s">
        <v>12</v>
      </c>
      <c r="G215" s="3" t="s">
        <v>13</v>
      </c>
      <c r="H215" s="7" t="str">
        <f>IFERROR(__xludf.DUMMYFUNCTION("SPLIT(A213,""Rua"","""")"),"       das Gardenias")</f>
        <v>       das Gardenias</v>
      </c>
      <c r="J215" s="3" t="s">
        <v>687</v>
      </c>
      <c r="K215" s="8" t="str">
        <f>IFERROR(__xludf.DUMMYFUNCTION("SPLIT($J215,""   "","""")"),"-23.252664 -47.05696")</f>
        <v>-23.252664 -47.05696</v>
      </c>
      <c r="L215" s="7" t="str">
        <f>IFERROR(__xludf.DUMMYFUNCTION("""COMPUTED_VALUE"""),"Rua")</f>
        <v>Rua</v>
      </c>
      <c r="M215" s="7" t="str">
        <f>IFERROR(__xludf.DUMMYFUNCTION("""COMPUTED_VALUE""")," Joinville")</f>
        <v> Joinville</v>
      </c>
      <c r="N215" s="7" t="str">
        <f>IFERROR(__xludf.DUMMYFUNCTION("""COMPUTED_VALUE""")," Jacaré")</f>
        <v> Jacaré</v>
      </c>
      <c r="O215" s="7" t="str">
        <f>IFERROR(__xludf.DUMMYFUNCTION("""COMPUTED_VALUE""")," Cabreúva")</f>
        <v> Cabreúva</v>
      </c>
      <c r="P215" s="7" t="str">
        <f>IFERROR(__xludf.DUMMYFUNCTION("""COMPUTED_VALUE"""),"SP")</f>
        <v>SP</v>
      </c>
      <c r="Q215" s="7" t="str">
        <f>IFERROR(__xludf.DUMMYFUNCTION("""COMPUTED_VALUE""")," 13318-062 ")</f>
        <v> 13318-062 </v>
      </c>
      <c r="R215" s="9">
        <f>IFERROR(__xludf.DUMMYFUNCTION("SPLIT($K215,"" "","""")"),-2.3252664E7)</f>
        <v>-23252664</v>
      </c>
      <c r="S215" s="9">
        <f>IFERROR(__xludf.DUMMYFUNCTION("""COMPUTED_VALUE"""),-4705696.0)</f>
        <v>-4705696</v>
      </c>
      <c r="T215" s="10">
        <v>3508405.0</v>
      </c>
      <c r="U21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13318-062 ', 'PK-20686', SYSDATE, 0, 'PK-20686', SYSDATE, 'Rua  Joinville  Jacaré', 'Rua Joinville Jacaré', ' Jacaré', 'Rua', '3508405', 'Rua Joinville Jacaré',' Jacaré', '1', 'SP', '1', '-23252664', '-4705696', ' Jacaré' </v>
      </c>
    </row>
    <row r="216" ht="15.75" customHeight="1">
      <c r="A216" s="4" t="s">
        <v>688</v>
      </c>
      <c r="B216" s="5" t="s">
        <v>199</v>
      </c>
      <c r="C216" s="4" t="s">
        <v>10</v>
      </c>
      <c r="D216" s="5" t="s">
        <v>689</v>
      </c>
      <c r="E216" s="6">
        <v>214.0</v>
      </c>
      <c r="F216" s="6" t="s">
        <v>12</v>
      </c>
      <c r="G216" s="3" t="s">
        <v>13</v>
      </c>
      <c r="H216" s="7" t="str">
        <f>IFERROR(__xludf.DUMMYFUNCTION("SPLIT(A214,""Rua"","""")"),"       das Magnólias")</f>
        <v>       das Magnólias</v>
      </c>
      <c r="J216" s="3" t="s">
        <v>690</v>
      </c>
      <c r="K216" s="8" t="str">
        <f>IFERROR(__xludf.DUMMYFUNCTION("SPLIT($J216,""   "","""")"),"-23.256466 -47.071555")</f>
        <v>-23.256466 -47.071555</v>
      </c>
      <c r="L216" s="7" t="str">
        <f>IFERROR(__xludf.DUMMYFUNCTION("""COMPUTED_VALUE"""),"Rua")</f>
        <v>Rua</v>
      </c>
      <c r="M216" s="7" t="str">
        <f>IFERROR(__xludf.DUMMYFUNCTION("""COMPUTED_VALUE""")," das Pérolas")</f>
        <v> das Pérolas</v>
      </c>
      <c r="N216" s="7" t="str">
        <f>IFERROR(__xludf.DUMMYFUNCTION("""COMPUTED_VALUE""")," Vila Preciosa (Vilarejo)")</f>
        <v> Vila Preciosa (Vilarejo)</v>
      </c>
      <c r="O216" s="7" t="str">
        <f>IFERROR(__xludf.DUMMYFUNCTION("""COMPUTED_VALUE""")," Cabreúva")</f>
        <v> Cabreúva</v>
      </c>
      <c r="P216" s="7" t="str">
        <f>IFERROR(__xludf.DUMMYFUNCTION("""COMPUTED_VALUE"""),"SP")</f>
        <v>SP</v>
      </c>
      <c r="Q216" s="7" t="str">
        <f>IFERROR(__xludf.DUMMYFUNCTION("""COMPUTED_VALUE""")," 13317-504 ")</f>
        <v> 13317-504 </v>
      </c>
      <c r="R216" s="9">
        <f>IFERROR(__xludf.DUMMYFUNCTION("SPLIT($K216,"" "","""")"),-2.3256466E7)</f>
        <v>-23256466</v>
      </c>
      <c r="S216" s="9">
        <f>IFERROR(__xludf.DUMMYFUNCTION("""COMPUTED_VALUE"""),-4.7071555E7)</f>
        <v>-47071555</v>
      </c>
      <c r="T216" s="10">
        <v>3508405.0</v>
      </c>
      <c r="U21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13317-504 ', 'PK-20686', SYSDATE, 0, 'PK-20686', SYSDATE, 'Rua  das Pérolas  Vila Preciosa (Vilarejo)', 'Rua das Pérolas Vila Preciosa (Vilarejo)', ' Vila Preciosa (Vilarejo)', 'Rua', '3508405', 'Rua das Pérolas Vila Preciosa (Vilarejo)',' Vila Preciosa (Vilarejo)', '1', 'SP', '1', '-23256466', '-47071555', ' Vila Preciosa (Vilarejo)' </v>
      </c>
    </row>
    <row r="217" ht="15.75" customHeight="1">
      <c r="A217" s="4" t="s">
        <v>688</v>
      </c>
      <c r="B217" s="5" t="s">
        <v>212</v>
      </c>
      <c r="C217" s="4" t="s">
        <v>10</v>
      </c>
      <c r="D217" s="5" t="s">
        <v>691</v>
      </c>
      <c r="E217" s="6">
        <v>214.0</v>
      </c>
      <c r="F217" s="6" t="s">
        <v>12</v>
      </c>
      <c r="G217" s="3" t="s">
        <v>13</v>
      </c>
      <c r="H217" s="7" t="str">
        <f>IFERROR(__xludf.DUMMYFUNCTION("SPLIT(A215,""Rua"","""")"),"       das Orquídeas")</f>
        <v>       das Orquídeas</v>
      </c>
      <c r="J217" s="3" t="s">
        <v>692</v>
      </c>
      <c r="K217" s="8" t="str">
        <f>IFERROR(__xludf.DUMMYFUNCTION("SPLIT($J217,""   "","""")"),"-23.251611 -47.053156")</f>
        <v>-23.251611 -47.053156</v>
      </c>
      <c r="L217" s="7" t="str">
        <f>IFERROR(__xludf.DUMMYFUNCTION("""COMPUTED_VALUE"""),"Rua")</f>
        <v>Rua</v>
      </c>
      <c r="M217" s="7" t="str">
        <f>IFERROR(__xludf.DUMMYFUNCTION("""COMPUTED_VALUE""")," Francisco Henrique Faber")</f>
        <v> Francisco Henrique Faber</v>
      </c>
      <c r="N217" s="7" t="str">
        <f>IFERROR(__xludf.DUMMYFUNCTION("""COMPUTED_VALUE""")," Cururú")</f>
        <v> Cururú</v>
      </c>
      <c r="O217" s="7" t="str">
        <f>IFERROR(__xludf.DUMMYFUNCTION("""COMPUTED_VALUE""")," Cabreúva")</f>
        <v> Cabreúva</v>
      </c>
      <c r="P217" s="7" t="str">
        <f>IFERROR(__xludf.DUMMYFUNCTION("""COMPUTED_VALUE"""),"SP")</f>
        <v>SP</v>
      </c>
      <c r="Q217" s="7" t="str">
        <f>IFERROR(__xludf.DUMMYFUNCTION("""COMPUTED_VALUE""")," 13317-860 ")</f>
        <v> 13317-860 </v>
      </c>
      <c r="R217" s="9">
        <f>IFERROR(__xludf.DUMMYFUNCTION("SPLIT($K217,"" "","""")"),-2.3251611E7)</f>
        <v>-23251611</v>
      </c>
      <c r="S217" s="9">
        <f>IFERROR(__xludf.DUMMYFUNCTION("""COMPUTED_VALUE"""),-4.7053156E7)</f>
        <v>-47053156</v>
      </c>
      <c r="T217" s="10">
        <v>3508405.0</v>
      </c>
      <c r="U21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13317-860 ', 'PK-20686', SYSDATE, 0, 'PK-20686', SYSDATE, 'Rua  Francisco Henrique Faber  Cururú', 'Rua Francisco Henrique Faber Cururú', ' Cururú', 'Rua', '3508405', 'Rua Francisco Henrique Faber Cururú',' Cururú', '1', 'SP', '1', '-23251611', '-47053156', ' Cururú' </v>
      </c>
    </row>
    <row r="218" ht="15.75" customHeight="1">
      <c r="A218" s="4" t="s">
        <v>693</v>
      </c>
      <c r="B218" s="5" t="s">
        <v>394</v>
      </c>
      <c r="C218" s="4" t="s">
        <v>10</v>
      </c>
      <c r="D218" s="5" t="s">
        <v>694</v>
      </c>
      <c r="E218" s="6">
        <v>214.0</v>
      </c>
      <c r="F218" s="6" t="s">
        <v>12</v>
      </c>
      <c r="G218" s="3" t="s">
        <v>13</v>
      </c>
      <c r="H218" s="7" t="str">
        <f>IFERROR(__xludf.DUMMYFUNCTION("SPLIT(A216,""Rua"","""")"),"       das Palmeiras")</f>
        <v>       das Palmeiras</v>
      </c>
      <c r="J218" s="3" t="s">
        <v>695</v>
      </c>
      <c r="K218" s="8" t="str">
        <f>IFERROR(__xludf.DUMMYFUNCTION("SPLIT($J218,""   "","""")"),"-23.307366 -47.133678")</f>
        <v>-23.307366 -47.133678</v>
      </c>
      <c r="L218" s="7" t="str">
        <f>IFERROR(__xludf.DUMMYFUNCTION("""COMPUTED_VALUE"""),"Rua")</f>
        <v>Rua</v>
      </c>
      <c r="M218" s="7" t="str">
        <f>IFERROR(__xludf.DUMMYFUNCTION("""COMPUTED_VALUE""")," França")</f>
        <v> França</v>
      </c>
      <c r="N218" s="7" t="str">
        <f>IFERROR(__xludf.DUMMYFUNCTION("""COMPUTED_VALUE""")," Villarejo Sopé da Serra (Vilarejo)")</f>
        <v> Villarejo Sopé da Serra (Vilarejo)</v>
      </c>
      <c r="O218" s="7" t="str">
        <f>IFERROR(__xludf.DUMMYFUNCTION("""COMPUTED_VALUE""")," Cabreúva")</f>
        <v> Cabreúva</v>
      </c>
      <c r="P218" s="7" t="str">
        <f>IFERROR(__xludf.DUMMYFUNCTION("""COMPUTED_VALUE"""),"SP")</f>
        <v>SP</v>
      </c>
      <c r="Q218" s="7" t="str">
        <f>IFERROR(__xludf.DUMMYFUNCTION("""COMPUTED_VALUE""")," 13317-634 ")</f>
        <v> 13317-634 </v>
      </c>
      <c r="R218" s="9">
        <f>IFERROR(__xludf.DUMMYFUNCTION("SPLIT($K218,"" "","""")"),-2.3307366E7)</f>
        <v>-23307366</v>
      </c>
      <c r="S218" s="9">
        <f>IFERROR(__xludf.DUMMYFUNCTION("""COMPUTED_VALUE"""),-4.7133678E7)</f>
        <v>-47133678</v>
      </c>
      <c r="T218" s="10">
        <v>3508405.0</v>
      </c>
      <c r="U21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13317-634 ', 'PK-20686', SYSDATE, 0, 'PK-20686', SYSDATE, 'Rua  França  Villarejo Sopé da Serra (Vilarejo)', 'Rua França Villarejo Sopé da Serra (Vilarejo)', ' Villarejo Sopé da Serra (Vilarejo)', 'Rua', '3508405', 'Rua França Villarejo Sopé da Serra (Vilarejo)',' Villarejo Sopé da Serra (Vilarejo)', '1', 'SP', '1', '-23307366', '-47133678', ' Villarejo Sopé da Serra (Vilarejo)' </v>
      </c>
    </row>
    <row r="219" ht="15.75" hidden="1" customHeight="1">
      <c r="A219" s="4" t="s">
        <v>696</v>
      </c>
      <c r="B219" s="5" t="s">
        <v>654</v>
      </c>
      <c r="C219" s="4" t="s">
        <v>10</v>
      </c>
      <c r="D219" s="5" t="s">
        <v>697</v>
      </c>
      <c r="E219" s="6">
        <v>214.0</v>
      </c>
      <c r="F219" s="6" t="s">
        <v>12</v>
      </c>
      <c r="G219" s="3" t="s">
        <v>13</v>
      </c>
      <c r="H219" s="7" t="str">
        <f>IFERROR(__xludf.DUMMYFUNCTION("SPLIT(A217,""Rua"","""")"),"       das Palmeiras")</f>
        <v>       das Palmeiras</v>
      </c>
      <c r="J219" s="3" t="s">
        <v>698</v>
      </c>
      <c r="K219" s="8" t="str">
        <f>IFERROR(__xludf.DUMMYFUNCTION("SPLIT($J219,""   "","""")"),"-23.257909 -47.051612")</f>
        <v>-23.257909 -47.051612</v>
      </c>
      <c r="L219" s="7" t="str">
        <f>IFERROR(__xludf.DUMMYFUNCTION("""COMPUTED_VALUE"""),"Avenida")</f>
        <v>Avenida</v>
      </c>
      <c r="M219" s="7" t="str">
        <f>IFERROR(__xludf.DUMMYFUNCTION("""COMPUTED_VALUE""")," Saint Andrews")</f>
        <v> Saint Andrews</v>
      </c>
      <c r="N219" s="7" t="str">
        <f>IFERROR(__xludf.DUMMYFUNCTION("""COMPUTED_VALUE""")," Portal da Concórdia II (Jacaré)")</f>
        <v> Portal da Concórdia II (Jacaré)</v>
      </c>
      <c r="O219" s="7" t="str">
        <f>IFERROR(__xludf.DUMMYFUNCTION("""COMPUTED_VALUE""")," Cabreúva")</f>
        <v> Cabreúva</v>
      </c>
      <c r="P219" s="7" t="str">
        <f>IFERROR(__xludf.DUMMYFUNCTION("""COMPUTED_VALUE"""),"SP")</f>
        <v>SP</v>
      </c>
      <c r="Q219" s="7" t="str">
        <f>IFERROR(__xludf.DUMMYFUNCTION("""COMPUTED_VALUE""")," 13318-298 ")</f>
        <v> 13318-298 </v>
      </c>
      <c r="R219" s="9">
        <f>IFERROR(__xludf.DUMMYFUNCTION("SPLIT($K219,"" "","""")"),-2.3257909E7)</f>
        <v>-23257909</v>
      </c>
      <c r="S219" s="9">
        <f>IFERROR(__xludf.DUMMYFUNCTION("""COMPUTED_VALUE"""),-4.7051612E7)</f>
        <v>-47051612</v>
      </c>
      <c r="T219" s="10">
        <v>3508405.0</v>
      </c>
      <c r="U21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13318-298 ', 'PK-20686', SYSDATE, 0, 'PK-20686', SYSDATE, 'Avenida  Saint Andrews  Portal da Concórdia II (Jacaré)', 'Avenida Saint Andrews Portal da Concórdia II (Jacaré)', ' Portal da Concórdia II (Jacaré)', 'Avenida', '3508405', 'Avenida Saint Andrews Portal da Concórdia II (Jacaré)',' Portal da Concórdia II (Jacaré)', '1', 'SP', '1', '-23257909', '-47051612', ' Portal da Concórdia II (Jacaré)' </v>
      </c>
    </row>
    <row r="220" ht="15.75" hidden="1" customHeight="1">
      <c r="A220" s="4" t="s">
        <v>699</v>
      </c>
      <c r="B220" s="5" t="s">
        <v>658</v>
      </c>
      <c r="C220" s="4" t="s">
        <v>10</v>
      </c>
      <c r="D220" s="5" t="s">
        <v>700</v>
      </c>
      <c r="E220" s="6">
        <v>214.0</v>
      </c>
      <c r="F220" s="6" t="s">
        <v>12</v>
      </c>
      <c r="G220" s="3" t="s">
        <v>13</v>
      </c>
      <c r="H220" s="7" t="str">
        <f>IFERROR(__xludf.DUMMYFUNCTION("SPLIT(A218,""Rua"","""")"),"       das Pérolas")</f>
        <v>       das Pérolas</v>
      </c>
      <c r="J220" s="3" t="s">
        <v>701</v>
      </c>
      <c r="K220" s="8" t="str">
        <f>IFERROR(__xludf.DUMMYFUNCTION("SPLIT($J220,""   "","""")"),"-23.252254 -47.089769")</f>
        <v>-23.252254 -47.089769</v>
      </c>
      <c r="L220" s="7" t="str">
        <f>IFERROR(__xludf.DUMMYFUNCTION("""COMPUTED_VALUE"""),"RodoVia")</f>
        <v>RodoVia</v>
      </c>
      <c r="M220" s="7" t="str">
        <f>IFERROR(__xludf.DUMMYFUNCTION("""COMPUTED_VALUE""")," Dom Gabriel Paulino Bueno Couto")</f>
        <v> Dom Gabriel Paulino Bueno Couto</v>
      </c>
      <c r="N220" s="7" t="str">
        <f>IFERROR(__xludf.DUMMYFUNCTION("""COMPUTED_VALUE""")," Jacaré")</f>
        <v> Jacaré</v>
      </c>
      <c r="O220" s="7" t="str">
        <f>IFERROR(__xludf.DUMMYFUNCTION("""COMPUTED_VALUE""")," Cabreúva")</f>
        <v> Cabreúva</v>
      </c>
      <c r="P220" s="7" t="str">
        <f>IFERROR(__xludf.DUMMYFUNCTION("""COMPUTED_VALUE"""),"SP")</f>
        <v>SP</v>
      </c>
      <c r="Q220" s="7" t="str">
        <f>IFERROR(__xludf.DUMMYFUNCTION("""COMPUTED_VALUE""")," 13318-001 ")</f>
        <v> 13318-001 </v>
      </c>
      <c r="R220" s="9">
        <f>IFERROR(__xludf.DUMMYFUNCTION("SPLIT($K220,"" "","""")"),-2.3252254E7)</f>
        <v>-23252254</v>
      </c>
      <c r="S220" s="9">
        <f>IFERROR(__xludf.DUMMYFUNCTION("""COMPUTED_VALUE"""),-4.7089769E7)</f>
        <v>-47089769</v>
      </c>
      <c r="T220" s="10">
        <v>3508405.0</v>
      </c>
      <c r="U22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13318-001 ', 'PK-20686', SYSDATE, 0, 'PK-20686', SYSDATE, 'RodoVia  Dom Gabriel Paulino Bueno Couto  Jacaré', 'RodoVia Dom Gabriel Paulino Bueno Couto Jacaré', ' Jacaré', 'RodoVia', '3508405', 'RodoVia Dom Gabriel Paulino Bueno Couto Jacaré',' Jacaré', '1', 'SP', '1', '-23252254', '-47089769', ' Jacaré' </v>
      </c>
    </row>
    <row r="221" ht="15.75" customHeight="1">
      <c r="A221" s="4" t="s">
        <v>702</v>
      </c>
      <c r="B221" s="5" t="s">
        <v>132</v>
      </c>
      <c r="C221" s="4" t="s">
        <v>10</v>
      </c>
      <c r="D221" s="5" t="s">
        <v>703</v>
      </c>
      <c r="E221" s="6">
        <v>214.0</v>
      </c>
      <c r="F221" s="6" t="s">
        <v>12</v>
      </c>
      <c r="G221" s="3" t="s">
        <v>13</v>
      </c>
      <c r="H221" s="7" t="str">
        <f>IFERROR(__xludf.DUMMYFUNCTION("SPLIT(A219,""Rua"","""")"),"       das Samambaias")</f>
        <v>       das Samambaias</v>
      </c>
      <c r="J221" s="3" t="s">
        <v>704</v>
      </c>
      <c r="K221" s="8" t="str">
        <f>IFERROR(__xludf.DUMMYFUNCTION("SPLIT($J221,""   "","""")"),"-23.568481 -46.630916")</f>
        <v>-23.568481 -46.630916</v>
      </c>
      <c r="L221" s="7" t="str">
        <f>IFERROR(__xludf.DUMMYFUNCTION("""COMPUTED_VALUE"""),"Rua")</f>
        <v>Rua</v>
      </c>
      <c r="M221" s="7" t="str">
        <f>IFERROR(__xludf.DUMMYFUNCTION("""COMPUTED_VALUE""")," Espírito Santo")</f>
        <v> Espírito Santo</v>
      </c>
      <c r="N221" s="7" t="str">
        <f>IFERROR(__xludf.DUMMYFUNCTION("""COMPUTED_VALUE""")," Jacaré")</f>
        <v> Jacaré</v>
      </c>
      <c r="O221" s="7" t="str">
        <f>IFERROR(__xludf.DUMMYFUNCTION("""COMPUTED_VALUE""")," Cabreúva")</f>
        <v> Cabreúva</v>
      </c>
      <c r="P221" s="7" t="str">
        <f>IFERROR(__xludf.DUMMYFUNCTION("""COMPUTED_VALUE"""),"SP")</f>
        <v>SP</v>
      </c>
      <c r="Q221" s="7" t="str">
        <f>IFERROR(__xludf.DUMMYFUNCTION("""COMPUTED_VALUE""")," 13318-080 ")</f>
        <v> 13318-080 </v>
      </c>
      <c r="R221" s="9">
        <f>IFERROR(__xludf.DUMMYFUNCTION("SPLIT($K221,"" "","""")"),-2.3568481E7)</f>
        <v>-23568481</v>
      </c>
      <c r="S221" s="9">
        <f>IFERROR(__xludf.DUMMYFUNCTION("""COMPUTED_VALUE"""),-4.6630916E7)</f>
        <v>-46630916</v>
      </c>
      <c r="T221" s="10">
        <v>3508405.0</v>
      </c>
      <c r="U22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13318-080 ', 'PK-20686', SYSDATE, 0, 'PK-20686', SYSDATE, 'Rua  Espírito Santo  Jacaré', 'Rua Espírito Santo Jacaré', ' Jacaré', 'Rua', '3508405', 'Rua Espírito Santo Jacaré',' Jacaré', '1', 'SP', '1', '-23568481', '-46630916', ' Jacaré' </v>
      </c>
    </row>
    <row r="222" ht="15.75" customHeight="1">
      <c r="A222" s="4" t="s">
        <v>705</v>
      </c>
      <c r="B222" s="5" t="s">
        <v>611</v>
      </c>
      <c r="C222" s="4" t="s">
        <v>10</v>
      </c>
      <c r="D222" s="5" t="s">
        <v>706</v>
      </c>
      <c r="E222" s="6">
        <v>214.0</v>
      </c>
      <c r="F222" s="6" t="s">
        <v>12</v>
      </c>
      <c r="G222" s="3" t="s">
        <v>13</v>
      </c>
      <c r="H222" s="7" t="str">
        <f>IFERROR(__xludf.DUMMYFUNCTION("SPLIT(A220,""Rua"","""")"),"       das Violetas")</f>
        <v>       das Violetas</v>
      </c>
      <c r="J222" s="3" t="s">
        <v>707</v>
      </c>
      <c r="K222" s="8" t="str">
        <f>IFERROR(__xludf.DUMMYFUNCTION("SPLIT($J222,""   "","""")"),"-23.307366 -47.133678")</f>
        <v>-23.307366 -47.133678</v>
      </c>
      <c r="L222" s="7" t="str">
        <f>IFERROR(__xludf.DUMMYFUNCTION("""COMPUTED_VALUE"""),"Rua")</f>
        <v>Rua</v>
      </c>
      <c r="M222" s="7" t="str">
        <f>IFERROR(__xludf.DUMMYFUNCTION("""COMPUTED_VALUE""")," Ágata")</f>
        <v> Ágata</v>
      </c>
      <c r="N222" s="7" t="str">
        <f>IFERROR(__xludf.DUMMYFUNCTION("""COMPUTED_VALUE""")," Vila Preciosa (Vilarejo)")</f>
        <v> Vila Preciosa (Vilarejo)</v>
      </c>
      <c r="O222" s="7" t="str">
        <f>IFERROR(__xludf.DUMMYFUNCTION("""COMPUTED_VALUE""")," Cabreúva")</f>
        <v> Cabreúva</v>
      </c>
      <c r="P222" s="7" t="str">
        <f>IFERROR(__xludf.DUMMYFUNCTION("""COMPUTED_VALUE"""),"SP")</f>
        <v>SP</v>
      </c>
      <c r="Q222" s="7" t="str">
        <f>IFERROR(__xludf.DUMMYFUNCTION("""COMPUTED_VALUE""")," 13317-524 ")</f>
        <v> 13317-524 </v>
      </c>
      <c r="R222" s="9">
        <f>IFERROR(__xludf.DUMMYFUNCTION("SPLIT($K222,"" "","""")"),-2.3307366E7)</f>
        <v>-23307366</v>
      </c>
      <c r="S222" s="9">
        <f>IFERROR(__xludf.DUMMYFUNCTION("""COMPUTED_VALUE"""),-4.7133678E7)</f>
        <v>-47133678</v>
      </c>
      <c r="T222" s="10">
        <v>3508405.0</v>
      </c>
      <c r="U22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13317-524 ', 'PK-20686', SYSDATE, 0, 'PK-20686', SYSDATE, 'Rua  Ágata  Vila Preciosa (Vilarejo)', 'Rua Ágata Vila Preciosa (Vilarejo)', ' Vila Preciosa (Vilarejo)', 'Rua', '3508405', 'Rua Ágata Vila Preciosa (Vilarejo)',' Vila Preciosa (Vilarejo)', '1', 'SP', '1', '-23307366', '-47133678', ' Vila Preciosa (Vilarejo)' </v>
      </c>
    </row>
    <row r="223" ht="15.75" customHeight="1">
      <c r="A223" s="4" t="s">
        <v>708</v>
      </c>
      <c r="B223" s="5" t="s">
        <v>611</v>
      </c>
      <c r="C223" s="4" t="s">
        <v>10</v>
      </c>
      <c r="D223" s="5" t="s">
        <v>709</v>
      </c>
      <c r="E223" s="6">
        <v>214.0</v>
      </c>
      <c r="F223" s="6" t="s">
        <v>12</v>
      </c>
      <c r="G223" s="3" t="s">
        <v>13</v>
      </c>
      <c r="H223" s="7" t="str">
        <f>IFERROR(__xludf.DUMMYFUNCTION("SPLIT(A221,""Rua"","""")"),"       David Marcassa Lopes")</f>
        <v>       David Marcassa Lopes</v>
      </c>
      <c r="J223" s="3" t="s">
        <v>710</v>
      </c>
      <c r="K223" s="8" t="str">
        <f>IFERROR(__xludf.DUMMYFUNCTION("SPLIT($J223,""   "","""")"),"-23.267882 -47.053852")</f>
        <v>-23.267882 -47.053852</v>
      </c>
      <c r="L223" s="7" t="str">
        <f>IFERROR(__xludf.DUMMYFUNCTION("""COMPUTED_VALUE"""),"Rua")</f>
        <v>Rua</v>
      </c>
      <c r="M223" s="7" t="str">
        <f>IFERROR(__xludf.DUMMYFUNCTION("""COMPUTED_VALUE""")," Jamaica")</f>
        <v> Jamaica</v>
      </c>
      <c r="N223" s="7" t="str">
        <f>IFERROR(__xludf.DUMMYFUNCTION("""COMPUTED_VALUE""")," Villarejo Sopé da Serra (Vilarejo)")</f>
        <v> Villarejo Sopé da Serra (Vilarejo)</v>
      </c>
      <c r="O223" s="7" t="str">
        <f>IFERROR(__xludf.DUMMYFUNCTION("""COMPUTED_VALUE""")," Cabreúva")</f>
        <v> Cabreúva</v>
      </c>
      <c r="P223" s="7" t="str">
        <f>IFERROR(__xludf.DUMMYFUNCTION("""COMPUTED_VALUE"""),"SP")</f>
        <v>SP</v>
      </c>
      <c r="Q223" s="7" t="str">
        <f>IFERROR(__xludf.DUMMYFUNCTION("""COMPUTED_VALUE""")," 13317-688 ")</f>
        <v> 13317-688 </v>
      </c>
      <c r="R223" s="9">
        <f>IFERROR(__xludf.DUMMYFUNCTION("SPLIT($K223,"" "","""")"),-2.3267882E7)</f>
        <v>-23267882</v>
      </c>
      <c r="S223" s="9">
        <f>IFERROR(__xludf.DUMMYFUNCTION("""COMPUTED_VALUE"""),-4.7053852E7)</f>
        <v>-47053852</v>
      </c>
      <c r="T223" s="10">
        <v>3508405.0</v>
      </c>
      <c r="U22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13317-688 ', 'PK-20686', SYSDATE, 0, 'PK-20686', SYSDATE, 'Rua  Jamaica  Villarejo Sopé da Serra (Vilarejo)', 'Rua Jamaica Villarejo Sopé da Serra (Vilarejo)', ' Villarejo Sopé da Serra (Vilarejo)', 'Rua', '3508405', 'Rua Jamaica Villarejo Sopé da Serra (Vilarejo)',' Villarejo Sopé da Serra (Vilarejo)', '1', 'SP', '1', '-23267882', '-47053852', ' Villarejo Sopé da Serra (Vilarejo)' </v>
      </c>
    </row>
    <row r="224" ht="15.75" customHeight="1">
      <c r="A224" s="4" t="s">
        <v>711</v>
      </c>
      <c r="B224" s="5" t="s">
        <v>611</v>
      </c>
      <c r="C224" s="4" t="s">
        <v>10</v>
      </c>
      <c r="D224" s="5" t="s">
        <v>712</v>
      </c>
      <c r="E224" s="6">
        <v>214.0</v>
      </c>
      <c r="F224" s="6" t="s">
        <v>12</v>
      </c>
      <c r="G224" s="3" t="s">
        <v>13</v>
      </c>
      <c r="H224" s="7" t="str">
        <f>IFERROR(__xludf.DUMMYFUNCTION("SPLIT(A222,""Rua"","""")"),"       Dez")</f>
        <v>       Dez</v>
      </c>
      <c r="J224" s="3" t="s">
        <v>713</v>
      </c>
      <c r="K224" s="8" t="str">
        <f>IFERROR(__xludf.DUMMYFUNCTION("SPLIT($J224,""   "","""")"),"-23.575834 -46.670302")</f>
        <v>-23.575834 -46.670302</v>
      </c>
      <c r="L224" s="7" t="str">
        <f>IFERROR(__xludf.DUMMYFUNCTION("""COMPUTED_VALUE"""),"Rua")</f>
        <v>Rua</v>
      </c>
      <c r="M224" s="7" t="str">
        <f>IFERROR(__xludf.DUMMYFUNCTION("""COMPUTED_VALUE""")," Chile")</f>
        <v> Chile</v>
      </c>
      <c r="N224" s="7" t="str">
        <f>IFERROR(__xludf.DUMMYFUNCTION("""COMPUTED_VALUE""")," Jardim Fazendinha Real (Vilarejo)")</f>
        <v> Jardim Fazendinha Real (Vilarejo)</v>
      </c>
      <c r="O224" s="7" t="str">
        <f>IFERROR(__xludf.DUMMYFUNCTION("""COMPUTED_VALUE""")," Cabreúva")</f>
        <v> Cabreúva</v>
      </c>
      <c r="P224" s="7" t="str">
        <f>IFERROR(__xludf.DUMMYFUNCTION("""COMPUTED_VALUE"""),"SP")</f>
        <v>SP</v>
      </c>
      <c r="Q224" s="7" t="str">
        <f>IFERROR(__xludf.DUMMYFUNCTION("""COMPUTED_VALUE""")," 13317-754 ")</f>
        <v> 13317-754 </v>
      </c>
      <c r="R224" s="9">
        <f>IFERROR(__xludf.DUMMYFUNCTION("SPLIT($K224,"" "","""")"),-2.3575834E7)</f>
        <v>-23575834</v>
      </c>
      <c r="S224" s="9">
        <f>IFERROR(__xludf.DUMMYFUNCTION("""COMPUTED_VALUE"""),-4.6670302E7)</f>
        <v>-46670302</v>
      </c>
      <c r="T224" s="10">
        <v>3508405.0</v>
      </c>
      <c r="U22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13317-754 ', 'PK-20686', SYSDATE, 0, 'PK-20686', SYSDATE, 'Rua  Chile  Jardim Fazendinha Real (Vilarejo)', 'Rua Chile Jardim Fazendinha Real (Vilarejo)', ' Jardim Fazendinha Real (Vilarejo)', 'Rua', '3508405', 'Rua Chile Jardim Fazendinha Real (Vilarejo)',' Jardim Fazendinha Real (Vilarejo)', '1', 'SP', '1', '-23575834', '-46670302', ' Jardim Fazendinha Real (Vilarejo)' </v>
      </c>
    </row>
    <row r="225" ht="15.75" customHeight="1">
      <c r="A225" s="4" t="s">
        <v>714</v>
      </c>
      <c r="B225" s="5" t="s">
        <v>611</v>
      </c>
      <c r="C225" s="4" t="s">
        <v>10</v>
      </c>
      <c r="D225" s="5" t="s">
        <v>715</v>
      </c>
      <c r="E225" s="6">
        <v>214.0</v>
      </c>
      <c r="F225" s="6" t="s">
        <v>12</v>
      </c>
      <c r="G225" s="3" t="s">
        <v>13</v>
      </c>
      <c r="H225" s="7" t="str">
        <f>IFERROR(__xludf.DUMMYFUNCTION("SPLIT(A223,""Rua"","""")"),"       Dezesseis")</f>
        <v>       Dezesseis</v>
      </c>
      <c r="J225" s="3" t="s">
        <v>716</v>
      </c>
      <c r="K225" s="8" t="str">
        <f>IFERROR(__xludf.DUMMYFUNCTION("SPLIT($J225,""   "","""")"),"-23.250354 -47.087054")</f>
        <v>-23.250354 -47.087054</v>
      </c>
      <c r="L225" s="7" t="str">
        <f>IFERROR(__xludf.DUMMYFUNCTION("""COMPUTED_VALUE"""),"Rua")</f>
        <v>Rua</v>
      </c>
      <c r="M225" s="7" t="str">
        <f>IFERROR(__xludf.DUMMYFUNCTION("""COMPUTED_VALUE""")," Lauro Pinto Toledo")</f>
        <v> Lauro Pinto Toledo</v>
      </c>
      <c r="N225" s="7" t="str">
        <f>IFERROR(__xludf.DUMMYFUNCTION("""COMPUTED_VALUE""")," Pinhal")</f>
        <v> Pinhal</v>
      </c>
      <c r="O225" s="7" t="str">
        <f>IFERROR(__xludf.DUMMYFUNCTION("""COMPUTED_VALUE""")," Cabreúva")</f>
        <v> Cabreúva</v>
      </c>
      <c r="P225" s="7" t="str">
        <f>IFERROR(__xludf.DUMMYFUNCTION("""COMPUTED_VALUE"""),"SP")</f>
        <v>SP</v>
      </c>
      <c r="Q225" s="7" t="str">
        <f>IFERROR(__xludf.DUMMYFUNCTION("""COMPUTED_VALUE""")," 13317-300 ")</f>
        <v> 13317-300 </v>
      </c>
      <c r="R225" s="9">
        <f>IFERROR(__xludf.DUMMYFUNCTION("SPLIT($K225,"" "","""")"),-2.3250354E7)</f>
        <v>-23250354</v>
      </c>
      <c r="S225" s="9">
        <f>IFERROR(__xludf.DUMMYFUNCTION("""COMPUTED_VALUE"""),-4.7087054E7)</f>
        <v>-47087054</v>
      </c>
      <c r="T225" s="10">
        <v>3508405.0</v>
      </c>
      <c r="U22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13317-300 ', 'PK-20686', SYSDATE, 0, 'PK-20686', SYSDATE, 'Rua  Lauro Pinto Toledo  Pinhal', 'Rua Lauro Pinto Toledo Pinhal', ' Pinhal', 'Rua', '3508405', 'Rua Lauro Pinto Toledo Pinhal',' Pinhal', '1', 'SP', '1', '-23250354', '-47087054', ' Pinhal' </v>
      </c>
    </row>
    <row r="226" ht="15.75" customHeight="1">
      <c r="A226" s="4" t="s">
        <v>717</v>
      </c>
      <c r="B226" s="5" t="s">
        <v>394</v>
      </c>
      <c r="C226" s="4" t="s">
        <v>10</v>
      </c>
      <c r="D226" s="5" t="s">
        <v>718</v>
      </c>
      <c r="E226" s="6">
        <v>214.0</v>
      </c>
      <c r="F226" s="6" t="s">
        <v>12</v>
      </c>
      <c r="G226" s="3" t="s">
        <v>13</v>
      </c>
      <c r="H226" s="7" t="str">
        <f>IFERROR(__xludf.DUMMYFUNCTION("SPLIT(A224,""Rua"","""")"),"       Dezessete")</f>
        <v>       Dezessete</v>
      </c>
      <c r="J226" s="3" t="s">
        <v>719</v>
      </c>
      <c r="K226" s="8" t="str">
        <f>IFERROR(__xludf.DUMMYFUNCTION("SPLIT($J226,""   "","""")"),"-23.307366 -47.133678")</f>
        <v>-23.307366 -47.133678</v>
      </c>
      <c r="L226" s="7" t="str">
        <f>IFERROR(__xludf.DUMMYFUNCTION("""COMPUTED_VALUE"""),"Rua")</f>
        <v>Rua</v>
      </c>
      <c r="M226" s="7" t="str">
        <f>IFERROR(__xludf.DUMMYFUNCTION("""COMPUTED_VALUE""")," Somália")</f>
        <v> Somália</v>
      </c>
      <c r="N226" s="7" t="str">
        <f>IFERROR(__xludf.DUMMYFUNCTION("""COMPUTED_VALUE""")," Jardim Residencial Bela Vista (Vilarejo)")</f>
        <v> Jardim Residencial Bela Vista (Vilarejo)</v>
      </c>
      <c r="O226" s="7" t="str">
        <f>IFERROR(__xludf.DUMMYFUNCTION("""COMPUTED_VALUE""")," Cabreúva")</f>
        <v> Cabreúva</v>
      </c>
      <c r="P226" s="7" t="str">
        <f>IFERROR(__xludf.DUMMYFUNCTION("""COMPUTED_VALUE"""),"SP")</f>
        <v>SP</v>
      </c>
      <c r="Q226" s="7" t="str">
        <f>IFERROR(__xludf.DUMMYFUNCTION("""COMPUTED_VALUE""")," 13317-730 ")</f>
        <v> 13317-730 </v>
      </c>
      <c r="R226" s="9">
        <f>IFERROR(__xludf.DUMMYFUNCTION("SPLIT($K226,"" "","""")"),-2.3307366E7)</f>
        <v>-23307366</v>
      </c>
      <c r="S226" s="9">
        <f>IFERROR(__xludf.DUMMYFUNCTION("""COMPUTED_VALUE"""),-4.7133678E7)</f>
        <v>-47133678</v>
      </c>
      <c r="T226" s="10">
        <v>3508405.0</v>
      </c>
      <c r="U22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13317-730 ', 'PK-20686', SYSDATE, 0, 'PK-20686', SYSDATE, 'Rua  Somália  Jardim Residencial Bela Vista (Vilarejo)', 'Rua Somália Jardim Residencial Bela Vista (Vilarejo)', ' Jardim Residencial Bela Vista (Vilarejo)', 'Rua', '3508405', 'Rua Somália Jardim Residencial Bela Vista (Vilarejo)',' Jardim Residencial Bela Vista (Vilarejo)', '1', 'SP', '1', '-23307366', '-47133678', ' Jardim Residencial Bela Vista (Vilarejo)' </v>
      </c>
    </row>
    <row r="227" ht="15.75" customHeight="1">
      <c r="A227" s="4" t="s">
        <v>720</v>
      </c>
      <c r="B227" s="5" t="s">
        <v>160</v>
      </c>
      <c r="C227" s="4" t="s">
        <v>10</v>
      </c>
      <c r="D227" s="5" t="s">
        <v>721</v>
      </c>
      <c r="E227" s="6">
        <v>214.0</v>
      </c>
      <c r="F227" s="6" t="s">
        <v>12</v>
      </c>
      <c r="G227" s="3" t="s">
        <v>13</v>
      </c>
      <c r="H227" s="7" t="str">
        <f>IFERROR(__xludf.DUMMYFUNCTION("SPLIT(A225,""Rua"","""")"),"       Dezoito")</f>
        <v>       Dezoito</v>
      </c>
      <c r="J227" s="3" t="s">
        <v>722</v>
      </c>
      <c r="K227" s="8" t="str">
        <f>IFERROR(__xludf.DUMMYFUNCTION("SPLIT($J227,""   "","""")"),"-23.249392 -47.052551")</f>
        <v>-23.249392 -47.052551</v>
      </c>
      <c r="L227" s="7" t="str">
        <f>IFERROR(__xludf.DUMMYFUNCTION("""COMPUTED_VALUE"""),"Rua")</f>
        <v>Rua</v>
      </c>
      <c r="M227" s="7" t="str">
        <f>IFERROR(__xludf.DUMMYFUNCTION("""COMPUTED_VALUE""")," Pirahy")</f>
        <v> Pirahy</v>
      </c>
      <c r="N227" s="7" t="str">
        <f>IFERROR(__xludf.DUMMYFUNCTION("""COMPUTED_VALUE""")," Jardim da Serra II (Jacaré)")</f>
        <v> Jardim da Serra II (Jacaré)</v>
      </c>
      <c r="O227" s="7" t="str">
        <f>IFERROR(__xludf.DUMMYFUNCTION("""COMPUTED_VALUE""")," Cabreúva")</f>
        <v> Cabreúva</v>
      </c>
      <c r="P227" s="7" t="str">
        <f>IFERROR(__xludf.DUMMYFUNCTION("""COMPUTED_VALUE"""),"SP")</f>
        <v>SP</v>
      </c>
      <c r="Q227" s="7" t="str">
        <f>IFERROR(__xludf.DUMMYFUNCTION("""COMPUTED_VALUE""")," 13318-144 ")</f>
        <v> 13318-144 </v>
      </c>
      <c r="R227" s="9">
        <f>IFERROR(__xludf.DUMMYFUNCTION("SPLIT($K227,"" "","""")"),-2.3249392E7)</f>
        <v>-23249392</v>
      </c>
      <c r="S227" s="9">
        <f>IFERROR(__xludf.DUMMYFUNCTION("""COMPUTED_VALUE"""),-4.7052551E7)</f>
        <v>-47052551</v>
      </c>
      <c r="T227" s="10">
        <v>3508405.0</v>
      </c>
      <c r="U22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13318-144 ', 'PK-20686', SYSDATE, 0, 'PK-20686', SYSDATE, 'Rua  Pirahy  Jardim da Serra II (Jacaré)', 'Rua Pirahy Jardim da Serra II (Jacaré)', ' Jardim da Serra II (Jacaré)', 'Rua', '3508405', 'Rua Pirahy Jardim da Serra II (Jacaré)',' Jardim da Serra II (Jacaré)', '1', 'SP', '1', '-23249392', '-47052551', ' Jardim da Serra II (Jacaré)' </v>
      </c>
    </row>
    <row r="228" ht="15.75" customHeight="1">
      <c r="A228" s="4" t="s">
        <v>723</v>
      </c>
      <c r="B228" s="5" t="s">
        <v>212</v>
      </c>
      <c r="C228" s="4" t="s">
        <v>10</v>
      </c>
      <c r="D228" s="5" t="s">
        <v>724</v>
      </c>
      <c r="E228" s="6">
        <v>214.0</v>
      </c>
      <c r="F228" s="6" t="s">
        <v>12</v>
      </c>
      <c r="G228" s="3" t="s">
        <v>13</v>
      </c>
      <c r="H228" s="7" t="str">
        <f>IFERROR(__xludf.DUMMYFUNCTION("SPLIT(A226,""Rua"","""")"),"       Diamante")</f>
        <v>       Diamante</v>
      </c>
      <c r="J228" s="3" t="s">
        <v>725</v>
      </c>
      <c r="K228" s="8" t="str">
        <f>IFERROR(__xludf.DUMMYFUNCTION("SPLIT($J228,""   "","""")"),"-23.31147 -47.131062")</f>
        <v>-23.31147 -47.131062</v>
      </c>
      <c r="L228" s="7" t="str">
        <f>IFERROR(__xludf.DUMMYFUNCTION("""COMPUTED_VALUE"""),"Rua")</f>
        <v>Rua</v>
      </c>
      <c r="M228" s="7" t="str">
        <f>IFERROR(__xludf.DUMMYFUNCTION("""COMPUTED_VALUE""")," Duque de Caxias")</f>
        <v> Duque de Caxias</v>
      </c>
      <c r="N228" s="7" t="str">
        <f>IFERROR(__xludf.DUMMYFUNCTION("""COMPUTED_VALUE""")," Jardim Santana (Centro)")</f>
        <v> Jardim Santana (Centro)</v>
      </c>
      <c r="O228" s="7" t="str">
        <f>IFERROR(__xludf.DUMMYFUNCTION("""COMPUTED_VALUE""")," Cabreúva")</f>
        <v> Cabreúva</v>
      </c>
      <c r="P228" s="7" t="str">
        <f>IFERROR(__xludf.DUMMYFUNCTION("""COMPUTED_VALUE"""),"SP")</f>
        <v>SP</v>
      </c>
      <c r="Q228" s="7" t="str">
        <f>IFERROR(__xludf.DUMMYFUNCTION("""COMPUTED_VALUE""")," 13315-082 ")</f>
        <v> 13315-082 </v>
      </c>
      <c r="R228" s="9">
        <f>IFERROR(__xludf.DUMMYFUNCTION("SPLIT($K228,"" "","""")"),-2331147.0)</f>
        <v>-2331147</v>
      </c>
      <c r="S228" s="9">
        <f>IFERROR(__xludf.DUMMYFUNCTION("""COMPUTED_VALUE"""),-4.7131062E7)</f>
        <v>-47131062</v>
      </c>
      <c r="T228" s="10">
        <v>3508405.0</v>
      </c>
      <c r="U22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13315-082 ', 'PK-20686', SYSDATE, 0, 'PK-20686', SYSDATE, 'Rua  Duque de Caxias  Jardim Santana (Centro)', 'Rua Duque de Caxias Jardim Santana (Centro)', ' Jardim Santana (Centro)', 'Rua', '3508405', 'Rua Duque de Caxias Jardim Santana (Centro)',' Jardim Santana (Centro)', '1', 'SP', '1', '-2331147', '-47131062', ' Jardim Santana (Centro)' </v>
      </c>
    </row>
    <row r="229" ht="15.75" customHeight="1">
      <c r="A229" s="4" t="s">
        <v>726</v>
      </c>
      <c r="B229" s="5" t="s">
        <v>212</v>
      </c>
      <c r="C229" s="4" t="s">
        <v>10</v>
      </c>
      <c r="D229" s="5" t="s">
        <v>727</v>
      </c>
      <c r="E229" s="6">
        <v>214.0</v>
      </c>
      <c r="F229" s="6" t="s">
        <v>12</v>
      </c>
      <c r="G229" s="3" t="s">
        <v>13</v>
      </c>
      <c r="H229" s="7" t="str">
        <f>IFERROR(__xludf.DUMMYFUNCTION("SPLIT(A227,""Rua"","""")"),"       Dinamarca")</f>
        <v>       Dinamarca</v>
      </c>
      <c r="J229" s="3" t="s">
        <v>728</v>
      </c>
      <c r="K229" s="8" t="str">
        <f>IFERROR(__xludf.DUMMYFUNCTION("SPLIT($J229,""   "","""")"),"-23.243178 -47.062866")</f>
        <v>-23.243178 -47.062866</v>
      </c>
      <c r="L229" s="7" t="str">
        <f>IFERROR(__xludf.DUMMYFUNCTION("""COMPUTED_VALUE"""),"Rua")</f>
        <v>Rua</v>
      </c>
      <c r="M229" s="7" t="str">
        <f>IFERROR(__xludf.DUMMYFUNCTION("""COMPUTED_VALUE""")," Maceió")</f>
        <v> Maceió</v>
      </c>
      <c r="N229" s="7" t="str">
        <f>IFERROR(__xludf.DUMMYFUNCTION("""COMPUTED_VALUE""")," Flor de Ipê (Jacaré)")</f>
        <v> Flor de Ipê (Jacaré)</v>
      </c>
      <c r="O229" s="7" t="str">
        <f>IFERROR(__xludf.DUMMYFUNCTION("""COMPUTED_VALUE""")," Cabreúva")</f>
        <v> Cabreúva</v>
      </c>
      <c r="P229" s="7" t="str">
        <f>IFERROR(__xludf.DUMMYFUNCTION("""COMPUTED_VALUE"""),"SP")</f>
        <v>SP</v>
      </c>
      <c r="Q229" s="7" t="str">
        <f>IFERROR(__xludf.DUMMYFUNCTION("""COMPUTED_VALUE""")," 13318-414 ")</f>
        <v> 13318-414 </v>
      </c>
      <c r="R229" s="9">
        <f>IFERROR(__xludf.DUMMYFUNCTION("SPLIT($K229,"" "","""")"),-2.3243178E7)</f>
        <v>-23243178</v>
      </c>
      <c r="S229" s="9">
        <f>IFERROR(__xludf.DUMMYFUNCTION("""COMPUTED_VALUE"""),-4.7062866E7)</f>
        <v>-47062866</v>
      </c>
      <c r="T229" s="10">
        <v>3508405.0</v>
      </c>
      <c r="U22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13318-414 ', 'PK-20686', SYSDATE, 0, 'PK-20686', SYSDATE, 'Rua  Maceió  Flor de Ipê (Jacaré)', 'Rua Maceió Flor de Ipê (Jacaré)', ' Flor de Ipê (Jacaré)', 'Rua', '3508405', 'Rua Maceió Flor de Ipê (Jacaré)',' Flor de Ipê (Jacaré)', '1', 'SP', '1', '-23243178', '-47062866', ' Flor de Ipê (Jacaré)' </v>
      </c>
    </row>
    <row r="230" ht="15.75" hidden="1" customHeight="1">
      <c r="A230" s="4" t="s">
        <v>729</v>
      </c>
      <c r="B230" s="5" t="s">
        <v>577</v>
      </c>
      <c r="C230" s="4" t="s">
        <v>10</v>
      </c>
      <c r="D230" s="5" t="s">
        <v>730</v>
      </c>
      <c r="E230" s="6">
        <v>214.0</v>
      </c>
      <c r="F230" s="6" t="s">
        <v>12</v>
      </c>
      <c r="G230" s="3" t="s">
        <v>13</v>
      </c>
      <c r="H230" s="7" t="str">
        <f>IFERROR(__xludf.DUMMYFUNCTION("SPLIT(A228,""Rua"","""")"),"       do Carvalho")</f>
        <v>       do Carvalho</v>
      </c>
      <c r="J230" s="3" t="s">
        <v>731</v>
      </c>
      <c r="K230" s="8" t="str">
        <f>IFERROR(__xludf.DUMMYFUNCTION("SPLIT($J230,""   "","""")"),"-23.243688 -47.05768")</f>
        <v>-23.243688 -47.05768</v>
      </c>
      <c r="L230" s="7" t="str">
        <f>IFERROR(__xludf.DUMMYFUNCTION("""COMPUTED_VALUE"""),"Alameda")</f>
        <v>Alameda</v>
      </c>
      <c r="M230" s="7" t="str">
        <f>IFERROR(__xludf.DUMMYFUNCTION("""COMPUTED_VALUE""")," São Paulo Golf")</f>
        <v> São Paulo Golf</v>
      </c>
      <c r="N230" s="7" t="str">
        <f>IFERROR(__xludf.DUMMYFUNCTION("""COMPUTED_VALUE""")," Portal da Concórdia II (Jacaré)")</f>
        <v> Portal da Concórdia II (Jacaré)</v>
      </c>
      <c r="O230" s="7" t="str">
        <f>IFERROR(__xludf.DUMMYFUNCTION("""COMPUTED_VALUE""")," Cabreúva")</f>
        <v> Cabreúva</v>
      </c>
      <c r="P230" s="7" t="str">
        <f>IFERROR(__xludf.DUMMYFUNCTION("""COMPUTED_VALUE"""),"SP")</f>
        <v>SP</v>
      </c>
      <c r="Q230" s="7" t="str">
        <f>IFERROR(__xludf.DUMMYFUNCTION("""COMPUTED_VALUE""")," 13318-304 ")</f>
        <v> 13318-304 </v>
      </c>
      <c r="R230" s="9">
        <f>IFERROR(__xludf.DUMMYFUNCTION("SPLIT($K230,"" "","""")"),-2.3243688E7)</f>
        <v>-23243688</v>
      </c>
      <c r="S230" s="9">
        <f>IFERROR(__xludf.DUMMYFUNCTION("""COMPUTED_VALUE"""),-4705768.0)</f>
        <v>-4705768</v>
      </c>
      <c r="T230" s="10">
        <v>3508405.0</v>
      </c>
      <c r="U23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13318-304 ', 'PK-20686', SYSDATE, 0, 'PK-20686', SYSDATE, 'Alameda  São Paulo Golf  Portal da Concórdia II (Jacaré)', 'Alameda São Paulo Golf Portal da Concórdia II (Jacaré)', ' Portal da Concórdia II (Jacaré)', 'Alameda', '3508405', 'Alameda São Paulo Golf Portal da Concórdia II (Jacaré)',' Portal da Concórdia II (Jacaré)', '1', 'SP', '1', '-23243688', '-4705768', ' Portal da Concórdia II (Jacaré)' </v>
      </c>
    </row>
    <row r="231" ht="15.75" customHeight="1">
      <c r="A231" s="4" t="s">
        <v>732</v>
      </c>
      <c r="B231" s="5" t="s">
        <v>164</v>
      </c>
      <c r="C231" s="4" t="s">
        <v>10</v>
      </c>
      <c r="D231" s="5" t="s">
        <v>733</v>
      </c>
      <c r="E231" s="6">
        <v>214.0</v>
      </c>
      <c r="F231" s="6" t="s">
        <v>12</v>
      </c>
      <c r="G231" s="3" t="s">
        <v>13</v>
      </c>
      <c r="H231" s="7" t="str">
        <f>IFERROR(__xludf.DUMMYFUNCTION("SPLIT(A229,""Rua"","""")"),"       do Cedro")</f>
        <v>       do Cedro</v>
      </c>
      <c r="J231" s="3" t="s">
        <v>734</v>
      </c>
      <c r="K231" s="8" t="str">
        <f>IFERROR(__xludf.DUMMYFUNCTION("SPLIT($J231,""   "","""")"),"-23.28181 -47.061217")</f>
        <v>-23.28181 -47.061217</v>
      </c>
      <c r="L231" s="7" t="str">
        <f>IFERROR(__xludf.DUMMYFUNCTION("""COMPUTED_VALUE"""),"Rua")</f>
        <v>Rua</v>
      </c>
      <c r="M231" s="7" t="str">
        <f>IFERROR(__xludf.DUMMYFUNCTION("""COMPUTED_VALUE""")," Lorena")</f>
        <v> Lorena</v>
      </c>
      <c r="N231" s="7" t="str">
        <f>IFERROR(__xludf.DUMMYFUNCTION("""COMPUTED_VALUE""")," Novo Bonfim (Vilarejo)")</f>
        <v> Novo Bonfim (Vilarejo)</v>
      </c>
      <c r="O231" s="7" t="str">
        <f>IFERROR(__xludf.DUMMYFUNCTION("""COMPUTED_VALUE""")," Cabreúva")</f>
        <v> Cabreúva</v>
      </c>
      <c r="P231" s="7" t="str">
        <f>IFERROR(__xludf.DUMMYFUNCTION("""COMPUTED_VALUE"""),"SP")</f>
        <v>SP</v>
      </c>
      <c r="Q231" s="7" t="str">
        <f>IFERROR(__xludf.DUMMYFUNCTION("""COMPUTED_VALUE""")," 13317-792 ")</f>
        <v> 13317-792 </v>
      </c>
      <c r="R231" s="9">
        <f>IFERROR(__xludf.DUMMYFUNCTION("SPLIT($K231,"" "","""")"),-2328181.0)</f>
        <v>-2328181</v>
      </c>
      <c r="S231" s="9">
        <f>IFERROR(__xludf.DUMMYFUNCTION("""COMPUTED_VALUE"""),-4.7061217E7)</f>
        <v>-47061217</v>
      </c>
      <c r="T231" s="10">
        <v>3508405.0</v>
      </c>
      <c r="U23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13317-792 ', 'PK-20686', SYSDATE, 0, 'PK-20686', SYSDATE, 'Rua  Lorena  Novo Bonfim (Vilarejo)', 'Rua Lorena Novo Bonfim (Vilarejo)', ' Novo Bonfim (Vilarejo)', 'Rua', '3508405', 'Rua Lorena Novo Bonfim (Vilarejo)',' Novo Bonfim (Vilarejo)', '1', 'SP', '1', '-2328181', '-47061217', ' Novo Bonfim (Vilarejo)' </v>
      </c>
    </row>
    <row r="232" ht="15.75" customHeight="1">
      <c r="A232" s="4" t="s">
        <v>735</v>
      </c>
      <c r="B232" s="5" t="s">
        <v>212</v>
      </c>
      <c r="C232" s="4" t="s">
        <v>10</v>
      </c>
      <c r="D232" s="5" t="s">
        <v>736</v>
      </c>
      <c r="E232" s="6">
        <v>214.0</v>
      </c>
      <c r="F232" s="6" t="s">
        <v>12</v>
      </c>
      <c r="G232" s="3" t="s">
        <v>13</v>
      </c>
      <c r="H232" s="7" t="str">
        <f>IFERROR(__xludf.DUMMYFUNCTION("SPLIT(A230,""Rua"","""")"),"       do Comércio")</f>
        <v>       do Comércio</v>
      </c>
      <c r="J232" s="3" t="s">
        <v>737</v>
      </c>
      <c r="K232" s="8" t="str">
        <f>IFERROR(__xludf.DUMMYFUNCTION("SPLIT($J232,""   "","""")"),"-23.248179 -47.052575")</f>
        <v>-23.248179 -47.052575</v>
      </c>
      <c r="L232" s="7" t="str">
        <f>IFERROR(__xludf.DUMMYFUNCTION("""COMPUTED_VALUE"""),"Rua")</f>
        <v>Rua</v>
      </c>
      <c r="M232" s="7" t="str">
        <f>IFERROR(__xludf.DUMMYFUNCTION("""COMPUTED_VALUE""")," Santa Terezinha")</f>
        <v> Santa Terezinha</v>
      </c>
      <c r="N232" s="7" t="str">
        <f>IFERROR(__xludf.DUMMYFUNCTION("""COMPUTED_VALUE""")," Jardim da Serra II (Jacaré)")</f>
        <v> Jardim da Serra II (Jacaré)</v>
      </c>
      <c r="O232" s="7" t="str">
        <f>IFERROR(__xludf.DUMMYFUNCTION("""COMPUTED_VALUE""")," Cabreúva")</f>
        <v> Cabreúva</v>
      </c>
      <c r="P232" s="7" t="str">
        <f>IFERROR(__xludf.DUMMYFUNCTION("""COMPUTED_VALUE"""),"SP")</f>
        <v>SP</v>
      </c>
      <c r="Q232" s="7" t="str">
        <f>IFERROR(__xludf.DUMMYFUNCTION("""COMPUTED_VALUE""")," 13318-146 ")</f>
        <v> 13318-146 </v>
      </c>
      <c r="R232" s="9">
        <f>IFERROR(__xludf.DUMMYFUNCTION("SPLIT($K232,"" "","""")"),-2.3248179E7)</f>
        <v>-23248179</v>
      </c>
      <c r="S232" s="9">
        <f>IFERROR(__xludf.DUMMYFUNCTION("""COMPUTED_VALUE"""),-4.7052575E7)</f>
        <v>-47052575</v>
      </c>
      <c r="T232" s="10">
        <v>3508405.0</v>
      </c>
      <c r="U23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13318-146 ', 'PK-20686', SYSDATE, 0, 'PK-20686', SYSDATE, 'Rua  Santa Terezinha  Jardim da Serra II (Jacaré)', 'Rua Santa Terezinha Jardim da Serra II (Jacaré)', ' Jardim da Serra II (Jacaré)', 'Rua', '3508405', 'Rua Santa Terezinha Jardim da Serra II (Jacaré)',' Jardim da Serra II (Jacaré)', '1', 'SP', '1', '-23248179', '-47052575', ' Jardim da Serra II (Jacaré)' </v>
      </c>
    </row>
    <row r="233" ht="15.75" customHeight="1">
      <c r="A233" s="4" t="s">
        <v>738</v>
      </c>
      <c r="B233" s="5" t="s">
        <v>223</v>
      </c>
      <c r="C233" s="4" t="s">
        <v>10</v>
      </c>
      <c r="D233" s="5" t="s">
        <v>739</v>
      </c>
      <c r="E233" s="6">
        <v>214.0</v>
      </c>
      <c r="F233" s="6" t="s">
        <v>12</v>
      </c>
      <c r="G233" s="3" t="s">
        <v>13</v>
      </c>
      <c r="H233" s="7" t="str">
        <f>IFERROR(__xludf.DUMMYFUNCTION("SPLIT(A231,""Rua"","""")"),"       do Cruzeiro")</f>
        <v>       do Cruzeiro</v>
      </c>
      <c r="J233" s="3" t="s">
        <v>740</v>
      </c>
      <c r="K233" s="8" t="str">
        <f>IFERROR(__xludf.DUMMYFUNCTION("SPLIT($J233,""   "","""")"),"-23.305911 -47.132435")</f>
        <v>-23.305911 -47.132435</v>
      </c>
      <c r="L233" s="7" t="str">
        <f>IFERROR(__xludf.DUMMYFUNCTION("""COMPUTED_VALUE"""),"Rua")</f>
        <v>Rua</v>
      </c>
      <c r="M233" s="7" t="str">
        <f>IFERROR(__xludf.DUMMYFUNCTION("""COMPUTED_VALUE""")," Cássio Xavier de Mendonça")</f>
        <v> Cássio Xavier de Mendonça</v>
      </c>
      <c r="N233" s="7" t="str">
        <f>IFERROR(__xludf.DUMMYFUNCTION("""COMPUTED_VALUE""")," Centro")</f>
        <v> Centro</v>
      </c>
      <c r="O233" s="7" t="str">
        <f>IFERROR(__xludf.DUMMYFUNCTION("""COMPUTED_VALUE""")," Cabreúva")</f>
        <v> Cabreúva</v>
      </c>
      <c r="P233" s="7" t="str">
        <f>IFERROR(__xludf.DUMMYFUNCTION("""COMPUTED_VALUE"""),"SP")</f>
        <v>SP</v>
      </c>
      <c r="Q233" s="7" t="str">
        <f>IFERROR(__xludf.DUMMYFUNCTION("""COMPUTED_VALUE""")," 13315-011 ")</f>
        <v> 13315-011 </v>
      </c>
      <c r="R233" s="9">
        <f>IFERROR(__xludf.DUMMYFUNCTION("SPLIT($K233,"" "","""")"),-2.3305911E7)</f>
        <v>-23305911</v>
      </c>
      <c r="S233" s="9">
        <f>IFERROR(__xludf.DUMMYFUNCTION("""COMPUTED_VALUE"""),-4.7132435E7)</f>
        <v>-47132435</v>
      </c>
      <c r="T233" s="10">
        <v>3508405.0</v>
      </c>
      <c r="U23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13315-011 ', 'PK-20686', SYSDATE, 0, 'PK-20686', SYSDATE, 'Rua  Cássio Xavier de Mendonça  Centro', 'Rua Cássio Xavier de Mendonça Centro', ' Centro', 'Rua', '3508405', 'Rua Cássio Xavier de Mendonça Centro',' Centro', '1', 'SP', '1', '-23305911', '-47132435', ' Centro' </v>
      </c>
    </row>
    <row r="234" ht="15.75" customHeight="1">
      <c r="A234" s="4" t="s">
        <v>741</v>
      </c>
      <c r="B234" s="5" t="s">
        <v>611</v>
      </c>
      <c r="C234" s="4" t="s">
        <v>10</v>
      </c>
      <c r="D234" s="5" t="s">
        <v>742</v>
      </c>
      <c r="E234" s="6">
        <v>214.0</v>
      </c>
      <c r="F234" s="6" t="s">
        <v>12</v>
      </c>
      <c r="G234" s="3" t="s">
        <v>13</v>
      </c>
      <c r="H234" s="7" t="str">
        <f>IFERROR(__xludf.DUMMYFUNCTION("SPLIT(A232,""Rua"","""")"),"       do Pinheiro")</f>
        <v>       do Pinheiro</v>
      </c>
      <c r="J234" s="3" t="s">
        <v>743</v>
      </c>
      <c r="K234" s="8" t="str">
        <f>IFERROR(__xludf.DUMMYFUNCTION("SPLIT($J234,""   "","""")"),"-23.305405 -47.135841")</f>
        <v>-23.305405 -47.135841</v>
      </c>
      <c r="L234" s="7" t="str">
        <f>IFERROR(__xludf.DUMMYFUNCTION("""COMPUTED_VALUE"""),"Rua")</f>
        <v>Rua</v>
      </c>
      <c r="M234" s="7" t="str">
        <f>IFERROR(__xludf.DUMMYFUNCTION("""COMPUTED_VALUE""")," dos Eucaliptos")</f>
        <v> dos Eucaliptos</v>
      </c>
      <c r="N234" s="7" t="str">
        <f>IFERROR(__xludf.DUMMYFUNCTION("""COMPUTED_VALUE""")," Vale Verde (Centro)")</f>
        <v> Vale Verde (Centro)</v>
      </c>
      <c r="O234" s="7" t="str">
        <f>IFERROR(__xludf.DUMMYFUNCTION("""COMPUTED_VALUE""")," Cabreúva")</f>
        <v> Cabreúva</v>
      </c>
      <c r="P234" s="7" t="str">
        <f>IFERROR(__xludf.DUMMYFUNCTION("""COMPUTED_VALUE"""),"SP")</f>
        <v>SP</v>
      </c>
      <c r="Q234" s="7" t="str">
        <f>IFERROR(__xludf.DUMMYFUNCTION("""COMPUTED_VALUE""")," 13315-244 ")</f>
        <v> 13315-244 </v>
      </c>
      <c r="R234" s="9">
        <f>IFERROR(__xludf.DUMMYFUNCTION("SPLIT($K234,"" "","""")"),-2.3305405E7)</f>
        <v>-23305405</v>
      </c>
      <c r="S234" s="9">
        <f>IFERROR(__xludf.DUMMYFUNCTION("""COMPUTED_VALUE"""),-4.7135841E7)</f>
        <v>-47135841</v>
      </c>
      <c r="T234" s="10">
        <v>3508405.0</v>
      </c>
      <c r="U23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13315-244 ', 'PK-20686', SYSDATE, 0, 'PK-20686', SYSDATE, 'Rua  dos Eucaliptos  Vale Verde (Centro)', 'Rua dos Eucaliptos Vale Verde (Centro)', ' Vale Verde (Centro)', 'Rua', '3508405', 'Rua dos Eucaliptos Vale Verde (Centro)',' Vale Verde (Centro)', '1', 'SP', '1', '-23305405', '-47135841', ' Vale Verde (Centro)' </v>
      </c>
    </row>
    <row r="235" ht="15.75" customHeight="1">
      <c r="A235" s="4" t="s">
        <v>744</v>
      </c>
      <c r="B235" s="5" t="s">
        <v>24</v>
      </c>
      <c r="C235" s="4" t="s">
        <v>10</v>
      </c>
      <c r="D235" s="5" t="s">
        <v>745</v>
      </c>
      <c r="E235" s="6">
        <v>214.0</v>
      </c>
      <c r="F235" s="6" t="s">
        <v>12</v>
      </c>
      <c r="G235" s="3" t="s">
        <v>13</v>
      </c>
      <c r="H235" s="7" t="str">
        <f>IFERROR(__xludf.DUMMYFUNCTION("SPLIT(A233,""Rua"","""")"),"       do Vale")</f>
        <v>       do Vale</v>
      </c>
      <c r="J235" s="3" t="s">
        <v>746</v>
      </c>
      <c r="K235" s="8" t="str">
        <f>IFERROR(__xludf.DUMMYFUNCTION("SPLIT($J235,""   "","""")"),"-23.257034 -47.09111")</f>
        <v>-23.257034 -47.09111</v>
      </c>
      <c r="L235" s="7" t="str">
        <f>IFERROR(__xludf.DUMMYFUNCTION("""COMPUTED_VALUE"""),"Rua")</f>
        <v>Rua</v>
      </c>
      <c r="M235" s="7" t="str">
        <f>IFERROR(__xludf.DUMMYFUNCTION("""COMPUTED_VALUE""")," dos Beija-Flores")</f>
        <v> dos Beija-Flores</v>
      </c>
      <c r="N235" s="7" t="str">
        <f>IFERROR(__xludf.DUMMYFUNCTION("""COMPUTED_VALUE""")," Chácaras do Pinhal (Pinhal)")</f>
        <v> Chácaras do Pinhal (Pinhal)</v>
      </c>
      <c r="O235" s="7" t="str">
        <f>IFERROR(__xludf.DUMMYFUNCTION("""COMPUTED_VALUE""")," Cabreúva")</f>
        <v> Cabreúva</v>
      </c>
      <c r="P235" s="7" t="str">
        <f>IFERROR(__xludf.DUMMYFUNCTION("""COMPUTED_VALUE"""),"SP")</f>
        <v>SP</v>
      </c>
      <c r="Q235" s="7" t="str">
        <f>IFERROR(__xludf.DUMMYFUNCTION("""COMPUTED_VALUE""")," 13317-240 ")</f>
        <v> 13317-240 </v>
      </c>
      <c r="R235" s="9">
        <f>IFERROR(__xludf.DUMMYFUNCTION("SPLIT($K235,"" "","""")"),-2.3257034E7)</f>
        <v>-23257034</v>
      </c>
      <c r="S235" s="9">
        <f>IFERROR(__xludf.DUMMYFUNCTION("""COMPUTED_VALUE"""),-4709111.0)</f>
        <v>-4709111</v>
      </c>
      <c r="T235" s="10">
        <v>3508405.0</v>
      </c>
      <c r="U23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13317-240 ', 'PK-20686', SYSDATE, 0, 'PK-20686', SYSDATE, 'Rua  dos Beija-Flores  Chácaras do Pinhal (Pinhal)', 'Rua dos Beija-Flores Chácaras do Pinhal (Pinhal)', ' Chácaras do Pinhal (Pinhal)', 'Rua', '3508405', 'Rua dos Beija-Flores Chácaras do Pinhal (Pinhal)',' Chácaras do Pinhal (Pinhal)', '1', 'SP', '1', '-23257034', '-4709111', ' Chácaras do Pinhal (Pinhal)' </v>
      </c>
    </row>
    <row r="236" ht="15.75" customHeight="1">
      <c r="A236" s="4" t="s">
        <v>747</v>
      </c>
      <c r="B236" s="5" t="s">
        <v>223</v>
      </c>
      <c r="C236" s="4" t="s">
        <v>10</v>
      </c>
      <c r="D236" s="5" t="s">
        <v>748</v>
      </c>
      <c r="E236" s="6">
        <v>214.0</v>
      </c>
      <c r="F236" s="6" t="s">
        <v>12</v>
      </c>
      <c r="G236" s="3" t="s">
        <v>13</v>
      </c>
      <c r="H236" s="7" t="str">
        <f>IFERROR(__xludf.DUMMYFUNCTION("SPLIT(A234,""Rua"","""")"),"       Dois")</f>
        <v>       Dois</v>
      </c>
      <c r="J236" s="3" t="s">
        <v>749</v>
      </c>
      <c r="K236" s="8" t="str">
        <f>IFERROR(__xludf.DUMMYFUNCTION("SPLIT($J236,""   "","""")"),"-23.302887 -47.135895")</f>
        <v>-23.302887 -47.135895</v>
      </c>
      <c r="L236" s="7" t="str">
        <f>IFERROR(__xludf.DUMMYFUNCTION("""COMPUTED_VALUE"""),"Rua")</f>
        <v>Rua</v>
      </c>
      <c r="M236" s="7" t="str">
        <f>IFERROR(__xludf.DUMMYFUNCTION("""COMPUTED_VALUE""")," dos Ipês")</f>
        <v> dos Ipês</v>
      </c>
      <c r="N236" s="7" t="str">
        <f>IFERROR(__xludf.DUMMYFUNCTION("""COMPUTED_VALUE""")," Vale Verde (Centro)")</f>
        <v> Vale Verde (Centro)</v>
      </c>
      <c r="O236" s="7" t="str">
        <f>IFERROR(__xludf.DUMMYFUNCTION("""COMPUTED_VALUE""")," Cabreúva")</f>
        <v> Cabreúva</v>
      </c>
      <c r="P236" s="7" t="str">
        <f>IFERROR(__xludf.DUMMYFUNCTION("""COMPUTED_VALUE"""),"SP")</f>
        <v>SP</v>
      </c>
      <c r="Q236" s="7" t="str">
        <f>IFERROR(__xludf.DUMMYFUNCTION("""COMPUTED_VALUE""")," 13315-250 ")</f>
        <v> 13315-250 </v>
      </c>
      <c r="R236" s="9">
        <f>IFERROR(__xludf.DUMMYFUNCTION("SPLIT($K236,"" "","""")"),-2.3302887E7)</f>
        <v>-23302887</v>
      </c>
      <c r="S236" s="9">
        <f>IFERROR(__xludf.DUMMYFUNCTION("""COMPUTED_VALUE"""),-4.7135895E7)</f>
        <v>-47135895</v>
      </c>
      <c r="T236" s="10">
        <v>3508405.0</v>
      </c>
      <c r="U23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13315-250 ', 'PK-20686', SYSDATE, 0, 'PK-20686', SYSDATE, 'Rua  dos Ipês  Vale Verde (Centro)', 'Rua dos Ipês Vale Verde (Centro)', ' Vale Verde (Centro)', 'Rua', '3508405', 'Rua dos Ipês Vale Verde (Centro)',' Vale Verde (Centro)', '1', 'SP', '1', '-23302887', '-47135895', ' Vale Verde (Centro)' </v>
      </c>
    </row>
    <row r="237" ht="15.75" customHeight="1">
      <c r="A237" s="4" t="s">
        <v>750</v>
      </c>
      <c r="B237" s="5" t="s">
        <v>164</v>
      </c>
      <c r="C237" s="4" t="s">
        <v>10</v>
      </c>
      <c r="D237" s="5" t="s">
        <v>751</v>
      </c>
      <c r="E237" s="6">
        <v>214.0</v>
      </c>
      <c r="F237" s="6" t="s">
        <v>12</v>
      </c>
      <c r="G237" s="3" t="s">
        <v>13</v>
      </c>
      <c r="H237" s="7" t="str">
        <f>IFERROR(__xludf.DUMMYFUNCTION("SPLIT(A235,""Rua"","""")"),"       Domingos Archija")</f>
        <v>       Domingos Archija</v>
      </c>
      <c r="J237" s="3" t="s">
        <v>752</v>
      </c>
      <c r="K237" s="8" t="str">
        <f>IFERROR(__xludf.DUMMYFUNCTION("SPLIT($J237,""   "","""")"),"-23.307935 -47.131802")</f>
        <v>-23.307935 -47.131802</v>
      </c>
      <c r="L237" s="7" t="str">
        <f>IFERROR(__xludf.DUMMYFUNCTION("""COMPUTED_VALUE"""),"Rua")</f>
        <v>Rua</v>
      </c>
      <c r="M237" s="7" t="str">
        <f>IFERROR(__xludf.DUMMYFUNCTION("""COMPUTED_VALUE""")," Manoel Martins de Melo")</f>
        <v> Manoel Martins de Melo</v>
      </c>
      <c r="N237" s="7" t="str">
        <f>IFERROR(__xludf.DUMMYFUNCTION("""COMPUTED_VALUE""")," Centro")</f>
        <v> Centro</v>
      </c>
      <c r="O237" s="7" t="str">
        <f>IFERROR(__xludf.DUMMYFUNCTION("""COMPUTED_VALUE""")," Cabreúva")</f>
        <v> Cabreúva</v>
      </c>
      <c r="P237" s="7" t="str">
        <f>IFERROR(__xludf.DUMMYFUNCTION("""COMPUTED_VALUE"""),"SP")</f>
        <v>SP</v>
      </c>
      <c r="Q237" s="7" t="str">
        <f>IFERROR(__xludf.DUMMYFUNCTION("""COMPUTED_VALUE""")," 13315-037 ")</f>
        <v> 13315-037 </v>
      </c>
      <c r="R237" s="9">
        <f>IFERROR(__xludf.DUMMYFUNCTION("SPLIT($K237,"" "","""")"),-2.3307935E7)</f>
        <v>-23307935</v>
      </c>
      <c r="S237" s="9">
        <f>IFERROR(__xludf.DUMMYFUNCTION("""COMPUTED_VALUE"""),-4.7131802E7)</f>
        <v>-47131802</v>
      </c>
      <c r="T237" s="10">
        <v>3508405.0</v>
      </c>
      <c r="U23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13315-037 ', 'PK-20686', SYSDATE, 0, 'PK-20686', SYSDATE, 'Rua  Manoel Martins de Melo  Centro', 'Rua Manoel Martins de Melo Centro', ' Centro', 'Rua', '3508405', 'Rua Manoel Martins de Melo Centro',' Centro', '1', 'SP', '1', '-23307935', '-47131802', ' Centro' </v>
      </c>
    </row>
    <row r="238" ht="15.75" customHeight="1">
      <c r="A238" s="4" t="s">
        <v>753</v>
      </c>
      <c r="B238" s="5" t="s">
        <v>658</v>
      </c>
      <c r="C238" s="4" t="s">
        <v>10</v>
      </c>
      <c r="D238" s="5" t="s">
        <v>754</v>
      </c>
      <c r="E238" s="6">
        <v>214.0</v>
      </c>
      <c r="F238" s="6" t="s">
        <v>12</v>
      </c>
      <c r="G238" s="3" t="s">
        <v>13</v>
      </c>
      <c r="H238" s="7" t="str">
        <f>IFERROR(__xludf.DUMMYFUNCTION("SPLIT(A236,""Rua"","""")"),"       Domingos Malvezzi")</f>
        <v>       Domingos Malvezzi</v>
      </c>
      <c r="J238" s="3" t="s">
        <v>755</v>
      </c>
      <c r="K238" s="8" t="str">
        <f>IFERROR(__xludf.DUMMYFUNCTION("SPLIT($J238,""   "","""")"),"-23.255963 -47.091482")</f>
        <v>-23.255963 -47.091482</v>
      </c>
      <c r="L238" s="7" t="str">
        <f>IFERROR(__xludf.DUMMYFUNCTION("""COMPUTED_VALUE"""),"Rua")</f>
        <v>Rua</v>
      </c>
      <c r="M238" s="7" t="str">
        <f>IFERROR(__xludf.DUMMYFUNCTION("""COMPUTED_VALUE""")," David Marcassa Lopes")</f>
        <v> David Marcassa Lopes</v>
      </c>
      <c r="N238" s="7" t="str">
        <f>IFERROR(__xludf.DUMMYFUNCTION("""COMPUTED_VALUE""")," Pinhal")</f>
        <v> Pinhal</v>
      </c>
      <c r="O238" s="7" t="str">
        <f>IFERROR(__xludf.DUMMYFUNCTION("""COMPUTED_VALUE""")," Cabreúva")</f>
        <v> Cabreúva</v>
      </c>
      <c r="P238" s="7" t="str">
        <f>IFERROR(__xludf.DUMMYFUNCTION("""COMPUTED_VALUE"""),"SP")</f>
        <v>SP</v>
      </c>
      <c r="Q238" s="7" t="str">
        <f>IFERROR(__xludf.DUMMYFUNCTION("""COMPUTED_VALUE""")," 13317-234 ")</f>
        <v> 13317-234 </v>
      </c>
      <c r="R238" s="9">
        <f>IFERROR(__xludf.DUMMYFUNCTION("SPLIT($K238,"" "","""")"),-2.3255963E7)</f>
        <v>-23255963</v>
      </c>
      <c r="S238" s="9">
        <f>IFERROR(__xludf.DUMMYFUNCTION("""COMPUTED_VALUE"""),-4.7091482E7)</f>
        <v>-47091482</v>
      </c>
      <c r="T238" s="10">
        <v>3508405.0</v>
      </c>
      <c r="U23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13317-234 ', 'PK-20686', SYSDATE, 0, 'PK-20686', SYSDATE, 'Rua  David Marcassa Lopes  Pinhal', 'Rua David Marcassa Lopes Pinhal', ' Pinhal', 'Rua', '3508405', 'Rua David Marcassa Lopes Pinhal',' Pinhal', '1', 'SP', '1', '-23255963', '-47091482', ' Pinhal' </v>
      </c>
    </row>
    <row r="239" ht="15.75" customHeight="1">
      <c r="A239" s="4" t="s">
        <v>756</v>
      </c>
      <c r="B239" s="5" t="s">
        <v>658</v>
      </c>
      <c r="C239" s="4" t="s">
        <v>10</v>
      </c>
      <c r="D239" s="5" t="s">
        <v>757</v>
      </c>
      <c r="E239" s="6">
        <v>214.0</v>
      </c>
      <c r="F239" s="6" t="s">
        <v>12</v>
      </c>
      <c r="G239" s="3" t="s">
        <v>13</v>
      </c>
      <c r="H239" s="7" t="str">
        <f>IFERROR(__xludf.DUMMYFUNCTION("SPLIT(A237,""Rua"","""")"),"       dos Ávilas")</f>
        <v>       dos Ávilas</v>
      </c>
      <c r="J239" s="3" t="s">
        <v>758</v>
      </c>
      <c r="K239" s="8" t="str">
        <f>IFERROR(__xludf.DUMMYFUNCTION("SPLIT($J239,""   "","""")"),"-23.257185 -47.086032")</f>
        <v>-23.257185 -47.086032</v>
      </c>
      <c r="L239" s="7" t="str">
        <f>IFERROR(__xludf.DUMMYFUNCTION("""COMPUTED_VALUE"""),"Rua")</f>
        <v>Rua</v>
      </c>
      <c r="M239" s="7" t="str">
        <f>IFERROR(__xludf.DUMMYFUNCTION("""COMPUTED_VALUE""")," Solaris")</f>
        <v> Solaris</v>
      </c>
      <c r="N239" s="7" t="str">
        <f>IFERROR(__xludf.DUMMYFUNCTION("""COMPUTED_VALUE""")," Chácaras do Pinhal (Pinhal)")</f>
        <v> Chácaras do Pinhal (Pinhal)</v>
      </c>
      <c r="O239" s="7" t="str">
        <f>IFERROR(__xludf.DUMMYFUNCTION("""COMPUTED_VALUE""")," Cabreúva")</f>
        <v> Cabreúva</v>
      </c>
      <c r="P239" s="7" t="str">
        <f>IFERROR(__xludf.DUMMYFUNCTION("""COMPUTED_VALUE"""),"SP")</f>
        <v>SP</v>
      </c>
      <c r="Q239" s="7" t="str">
        <f>IFERROR(__xludf.DUMMYFUNCTION("""COMPUTED_VALUE""")," 13317-292 ")</f>
        <v> 13317-292 </v>
      </c>
      <c r="R239" s="9">
        <f>IFERROR(__xludf.DUMMYFUNCTION("SPLIT($K239,"" "","""")"),-2.3257185E7)</f>
        <v>-23257185</v>
      </c>
      <c r="S239" s="9">
        <f>IFERROR(__xludf.DUMMYFUNCTION("""COMPUTED_VALUE"""),-4.7086032E7)</f>
        <v>-47086032</v>
      </c>
      <c r="T239" s="10">
        <v>3508405.0</v>
      </c>
      <c r="U23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13317-292 ', 'PK-20686', SYSDATE, 0, 'PK-20686', SYSDATE, 'Rua  Solaris  Chácaras do Pinhal (Pinhal)', 'Rua Solaris Chácaras do Pinhal (Pinhal)', ' Chácaras do Pinhal (Pinhal)', 'Rua', '3508405', 'Rua Solaris Chácaras do Pinhal (Pinhal)',' Chácaras do Pinhal (Pinhal)', '1', 'SP', '1', '-23257185', '-47086032', ' Chácaras do Pinhal (Pinhal)' </v>
      </c>
    </row>
    <row r="240" ht="15.75" customHeight="1">
      <c r="A240" s="4" t="s">
        <v>759</v>
      </c>
      <c r="B240" s="5" t="s">
        <v>212</v>
      </c>
      <c r="C240" s="4" t="s">
        <v>10</v>
      </c>
      <c r="D240" s="5" t="s">
        <v>760</v>
      </c>
      <c r="E240" s="6">
        <v>214.0</v>
      </c>
      <c r="F240" s="6" t="s">
        <v>12</v>
      </c>
      <c r="G240" s="3" t="s">
        <v>13</v>
      </c>
      <c r="H240" s="7" t="str">
        <f>IFERROR(__xludf.DUMMYFUNCTION("SPLIT(A238,""Rua"","""")"),"       dos Beija-Flores")</f>
        <v>       dos Beija-Flores</v>
      </c>
      <c r="J240" s="3" t="s">
        <v>761</v>
      </c>
      <c r="K240" s="8" t="str">
        <f>IFERROR(__xludf.DUMMYFUNCTION("SPLIT($J240,""   "","""")"),"-23.288092 -47.057281")</f>
        <v>-23.288092 -47.057281</v>
      </c>
      <c r="L240" s="7" t="str">
        <f>IFERROR(__xludf.DUMMYFUNCTION("""COMPUTED_VALUE"""),"Rua")</f>
        <v>Rua</v>
      </c>
      <c r="M240" s="7" t="str">
        <f>IFERROR(__xludf.DUMMYFUNCTION("""COMPUTED_VALUE""")," Pedro Federsoni")</f>
        <v> Pedro Federsoni</v>
      </c>
      <c r="N240" s="7" t="str">
        <f>IFERROR(__xludf.DUMMYFUNCTION("""COMPUTED_VALUE""")," Bonfim")</f>
        <v> Bonfim</v>
      </c>
      <c r="O240" s="7" t="str">
        <f>IFERROR(__xludf.DUMMYFUNCTION("""COMPUTED_VALUE""")," Cabreúva")</f>
        <v> Cabreúva</v>
      </c>
      <c r="P240" s="7" t="str">
        <f>IFERROR(__xludf.DUMMYFUNCTION("""COMPUTED_VALUE"""),"SP")</f>
        <v>SP</v>
      </c>
      <c r="Q240" s="7" t="str">
        <f>IFERROR(__xludf.DUMMYFUNCTION("""COMPUTED_VALUE""")," 13319-011 ")</f>
        <v> 13319-011 </v>
      </c>
      <c r="R240" s="9">
        <f>IFERROR(__xludf.DUMMYFUNCTION("SPLIT($K240,"" "","""")"),-2.3288092E7)</f>
        <v>-23288092</v>
      </c>
      <c r="S240" s="9">
        <f>IFERROR(__xludf.DUMMYFUNCTION("""COMPUTED_VALUE"""),-4.7057281E7)</f>
        <v>-47057281</v>
      </c>
      <c r="T240" s="10">
        <v>3508405.0</v>
      </c>
      <c r="U24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13319-011 ', 'PK-20686', SYSDATE, 0, 'PK-20686', SYSDATE, 'Rua  Pedro Federsoni  Bonfim', 'Rua Pedro Federsoni Bonfim', ' Bonfim', 'Rua', '3508405', 'Rua Pedro Federsoni Bonfim',' Bonfim', '1', 'SP', '1', '-23288092', '-47057281', ' Bonfim' </v>
      </c>
    </row>
    <row r="241" ht="15.75" hidden="1" customHeight="1">
      <c r="A241" s="4" t="s">
        <v>762</v>
      </c>
      <c r="B241" s="5" t="s">
        <v>24</v>
      </c>
      <c r="C241" s="4" t="s">
        <v>10</v>
      </c>
      <c r="D241" s="5" t="s">
        <v>763</v>
      </c>
      <c r="E241" s="6">
        <v>214.0</v>
      </c>
      <c r="F241" s="6" t="s">
        <v>12</v>
      </c>
      <c r="G241" s="3" t="s">
        <v>13</v>
      </c>
      <c r="H241" s="7" t="str">
        <f>IFERROR(__xludf.DUMMYFUNCTION("SPLIT(A239,""Rua"","""")"),"       dos Bem-Te-Vis")</f>
        <v>       dos Bem-Te-Vis</v>
      </c>
      <c r="J241" s="3" t="s">
        <v>764</v>
      </c>
      <c r="K241" s="8" t="str">
        <f>IFERROR(__xludf.DUMMYFUNCTION("SPLIT($J241,""   "","""")"),"-23.353356 -47.082587")</f>
        <v>-23.353356 -47.082587</v>
      </c>
      <c r="L241" s="7" t="str">
        <f>IFERROR(__xludf.DUMMYFUNCTION("""COMPUTED_VALUE"""),"Estrada")</f>
        <v>Estrada</v>
      </c>
      <c r="M241" s="7" t="str">
        <f>IFERROR(__xludf.DUMMYFUNCTION("""COMPUTED_VALUE""")," Garrafinha")</f>
        <v> Garrafinha</v>
      </c>
      <c r="N241" s="7" t="str">
        <f>IFERROR(__xludf.DUMMYFUNCTION("""COMPUTED_VALUE""")," Bananal")</f>
        <v> Bananal</v>
      </c>
      <c r="O241" s="7" t="str">
        <f>IFERROR(__xludf.DUMMYFUNCTION("""COMPUTED_VALUE""")," Cabreúva")</f>
        <v> Cabreúva</v>
      </c>
      <c r="P241" s="7" t="str">
        <f>IFERROR(__xludf.DUMMYFUNCTION("""COMPUTED_VALUE"""),"SP")</f>
        <v>SP</v>
      </c>
      <c r="Q241" s="7" t="str">
        <f>IFERROR(__xludf.DUMMYFUNCTION("""COMPUTED_VALUE""")," 13316-809 ")</f>
        <v> 13316-809 </v>
      </c>
      <c r="R241" s="9">
        <f>IFERROR(__xludf.DUMMYFUNCTION("SPLIT($K241,"" "","""")"),-2.3353356E7)</f>
        <v>-23353356</v>
      </c>
      <c r="S241" s="9">
        <f>IFERROR(__xludf.DUMMYFUNCTION("""COMPUTED_VALUE"""),-4.7082587E7)</f>
        <v>-47082587</v>
      </c>
      <c r="T241" s="10">
        <v>3508405.0</v>
      </c>
      <c r="U24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13316-809 ', 'PK-20686', SYSDATE, 0, 'PK-20686', SYSDATE, 'Estrada  Garrafinha  Bananal', 'Estrada Garrafinha Bananal', ' Bananal', 'Estrada', '3508405', 'Estrada Garrafinha Bananal',' Bananal', '1', 'SP', '1', '-23353356', '-47082587', ' Bananal' </v>
      </c>
    </row>
    <row r="242" ht="15.75" customHeight="1">
      <c r="A242" s="4" t="s">
        <v>765</v>
      </c>
      <c r="B242" s="5" t="s">
        <v>24</v>
      </c>
      <c r="C242" s="4" t="s">
        <v>10</v>
      </c>
      <c r="D242" s="5" t="s">
        <v>766</v>
      </c>
      <c r="E242" s="6">
        <v>214.0</v>
      </c>
      <c r="F242" s="6" t="s">
        <v>12</v>
      </c>
      <c r="G242" s="3" t="s">
        <v>13</v>
      </c>
      <c r="H242" s="7" t="str">
        <f>IFERROR(__xludf.DUMMYFUNCTION("SPLIT(A240,""Rua"","""")"),"       dos Coqueiros")</f>
        <v>       dos Coqueiros</v>
      </c>
      <c r="J242" s="3" t="s">
        <v>767</v>
      </c>
      <c r="K242" s="8" t="str">
        <f>IFERROR(__xludf.DUMMYFUNCTION("SPLIT($J242,""   "","""")"),"-23.287089 -47.05739")</f>
        <v>-23.287089 -47.05739</v>
      </c>
      <c r="L242" s="7" t="str">
        <f>IFERROR(__xludf.DUMMYFUNCTION("""COMPUTED_VALUE"""),"Rua")</f>
        <v>Rua</v>
      </c>
      <c r="M242" s="7" t="str">
        <f>IFERROR(__xludf.DUMMYFUNCTION("""COMPUTED_VALUE""")," Marcelina Pereira da Costa")</f>
        <v> Marcelina Pereira da Costa</v>
      </c>
      <c r="N242" s="7" t="str">
        <f>IFERROR(__xludf.DUMMYFUNCTION("""COMPUTED_VALUE""")," Bonfim")</f>
        <v> Bonfim</v>
      </c>
      <c r="O242" s="7" t="str">
        <f>IFERROR(__xludf.DUMMYFUNCTION("""COMPUTED_VALUE""")," Cabreúva")</f>
        <v> Cabreúva</v>
      </c>
      <c r="P242" s="7" t="str">
        <f>IFERROR(__xludf.DUMMYFUNCTION("""COMPUTED_VALUE"""),"SP")</f>
        <v>SP</v>
      </c>
      <c r="Q242" s="7" t="str">
        <f>IFERROR(__xludf.DUMMYFUNCTION("""COMPUTED_VALUE""")," 13319-024 ")</f>
        <v> 13319-024 </v>
      </c>
      <c r="R242" s="9">
        <f>IFERROR(__xludf.DUMMYFUNCTION("SPLIT($K242,"" "","""")"),-2.3287089E7)</f>
        <v>-23287089</v>
      </c>
      <c r="S242" s="9">
        <f>IFERROR(__xludf.DUMMYFUNCTION("""COMPUTED_VALUE"""),-4705739.0)</f>
        <v>-4705739</v>
      </c>
      <c r="T242" s="10">
        <v>3508405.0</v>
      </c>
      <c r="U24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13319-024 ', 'PK-20686', SYSDATE, 0, 'PK-20686', SYSDATE, 'Rua  Marcelina Pereira da Costa  Bonfim', 'Rua Marcelina Pereira da Costa Bonfim', ' Bonfim', 'Rua', '3508405', 'Rua Marcelina Pereira da Costa Bonfim',' Bonfim', '1', 'SP', '1', '-23287089', '-4705739', ' Bonfim' </v>
      </c>
    </row>
    <row r="243" ht="15.75" customHeight="1">
      <c r="A243" s="4" t="s">
        <v>768</v>
      </c>
      <c r="B243" s="5" t="s">
        <v>212</v>
      </c>
      <c r="C243" s="4" t="s">
        <v>10</v>
      </c>
      <c r="D243" s="5" t="s">
        <v>769</v>
      </c>
      <c r="E243" s="6">
        <v>214.0</v>
      </c>
      <c r="F243" s="6" t="s">
        <v>12</v>
      </c>
      <c r="G243" s="3" t="s">
        <v>13</v>
      </c>
      <c r="H243" s="7" t="str">
        <f>IFERROR(__xludf.DUMMYFUNCTION("SPLIT(A241,""Rua"","""")"),"       dos Estados")</f>
        <v>       dos Estados</v>
      </c>
      <c r="J243" s="3" t="s">
        <v>770</v>
      </c>
      <c r="K243" s="8" t="str">
        <f>IFERROR(__xludf.DUMMYFUNCTION("SPLIT($J243,""   "","""")"),"-23.279033 -47.062305")</f>
        <v>-23.279033 -47.062305</v>
      </c>
      <c r="L243" s="7" t="str">
        <f>IFERROR(__xludf.DUMMYFUNCTION("""COMPUTED_VALUE"""),"Rua")</f>
        <v>Rua</v>
      </c>
      <c r="M243" s="7" t="str">
        <f>IFERROR(__xludf.DUMMYFUNCTION("""COMPUTED_VALUE""")," Pirassununga")</f>
        <v> Pirassununga</v>
      </c>
      <c r="N243" s="7" t="str">
        <f>IFERROR(__xludf.DUMMYFUNCTION("""COMPUTED_VALUE""")," Novo Bonfim (Vilarejo)")</f>
        <v> Novo Bonfim (Vilarejo)</v>
      </c>
      <c r="O243" s="7" t="str">
        <f>IFERROR(__xludf.DUMMYFUNCTION("""COMPUTED_VALUE""")," Cabreúva")</f>
        <v> Cabreúva</v>
      </c>
      <c r="P243" s="7" t="str">
        <f>IFERROR(__xludf.DUMMYFUNCTION("""COMPUTED_VALUE"""),"SP")</f>
        <v>SP</v>
      </c>
      <c r="Q243" s="7" t="str">
        <f>IFERROR(__xludf.DUMMYFUNCTION("""COMPUTED_VALUE""")," 13317-776 ")</f>
        <v> 13317-776 </v>
      </c>
      <c r="R243" s="9">
        <f>IFERROR(__xludf.DUMMYFUNCTION("SPLIT($K243,"" "","""")"),-2.3279033E7)</f>
        <v>-23279033</v>
      </c>
      <c r="S243" s="9">
        <f>IFERROR(__xludf.DUMMYFUNCTION("""COMPUTED_VALUE"""),-4.7062305E7)</f>
        <v>-47062305</v>
      </c>
      <c r="T243" s="10">
        <v>3508405.0</v>
      </c>
      <c r="U24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13317-776 ', 'PK-20686', SYSDATE, 0, 'PK-20686', SYSDATE, 'Rua  Pirassununga  Novo Bonfim (Vilarejo)', 'Rua Pirassununga Novo Bonfim (Vilarejo)', ' Novo Bonfim (Vilarejo)', 'Rua', '3508405', 'Rua Pirassununga Novo Bonfim (Vilarejo)',' Novo Bonfim (Vilarejo)', '1', 'SP', '1', '-23279033', '-47062305', ' Novo Bonfim (Vilarejo)' </v>
      </c>
    </row>
    <row r="244" ht="15.75" customHeight="1">
      <c r="A244" s="4" t="s">
        <v>771</v>
      </c>
      <c r="B244" s="5" t="s">
        <v>658</v>
      </c>
      <c r="C244" s="4" t="s">
        <v>10</v>
      </c>
      <c r="D244" s="5" t="s">
        <v>772</v>
      </c>
      <c r="E244" s="6">
        <v>214.0</v>
      </c>
      <c r="F244" s="6" t="s">
        <v>12</v>
      </c>
      <c r="G244" s="3" t="s">
        <v>13</v>
      </c>
      <c r="H244" s="7" t="str">
        <f>IFERROR(__xludf.DUMMYFUNCTION("SPLIT(A242,""Rua"","""")"),"       dos Estudantes")</f>
        <v>       dos Estudantes</v>
      </c>
      <c r="J244" s="3" t="s">
        <v>773</v>
      </c>
      <c r="K244" s="8" t="str">
        <f>IFERROR(__xludf.DUMMYFUNCTION("SPLIT($J244,""   "","""")"),"-23.280683 -47.061516")</f>
        <v>-23.280683 -47.061516</v>
      </c>
      <c r="L244" s="7" t="str">
        <f>IFERROR(__xludf.DUMMYFUNCTION("""COMPUTED_VALUE"""),"Rua")</f>
        <v>Rua</v>
      </c>
      <c r="M244" s="7" t="str">
        <f>IFERROR(__xludf.DUMMYFUNCTION("""COMPUTED_VALUE""")," Montes Claros")</f>
        <v> Montes Claros</v>
      </c>
      <c r="N244" s="7" t="str">
        <f>IFERROR(__xludf.DUMMYFUNCTION("""COMPUTED_VALUE""")," Novo Bonfim (Vilarejo)")</f>
        <v> Novo Bonfim (Vilarejo)</v>
      </c>
      <c r="O244" s="7" t="str">
        <f>IFERROR(__xludf.DUMMYFUNCTION("""COMPUTED_VALUE""")," Cabreúva")</f>
        <v> Cabreúva</v>
      </c>
      <c r="P244" s="7" t="str">
        <f>IFERROR(__xludf.DUMMYFUNCTION("""COMPUTED_VALUE"""),"SP")</f>
        <v>SP</v>
      </c>
      <c r="Q244" s="7" t="str">
        <f>IFERROR(__xludf.DUMMYFUNCTION("""COMPUTED_VALUE""")," 13317-788 ")</f>
        <v> 13317-788 </v>
      </c>
      <c r="R244" s="9">
        <f>IFERROR(__xludf.DUMMYFUNCTION("SPLIT($K244,"" "","""")"),-2.3280683E7)</f>
        <v>-23280683</v>
      </c>
      <c r="S244" s="9">
        <f>IFERROR(__xludf.DUMMYFUNCTION("""COMPUTED_VALUE"""),-4.7061516E7)</f>
        <v>-47061516</v>
      </c>
      <c r="T244" s="10">
        <v>3508405.0</v>
      </c>
      <c r="U24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13317-788 ', 'PK-20686', SYSDATE, 0, 'PK-20686', SYSDATE, 'Rua  Montes Claros  Novo Bonfim (Vilarejo)', 'Rua Montes Claros Novo Bonfim (Vilarejo)', ' Novo Bonfim (Vilarejo)', 'Rua', '3508405', 'Rua Montes Claros Novo Bonfim (Vilarejo)',' Novo Bonfim (Vilarejo)', '1', 'SP', '1', '-23280683', '-47061516', ' Novo Bonfim (Vilarejo)' </v>
      </c>
    </row>
    <row r="245" ht="15.75" hidden="1" customHeight="1">
      <c r="A245" s="4" t="s">
        <v>771</v>
      </c>
      <c r="B245" s="5" t="s">
        <v>212</v>
      </c>
      <c r="C245" s="4" t="s">
        <v>10</v>
      </c>
      <c r="D245" s="5" t="s">
        <v>774</v>
      </c>
      <c r="E245" s="6">
        <v>214.0</v>
      </c>
      <c r="F245" s="6" t="s">
        <v>12</v>
      </c>
      <c r="G245" s="3" t="s">
        <v>13</v>
      </c>
      <c r="H245" s="7" t="str">
        <f>IFERROR(__xludf.DUMMYFUNCTION("SPLIT(A243,""Rua"","""")"),"       dos Eucaliptos")</f>
        <v>       dos Eucaliptos</v>
      </c>
      <c r="J245" s="3" t="s">
        <v>775</v>
      </c>
      <c r="K245" s="8" t="str">
        <f>IFERROR(__xludf.DUMMYFUNCTION("SPLIT($J245,""   "","""")"),"-23.257909 -47.051612")</f>
        <v>-23.257909 -47.051612</v>
      </c>
      <c r="L245" s="7" t="str">
        <f>IFERROR(__xludf.DUMMYFUNCTION("""COMPUTED_VALUE"""),"Avenida")</f>
        <v>Avenida</v>
      </c>
      <c r="M245" s="7" t="str">
        <f>IFERROR(__xludf.DUMMYFUNCTION("""COMPUTED_VALUE""")," Augusta National")</f>
        <v> Augusta National</v>
      </c>
      <c r="N245" s="7" t="str">
        <f>IFERROR(__xludf.DUMMYFUNCTION("""COMPUTED_VALUE""")," Portal da Concórdia II (Jacaré)")</f>
        <v> Portal da Concórdia II (Jacaré)</v>
      </c>
      <c r="O245" s="7" t="str">
        <f>IFERROR(__xludf.DUMMYFUNCTION("""COMPUTED_VALUE""")," Cabreúva")</f>
        <v> Cabreúva</v>
      </c>
      <c r="P245" s="7" t="str">
        <f>IFERROR(__xludf.DUMMYFUNCTION("""COMPUTED_VALUE"""),"SP")</f>
        <v>SP</v>
      </c>
      <c r="Q245" s="7" t="str">
        <f>IFERROR(__xludf.DUMMYFUNCTION("""COMPUTED_VALUE""")," 13318-296 ")</f>
        <v> 13318-296 </v>
      </c>
      <c r="R245" s="9">
        <f>IFERROR(__xludf.DUMMYFUNCTION("SPLIT($K245,"" "","""")"),-2.3257909E7)</f>
        <v>-23257909</v>
      </c>
      <c r="S245" s="9">
        <f>IFERROR(__xludf.DUMMYFUNCTION("""COMPUTED_VALUE"""),-4.7051612E7)</f>
        <v>-47051612</v>
      </c>
      <c r="T245" s="10">
        <v>3508405.0</v>
      </c>
      <c r="U24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13318-296 ', 'PK-20686', SYSDATE, 0, 'PK-20686', SYSDATE, 'Avenida  Augusta National  Portal da Concórdia II (Jacaré)', 'Avenida Augusta National Portal da Concórdia II (Jacaré)', ' Portal da Concórdia II (Jacaré)', 'Avenida', '3508405', 'Avenida Augusta National Portal da Concórdia II (Jacaré)',' Portal da Concórdia II (Jacaré)', '1', 'SP', '1', '-23257909', '-47051612', ' Portal da Concórdia II (Jacaré)' </v>
      </c>
    </row>
    <row r="246" ht="15.75" customHeight="1">
      <c r="A246" s="4" t="s">
        <v>776</v>
      </c>
      <c r="B246" s="5" t="s">
        <v>658</v>
      </c>
      <c r="C246" s="4" t="s">
        <v>10</v>
      </c>
      <c r="D246" s="5" t="s">
        <v>777</v>
      </c>
      <c r="E246" s="6">
        <v>214.0</v>
      </c>
      <c r="F246" s="6" t="s">
        <v>12</v>
      </c>
      <c r="G246" s="3" t="s">
        <v>13</v>
      </c>
      <c r="H246" s="7" t="str">
        <f>IFERROR(__xludf.DUMMYFUNCTION("SPLIT(A244,""Rua"","""")"),"       dos Ipês")</f>
        <v>       dos Ipês</v>
      </c>
      <c r="J246" s="3" t="s">
        <v>778</v>
      </c>
      <c r="K246" s="8" t="str">
        <f>IFERROR(__xludf.DUMMYFUNCTION("SPLIT($J246,""   "","""")"),"-23.307366 -47.133678")</f>
        <v>-23.307366 -47.133678</v>
      </c>
      <c r="L246" s="7" t="str">
        <f>IFERROR(__xludf.DUMMYFUNCTION("""COMPUTED_VALUE"""),"Rua")</f>
        <v>Rua</v>
      </c>
      <c r="M246" s="7" t="str">
        <f>IFERROR(__xludf.DUMMYFUNCTION("""COMPUTED_VALUE""")," Miguel Castarde")</f>
        <v> Miguel Castarde</v>
      </c>
      <c r="N246" s="7" t="str">
        <f>IFERROR(__xludf.DUMMYFUNCTION("""COMPUTED_VALUE""")," Flor de Ipê (Jacaré)")</f>
        <v> Flor de Ipê (Jacaré)</v>
      </c>
      <c r="O246" s="7" t="str">
        <f>IFERROR(__xludf.DUMMYFUNCTION("""COMPUTED_VALUE""")," Cabreúva")</f>
        <v> Cabreúva</v>
      </c>
      <c r="P246" s="7" t="str">
        <f>IFERROR(__xludf.DUMMYFUNCTION("""COMPUTED_VALUE"""),"SP")</f>
        <v>SP</v>
      </c>
      <c r="Q246" s="7" t="str">
        <f>IFERROR(__xludf.DUMMYFUNCTION("""COMPUTED_VALUE""")," 13318-418 ")</f>
        <v> 13318-418 </v>
      </c>
      <c r="R246" s="9">
        <f>IFERROR(__xludf.DUMMYFUNCTION("SPLIT($K246,"" "","""")"),-2.3307366E7)</f>
        <v>-23307366</v>
      </c>
      <c r="S246" s="9">
        <f>IFERROR(__xludf.DUMMYFUNCTION("""COMPUTED_VALUE"""),-4.7133678E7)</f>
        <v>-47133678</v>
      </c>
      <c r="T246" s="10">
        <v>3508405.0</v>
      </c>
      <c r="U24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13318-418 ', 'PK-20686', SYSDATE, 0, 'PK-20686', SYSDATE, 'Rua  Miguel Castarde  Flor de Ipê (Jacaré)', 'Rua Miguel Castarde Flor de Ipê (Jacaré)', ' Flor de Ipê (Jacaré)', 'Rua', '3508405', 'Rua Miguel Castarde Flor de Ipê (Jacaré)',' Flor de Ipê (Jacaré)', '1', 'SP', '1', '-23307366', '-47133678', ' Flor de Ipê (Jacaré)' </v>
      </c>
    </row>
    <row r="247" ht="15.75" customHeight="1">
      <c r="A247" s="12" t="s">
        <v>779</v>
      </c>
      <c r="B247" s="13" t="s">
        <v>24</v>
      </c>
      <c r="C247" s="4" t="s">
        <v>10</v>
      </c>
      <c r="D247" s="13" t="s">
        <v>780</v>
      </c>
      <c r="E247" s="6">
        <v>214.0</v>
      </c>
      <c r="F247" s="6" t="s">
        <v>12</v>
      </c>
      <c r="G247" s="3" t="s">
        <v>13</v>
      </c>
      <c r="H247" s="7" t="str">
        <f>IFERROR(__xludf.DUMMYFUNCTION("SPLIT(A245,""Rua"","""")"),"       dos Ipês")</f>
        <v>       dos Ipês</v>
      </c>
      <c r="J247" s="3" t="s">
        <v>781</v>
      </c>
      <c r="K247" s="8" t="str">
        <f>IFERROR(__xludf.DUMMYFUNCTION("SPLIT($J247,""   "","""")"),"-23.307026 -47.131545")</f>
        <v>-23.307026 -47.131545</v>
      </c>
      <c r="L247" s="7" t="str">
        <f>IFERROR(__xludf.DUMMYFUNCTION("""COMPUTED_VALUE"""),"Rua")</f>
        <v>Rua</v>
      </c>
      <c r="M247" s="7" t="str">
        <f>IFERROR(__xludf.DUMMYFUNCTION("""COMPUTED_VALUE""")," Cônego Motta")</f>
        <v> Cônego Motta</v>
      </c>
      <c r="N247" s="7" t="str">
        <f>IFERROR(__xludf.DUMMYFUNCTION("""COMPUTED_VALUE""")," 84 Clique e Retire Correios AC Cabreúva Clique e Retire  Centro")</f>
        <v> 84 Clique e Retire Correios AC Cabreúva Clique e Retire  Centro</v>
      </c>
      <c r="O247" s="7" t="str">
        <f>IFERROR(__xludf.DUMMYFUNCTION("""COMPUTED_VALUE""")," Cabreúva")</f>
        <v> Cabreúva</v>
      </c>
      <c r="P247" s="7" t="str">
        <f>IFERROR(__xludf.DUMMYFUNCTION("""COMPUTED_VALUE"""),"SP")</f>
        <v>SP</v>
      </c>
      <c r="Q247" s="7" t="str">
        <f>IFERROR(__xludf.DUMMYFUNCTION("""COMPUTED_VALUE""")," 13315-959 ")</f>
        <v> 13315-959 </v>
      </c>
      <c r="R247" s="9">
        <f>IFERROR(__xludf.DUMMYFUNCTION("SPLIT($K247,"" "","""")"),-2.3307026E7)</f>
        <v>-23307026</v>
      </c>
      <c r="S247" s="9">
        <f>IFERROR(__xludf.DUMMYFUNCTION("""COMPUTED_VALUE"""),-4.7131545E7)</f>
        <v>-47131545</v>
      </c>
      <c r="T247" s="10">
        <v>3508405.0</v>
      </c>
      <c r="U24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13315-959 ', 'PK-20686', SYSDATE, 0, 'PK-20686', SYSDATE, 'Rua  Cônego Motta  84 Clique e Retire Correios AC Cabreúva Clique e Retire  Centro', 'Rua Cônego Motta 84 Clique e Retire Correios AC Cabreúva Clique e Retire  Centro', ' 84 Clique e Retire Correios AC Cabreúva Clique e Retire  Centro', 'Rua', '3508405', 'Rua Cônego Motta 84 Clique e Retire Correios AC Cabreúva Clique e Retire  Centro',' 84 Clique e Retire Correios AC Cabreúva Clique e Retire  Centro', '1', 'SP', '1', '-23307026', '-47131545', ' 84 Clique e Retire Correios AC Cabreúva Clique e Retire  Centro' </v>
      </c>
    </row>
    <row r="248" ht="15.75" hidden="1" customHeight="1">
      <c r="A248" s="4" t="s">
        <v>782</v>
      </c>
      <c r="B248" s="5" t="s">
        <v>476</v>
      </c>
      <c r="C248" s="4" t="s">
        <v>10</v>
      </c>
      <c r="D248" s="5" t="s">
        <v>783</v>
      </c>
      <c r="E248" s="6">
        <v>214.0</v>
      </c>
      <c r="F248" s="6" t="s">
        <v>12</v>
      </c>
      <c r="G248" s="3" t="s">
        <v>13</v>
      </c>
      <c r="H248" s="7" t="str">
        <f>IFERROR(__xludf.DUMMYFUNCTION("SPLIT(A246,""Rua"","""")"),"       dos Jasmins")</f>
        <v>       dos Jasmins</v>
      </c>
      <c r="J248" s="3" t="s">
        <v>784</v>
      </c>
      <c r="K248" s="8" t="str">
        <f>IFERROR(__xludf.DUMMYFUNCTION("SPLIT($J248,""   "","""")"),"-23.307366 -47.133678")</f>
        <v>-23.307366 -47.133678</v>
      </c>
      <c r="L248" s="7" t="str">
        <f>IFERROR(__xludf.DUMMYFUNCTION("""COMPUTED_VALUE"""),"Estrada")</f>
        <v>Estrada</v>
      </c>
      <c r="M248" s="7" t="str">
        <f>IFERROR(__xludf.DUMMYFUNCTION("""COMPUTED_VALUE""")," Parque")</f>
        <v> Parque</v>
      </c>
      <c r="N248" s="7" t="str">
        <f>IFERROR(__xludf.DUMMYFUNCTION("""COMPUTED_VALUE""")," Barrinha")</f>
        <v> Barrinha</v>
      </c>
      <c r="O248" s="7" t="str">
        <f>IFERROR(__xludf.DUMMYFUNCTION("""COMPUTED_VALUE""")," Cabreúva")</f>
        <v> Cabreúva</v>
      </c>
      <c r="P248" s="7" t="str">
        <f>IFERROR(__xludf.DUMMYFUNCTION("""COMPUTED_VALUE"""),"SP")</f>
        <v>SP</v>
      </c>
      <c r="Q248" s="7" t="str">
        <f>IFERROR(__xludf.DUMMYFUNCTION("""COMPUTED_VALUE""")," 13315-295 ")</f>
        <v> 13315-295 </v>
      </c>
      <c r="R248" s="9">
        <f>IFERROR(__xludf.DUMMYFUNCTION("SPLIT($K248,"" "","""")"),-2.3307366E7)</f>
        <v>-23307366</v>
      </c>
      <c r="S248" s="9">
        <f>IFERROR(__xludf.DUMMYFUNCTION("""COMPUTED_VALUE"""),-4.7133678E7)</f>
        <v>-47133678</v>
      </c>
      <c r="T248" s="10">
        <v>3508405.0</v>
      </c>
      <c r="U24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13315-295 ', 'PK-20686', SYSDATE, 0, 'PK-20686', SYSDATE, 'Estrada  Parque  Barrinha', 'Estrada Parque Barrinha', ' Barrinha', 'Estrada', '3508405', 'Estrada Parque Barrinha',' Barrinha', '1', 'SP', '1', '-23307366', '-47133678', ' Barrinha' </v>
      </c>
    </row>
    <row r="249" ht="15.75" customHeight="1">
      <c r="A249" s="4" t="s">
        <v>785</v>
      </c>
      <c r="B249" s="5" t="s">
        <v>611</v>
      </c>
      <c r="C249" s="4" t="s">
        <v>10</v>
      </c>
      <c r="D249" s="5" t="s">
        <v>786</v>
      </c>
      <c r="E249" s="6">
        <v>214.0</v>
      </c>
      <c r="F249" s="6" t="s">
        <v>12</v>
      </c>
      <c r="G249" s="3" t="s">
        <v>13</v>
      </c>
      <c r="H249" s="7" t="str">
        <f>IFERROR(__xludf.DUMMYFUNCTION("SPLIT(A247,""Rua"","""")"),"       dos Oliveiras")</f>
        <v>       dos Oliveiras</v>
      </c>
      <c r="J249" s="3" t="s">
        <v>787</v>
      </c>
      <c r="K249" s="8" t="str">
        <f>IFERROR(__xludf.DUMMYFUNCTION("SPLIT($J249,""   "","""")"),"-23.29866 -47.138093")</f>
        <v>-23.29866 -47.138093</v>
      </c>
      <c r="L249" s="7" t="str">
        <f>IFERROR(__xludf.DUMMYFUNCTION("""COMPUTED_VALUE"""),"Rua")</f>
        <v>Rua</v>
      </c>
      <c r="M249" s="7" t="str">
        <f>IFERROR(__xludf.DUMMYFUNCTION("""COMPUTED_VALUE""")," Mógno")</f>
        <v> Mógno</v>
      </c>
      <c r="N249" s="7" t="str">
        <f>IFERROR(__xludf.DUMMYFUNCTION("""COMPUTED_VALUE""")," Vale Verde (Centro)")</f>
        <v> Vale Verde (Centro)</v>
      </c>
      <c r="O249" s="7" t="str">
        <f>IFERROR(__xludf.DUMMYFUNCTION("""COMPUTED_VALUE""")," Cabreúva")</f>
        <v> Cabreúva</v>
      </c>
      <c r="P249" s="7" t="str">
        <f>IFERROR(__xludf.DUMMYFUNCTION("""COMPUTED_VALUE"""),"SP")</f>
        <v>SP</v>
      </c>
      <c r="Q249" s="7" t="str">
        <f>IFERROR(__xludf.DUMMYFUNCTION("""COMPUTED_VALUE""")," 13315-276 ")</f>
        <v> 13315-276 </v>
      </c>
      <c r="R249" s="9">
        <f>IFERROR(__xludf.DUMMYFUNCTION("SPLIT($K249,"" "","""")"),-2329866.0)</f>
        <v>-2329866</v>
      </c>
      <c r="S249" s="9">
        <f>IFERROR(__xludf.DUMMYFUNCTION("""COMPUTED_VALUE"""),-4.7138093E7)</f>
        <v>-47138093</v>
      </c>
      <c r="T249" s="10">
        <v>3508405.0</v>
      </c>
      <c r="U24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13315-276 ', 'PK-20686', SYSDATE, 0, 'PK-20686', SYSDATE, 'Rua  Mógno  Vale Verde (Centro)', 'Rua Mógno Vale Verde (Centro)', ' Vale Verde (Centro)', 'Rua', '3508405', 'Rua Mógno Vale Verde (Centro)',' Vale Verde (Centro)', '1', 'SP', '1', '-2329866', '-47138093', ' Vale Verde (Centro)' </v>
      </c>
    </row>
    <row r="250" ht="15.75" customHeight="1">
      <c r="A250" s="4" t="s">
        <v>788</v>
      </c>
      <c r="B250" s="5" t="s">
        <v>501</v>
      </c>
      <c r="C250" s="4" t="s">
        <v>10</v>
      </c>
      <c r="D250" s="5" t="s">
        <v>789</v>
      </c>
      <c r="E250" s="6">
        <v>214.0</v>
      </c>
      <c r="F250" s="6" t="s">
        <v>12</v>
      </c>
      <c r="G250" s="3" t="s">
        <v>13</v>
      </c>
      <c r="H250" s="7" t="str">
        <f>IFERROR(__xludf.DUMMYFUNCTION("SPLIT(A248,""Rua"","""")"),"       Doutor Hermogenes Godoy")</f>
        <v>       Doutor Hermogenes Godoy</v>
      </c>
      <c r="J250" s="3" t="s">
        <v>790</v>
      </c>
      <c r="K250" s="8" t="str">
        <f>IFERROR(__xludf.DUMMYFUNCTION("SPLIT($J250,""   "","""")"),"-23.318411 -47.117333")</f>
        <v>-23.318411 -47.117333</v>
      </c>
      <c r="L250" s="7" t="str">
        <f>IFERROR(__xludf.DUMMYFUNCTION("""COMPUTED_VALUE"""),"Rua")</f>
        <v>Rua</v>
      </c>
      <c r="M250" s="7" t="str">
        <f>IFERROR(__xludf.DUMMYFUNCTION("""COMPUTED_VALUE""")," Paulo Takohei Yokoyama")</f>
        <v> Paulo Takohei Yokoyama</v>
      </c>
      <c r="N250" s="7" t="str">
        <f>IFERROR(__xludf.DUMMYFUNCTION("""COMPUTED_VALUE""")," Bananal")</f>
        <v> Bananal</v>
      </c>
      <c r="O250" s="7" t="str">
        <f>IFERROR(__xludf.DUMMYFUNCTION("""COMPUTED_VALUE""")," Cabreúva")</f>
        <v> Cabreúva</v>
      </c>
      <c r="P250" s="7" t="str">
        <f>IFERROR(__xludf.DUMMYFUNCTION("""COMPUTED_VALUE"""),"SP")</f>
        <v>SP</v>
      </c>
      <c r="Q250" s="7" t="str">
        <f>IFERROR(__xludf.DUMMYFUNCTION("""COMPUTED_VALUE""")," 13316-807 ")</f>
        <v> 13316-807 </v>
      </c>
      <c r="R250" s="9">
        <f>IFERROR(__xludf.DUMMYFUNCTION("SPLIT($K250,"" "","""")"),-2.3318411E7)</f>
        <v>-23318411</v>
      </c>
      <c r="S250" s="9">
        <f>IFERROR(__xludf.DUMMYFUNCTION("""COMPUTED_VALUE"""),-4.7117333E7)</f>
        <v>-47117333</v>
      </c>
      <c r="T250" s="10">
        <v>3508405.0</v>
      </c>
      <c r="U25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13316-807 ', 'PK-20686', SYSDATE, 0, 'PK-20686', SYSDATE, 'Rua  Paulo Takohei Yokoyama  Bananal', 'Rua Paulo Takohei Yokoyama Bananal', ' Bananal', 'Rua', '3508405', 'Rua Paulo Takohei Yokoyama Bananal',' Bananal', '1', 'SP', '1', '-23318411', '-47117333', ' Bananal' </v>
      </c>
    </row>
    <row r="251" ht="15.75" hidden="1" customHeight="1">
      <c r="A251" s="4" t="s">
        <v>791</v>
      </c>
      <c r="B251" s="5" t="s">
        <v>368</v>
      </c>
      <c r="C251" s="4" t="s">
        <v>10</v>
      </c>
      <c r="D251" s="5" t="s">
        <v>792</v>
      </c>
      <c r="E251" s="6">
        <v>214.0</v>
      </c>
      <c r="F251" s="6" t="s">
        <v>12</v>
      </c>
      <c r="G251" s="3" t="s">
        <v>13</v>
      </c>
      <c r="H251" s="7" t="str">
        <f>IFERROR(__xludf.DUMMYFUNCTION("SPLIT(A249,""Rua"","""")"),"       Doze")</f>
        <v>       Doze</v>
      </c>
      <c r="J251" s="3" t="s">
        <v>793</v>
      </c>
      <c r="K251" s="8" t="str">
        <f>IFERROR(__xludf.DUMMYFUNCTION("SPLIT($J251,""   "","""")"),"-23.309596 -47.106666")</f>
        <v>-23.309596 -47.106666</v>
      </c>
      <c r="L251" s="7" t="str">
        <f>IFERROR(__xludf.DUMMYFUNCTION("""COMPUTED_VALUE"""),"Estrada")</f>
        <v>Estrada</v>
      </c>
      <c r="M251" s="7" t="str">
        <f>IFERROR(__xludf.DUMMYFUNCTION("""COMPUTED_VALUE""")," da Fazenda Campininha")</f>
        <v> da Fazenda Campininha</v>
      </c>
      <c r="N251" s="7" t="str">
        <f>IFERROR(__xludf.DUMMYFUNCTION("""COMPUTED_VALUE""")," Campininha")</f>
        <v> Campininha</v>
      </c>
      <c r="O251" s="7" t="str">
        <f>IFERROR(__xludf.DUMMYFUNCTION("""COMPUTED_VALUE""")," Cabreúva")</f>
        <v> Cabreúva</v>
      </c>
      <c r="P251" s="7" t="str">
        <f>IFERROR(__xludf.DUMMYFUNCTION("""COMPUTED_VALUE"""),"SP")</f>
        <v>SP</v>
      </c>
      <c r="Q251" s="7" t="str">
        <f>IFERROR(__xludf.DUMMYFUNCTION("""COMPUTED_VALUE""")," 13316-820 ")</f>
        <v> 13316-820 </v>
      </c>
      <c r="R251" s="9">
        <f>IFERROR(__xludf.DUMMYFUNCTION("SPLIT($K251,"" "","""")"),-2.3309596E7)</f>
        <v>-23309596</v>
      </c>
      <c r="S251" s="9">
        <f>IFERROR(__xludf.DUMMYFUNCTION("""COMPUTED_VALUE"""),-4.7106666E7)</f>
        <v>-47106666</v>
      </c>
      <c r="T251" s="10">
        <v>3508405.0</v>
      </c>
      <c r="U25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13316-820 ', 'PK-20686', SYSDATE, 0, 'PK-20686', SYSDATE, 'Estrada  da Fazenda Campininha  Campininha', 'Estrada da Fazenda Campininha Campininha', ' Campininha', 'Estrada', '3508405', 'Estrada da Fazenda Campininha Campininha',' Campininha', '1', 'SP', '1', '-23309596', '-47106666', ' Campininha' </v>
      </c>
    </row>
    <row r="252" ht="15.75" hidden="1" customHeight="1">
      <c r="A252" s="4" t="s">
        <v>794</v>
      </c>
      <c r="B252" s="5" t="s">
        <v>372</v>
      </c>
      <c r="C252" s="4" t="s">
        <v>10</v>
      </c>
      <c r="D252" s="5" t="s">
        <v>795</v>
      </c>
      <c r="E252" s="6">
        <v>214.0</v>
      </c>
      <c r="F252" s="6" t="s">
        <v>12</v>
      </c>
      <c r="G252" s="3" t="s">
        <v>13</v>
      </c>
      <c r="H252" s="7" t="str">
        <f>IFERROR(__xludf.DUMMYFUNCTION("SPLIT(A250,""Rua"","""")"),"       Duque de Caxias")</f>
        <v>       Duque de Caxias</v>
      </c>
      <c r="J252" s="3" t="s">
        <v>796</v>
      </c>
      <c r="K252" s="8" t="str">
        <f>IFERROR(__xludf.DUMMYFUNCTION("SPLIT($J252,""   "","""")"),"-23.307366 -47.133678")</f>
        <v>-23.307366 -47.133678</v>
      </c>
      <c r="L252" s="7" t="str">
        <f>IFERROR(__xludf.DUMMYFUNCTION("""COMPUTED_VALUE"""),"Área")</f>
        <v>Área</v>
      </c>
      <c r="M252" s="7" t="str">
        <f>IFERROR(__xludf.DUMMYFUNCTION("""COMPUTED_VALUE""")," Rural")</f>
        <v> Rural</v>
      </c>
      <c r="N252" s="7" t="str">
        <f>IFERROR(__xludf.DUMMYFUNCTION("""COMPUTED_VALUE""")," Área Rural de Cabreúva")</f>
        <v> Área Rural de Cabreúva</v>
      </c>
      <c r="O252" s="7" t="str">
        <f>IFERROR(__xludf.DUMMYFUNCTION("""COMPUTED_VALUE""")," Cabreúva")</f>
        <v> Cabreúva</v>
      </c>
      <c r="P252" s="7" t="str">
        <f>IFERROR(__xludf.DUMMYFUNCTION("""COMPUTED_VALUE"""),"SP")</f>
        <v>SP</v>
      </c>
      <c r="Q252" s="7" t="str">
        <f>IFERROR(__xludf.DUMMYFUNCTION("""COMPUTED_VALUE""")," 13317-899 ")</f>
        <v> 13317-899 </v>
      </c>
      <c r="R252" s="9">
        <f>IFERROR(__xludf.DUMMYFUNCTION("SPLIT($K252,"" "","""")"),-2.3307366E7)</f>
        <v>-23307366</v>
      </c>
      <c r="S252" s="9">
        <f>IFERROR(__xludf.DUMMYFUNCTION("""COMPUTED_VALUE"""),-4.7133678E7)</f>
        <v>-47133678</v>
      </c>
      <c r="T252" s="10">
        <v>3508405.0</v>
      </c>
      <c r="U25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13317-899 ', 'PK-20686', SYSDATE, 0, 'PK-20686', SYSDATE, 'Área  Rural  Área Rural de Cabreúva', 'Área Rural Área Rural de Cabreúva', ' Área Rural de Cabreúva', 'Área', '3508405', 'Área Rural Área Rural de Cabreúva',' Área Rural de Cabreúva', '1', 'SP', '1', '-23307366', '-47133678', ' Área Rural de Cabreúva' </v>
      </c>
    </row>
    <row r="253" ht="15.75" customHeight="1">
      <c r="A253" s="4" t="s">
        <v>797</v>
      </c>
      <c r="B253" s="5" t="s">
        <v>476</v>
      </c>
      <c r="C253" s="4" t="s">
        <v>10</v>
      </c>
      <c r="D253" s="5" t="s">
        <v>798</v>
      </c>
      <c r="E253" s="6">
        <v>214.0</v>
      </c>
      <c r="F253" s="6" t="s">
        <v>12</v>
      </c>
      <c r="G253" s="3" t="s">
        <v>13</v>
      </c>
      <c r="H253" s="7" t="str">
        <f>IFERROR(__xludf.DUMMYFUNCTION("SPLIT(A251,""Rua"","""")"),"       E")</f>
        <v>       E</v>
      </c>
      <c r="J253" s="3" t="s">
        <v>799</v>
      </c>
      <c r="K253" s="8" t="str">
        <f>IFERROR(__xludf.DUMMYFUNCTION("SPLIT($J253,""   "","""")"),"-23.281316 -47.060959")</f>
        <v>-23.281316 -47.060959</v>
      </c>
      <c r="L253" s="7" t="str">
        <f>IFERROR(__xludf.DUMMYFUNCTION("""COMPUTED_VALUE"""),"Rua")</f>
        <v>Rua</v>
      </c>
      <c r="M253" s="7" t="str">
        <f>IFERROR(__xludf.DUMMYFUNCTION("""COMPUTED_VALUE""")," Monte Verde")</f>
        <v> Monte Verde</v>
      </c>
      <c r="N253" s="7" t="str">
        <f>IFERROR(__xludf.DUMMYFUNCTION("""COMPUTED_VALUE""")," Novo Bonfim (Vilarejo)")</f>
        <v> Novo Bonfim (Vilarejo)</v>
      </c>
      <c r="O253" s="7" t="str">
        <f>IFERROR(__xludf.DUMMYFUNCTION("""COMPUTED_VALUE""")," Cabreúva")</f>
        <v> Cabreúva</v>
      </c>
      <c r="P253" s="7" t="str">
        <f>IFERROR(__xludf.DUMMYFUNCTION("""COMPUTED_VALUE"""),"SP")</f>
        <v>SP</v>
      </c>
      <c r="Q253" s="7" t="str">
        <f>IFERROR(__xludf.DUMMYFUNCTION("""COMPUTED_VALUE""")," 13317-790 ")</f>
        <v> 13317-790 </v>
      </c>
      <c r="R253" s="9">
        <f>IFERROR(__xludf.DUMMYFUNCTION("SPLIT($K253,"" "","""")"),-2.3281316E7)</f>
        <v>-23281316</v>
      </c>
      <c r="S253" s="9">
        <f>IFERROR(__xludf.DUMMYFUNCTION("""COMPUTED_VALUE"""),-4.7060959E7)</f>
        <v>-47060959</v>
      </c>
      <c r="T253" s="10">
        <v>3508405.0</v>
      </c>
      <c r="U25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13317-790 ', 'PK-20686', SYSDATE, 0, 'PK-20686', SYSDATE, 'Rua  Monte Verde  Novo Bonfim (Vilarejo)', 'Rua Monte Verde Novo Bonfim (Vilarejo)', ' Novo Bonfim (Vilarejo)', 'Rua', '3508405', 'Rua Monte Verde Novo Bonfim (Vilarejo)',' Novo Bonfim (Vilarejo)', '1', 'SP', '1', '-23281316', '-47060959', ' Novo Bonfim (Vilarejo)' </v>
      </c>
    </row>
    <row r="254" ht="15.75" hidden="1" customHeight="1">
      <c r="A254" s="4" t="s">
        <v>800</v>
      </c>
      <c r="B254" s="5" t="s">
        <v>223</v>
      </c>
      <c r="C254" s="4" t="s">
        <v>10</v>
      </c>
      <c r="D254" s="5" t="s">
        <v>801</v>
      </c>
      <c r="E254" s="6">
        <v>214.0</v>
      </c>
      <c r="F254" s="6" t="s">
        <v>12</v>
      </c>
      <c r="G254" s="3" t="s">
        <v>13</v>
      </c>
      <c r="H254" s="7" t="str">
        <f>IFERROR(__xludf.DUMMYFUNCTION("SPLIT(A252,""Rua"","""")"),"       Egito")</f>
        <v>       Egito</v>
      </c>
      <c r="J254" s="3" t="s">
        <v>802</v>
      </c>
      <c r="K254" s="8" t="str">
        <f>IFERROR(__xludf.DUMMYFUNCTION("SPLIT($J254,""   "","""")"),"-23.356699 -47.066678")</f>
        <v>-23.356699 -47.066678</v>
      </c>
      <c r="L254" s="7" t="str">
        <f>IFERROR(__xludf.DUMMYFUNCTION("""COMPUTED_VALUE"""),"Estrada")</f>
        <v>Estrada</v>
      </c>
      <c r="M254" s="7" t="str">
        <f>IFERROR(__xludf.DUMMYFUNCTION("""COMPUTED_VALUE""")," dos Romeiros")</f>
        <v> dos Romeiros</v>
      </c>
      <c r="N254" s="7" t="str">
        <f>IFERROR(__xludf.DUMMYFUNCTION("""COMPUTED_VALUE""")," Bananal")</f>
        <v> Bananal</v>
      </c>
      <c r="O254" s="7" t="str">
        <f>IFERROR(__xludf.DUMMYFUNCTION("""COMPUTED_VALUE""")," Cabreúva")</f>
        <v> Cabreúva</v>
      </c>
      <c r="P254" s="7" t="str">
        <f>IFERROR(__xludf.DUMMYFUNCTION("""COMPUTED_VALUE"""),"SP")</f>
        <v>SP</v>
      </c>
      <c r="Q254" s="7" t="str">
        <f>IFERROR(__xludf.DUMMYFUNCTION("""COMPUTED_VALUE""")," 13316-808 ")</f>
        <v> 13316-808 </v>
      </c>
      <c r="R254" s="9">
        <f>IFERROR(__xludf.DUMMYFUNCTION("SPLIT($K254,"" "","""")"),-2.3356699E7)</f>
        <v>-23356699</v>
      </c>
      <c r="S254" s="9">
        <f>IFERROR(__xludf.DUMMYFUNCTION("""COMPUTED_VALUE"""),-4.7066678E7)</f>
        <v>-47066678</v>
      </c>
      <c r="T254" s="10">
        <v>3508405.0</v>
      </c>
      <c r="U25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13316-808 ', 'PK-20686', SYSDATE, 0, 'PK-20686', SYSDATE, 'Estrada  dos Romeiros  Bananal', 'Estrada dos Romeiros Bananal', ' Bananal', 'Estrada', '3508405', 'Estrada dos Romeiros Bananal',' Bananal', '1', 'SP', '1', '-23356699', '-47066678', ' Bananal' </v>
      </c>
    </row>
    <row r="255" ht="15.75" customHeight="1">
      <c r="A255" s="4" t="s">
        <v>803</v>
      </c>
      <c r="B255" s="5" t="s">
        <v>515</v>
      </c>
      <c r="C255" s="4" t="s">
        <v>10</v>
      </c>
      <c r="D255" s="5" t="s">
        <v>804</v>
      </c>
      <c r="E255" s="6">
        <v>214.0</v>
      </c>
      <c r="F255" s="6" t="s">
        <v>12</v>
      </c>
      <c r="G255" s="3" t="s">
        <v>13</v>
      </c>
      <c r="H255" s="7" t="str">
        <f>IFERROR(__xludf.DUMMYFUNCTION("SPLIT(A253,""Rua"","""")"),"       Egydio Mori")</f>
        <v>       Egydio Mori</v>
      </c>
      <c r="J255" s="3" t="s">
        <v>805</v>
      </c>
      <c r="K255" s="8" t="str">
        <f>IFERROR(__xludf.DUMMYFUNCTION("SPLIT($J255,""   "","""")"),"-23.281548 -47.059186")</f>
        <v>-23.281548 -47.059186</v>
      </c>
      <c r="L255" s="7" t="str">
        <f>IFERROR(__xludf.DUMMYFUNCTION("""COMPUTED_VALUE"""),"Rua")</f>
        <v>Rua</v>
      </c>
      <c r="M255" s="7" t="str">
        <f>IFERROR(__xludf.DUMMYFUNCTION("""COMPUTED_VALUE""")," Juiz de Fora")</f>
        <v> Juiz de Fora</v>
      </c>
      <c r="N255" s="7" t="str">
        <f>IFERROR(__xludf.DUMMYFUNCTION("""COMPUTED_VALUE""")," Novo Bonfim (Vilarejo)")</f>
        <v> Novo Bonfim (Vilarejo)</v>
      </c>
      <c r="O255" s="7" t="str">
        <f>IFERROR(__xludf.DUMMYFUNCTION("""COMPUTED_VALUE""")," Cabreúva")</f>
        <v> Cabreúva</v>
      </c>
      <c r="P255" s="7" t="str">
        <f>IFERROR(__xludf.DUMMYFUNCTION("""COMPUTED_VALUE"""),"SP")</f>
        <v>SP</v>
      </c>
      <c r="Q255" s="7" t="str">
        <f>IFERROR(__xludf.DUMMYFUNCTION("""COMPUTED_VALUE""")," 13317-772 ")</f>
        <v> 13317-772 </v>
      </c>
      <c r="R255" s="9">
        <f>IFERROR(__xludf.DUMMYFUNCTION("SPLIT($K255,"" "","""")"),-2.3281548E7)</f>
        <v>-23281548</v>
      </c>
      <c r="S255" s="9">
        <f>IFERROR(__xludf.DUMMYFUNCTION("""COMPUTED_VALUE"""),-4.7059186E7)</f>
        <v>-47059186</v>
      </c>
      <c r="T255" s="10">
        <v>3508405.0</v>
      </c>
      <c r="U25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13317-772 ', 'PK-20686', SYSDATE, 0, 'PK-20686', SYSDATE, 'Rua  Juiz de Fora  Novo Bonfim (Vilarejo)', 'Rua Juiz de Fora Novo Bonfim (Vilarejo)', ' Novo Bonfim (Vilarejo)', 'Rua', '3508405', 'Rua Juiz de Fora Novo Bonfim (Vilarejo)',' Novo Bonfim (Vilarejo)', '1', 'SP', '1', '-23281548', '-47059186', ' Novo Bonfim (Vilarejo)' </v>
      </c>
    </row>
    <row r="256" ht="15.75" customHeight="1">
      <c r="A256" s="4" t="s">
        <v>806</v>
      </c>
      <c r="B256" s="5" t="s">
        <v>160</v>
      </c>
      <c r="C256" s="4" t="s">
        <v>10</v>
      </c>
      <c r="D256" s="5" t="s">
        <v>807</v>
      </c>
      <c r="E256" s="6">
        <v>214.0</v>
      </c>
      <c r="F256" s="6" t="s">
        <v>12</v>
      </c>
      <c r="G256" s="3" t="s">
        <v>13</v>
      </c>
      <c r="H256" s="7" t="str">
        <f>IFERROR(__xludf.DUMMYFUNCTION("SPLIT(A254,""Rua"","""")"),"       Ernesto Gavitti")</f>
        <v>       Ernesto Gavitti</v>
      </c>
      <c r="J256" s="3" t="s">
        <v>808</v>
      </c>
      <c r="K256" s="8" t="str">
        <f>IFERROR(__xludf.DUMMYFUNCTION("SPLIT($J256,""   "","""")"),"-23.353279 -47.081633")</f>
        <v>-23.353279 -47.081633</v>
      </c>
      <c r="L256" s="7" t="str">
        <f>IFERROR(__xludf.DUMMYFUNCTION("""COMPUTED_VALUE"""),"Rua")</f>
        <v>Rua</v>
      </c>
      <c r="M256" s="7" t="str">
        <f>IFERROR(__xludf.DUMMYFUNCTION("""COMPUTED_VALUE""")," Manoel Ávila")</f>
        <v> Manoel Ávila</v>
      </c>
      <c r="N256" s="7" t="str">
        <f>IFERROR(__xludf.DUMMYFUNCTION("""COMPUTED_VALUE""")," Bananal")</f>
        <v> Bananal</v>
      </c>
      <c r="O256" s="7" t="str">
        <f>IFERROR(__xludf.DUMMYFUNCTION("""COMPUTED_VALUE""")," Cabreúva")</f>
        <v> Cabreúva</v>
      </c>
      <c r="P256" s="7" t="str">
        <f>IFERROR(__xludf.DUMMYFUNCTION("""COMPUTED_VALUE"""),"SP")</f>
        <v>SP</v>
      </c>
      <c r="Q256" s="7" t="str">
        <f>IFERROR(__xludf.DUMMYFUNCTION("""COMPUTED_VALUE""")," 13316-806 ")</f>
        <v> 13316-806 </v>
      </c>
      <c r="R256" s="9">
        <f>IFERROR(__xludf.DUMMYFUNCTION("SPLIT($K256,"" "","""")"),-2.3353279E7)</f>
        <v>-23353279</v>
      </c>
      <c r="S256" s="9">
        <f>IFERROR(__xludf.DUMMYFUNCTION("""COMPUTED_VALUE"""),-4.7081633E7)</f>
        <v>-47081633</v>
      </c>
      <c r="T256" s="10">
        <v>3508405.0</v>
      </c>
      <c r="U25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13316-806 ', 'PK-20686', SYSDATE, 0, 'PK-20686', SYSDATE, 'Rua  Manoel Ávila  Bananal', 'Rua Manoel Ávila Bananal', ' Bananal', 'Rua', '3508405', 'Rua Manoel Ávila Bananal',' Bananal', '1', 'SP', '1', '-23353279', '-47081633', ' Bananal' </v>
      </c>
    </row>
    <row r="257" ht="15.75" customHeight="1">
      <c r="A257" s="4" t="s">
        <v>809</v>
      </c>
      <c r="B257" s="5" t="s">
        <v>149</v>
      </c>
      <c r="C257" s="4" t="s">
        <v>10</v>
      </c>
      <c r="D257" s="5" t="s">
        <v>810</v>
      </c>
      <c r="E257" s="6">
        <v>214.0</v>
      </c>
      <c r="F257" s="6" t="s">
        <v>12</v>
      </c>
      <c r="G257" s="3" t="s">
        <v>13</v>
      </c>
      <c r="H257" s="7" t="str">
        <f>IFERROR(__xludf.DUMMYFUNCTION("SPLIT(A255,""Rua"","""")"),"       Erothides de Campos")</f>
        <v>       Erothides de Campos</v>
      </c>
      <c r="J257" s="3" t="s">
        <v>811</v>
      </c>
      <c r="K257" s="8" t="str">
        <f>IFERROR(__xludf.DUMMYFUNCTION("SPLIT($J257,""   "","""")"),"-23.313825 -47.131869")</f>
        <v>-23.313825 -47.131869</v>
      </c>
      <c r="L257" s="7" t="str">
        <f>IFERROR(__xludf.DUMMYFUNCTION("""COMPUTED_VALUE"""),"Rua")</f>
        <v>Rua</v>
      </c>
      <c r="M257" s="7" t="str">
        <f>IFERROR(__xludf.DUMMYFUNCTION("""COMPUTED_VALUE""")," Benedito Mesquita Camargo")</f>
        <v> Benedito Mesquita Camargo</v>
      </c>
      <c r="N257" s="7" t="str">
        <f>IFERROR(__xludf.DUMMYFUNCTION("""COMPUTED_VALUE""")," Jardim Ipê (Centro)")</f>
        <v> Jardim Ipê (Centro)</v>
      </c>
      <c r="O257" s="7" t="str">
        <f>IFERROR(__xludf.DUMMYFUNCTION("""COMPUTED_VALUE""")," Cabreúva")</f>
        <v> Cabreúva</v>
      </c>
      <c r="P257" s="7" t="str">
        <f>IFERROR(__xludf.DUMMYFUNCTION("""COMPUTED_VALUE"""),"SP")</f>
        <v>SP</v>
      </c>
      <c r="Q257" s="7" t="str">
        <f>IFERROR(__xludf.DUMMYFUNCTION("""COMPUTED_VALUE""")," 13315-162 ")</f>
        <v> 13315-162 </v>
      </c>
      <c r="R257" s="9">
        <f>IFERROR(__xludf.DUMMYFUNCTION("SPLIT($K257,"" "","""")"),-2.3313825E7)</f>
        <v>-23313825</v>
      </c>
      <c r="S257" s="9">
        <f>IFERROR(__xludf.DUMMYFUNCTION("""COMPUTED_VALUE"""),-4.7131869E7)</f>
        <v>-47131869</v>
      </c>
      <c r="T257" s="10">
        <v>3508405.0</v>
      </c>
      <c r="U25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13315-162 ', 'PK-20686', SYSDATE, 0, 'PK-20686', SYSDATE, 'Rua  Benedito Mesquita Camargo  Jardim Ipê (Centro)', 'Rua Benedito Mesquita Camargo Jardim Ipê (Centro)', ' Jardim Ipê (Centro)', 'Rua', '3508405', 'Rua Benedito Mesquita Camargo Jardim Ipê (Centro)',' Jardim Ipê (Centro)', '1', 'SP', '1', '-23313825', '-47131869', ' Jardim Ipê (Centro)' </v>
      </c>
    </row>
    <row r="258" ht="15.75" customHeight="1">
      <c r="A258" s="4" t="s">
        <v>812</v>
      </c>
      <c r="B258" s="5" t="s">
        <v>24</v>
      </c>
      <c r="C258" s="4" t="s">
        <v>10</v>
      </c>
      <c r="D258" s="5" t="s">
        <v>813</v>
      </c>
      <c r="E258" s="6">
        <v>214.0</v>
      </c>
      <c r="F258" s="6" t="s">
        <v>12</v>
      </c>
      <c r="G258" s="3" t="s">
        <v>13</v>
      </c>
      <c r="H258" s="7" t="str">
        <f>IFERROR(__xludf.DUMMYFUNCTION("SPLIT(A256,""Rua"","""")"),"       Escócia")</f>
        <v>       Escócia</v>
      </c>
      <c r="J258" s="3" t="s">
        <v>814</v>
      </c>
      <c r="K258" s="8" t="str">
        <f>IFERROR(__xludf.DUMMYFUNCTION("SPLIT($J258,""   "","""")"),"-23.308172 -47.131949")</f>
        <v>-23.308172 -47.131949</v>
      </c>
      <c r="L258" s="7" t="str">
        <f>IFERROR(__xludf.DUMMYFUNCTION("""COMPUTED_VALUE"""),"Rua")</f>
        <v>Rua</v>
      </c>
      <c r="M258" s="7" t="str">
        <f>IFERROR(__xludf.DUMMYFUNCTION("""COMPUTED_VALUE""")," João Eupideo da Costa")</f>
        <v> João Eupideo da Costa</v>
      </c>
      <c r="N258" s="7" t="str">
        <f>IFERROR(__xludf.DUMMYFUNCTION("""COMPUTED_VALUE""")," Bonfim")</f>
        <v> Bonfim</v>
      </c>
      <c r="O258" s="7" t="str">
        <f>IFERROR(__xludf.DUMMYFUNCTION("""COMPUTED_VALUE""")," Cabreúva")</f>
        <v> Cabreúva</v>
      </c>
      <c r="P258" s="7" t="str">
        <f>IFERROR(__xludf.DUMMYFUNCTION("""COMPUTED_VALUE"""),"SP")</f>
        <v>SP</v>
      </c>
      <c r="Q258" s="7" t="str">
        <f>IFERROR(__xludf.DUMMYFUNCTION("""COMPUTED_VALUE""")," 13319-022 ")</f>
        <v> 13319-022 </v>
      </c>
      <c r="R258" s="9">
        <f>IFERROR(__xludf.DUMMYFUNCTION("SPLIT($K258,"" "","""")"),-2.3308172E7)</f>
        <v>-23308172</v>
      </c>
      <c r="S258" s="9">
        <f>IFERROR(__xludf.DUMMYFUNCTION("""COMPUTED_VALUE"""),-4.7131949E7)</f>
        <v>-47131949</v>
      </c>
      <c r="T258" s="10">
        <v>3508405.0</v>
      </c>
      <c r="U25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13319-022 ', 'PK-20686', SYSDATE, 0, 'PK-20686', SYSDATE, 'Rua  João Eupideo da Costa  Bonfim', 'Rua João Eupideo da Costa Bonfim', ' Bonfim', 'Rua', '3508405', 'Rua João Eupideo da Costa Bonfim',' Bonfim', '1', 'SP', '1', '-23308172', '-47131949', ' Bonfim' </v>
      </c>
    </row>
    <row r="259" ht="15.75" hidden="1" customHeight="1">
      <c r="A259" s="4" t="s">
        <v>815</v>
      </c>
      <c r="B259" s="5" t="s">
        <v>180</v>
      </c>
      <c r="C259" s="4" t="s">
        <v>10</v>
      </c>
      <c r="D259" s="5" t="s">
        <v>816</v>
      </c>
      <c r="E259" s="6">
        <v>214.0</v>
      </c>
      <c r="F259" s="6" t="s">
        <v>12</v>
      </c>
      <c r="G259" s="3" t="s">
        <v>13</v>
      </c>
      <c r="H259" s="7" t="str">
        <f>IFERROR(__xludf.DUMMYFUNCTION("SPLIT(A257,""Rua"","""")"),"       Esmeralda")</f>
        <v>       Esmeralda</v>
      </c>
      <c r="J259" s="3" t="s">
        <v>817</v>
      </c>
      <c r="K259" s="8" t="str">
        <f>IFERROR(__xludf.DUMMYFUNCTION("SPLIT($J259,""   "","""")"),"-23.237792 -47.067413")</f>
        <v>-23.237792 -47.067413</v>
      </c>
      <c r="L259" s="7" t="str">
        <f>IFERROR(__xludf.DUMMYFUNCTION("""COMPUTED_VALUE"""),"Avenida")</f>
        <v>Avenida</v>
      </c>
      <c r="M259" s="7" t="str">
        <f>IFERROR(__xludf.DUMMYFUNCTION("""COMPUTED_VALUE""")," Adolpho João Traldi")</f>
        <v> Adolpho João Traldi</v>
      </c>
      <c r="N259" s="7" t="str">
        <f>IFERROR(__xludf.DUMMYFUNCTION("""COMPUTED_VALUE""")," Jacaré")</f>
        <v> Jacaré</v>
      </c>
      <c r="O259" s="7" t="str">
        <f>IFERROR(__xludf.DUMMYFUNCTION("""COMPUTED_VALUE""")," Cabreúva")</f>
        <v> Cabreúva</v>
      </c>
      <c r="P259" s="7" t="str">
        <f>IFERROR(__xludf.DUMMYFUNCTION("""COMPUTED_VALUE"""),"SP")</f>
        <v>SP</v>
      </c>
      <c r="Q259" s="7" t="str">
        <f>IFERROR(__xludf.DUMMYFUNCTION("""COMPUTED_VALUE""")," 13318-010 ")</f>
        <v> 13318-010 </v>
      </c>
      <c r="R259" s="9">
        <f>IFERROR(__xludf.DUMMYFUNCTION("SPLIT($K259,"" "","""")"),-2.3237792E7)</f>
        <v>-23237792</v>
      </c>
      <c r="S259" s="9">
        <f>IFERROR(__xludf.DUMMYFUNCTION("""COMPUTED_VALUE"""),-4.7067413E7)</f>
        <v>-47067413</v>
      </c>
      <c r="T259" s="10">
        <v>3508405.0</v>
      </c>
      <c r="U25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13318-010 ', 'PK-20686', SYSDATE, 0, 'PK-20686', SYSDATE, 'Avenida  Adolpho João Traldi  Jacaré', 'Avenida Adolpho João Traldi Jacaré', ' Jacaré', 'Avenida', '3508405', 'Avenida Adolpho João Traldi Jacaré',' Jacaré', '1', 'SP', '1', '-23237792', '-47067413', ' Jacaré' </v>
      </c>
    </row>
    <row r="260" ht="15.75" customHeight="1">
      <c r="A260" s="4" t="s">
        <v>818</v>
      </c>
      <c r="B260" s="5" t="s">
        <v>24</v>
      </c>
      <c r="C260" s="4" t="s">
        <v>10</v>
      </c>
      <c r="D260" s="5" t="s">
        <v>819</v>
      </c>
      <c r="E260" s="6">
        <v>214.0</v>
      </c>
      <c r="F260" s="6" t="s">
        <v>12</v>
      </c>
      <c r="G260" s="3" t="s">
        <v>13</v>
      </c>
      <c r="H260" s="7" t="str">
        <f>IFERROR(__xludf.DUMMYFUNCTION("SPLIT(A258,""Rua"","""")"),"       Espírito Santo")</f>
        <v>       Espírito Santo</v>
      </c>
      <c r="J260" s="3" t="s">
        <v>820</v>
      </c>
      <c r="K260" s="8" t="str">
        <f>IFERROR(__xludf.DUMMYFUNCTION("SPLIT($J260,""   "","""")"),"-23.295433 -47.141161")</f>
        <v>-23.295433 -47.141161</v>
      </c>
      <c r="L260" s="7" t="str">
        <f>IFERROR(__xludf.DUMMYFUNCTION("""COMPUTED_VALUE"""),"Rua")</f>
        <v>Rua</v>
      </c>
      <c r="M260" s="7" t="str">
        <f>IFERROR(__xludf.DUMMYFUNCTION("""COMPUTED_VALUE""")," Jacarandá")</f>
        <v> Jacarandá</v>
      </c>
      <c r="N260" s="7" t="str">
        <f>IFERROR(__xludf.DUMMYFUNCTION("""COMPUTED_VALUE""")," Vale Verde (Centro)")</f>
        <v> Vale Verde (Centro)</v>
      </c>
      <c r="O260" s="7" t="str">
        <f>IFERROR(__xludf.DUMMYFUNCTION("""COMPUTED_VALUE""")," Cabreúva")</f>
        <v> Cabreúva</v>
      </c>
      <c r="P260" s="7" t="str">
        <f>IFERROR(__xludf.DUMMYFUNCTION("""COMPUTED_VALUE"""),"SP")</f>
        <v>SP</v>
      </c>
      <c r="Q260" s="7" t="str">
        <f>IFERROR(__xludf.DUMMYFUNCTION("""COMPUTED_VALUE""")," 13315-288 ")</f>
        <v> 13315-288 </v>
      </c>
      <c r="R260" s="9">
        <f>IFERROR(__xludf.DUMMYFUNCTION("SPLIT($K260,"" "","""")"),-2.3295433E7)</f>
        <v>-23295433</v>
      </c>
      <c r="S260" s="9">
        <f>IFERROR(__xludf.DUMMYFUNCTION("""COMPUTED_VALUE"""),-4.7141161E7)</f>
        <v>-47141161</v>
      </c>
      <c r="T260" s="10">
        <v>3508405.0</v>
      </c>
      <c r="U26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13315-288 ', 'PK-20686', SYSDATE, 0, 'PK-20686', SYSDATE, 'Rua  Jacarandá  Vale Verde (Centro)', 'Rua Jacarandá Vale Verde (Centro)', ' Vale Verde (Centro)', 'Rua', '3508405', 'Rua Jacarandá Vale Verde (Centro)',' Vale Verde (Centro)', '1', 'SP', '1', '-23295433', '-47141161', ' Vale Verde (Centro)' </v>
      </c>
    </row>
    <row r="261" ht="15.75" customHeight="1">
      <c r="A261" s="4" t="s">
        <v>821</v>
      </c>
      <c r="B261" s="5" t="s">
        <v>368</v>
      </c>
      <c r="C261" s="4" t="s">
        <v>10</v>
      </c>
      <c r="D261" s="5" t="s">
        <v>822</v>
      </c>
      <c r="E261" s="6">
        <v>214.0</v>
      </c>
      <c r="F261" s="6" t="s">
        <v>12</v>
      </c>
      <c r="G261" s="3" t="s">
        <v>13</v>
      </c>
      <c r="H261" s="7" t="str">
        <f>IFERROR(__xludf.DUMMYFUNCTION("SPLIT(A259,""Rua"","""")"),"       Everaldo Martins de Mello")</f>
        <v>       Everaldo Martins de Mello</v>
      </c>
      <c r="J261" s="3" t="s">
        <v>823</v>
      </c>
      <c r="K261" s="8" t="str">
        <f>IFERROR(__xludf.DUMMYFUNCTION("SPLIT($J261,""   "","""")"),"-23.307366 -47.133678")</f>
        <v>-23.307366 -47.133678</v>
      </c>
      <c r="L261" s="7" t="str">
        <f>IFERROR(__xludf.DUMMYFUNCTION("""COMPUTED_VALUE"""),"Rua")</f>
        <v>Rua</v>
      </c>
      <c r="M261" s="7" t="str">
        <f>IFERROR(__xludf.DUMMYFUNCTION("""COMPUTED_VALUE""")," Jade")</f>
        <v> Jade</v>
      </c>
      <c r="N261" s="7" t="str">
        <f>IFERROR(__xludf.DUMMYFUNCTION("""COMPUTED_VALUE""")," Vila Preciosa (Vilarejo)")</f>
        <v> Vila Preciosa (Vilarejo)</v>
      </c>
      <c r="O261" s="7" t="str">
        <f>IFERROR(__xludf.DUMMYFUNCTION("""COMPUTED_VALUE""")," Cabreúva")</f>
        <v> Cabreúva</v>
      </c>
      <c r="P261" s="7" t="str">
        <f>IFERROR(__xludf.DUMMYFUNCTION("""COMPUTED_VALUE"""),"SP")</f>
        <v>SP</v>
      </c>
      <c r="Q261" s="7" t="str">
        <f>IFERROR(__xludf.DUMMYFUNCTION("""COMPUTED_VALUE""")," 13317-500 ")</f>
        <v> 13317-500 </v>
      </c>
      <c r="R261" s="9">
        <f>IFERROR(__xludf.DUMMYFUNCTION("SPLIT($K261,"" "","""")"),-2.3307366E7)</f>
        <v>-23307366</v>
      </c>
      <c r="S261" s="9">
        <f>IFERROR(__xludf.DUMMYFUNCTION("""COMPUTED_VALUE"""),-4.7133678E7)</f>
        <v>-47133678</v>
      </c>
      <c r="T261" s="10">
        <v>3508405.0</v>
      </c>
      <c r="U26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13317-500 ', 'PK-20686', SYSDATE, 0, 'PK-20686', SYSDATE, 'Rua  Jade  Vila Preciosa (Vilarejo)', 'Rua Jade Vila Preciosa (Vilarejo)', ' Vila Preciosa (Vilarejo)', 'Rua', '3508405', 'Rua Jade Vila Preciosa (Vilarejo)',' Vila Preciosa (Vilarejo)', '1', 'SP', '1', '-23307366', '-47133678', ' Vila Preciosa (Vilarejo)' </v>
      </c>
    </row>
    <row r="262" ht="15.75" hidden="1" customHeight="1">
      <c r="A262" s="4" t="s">
        <v>824</v>
      </c>
      <c r="B262" s="5" t="s">
        <v>825</v>
      </c>
      <c r="C262" s="4" t="s">
        <v>10</v>
      </c>
      <c r="D262" s="5" t="s">
        <v>826</v>
      </c>
      <c r="E262" s="6">
        <v>214.0</v>
      </c>
      <c r="F262" s="6" t="s">
        <v>12</v>
      </c>
      <c r="G262" s="3" t="s">
        <v>13</v>
      </c>
      <c r="H262" s="7" t="str">
        <f>IFERROR(__xludf.DUMMYFUNCTION("SPLIT(A260,""Rua"","""")"),"       Existente")</f>
        <v>       Existente</v>
      </c>
      <c r="J262" s="3" t="s">
        <v>827</v>
      </c>
      <c r="K262" s="8" t="str">
        <f>IFERROR(__xludf.DUMMYFUNCTION("SPLIT($J262,""   "","""")"),"-23.251611 -47.053156")</f>
        <v>-23.251611 -47.053156</v>
      </c>
      <c r="L262" s="7" t="str">
        <f>IFERROR(__xludf.DUMMYFUNCTION("""COMPUTED_VALUE"""),"Travessa")</f>
        <v>Travessa</v>
      </c>
      <c r="M262" s="7" t="str">
        <f>IFERROR(__xludf.DUMMYFUNCTION("""COMPUTED_VALUE""")," Ercília Peratello")</f>
        <v> Ercília Peratello</v>
      </c>
      <c r="N262" s="7" t="str">
        <f>IFERROR(__xludf.DUMMYFUNCTION("""COMPUTED_VALUE""")," Cururú")</f>
        <v> Cururú</v>
      </c>
      <c r="O262" s="7" t="str">
        <f>IFERROR(__xludf.DUMMYFUNCTION("""COMPUTED_VALUE""")," Cabreúva")</f>
        <v> Cabreúva</v>
      </c>
      <c r="P262" s="7" t="str">
        <f>IFERROR(__xludf.DUMMYFUNCTION("""COMPUTED_VALUE"""),"SP")</f>
        <v>SP</v>
      </c>
      <c r="Q262" s="7" t="str">
        <f>IFERROR(__xludf.DUMMYFUNCTION("""COMPUTED_VALUE""")," 13317-856 ")</f>
        <v> 13317-856 </v>
      </c>
      <c r="R262" s="9">
        <f>IFERROR(__xludf.DUMMYFUNCTION("SPLIT($K262,"" "","""")"),-2.3251611E7)</f>
        <v>-23251611</v>
      </c>
      <c r="S262" s="9">
        <f>IFERROR(__xludf.DUMMYFUNCTION("""COMPUTED_VALUE"""),-4.7053156E7)</f>
        <v>-47053156</v>
      </c>
      <c r="T262" s="10">
        <v>3508405.0</v>
      </c>
      <c r="U26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13317-856 ', 'PK-20686', SYSDATE, 0, 'PK-20686', SYSDATE, 'Travessa  Ercília Peratello  Cururú', 'Travessa Ercília Peratello Cururú', ' Cururú', 'Travessa', '3508405', 'Travessa Ercília Peratello Cururú',' Cururú', '1', 'SP', '1', '-23251611', '-47053156', ' Cururú' </v>
      </c>
    </row>
    <row r="263" ht="15.75" customHeight="1">
      <c r="A263" s="4" t="s">
        <v>828</v>
      </c>
      <c r="B263" s="5" t="s">
        <v>231</v>
      </c>
      <c r="C263" s="4" t="s">
        <v>10</v>
      </c>
      <c r="D263" s="5" t="s">
        <v>829</v>
      </c>
      <c r="E263" s="6">
        <v>214.0</v>
      </c>
      <c r="F263" s="6" t="s">
        <v>12</v>
      </c>
      <c r="G263" s="3" t="s">
        <v>13</v>
      </c>
      <c r="H263" s="7" t="str">
        <f>IFERROR(__xludf.DUMMYFUNCTION("SPLIT(A261,""Rua"","""")"),"       F")</f>
        <v>       F</v>
      </c>
      <c r="J263" s="3" t="s">
        <v>830</v>
      </c>
      <c r="K263" s="8" t="str">
        <f>IFERROR(__xludf.DUMMYFUNCTION("SPLIT($J263,""   "","""")"),"-23.263745 -47.061311")</f>
        <v>-23.263745 -47.061311</v>
      </c>
      <c r="L263" s="7" t="str">
        <f>IFERROR(__xludf.DUMMYFUNCTION("""COMPUTED_VALUE"""),"Rua")</f>
        <v>Rua</v>
      </c>
      <c r="M263" s="7" t="str">
        <f>IFERROR(__xludf.DUMMYFUNCTION("""COMPUTED_VALUE""")," Adélia Barbosa Oliveira")</f>
        <v> Adélia Barbosa Oliveira</v>
      </c>
      <c r="N263" s="7" t="str">
        <f>IFERROR(__xludf.DUMMYFUNCTION("""COMPUTED_VALUE""")," Villarejo Sopé da Serra (Vilarejo)")</f>
        <v> Villarejo Sopé da Serra (Vilarejo)</v>
      </c>
      <c r="O263" s="7" t="str">
        <f>IFERROR(__xludf.DUMMYFUNCTION("""COMPUTED_VALUE""")," Cabreúva")</f>
        <v> Cabreúva</v>
      </c>
      <c r="P263" s="7" t="str">
        <f>IFERROR(__xludf.DUMMYFUNCTION("""COMPUTED_VALUE"""),"SP")</f>
        <v>SP</v>
      </c>
      <c r="Q263" s="7" t="str">
        <f>IFERROR(__xludf.DUMMYFUNCTION("""COMPUTED_VALUE""")," 13317-620 ")</f>
        <v> 13317-620 </v>
      </c>
      <c r="R263" s="9">
        <f>IFERROR(__xludf.DUMMYFUNCTION("SPLIT($K263,"" "","""")"),-2.3263745E7)</f>
        <v>-23263745</v>
      </c>
      <c r="S263" s="9">
        <f>IFERROR(__xludf.DUMMYFUNCTION("""COMPUTED_VALUE"""),-4.7061311E7)</f>
        <v>-47061311</v>
      </c>
      <c r="T263" s="10">
        <v>3508405.0</v>
      </c>
      <c r="U26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13317-620 ', 'PK-20686', SYSDATE, 0, 'PK-20686', SYSDATE, 'Rua  Adélia Barbosa Oliveira  Villarejo Sopé da Serra (Vilarejo)', 'Rua Adélia Barbosa Oliveira Villarejo Sopé da Serra (Vilarejo)', ' Villarejo Sopé da Serra (Vilarejo)', 'Rua', '3508405', 'Rua Adélia Barbosa Oliveira Villarejo Sopé da Serra (Vilarejo)',' Villarejo Sopé da Serra (Vilarejo)', '1', 'SP', '1', '-23263745', '-47061311', ' Villarejo Sopé da Serra (Vilarejo)' </v>
      </c>
    </row>
    <row r="264" ht="15.75" customHeight="1">
      <c r="A264" s="4" t="s">
        <v>831</v>
      </c>
      <c r="B264" s="5" t="s">
        <v>223</v>
      </c>
      <c r="C264" s="4" t="s">
        <v>10</v>
      </c>
      <c r="D264" s="5" t="s">
        <v>832</v>
      </c>
      <c r="E264" s="6">
        <v>214.0</v>
      </c>
      <c r="F264" s="6" t="s">
        <v>12</v>
      </c>
      <c r="G264" s="3" t="s">
        <v>13</v>
      </c>
      <c r="H264" s="7" t="str">
        <f>IFERROR(__xludf.DUMMYFUNCTION("SPLIT(A262,""Rua"","""")"),"       Felicita Manzoli Peratello")</f>
        <v>       Felicita Manzoli Peratello</v>
      </c>
      <c r="J264" s="3" t="s">
        <v>833</v>
      </c>
      <c r="K264" s="8" t="str">
        <f>IFERROR(__xludf.DUMMYFUNCTION("SPLIT($J264,""   "","""")"),"-23.286554 -47.058293")</f>
        <v>-23.286554 -47.058293</v>
      </c>
      <c r="L264" s="7" t="str">
        <f>IFERROR(__xludf.DUMMYFUNCTION("""COMPUTED_VALUE"""),"Rua")</f>
        <v>Rua</v>
      </c>
      <c r="M264" s="7" t="str">
        <f>IFERROR(__xludf.DUMMYFUNCTION("""COMPUTED_VALUE""")," Domingos Malvezzi")</f>
        <v> Domingos Malvezzi</v>
      </c>
      <c r="N264" s="7" t="str">
        <f>IFERROR(__xludf.DUMMYFUNCTION("""COMPUTED_VALUE""")," Bonfim")</f>
        <v> Bonfim</v>
      </c>
      <c r="O264" s="7" t="str">
        <f>IFERROR(__xludf.DUMMYFUNCTION("""COMPUTED_VALUE""")," Cabreúva")</f>
        <v> Cabreúva</v>
      </c>
      <c r="P264" s="7" t="str">
        <f>IFERROR(__xludf.DUMMYFUNCTION("""COMPUTED_VALUE"""),"SP")</f>
        <v>SP</v>
      </c>
      <c r="Q264" s="7" t="str">
        <f>IFERROR(__xludf.DUMMYFUNCTION("""COMPUTED_VALUE""")," 13319-004 ")</f>
        <v> 13319-004 </v>
      </c>
      <c r="R264" s="9">
        <f>IFERROR(__xludf.DUMMYFUNCTION("SPLIT($K264,"" "","""")"),-2.3286554E7)</f>
        <v>-23286554</v>
      </c>
      <c r="S264" s="9">
        <f>IFERROR(__xludf.DUMMYFUNCTION("""COMPUTED_VALUE"""),-4.7058293E7)</f>
        <v>-47058293</v>
      </c>
      <c r="T264" s="10">
        <v>3508405.0</v>
      </c>
      <c r="U26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13319-004 ', 'PK-20686', SYSDATE, 0, 'PK-20686', SYSDATE, 'Rua  Domingos Malvezzi  Bonfim', 'Rua Domingos Malvezzi Bonfim', ' Bonfim', 'Rua', '3508405', 'Rua Domingos Malvezzi Bonfim',' Bonfim', '1', 'SP', '1', '-23286554', '-47058293', ' Bonfim' </v>
      </c>
    </row>
    <row r="265" ht="15.75" customHeight="1">
      <c r="A265" s="4" t="s">
        <v>834</v>
      </c>
      <c r="B265" s="5" t="s">
        <v>372</v>
      </c>
      <c r="C265" s="4" t="s">
        <v>10</v>
      </c>
      <c r="D265" s="5" t="s">
        <v>835</v>
      </c>
      <c r="E265" s="6">
        <v>214.0</v>
      </c>
      <c r="F265" s="6" t="s">
        <v>12</v>
      </c>
      <c r="G265" s="3" t="s">
        <v>13</v>
      </c>
      <c r="H265" s="7" t="str">
        <f>IFERROR(__xludf.DUMMYFUNCTION("SPLIT(A263,""Rua"","""")"),"       Fernando Nunes")</f>
        <v>       Fernando Nunes</v>
      </c>
      <c r="J265" s="3" t="s">
        <v>836</v>
      </c>
      <c r="K265" s="8" t="str">
        <f>IFERROR(__xludf.DUMMYFUNCTION("SPLIT($J265,""   "","""")"),"-23.245191 -47.057159")</f>
        <v>-23.245191 -47.057159</v>
      </c>
      <c r="L265" s="7" t="str">
        <f>IFERROR(__xludf.DUMMYFUNCTION("""COMPUTED_VALUE"""),"Rua")</f>
        <v>Rua</v>
      </c>
      <c r="M265" s="7" t="str">
        <f>IFERROR(__xludf.DUMMYFUNCTION("""COMPUTED_VALUE""")," Francisco Nery de Souza")</f>
        <v> Francisco Nery de Souza</v>
      </c>
      <c r="N265" s="7" t="str">
        <f>IFERROR(__xludf.DUMMYFUNCTION("""COMPUTED_VALUE""")," Jacaré")</f>
        <v> Jacaré</v>
      </c>
      <c r="O265" s="7" t="str">
        <f>IFERROR(__xludf.DUMMYFUNCTION("""COMPUTED_VALUE""")," Cabreúva")</f>
        <v> Cabreúva</v>
      </c>
      <c r="P265" s="7" t="str">
        <f>IFERROR(__xludf.DUMMYFUNCTION("""COMPUTED_VALUE"""),"SP")</f>
        <v>SP</v>
      </c>
      <c r="Q265" s="7" t="str">
        <f>IFERROR(__xludf.DUMMYFUNCTION("""COMPUTED_VALUE""")," 13318-110 ")</f>
        <v> 13318-110 </v>
      </c>
      <c r="R265" s="9">
        <f>IFERROR(__xludf.DUMMYFUNCTION("SPLIT($K265,"" "","""")"),-2.3245191E7)</f>
        <v>-23245191</v>
      </c>
      <c r="S265" s="9">
        <f>IFERROR(__xludf.DUMMYFUNCTION("""COMPUTED_VALUE"""),-4.7057159E7)</f>
        <v>-47057159</v>
      </c>
      <c r="T265" s="10">
        <v>3508405.0</v>
      </c>
      <c r="U26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13318-110 ', 'PK-20686', SYSDATE, 0, 'PK-20686', SYSDATE, 'Rua  Francisco Nery de Souza  Jacaré', 'Rua Francisco Nery de Souza Jacaré', ' Jacaré', 'Rua', '3508405', 'Rua Francisco Nery de Souza Jacaré',' Jacaré', '1', 'SP', '1', '-23245191', '-47057159', ' Jacaré' </v>
      </c>
    </row>
    <row r="266" ht="15.75" customHeight="1">
      <c r="A266" s="4" t="s">
        <v>837</v>
      </c>
      <c r="B266" s="5" t="s">
        <v>160</v>
      </c>
      <c r="C266" s="4" t="s">
        <v>10</v>
      </c>
      <c r="D266" s="5" t="s">
        <v>838</v>
      </c>
      <c r="E266" s="6">
        <v>214.0</v>
      </c>
      <c r="F266" s="6" t="s">
        <v>12</v>
      </c>
      <c r="G266" s="3" t="s">
        <v>13</v>
      </c>
      <c r="H266" s="7" t="str">
        <f>IFERROR(__xludf.DUMMYFUNCTION("SPLIT(A264,""Rua"","""")"),"       Fideles José Oliveira Netto")</f>
        <v>       Fideles José Oliveira Netto</v>
      </c>
      <c r="J266" s="3" t="s">
        <v>839</v>
      </c>
      <c r="K266" s="8" t="str">
        <f>IFERROR(__xludf.DUMMYFUNCTION("SPLIT($J266,""   "","""")"),"-23.354123 -47.081687")</f>
        <v>-23.354123 -47.081687</v>
      </c>
      <c r="L266" s="7" t="str">
        <f>IFERROR(__xludf.DUMMYFUNCTION("""COMPUTED_VALUE"""),"Rua")</f>
        <v>Rua</v>
      </c>
      <c r="M266" s="7" t="str">
        <f>IFERROR(__xludf.DUMMYFUNCTION("""COMPUTED_VALUE""")," dos Ávilas")</f>
        <v> dos Ávilas</v>
      </c>
      <c r="N266" s="7" t="str">
        <f>IFERROR(__xludf.DUMMYFUNCTION("""COMPUTED_VALUE""")," Bananal")</f>
        <v> Bananal</v>
      </c>
      <c r="O266" s="7" t="str">
        <f>IFERROR(__xludf.DUMMYFUNCTION("""COMPUTED_VALUE""")," Cabreúva")</f>
        <v> Cabreúva</v>
      </c>
      <c r="P266" s="7" t="str">
        <f>IFERROR(__xludf.DUMMYFUNCTION("""COMPUTED_VALUE"""),"SP")</f>
        <v>SP</v>
      </c>
      <c r="Q266" s="7" t="str">
        <f>IFERROR(__xludf.DUMMYFUNCTION("""COMPUTED_VALUE""")," 13316-803 ")</f>
        <v> 13316-803 </v>
      </c>
      <c r="R266" s="9">
        <f>IFERROR(__xludf.DUMMYFUNCTION("SPLIT($K266,"" "","""")"),-2.3354123E7)</f>
        <v>-23354123</v>
      </c>
      <c r="S266" s="9">
        <f>IFERROR(__xludf.DUMMYFUNCTION("""COMPUTED_VALUE"""),-4.7081687E7)</f>
        <v>-47081687</v>
      </c>
      <c r="T266" s="10">
        <v>3508405.0</v>
      </c>
      <c r="U26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13316-803 ', 'PK-20686', SYSDATE, 0, 'PK-20686', SYSDATE, 'Rua  dos Ávilas  Bananal', 'Rua dos Ávilas Bananal', ' Bananal', 'Rua', '3508405', 'Rua dos Ávilas Bananal',' Bananal', '1', 'SP', '1', '-23354123', '-47081687', ' Bananal' </v>
      </c>
    </row>
    <row r="267" ht="15.75" hidden="1" customHeight="1">
      <c r="A267" s="4" t="s">
        <v>840</v>
      </c>
      <c r="B267" s="5" t="s">
        <v>212</v>
      </c>
      <c r="C267" s="4" t="s">
        <v>10</v>
      </c>
      <c r="D267" s="5" t="s">
        <v>841</v>
      </c>
      <c r="E267" s="6">
        <v>214.0</v>
      </c>
      <c r="F267" s="6" t="s">
        <v>12</v>
      </c>
      <c r="G267" s="3" t="s">
        <v>13</v>
      </c>
      <c r="H267" s="7" t="str">
        <f>IFERROR(__xludf.DUMMYFUNCTION("SPLIT(A265,""Rua"","""")"),"       Filipinas")</f>
        <v>       Filipinas</v>
      </c>
      <c r="J267" s="3" t="s">
        <v>842</v>
      </c>
      <c r="K267" s="8" t="str">
        <f>IFERROR(__xludf.DUMMYFUNCTION("SPLIT($J267,""   "","""")"),"-23.307366 -47.133678")</f>
        <v>-23.307366 -47.133678</v>
      </c>
      <c r="L267" s="7" t="str">
        <f>IFERROR(__xludf.DUMMYFUNCTION("""COMPUTED_VALUE"""),"Estrada")</f>
        <v>Estrada</v>
      </c>
      <c r="M267" s="7" t="str">
        <f>IFERROR(__xludf.DUMMYFUNCTION("""COMPUTED_VALUE""")," do Guaxatuba")</f>
        <v> do Guaxatuba</v>
      </c>
      <c r="N267" s="7" t="str">
        <f>IFERROR(__xludf.DUMMYFUNCTION("""COMPUTED_VALUE""")," Guaxatuba")</f>
        <v> Guaxatuba</v>
      </c>
      <c r="O267" s="7" t="str">
        <f>IFERROR(__xludf.DUMMYFUNCTION("""COMPUTED_VALUE""")," Cabreúva")</f>
        <v> Cabreúva</v>
      </c>
      <c r="P267" s="7" t="str">
        <f>IFERROR(__xludf.DUMMYFUNCTION("""COMPUTED_VALUE"""),"SP")</f>
        <v>SP</v>
      </c>
      <c r="Q267" s="7" t="str">
        <f>IFERROR(__xludf.DUMMYFUNCTION("""COMPUTED_VALUE""")," 13316-500 ")</f>
        <v> 13316-500 </v>
      </c>
      <c r="R267" s="9">
        <f>IFERROR(__xludf.DUMMYFUNCTION("SPLIT($K267,"" "","""")"),-2.3307366E7)</f>
        <v>-23307366</v>
      </c>
      <c r="S267" s="9">
        <f>IFERROR(__xludf.DUMMYFUNCTION("""COMPUTED_VALUE"""),-4.7133678E7)</f>
        <v>-47133678</v>
      </c>
      <c r="T267" s="10">
        <v>3508405.0</v>
      </c>
      <c r="U26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13316-500 ', 'PK-20686', SYSDATE, 0, 'PK-20686', SYSDATE, 'Estrada  do Guaxatuba  Guaxatuba', 'Estrada do Guaxatuba Guaxatuba', ' Guaxatuba', 'Estrada', '3508405', 'Estrada do Guaxatuba Guaxatuba',' Guaxatuba', '1', 'SP', '1', '-23307366', '-47133678', ' Guaxatuba' </v>
      </c>
    </row>
    <row r="268" ht="15.75" hidden="1" customHeight="1">
      <c r="A268" s="4" t="s">
        <v>843</v>
      </c>
      <c r="B268" s="5" t="s">
        <v>180</v>
      </c>
      <c r="C268" s="4" t="s">
        <v>10</v>
      </c>
      <c r="D268" s="5" t="s">
        <v>844</v>
      </c>
      <c r="E268" s="6">
        <v>214.0</v>
      </c>
      <c r="F268" s="6" t="s">
        <v>12</v>
      </c>
      <c r="G268" s="3" t="s">
        <v>13</v>
      </c>
      <c r="H268" s="7" t="str">
        <f>IFERROR(__xludf.DUMMYFUNCTION("SPLIT(A266,""Rua"","""")"),"       Finlândia")</f>
        <v>       Finlândia</v>
      </c>
      <c r="J268" s="3" t="s">
        <v>845</v>
      </c>
      <c r="K268" s="8" t="str">
        <f>IFERROR(__xludf.DUMMYFUNCTION("SPLIT($J268,""   "","""")"),"-23.282832 -47.124511")</f>
        <v>-23.282832 -47.124511</v>
      </c>
      <c r="L268" s="7" t="str">
        <f>IFERROR(__xludf.DUMMYFUNCTION("""COMPUTED_VALUE"""),"Via")</f>
        <v>Via</v>
      </c>
      <c r="M268" s="7" t="str">
        <f>IFERROR(__xludf.DUMMYFUNCTION("""COMPUTED_VALUE""")," de Acesso Vereador José de Moraes")</f>
        <v> de Acesso Vereador José de Moraes</v>
      </c>
      <c r="N268" s="7" t="str">
        <f>IFERROR(__xludf.DUMMYFUNCTION("""COMPUTED_VALUE""")," Pinhal")</f>
        <v> Pinhal</v>
      </c>
      <c r="O268" s="7" t="str">
        <f>IFERROR(__xludf.DUMMYFUNCTION("""COMPUTED_VALUE""")," Cabreúva")</f>
        <v> Cabreúva</v>
      </c>
      <c r="P268" s="7" t="str">
        <f>IFERROR(__xludf.DUMMYFUNCTION("""COMPUTED_VALUE"""),"SP")</f>
        <v>SP</v>
      </c>
      <c r="Q268" s="7" t="str">
        <f>IFERROR(__xludf.DUMMYFUNCTION("""COMPUTED_VALUE""")," 13317-200 ")</f>
        <v> 13317-200 </v>
      </c>
      <c r="R268" s="9">
        <f>IFERROR(__xludf.DUMMYFUNCTION("SPLIT($K268,"" "","""")"),-2.3282832E7)</f>
        <v>-23282832</v>
      </c>
      <c r="S268" s="9">
        <f>IFERROR(__xludf.DUMMYFUNCTION("""COMPUTED_VALUE"""),-4.7124511E7)</f>
        <v>-47124511</v>
      </c>
      <c r="T268" s="10">
        <v>3508405.0</v>
      </c>
      <c r="U26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13317-200 ', 'PK-20686', SYSDATE, 0, 'PK-20686', SYSDATE, 'Via  de Acesso Vereador José de Moraes  Pinhal', 'Via de Acesso Vereador José de Moraes Pinhal', ' Pinhal', 'Via', '3508405', 'Via de Acesso Vereador José de Moraes Pinhal',' Pinhal', '1', 'SP', '1', '-23282832', '-47124511', ' Pinhal' </v>
      </c>
    </row>
    <row r="269" ht="15.75" customHeight="1">
      <c r="A269" s="4" t="s">
        <v>846</v>
      </c>
      <c r="B269" s="5" t="s">
        <v>24</v>
      </c>
      <c r="C269" s="4" t="s">
        <v>10</v>
      </c>
      <c r="D269" s="5" t="s">
        <v>847</v>
      </c>
      <c r="E269" s="6">
        <v>214.0</v>
      </c>
      <c r="F269" s="6" t="s">
        <v>12</v>
      </c>
      <c r="G269" s="3" t="s">
        <v>13</v>
      </c>
      <c r="H269" s="7" t="str">
        <f>IFERROR(__xludf.DUMMYFUNCTION("SPLIT(A267,""Rua"","""")"),"       Flamboiã")</f>
        <v>       Flamboiã</v>
      </c>
      <c r="J269" s="3" t="s">
        <v>848</v>
      </c>
      <c r="K269" s="8" t="str">
        <f>IFERROR(__xludf.DUMMYFUNCTION("SPLIT($J269,""   "","""")"),"-23.600996 -46.747871")</f>
        <v>-23.600996 -46.747871</v>
      </c>
      <c r="L269" s="7" t="str">
        <f>IFERROR(__xludf.DUMMYFUNCTION("""COMPUTED_VALUE"""),"Rua")</f>
        <v>Rua</v>
      </c>
      <c r="M269" s="7" t="str">
        <f>IFERROR(__xludf.DUMMYFUNCTION("""COMPUTED_VALUE""")," José Pedro da Silva")</f>
        <v> José Pedro da Silva</v>
      </c>
      <c r="N269" s="7" t="str">
        <f>IFERROR(__xludf.DUMMYFUNCTION("""COMPUTED_VALUE""")," Pinhal")</f>
        <v> Pinhal</v>
      </c>
      <c r="O269" s="7" t="str">
        <f>IFERROR(__xludf.DUMMYFUNCTION("""COMPUTED_VALUE""")," Cabreúva")</f>
        <v> Cabreúva</v>
      </c>
      <c r="P269" s="7" t="str">
        <f>IFERROR(__xludf.DUMMYFUNCTION("""COMPUTED_VALUE"""),"SP")</f>
        <v>SP</v>
      </c>
      <c r="Q269" s="7" t="str">
        <f>IFERROR(__xludf.DUMMYFUNCTION("""COMPUTED_VALUE""")," 13317-232 ")</f>
        <v> 13317-232 </v>
      </c>
      <c r="R269" s="9">
        <f>IFERROR(__xludf.DUMMYFUNCTION("SPLIT($K269,"" "","""")"),-2.3600996E7)</f>
        <v>-23600996</v>
      </c>
      <c r="S269" s="9">
        <f>IFERROR(__xludf.DUMMYFUNCTION("""COMPUTED_VALUE"""),-4.6747871E7)</f>
        <v>-46747871</v>
      </c>
      <c r="T269" s="10">
        <v>3508405.0</v>
      </c>
      <c r="U26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13317-232 ', 'PK-20686', SYSDATE, 0, 'PK-20686', SYSDATE, 'Rua  José Pedro da Silva  Pinhal', 'Rua José Pedro da Silva Pinhal', ' Pinhal', 'Rua', '3508405', 'Rua José Pedro da Silva Pinhal',' Pinhal', '1', 'SP', '1', '-23600996', '-46747871', ' Pinhal' </v>
      </c>
    </row>
    <row r="270" ht="15.75" customHeight="1">
      <c r="A270" s="4" t="s">
        <v>849</v>
      </c>
      <c r="B270" s="5" t="s">
        <v>160</v>
      </c>
      <c r="C270" s="4" t="s">
        <v>10</v>
      </c>
      <c r="D270" s="5" t="s">
        <v>850</v>
      </c>
      <c r="E270" s="6">
        <v>214.0</v>
      </c>
      <c r="F270" s="6" t="s">
        <v>12</v>
      </c>
      <c r="G270" s="3" t="s">
        <v>13</v>
      </c>
      <c r="H270" s="7" t="str">
        <f>IFERROR(__xludf.DUMMYFUNCTION("SPLIT(A268,""Rua"","""")"),"       Floriano Peixoto")</f>
        <v>       Floriano Peixoto</v>
      </c>
      <c r="J270" s="3" t="s">
        <v>851</v>
      </c>
      <c r="K270" s="8" t="str">
        <f>IFERROR(__xludf.DUMMYFUNCTION("SPLIT($J270,""   "","""")"),"-23.261789 -47.051577")</f>
        <v>-23.261789 -47.051577</v>
      </c>
      <c r="L270" s="7" t="str">
        <f>IFERROR(__xludf.DUMMYFUNCTION("""COMPUTED_VALUE"""),"Rua")</f>
        <v>Rua</v>
      </c>
      <c r="M270" s="7" t="str">
        <f>IFERROR(__xludf.DUMMYFUNCTION("""COMPUTED_VALUE""")," Hematita")</f>
        <v> Hematita</v>
      </c>
      <c r="N270" s="7" t="str">
        <f>IFERROR(__xludf.DUMMYFUNCTION("""COMPUTED_VALUE""")," Jardim Colina da Serra II (Jacaré)")</f>
        <v> Jardim Colina da Serra II (Jacaré)</v>
      </c>
      <c r="O270" s="7" t="str">
        <f>IFERROR(__xludf.DUMMYFUNCTION("""COMPUTED_VALUE""")," Cabreúva")</f>
        <v> Cabreúva</v>
      </c>
      <c r="P270" s="7" t="str">
        <f>IFERROR(__xludf.DUMMYFUNCTION("""COMPUTED_VALUE"""),"SP")</f>
        <v>SP</v>
      </c>
      <c r="Q270" s="7" t="str">
        <f>IFERROR(__xludf.DUMMYFUNCTION("""COMPUTED_VALUE""")," 13318-262 ")</f>
        <v> 13318-262 </v>
      </c>
      <c r="R270" s="9">
        <f>IFERROR(__xludf.DUMMYFUNCTION("SPLIT($K270,"" "","""")"),-2.3261789E7)</f>
        <v>-23261789</v>
      </c>
      <c r="S270" s="9">
        <f>IFERROR(__xludf.DUMMYFUNCTION("""COMPUTED_VALUE"""),-4.7051577E7)</f>
        <v>-47051577</v>
      </c>
      <c r="T270" s="10">
        <v>3508405.0</v>
      </c>
      <c r="U27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13318-262 ', 'PK-20686', SYSDATE, 0, 'PK-20686', SYSDATE, 'Rua  Hematita  Jardim Colina da Serra II (Jacaré)', 'Rua Hematita Jardim Colina da Serra II (Jacaré)', ' Jardim Colina da Serra II (Jacaré)', 'Rua', '3508405', 'Rua Hematita Jardim Colina da Serra II (Jacaré)',' Jardim Colina da Serra II (Jacaré)', '1', 'SP', '1', '-23261789', '-47051577', ' Jardim Colina da Serra II (Jacaré)' </v>
      </c>
    </row>
    <row r="271" ht="15.75" customHeight="1">
      <c r="A271" s="4" t="s">
        <v>852</v>
      </c>
      <c r="B271" s="5" t="s">
        <v>226</v>
      </c>
      <c r="C271" s="4" t="s">
        <v>10</v>
      </c>
      <c r="D271" s="5" t="s">
        <v>853</v>
      </c>
      <c r="E271" s="6">
        <v>214.0</v>
      </c>
      <c r="F271" s="6" t="s">
        <v>12</v>
      </c>
      <c r="G271" s="3" t="s">
        <v>13</v>
      </c>
      <c r="H271" s="7" t="str">
        <f>IFERROR(__xludf.DUMMYFUNCTION("SPLIT(A269,""Rua"","""")"),"       Florianópolis")</f>
        <v>       Florianópolis</v>
      </c>
      <c r="J271" s="3" t="s">
        <v>854</v>
      </c>
      <c r="K271" s="8" t="str">
        <f>IFERROR(__xludf.DUMMYFUNCTION("SPLIT($J271,""   "","""")"),"-23.296317 -47.139908")</f>
        <v>-23.296317 -47.139908</v>
      </c>
      <c r="L271" s="7" t="str">
        <f>IFERROR(__xludf.DUMMYFUNCTION("""COMPUTED_VALUE"""),"Rua")</f>
        <v>Rua</v>
      </c>
      <c r="M271" s="7" t="str">
        <f>IFERROR(__xludf.DUMMYFUNCTION("""COMPUTED_VALUE""")," do Pinheiro")</f>
        <v> do Pinheiro</v>
      </c>
      <c r="N271" s="7" t="str">
        <f>IFERROR(__xludf.DUMMYFUNCTION("""COMPUTED_VALUE""")," Vale Verde (Centro)")</f>
        <v> Vale Verde (Centro)</v>
      </c>
      <c r="O271" s="7" t="str">
        <f>IFERROR(__xludf.DUMMYFUNCTION("""COMPUTED_VALUE""")," Cabreúva")</f>
        <v> Cabreúva</v>
      </c>
      <c r="P271" s="7" t="str">
        <f>IFERROR(__xludf.DUMMYFUNCTION("""COMPUTED_VALUE"""),"SP")</f>
        <v>SP</v>
      </c>
      <c r="Q271" s="7" t="str">
        <f>IFERROR(__xludf.DUMMYFUNCTION("""COMPUTED_VALUE""")," 13315-290 ")</f>
        <v> 13315-290 </v>
      </c>
      <c r="R271" s="9">
        <f>IFERROR(__xludf.DUMMYFUNCTION("SPLIT($K271,"" "","""")"),-2.3296317E7)</f>
        <v>-23296317</v>
      </c>
      <c r="S271" s="9">
        <f>IFERROR(__xludf.DUMMYFUNCTION("""COMPUTED_VALUE"""),-4.7139908E7)</f>
        <v>-47139908</v>
      </c>
      <c r="T271" s="10">
        <v>3508405.0</v>
      </c>
      <c r="U27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13315-290 ', 'PK-20686', SYSDATE, 0, 'PK-20686', SYSDATE, 'Rua  do Pinheiro  Vale Verde (Centro)', 'Rua do Pinheiro Vale Verde (Centro)', ' Vale Verde (Centro)', 'Rua', '3508405', 'Rua do Pinheiro Vale Verde (Centro)',' Vale Verde (Centro)', '1', 'SP', '1', '-23296317', '-47139908', ' Vale Verde (Centro)' </v>
      </c>
    </row>
    <row r="272" ht="15.75" customHeight="1">
      <c r="A272" s="4" t="s">
        <v>855</v>
      </c>
      <c r="B272" s="5" t="s">
        <v>132</v>
      </c>
      <c r="C272" s="4" t="s">
        <v>10</v>
      </c>
      <c r="D272" s="5" t="s">
        <v>856</v>
      </c>
      <c r="E272" s="6">
        <v>214.0</v>
      </c>
      <c r="F272" s="6" t="s">
        <v>12</v>
      </c>
      <c r="G272" s="3" t="s">
        <v>13</v>
      </c>
      <c r="H272" s="7" t="str">
        <f>IFERROR(__xludf.DUMMYFUNCTION("SPLIT(A270,""Rua"","""")"),"       França")</f>
        <v>       França</v>
      </c>
      <c r="J272" s="3" t="s">
        <v>857</v>
      </c>
      <c r="K272" s="8" t="str">
        <f>IFERROR(__xludf.DUMMYFUNCTION("SPLIT($J272,""   "","""")"),"-23.318365 -47.130531")</f>
        <v>-23.318365 -47.130531</v>
      </c>
      <c r="L272" s="7" t="str">
        <f>IFERROR(__xludf.DUMMYFUNCTION("""COMPUTED_VALUE"""),"Rua")</f>
        <v>Rua</v>
      </c>
      <c r="M272" s="7" t="str">
        <f>IFERROR(__xludf.DUMMYFUNCTION("""COMPUTED_VALUE""")," Itupeva")</f>
        <v> Itupeva</v>
      </c>
      <c r="N272" s="7" t="str">
        <f>IFERROR(__xludf.DUMMYFUNCTION("""COMPUTED_VALUE""")," Nova Cabreúva (Centro)")</f>
        <v> Nova Cabreúva (Centro)</v>
      </c>
      <c r="O272" s="7" t="str">
        <f>IFERROR(__xludf.DUMMYFUNCTION("""COMPUTED_VALUE""")," Cabreúva")</f>
        <v> Cabreúva</v>
      </c>
      <c r="P272" s="7" t="str">
        <f>IFERROR(__xludf.DUMMYFUNCTION("""COMPUTED_VALUE"""),"SP")</f>
        <v>SP</v>
      </c>
      <c r="Q272" s="7" t="str">
        <f>IFERROR(__xludf.DUMMYFUNCTION("""COMPUTED_VALUE""")," 13315-108 ")</f>
        <v> 13315-108 </v>
      </c>
      <c r="R272" s="9">
        <f>IFERROR(__xludf.DUMMYFUNCTION("SPLIT($K272,"" "","""")"),-2.3318365E7)</f>
        <v>-23318365</v>
      </c>
      <c r="S272" s="9">
        <f>IFERROR(__xludf.DUMMYFUNCTION("""COMPUTED_VALUE"""),-4.7130531E7)</f>
        <v>-47130531</v>
      </c>
      <c r="T272" s="10">
        <v>3508405.0</v>
      </c>
      <c r="U27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13315-108 ', 'PK-20686', SYSDATE, 0, 'PK-20686', SYSDATE, 'Rua  Itupeva  Nova Cabreúva (Centro)', 'Rua Itupeva Nova Cabreúva (Centro)', ' Nova Cabreúva (Centro)', 'Rua', '3508405', 'Rua Itupeva Nova Cabreúva (Centro)',' Nova Cabreúva (Centro)', '1', 'SP', '1', '-23318365', '-47130531', ' Nova Cabreúva (Centro)' </v>
      </c>
    </row>
    <row r="273" ht="15.75" customHeight="1">
      <c r="A273" s="4" t="s">
        <v>858</v>
      </c>
      <c r="B273" s="5" t="s">
        <v>24</v>
      </c>
      <c r="C273" s="4" t="s">
        <v>10</v>
      </c>
      <c r="D273" s="5" t="s">
        <v>859</v>
      </c>
      <c r="E273" s="6">
        <v>214.0</v>
      </c>
      <c r="F273" s="6" t="s">
        <v>12</v>
      </c>
      <c r="G273" s="3" t="s">
        <v>13</v>
      </c>
      <c r="H273" s="7" t="str">
        <f>IFERROR(__xludf.DUMMYFUNCTION("SPLIT(A271,""Rua"","""")"),"       Francisco Henrique Faber")</f>
        <v>       Francisco Henrique Faber</v>
      </c>
      <c r="J273" s="3" t="s">
        <v>860</v>
      </c>
      <c r="K273" s="8" t="str">
        <f>IFERROR(__xludf.DUMMYFUNCTION("SPLIT($J273,""   "","""")"),"-23.259038 -47.050582")</f>
        <v>-23.259038 -47.050582</v>
      </c>
      <c r="L273" s="7" t="str">
        <f>IFERROR(__xludf.DUMMYFUNCTION("""COMPUTED_VALUE"""),"Rua")</f>
        <v>Rua</v>
      </c>
      <c r="M273" s="7" t="str">
        <f>IFERROR(__xludf.DUMMYFUNCTION("""COMPUTED_VALUE""")," Calcita")</f>
        <v> Calcita</v>
      </c>
      <c r="N273" s="7" t="str">
        <f>IFERROR(__xludf.DUMMYFUNCTION("""COMPUTED_VALUE""")," Jardim Colina da Serra II (Jacaré)")</f>
        <v> Jardim Colina da Serra II (Jacaré)</v>
      </c>
      <c r="O273" s="7" t="str">
        <f>IFERROR(__xludf.DUMMYFUNCTION("""COMPUTED_VALUE""")," Cabreúva")</f>
        <v> Cabreúva</v>
      </c>
      <c r="P273" s="7" t="str">
        <f>IFERROR(__xludf.DUMMYFUNCTION("""COMPUTED_VALUE"""),"SP")</f>
        <v>SP</v>
      </c>
      <c r="Q273" s="7" t="str">
        <f>IFERROR(__xludf.DUMMYFUNCTION("""COMPUTED_VALUE""")," 13318-276 ")</f>
        <v> 13318-276 </v>
      </c>
      <c r="R273" s="9">
        <f>IFERROR(__xludf.DUMMYFUNCTION("SPLIT($K273,"" "","""")"),-2.3259038E7)</f>
        <v>-23259038</v>
      </c>
      <c r="S273" s="9">
        <f>IFERROR(__xludf.DUMMYFUNCTION("""COMPUTED_VALUE"""),-4.7050582E7)</f>
        <v>-47050582</v>
      </c>
      <c r="T273" s="10">
        <v>3508405.0</v>
      </c>
      <c r="U27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13318-276 ', 'PK-20686', SYSDATE, 0, 'PK-20686', SYSDATE, 'Rua  Calcita  Jardim Colina da Serra II (Jacaré)', 'Rua Calcita Jardim Colina da Serra II (Jacaré)', ' Jardim Colina da Serra II (Jacaré)', 'Rua', '3508405', 'Rua Calcita Jardim Colina da Serra II (Jacaré)',' Jardim Colina da Serra II (Jacaré)', '1', 'SP', '1', '-23259038', '-47050582', ' Jardim Colina da Serra II (Jacaré)' </v>
      </c>
    </row>
    <row r="274" ht="15.75" hidden="1" customHeight="1">
      <c r="A274" s="4" t="s">
        <v>861</v>
      </c>
      <c r="B274" s="5" t="s">
        <v>231</v>
      </c>
      <c r="C274" s="4" t="s">
        <v>10</v>
      </c>
      <c r="D274" s="5" t="s">
        <v>862</v>
      </c>
      <c r="E274" s="6">
        <v>214.0</v>
      </c>
      <c r="F274" s="6" t="s">
        <v>12</v>
      </c>
      <c r="G274" s="3" t="s">
        <v>13</v>
      </c>
      <c r="H274" s="7" t="str">
        <f>IFERROR(__xludf.DUMMYFUNCTION("SPLIT(A272,""Rua"","""")"),"       Francisco Lopes")</f>
        <v>       Francisco Lopes</v>
      </c>
      <c r="J274" s="3" t="s">
        <v>863</v>
      </c>
      <c r="K274" s="8" t="str">
        <f>IFERROR(__xludf.DUMMYFUNCTION("SPLIT($J274,""   "","""")"),"-23.259822 -47.056104")</f>
        <v>-23.259822 -47.056104</v>
      </c>
      <c r="L274" s="7" t="str">
        <f>IFERROR(__xludf.DUMMYFUNCTION("""COMPUTED_VALUE"""),"Avenida")</f>
        <v>Avenida</v>
      </c>
      <c r="M274" s="7" t="str">
        <f>IFERROR(__xludf.DUMMYFUNCTION("""COMPUTED_VALUE""")," Vereador José Donato")</f>
        <v> Vereador José Donato</v>
      </c>
      <c r="N274" s="7" t="str">
        <f>IFERROR(__xludf.DUMMYFUNCTION("""COMPUTED_VALUE""")," Villarejo Sopé da Serra (Vilarejo)")</f>
        <v> Villarejo Sopé da Serra (Vilarejo)</v>
      </c>
      <c r="O274" s="7" t="str">
        <f>IFERROR(__xludf.DUMMYFUNCTION("""COMPUTED_VALUE""")," Cabreúva")</f>
        <v> Cabreúva</v>
      </c>
      <c r="P274" s="7" t="str">
        <f>IFERROR(__xludf.DUMMYFUNCTION("""COMPUTED_VALUE"""),"SP")</f>
        <v>SP</v>
      </c>
      <c r="Q274" s="7" t="str">
        <f>IFERROR(__xludf.DUMMYFUNCTION("""COMPUTED_VALUE""")," 13317-680 ")</f>
        <v> 13317-680 </v>
      </c>
      <c r="R274" s="9">
        <f>IFERROR(__xludf.DUMMYFUNCTION("SPLIT($K274,"" "","""")"),-2.3259822E7)</f>
        <v>-23259822</v>
      </c>
      <c r="S274" s="9">
        <f>IFERROR(__xludf.DUMMYFUNCTION("""COMPUTED_VALUE"""),-4.7056104E7)</f>
        <v>-47056104</v>
      </c>
      <c r="T274" s="10">
        <v>3508405.0</v>
      </c>
      <c r="U27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13317-680 ', 'PK-20686', SYSDATE, 0, 'PK-20686', SYSDATE, 'Avenida  Vereador José Donato  Villarejo Sopé da Serra (Vilarejo)', 'Avenida Vereador José Donato Villarejo Sopé da Serra (Vilarejo)', ' Villarejo Sopé da Serra (Vilarejo)', 'Avenida', '3508405', 'Avenida Vereador José Donato Villarejo Sopé da Serra (Vilarejo)',' Villarejo Sopé da Serra (Vilarejo)', '1', 'SP', '1', '-23259822', '-47056104', ' Villarejo Sopé da Serra (Vilarejo)' </v>
      </c>
    </row>
    <row r="275" ht="15.75" customHeight="1">
      <c r="A275" s="4" t="s">
        <v>864</v>
      </c>
      <c r="B275" s="5" t="s">
        <v>24</v>
      </c>
      <c r="C275" s="4" t="s">
        <v>10</v>
      </c>
      <c r="D275" s="5" t="s">
        <v>865</v>
      </c>
      <c r="E275" s="6">
        <v>214.0</v>
      </c>
      <c r="F275" s="6" t="s">
        <v>12</v>
      </c>
      <c r="G275" s="3" t="s">
        <v>13</v>
      </c>
      <c r="H275" s="7" t="str">
        <f>IFERROR(__xludf.DUMMYFUNCTION("SPLIT(A273,""Rua"","""")"),"       Francisco Nery de Souza")</f>
        <v>       Francisco Nery de Souza</v>
      </c>
      <c r="J275" s="3" t="s">
        <v>866</v>
      </c>
      <c r="K275" s="8" t="str">
        <f>IFERROR(__xludf.DUMMYFUNCTION("SPLIT($J275,""   "","""")"),"-23.298217 -47.136936")</f>
        <v>-23.298217 -47.136936</v>
      </c>
      <c r="L275" s="7" t="str">
        <f>IFERROR(__xludf.DUMMYFUNCTION("""COMPUTED_VALUE"""),"Rua")</f>
        <v>Rua</v>
      </c>
      <c r="M275" s="7" t="str">
        <f>IFERROR(__xludf.DUMMYFUNCTION("""COMPUTED_VALUE""")," Seringueira")</f>
        <v> Seringueira</v>
      </c>
      <c r="N275" s="7" t="str">
        <f>IFERROR(__xludf.DUMMYFUNCTION("""COMPUTED_VALUE""")," Vale Verde (Centro)")</f>
        <v> Vale Verde (Centro)</v>
      </c>
      <c r="O275" s="7" t="str">
        <f>IFERROR(__xludf.DUMMYFUNCTION("""COMPUTED_VALUE""")," Cabreúva")</f>
        <v> Cabreúva</v>
      </c>
      <c r="P275" s="7" t="str">
        <f>IFERROR(__xludf.DUMMYFUNCTION("""COMPUTED_VALUE"""),"SP")</f>
        <v>SP</v>
      </c>
      <c r="Q275" s="7" t="str">
        <f>IFERROR(__xludf.DUMMYFUNCTION("""COMPUTED_VALUE""")," 13315-278 ")</f>
        <v> 13315-278 </v>
      </c>
      <c r="R275" s="9">
        <f>IFERROR(__xludf.DUMMYFUNCTION("SPLIT($K275,"" "","""")"),-2.3298217E7)</f>
        <v>-23298217</v>
      </c>
      <c r="S275" s="9">
        <f>IFERROR(__xludf.DUMMYFUNCTION("""COMPUTED_VALUE"""),-4.7136936E7)</f>
        <v>-47136936</v>
      </c>
      <c r="T275" s="10">
        <v>3508405.0</v>
      </c>
      <c r="U27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13315-278 ', 'PK-20686', SYSDATE, 0, 'PK-20686', SYSDATE, 'Rua  Seringueira  Vale Verde (Centro)', 'Rua Seringueira Vale Verde (Centro)', ' Vale Verde (Centro)', 'Rua', '3508405', 'Rua Seringueira Vale Verde (Centro)',' Vale Verde (Centro)', '1', 'SP', '1', '-23298217', '-47136936', ' Vale Verde (Centro)' </v>
      </c>
    </row>
    <row r="276" ht="15.75" customHeight="1">
      <c r="A276" s="4" t="s">
        <v>867</v>
      </c>
      <c r="B276" s="5" t="s">
        <v>368</v>
      </c>
      <c r="C276" s="4" t="s">
        <v>10</v>
      </c>
      <c r="D276" s="5" t="s">
        <v>868</v>
      </c>
      <c r="E276" s="6">
        <v>214.0</v>
      </c>
      <c r="F276" s="6" t="s">
        <v>12</v>
      </c>
      <c r="G276" s="3" t="s">
        <v>13</v>
      </c>
      <c r="H276" s="7" t="str">
        <f>IFERROR(__xludf.DUMMYFUNCTION("SPLIT(A274,""Rua"","""")"),"       Francisco Nunes")</f>
        <v>       Francisco Nunes</v>
      </c>
      <c r="J276" s="3" t="s">
        <v>869</v>
      </c>
      <c r="K276" s="8" t="str">
        <f>IFERROR(__xludf.DUMMYFUNCTION("SPLIT($J276,""   "","""")"),"-23.097247 -47.714462")</f>
        <v>-23.097247 -47.714462</v>
      </c>
      <c r="L276" s="7" t="str">
        <f>IFERROR(__xludf.DUMMYFUNCTION("""COMPUTED_VALUE"""),"Rua")</f>
        <v>Rua</v>
      </c>
      <c r="M276" s="7" t="str">
        <f>IFERROR(__xludf.DUMMYFUNCTION("""COMPUTED_VALUE""")," Um")</f>
        <v> Um</v>
      </c>
      <c r="N276" s="7" t="str">
        <f>IFERROR(__xludf.DUMMYFUNCTION("""COMPUTED_VALUE""")," Alpes do Tietê")</f>
        <v> Alpes do Tietê</v>
      </c>
      <c r="O276" s="7" t="str">
        <f>IFERROR(__xludf.DUMMYFUNCTION("""COMPUTED_VALUE""")," Cabreúva")</f>
        <v> Cabreúva</v>
      </c>
      <c r="P276" s="7" t="str">
        <f>IFERROR(__xludf.DUMMYFUNCTION("""COMPUTED_VALUE"""),"SP")</f>
        <v>SP</v>
      </c>
      <c r="Q276" s="7" t="str">
        <f>IFERROR(__xludf.DUMMYFUNCTION("""COMPUTED_VALUE""")," 13316-600 ")</f>
        <v> 13316-600 </v>
      </c>
      <c r="R276" s="9">
        <f>IFERROR(__xludf.DUMMYFUNCTION("SPLIT($K276,"" "","""")"),-2.3097247E7)</f>
        <v>-23097247</v>
      </c>
      <c r="S276" s="9">
        <f>IFERROR(__xludf.DUMMYFUNCTION("""COMPUTED_VALUE"""),-4.7714462E7)</f>
        <v>-47714462</v>
      </c>
      <c r="T276" s="10">
        <v>3508405.0</v>
      </c>
      <c r="U27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13316-600 ', 'PK-20686', SYSDATE, 0, 'PK-20686', SYSDATE, 'Rua  Um  Alpes do Tietê', 'Rua Um Alpes do Tietê', ' Alpes do Tietê', 'Rua', '3508405', 'Rua Um Alpes do Tietê',' Alpes do Tietê', '1', 'SP', '1', '-23097247', '-47714462', ' Alpes do Tietê' </v>
      </c>
    </row>
    <row r="277" ht="15.75" customHeight="1">
      <c r="A277" s="4" t="s">
        <v>870</v>
      </c>
      <c r="B277" s="5" t="s">
        <v>372</v>
      </c>
      <c r="C277" s="4" t="s">
        <v>10</v>
      </c>
      <c r="D277" s="5" t="s">
        <v>871</v>
      </c>
      <c r="E277" s="6">
        <v>214.0</v>
      </c>
      <c r="F277" s="6" t="s">
        <v>12</v>
      </c>
      <c r="G277" s="3" t="s">
        <v>13</v>
      </c>
      <c r="H277" s="7" t="str">
        <f>IFERROR(__xludf.DUMMYFUNCTION("SPLIT(A275,""Rua"","""")"),"       Frei Galvão")</f>
        <v>       Frei Galvão</v>
      </c>
      <c r="J277" s="3" t="s">
        <v>872</v>
      </c>
      <c r="K277" s="8" t="str">
        <f>IFERROR(__xludf.DUMMYFUNCTION("SPLIT($J277,""   "","""")"),"-23.307366 -47.133678")</f>
        <v>-23.307366 -47.133678</v>
      </c>
      <c r="L277" s="7" t="str">
        <f>IFERROR(__xludf.DUMMYFUNCTION("""COMPUTED_VALUE"""),"Rua")</f>
        <v>Rua</v>
      </c>
      <c r="M277" s="7" t="str">
        <f>IFERROR(__xludf.DUMMYFUNCTION("""COMPUTED_VALUE""")," Quênia")</f>
        <v> Quênia</v>
      </c>
      <c r="N277" s="7" t="str">
        <f>IFERROR(__xludf.DUMMYFUNCTION("""COMPUTED_VALUE""")," Jardim Residencial Bela Vista (Vilarejo)")</f>
        <v> Jardim Residencial Bela Vista (Vilarejo)</v>
      </c>
      <c r="O277" s="7" t="str">
        <f>IFERROR(__xludf.DUMMYFUNCTION("""COMPUTED_VALUE""")," Cabreúva")</f>
        <v> Cabreúva</v>
      </c>
      <c r="P277" s="7" t="str">
        <f>IFERROR(__xludf.DUMMYFUNCTION("""COMPUTED_VALUE"""),"SP")</f>
        <v>SP</v>
      </c>
      <c r="Q277" s="7" t="str">
        <f>IFERROR(__xludf.DUMMYFUNCTION("""COMPUTED_VALUE""")," 13317-706 ")</f>
        <v> 13317-706 </v>
      </c>
      <c r="R277" s="9">
        <f>IFERROR(__xludf.DUMMYFUNCTION("SPLIT($K277,"" "","""")"),-2.3307366E7)</f>
        <v>-23307366</v>
      </c>
      <c r="S277" s="9">
        <f>IFERROR(__xludf.DUMMYFUNCTION("""COMPUTED_VALUE"""),-4.7133678E7)</f>
        <v>-47133678</v>
      </c>
      <c r="T277" s="10">
        <v>3508405.0</v>
      </c>
      <c r="U27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13317-706 ', 'PK-20686', SYSDATE, 0, 'PK-20686', SYSDATE, 'Rua  Quênia  Jardim Residencial Bela Vista (Vilarejo)', 'Rua Quênia Jardim Residencial Bela Vista (Vilarejo)', ' Jardim Residencial Bela Vista (Vilarejo)', 'Rua', '3508405', 'Rua Quênia Jardim Residencial Bela Vista (Vilarejo)',' Jardim Residencial Bela Vista (Vilarejo)', '1', 'SP', '1', '-23307366', '-47133678', ' Jardim Residencial Bela Vista (Vilarejo)' </v>
      </c>
    </row>
    <row r="278" ht="15.75" customHeight="1">
      <c r="A278" s="4" t="s">
        <v>873</v>
      </c>
      <c r="B278" s="5" t="s">
        <v>24</v>
      </c>
      <c r="C278" s="4" t="s">
        <v>10</v>
      </c>
      <c r="D278" s="5" t="s">
        <v>874</v>
      </c>
      <c r="E278" s="6">
        <v>214.0</v>
      </c>
      <c r="F278" s="6" t="s">
        <v>12</v>
      </c>
      <c r="G278" s="3" t="s">
        <v>13</v>
      </c>
      <c r="H278" s="7" t="str">
        <f>IFERROR(__xludf.DUMMYFUNCTION("SPLIT(A276,""Rua"","""")"),"       G")</f>
        <v>       G</v>
      </c>
      <c r="J278" s="3" t="s">
        <v>875</v>
      </c>
      <c r="K278" s="8" t="str">
        <f>IFERROR(__xludf.DUMMYFUNCTION("SPLIT($J278,""   "","""")"),"-23.246934 -47.05945")</f>
        <v>-23.246934 -47.05945</v>
      </c>
      <c r="L278" s="7" t="str">
        <f>IFERROR(__xludf.DUMMYFUNCTION("""COMPUTED_VALUE"""),"Rua")</f>
        <v>Rua</v>
      </c>
      <c r="M278" s="7" t="str">
        <f>IFERROR(__xludf.DUMMYFUNCTION("""COMPUTED_VALUE""")," Rotary")</f>
        <v> Rotary</v>
      </c>
      <c r="N278" s="7" t="str">
        <f>IFERROR(__xludf.DUMMYFUNCTION("""COMPUTED_VALUE""")," Jacaré")</f>
        <v> Jacaré</v>
      </c>
      <c r="O278" s="7" t="str">
        <f>IFERROR(__xludf.DUMMYFUNCTION("""COMPUTED_VALUE""")," Cabreúva")</f>
        <v> Cabreúva</v>
      </c>
      <c r="P278" s="7" t="str">
        <f>IFERROR(__xludf.DUMMYFUNCTION("""COMPUTED_VALUE"""),"SP")</f>
        <v>SP</v>
      </c>
      <c r="Q278" s="7" t="str">
        <f>IFERROR(__xludf.DUMMYFUNCTION("""COMPUTED_VALUE""")," 13318-102 ")</f>
        <v> 13318-102 </v>
      </c>
      <c r="R278" s="9">
        <f>IFERROR(__xludf.DUMMYFUNCTION("SPLIT($K278,"" "","""")"),-2.3246934E7)</f>
        <v>-23246934</v>
      </c>
      <c r="S278" s="9">
        <f>IFERROR(__xludf.DUMMYFUNCTION("""COMPUTED_VALUE"""),-4705945.0)</f>
        <v>-4705945</v>
      </c>
      <c r="T278" s="10">
        <v>3508405.0</v>
      </c>
      <c r="U27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13318-102 ', 'PK-20686', SYSDATE, 0, 'PK-20686', SYSDATE, 'Rua  Rotary  Jacaré', 'Rua Rotary Jacaré', ' Jacaré', 'Rua', '3508405', 'Rua Rotary Jacaré',' Jacaré', '1', 'SP', '1', '-23246934', '-4705945', ' Jacaré' </v>
      </c>
    </row>
    <row r="279" ht="15.75" customHeight="1">
      <c r="A279" s="4" t="s">
        <v>876</v>
      </c>
      <c r="B279" s="5" t="s">
        <v>825</v>
      </c>
      <c r="C279" s="4" t="s">
        <v>10</v>
      </c>
      <c r="D279" s="5" t="s">
        <v>877</v>
      </c>
      <c r="E279" s="6">
        <v>214.0</v>
      </c>
      <c r="F279" s="6" t="s">
        <v>12</v>
      </c>
      <c r="G279" s="3" t="s">
        <v>13</v>
      </c>
      <c r="H279" s="7" t="str">
        <f>IFERROR(__xludf.DUMMYFUNCTION("SPLIT(A277,""Rua"","""")"),"       Gana")</f>
        <v>       Gana</v>
      </c>
      <c r="J279" s="3" t="s">
        <v>878</v>
      </c>
      <c r="K279" s="8" t="str">
        <f>IFERROR(__xludf.DUMMYFUNCTION("SPLIT($J279,""   "","""")"),"-23.298898 -47.134442")</f>
        <v>-23.298898 -47.134442</v>
      </c>
      <c r="L279" s="7" t="str">
        <f>IFERROR(__xludf.DUMMYFUNCTION("""COMPUTED_VALUE"""),"Rua")</f>
        <v>Rua</v>
      </c>
      <c r="M279" s="7" t="str">
        <f>IFERROR(__xludf.DUMMYFUNCTION("""COMPUTED_VALUE""")," Peróba")</f>
        <v> Peróba</v>
      </c>
      <c r="N279" s="7" t="str">
        <f>IFERROR(__xludf.DUMMYFUNCTION("""COMPUTED_VALUE""")," Vale Verde (Centro)")</f>
        <v> Vale Verde (Centro)</v>
      </c>
      <c r="O279" s="7" t="str">
        <f>IFERROR(__xludf.DUMMYFUNCTION("""COMPUTED_VALUE""")," Cabreúva")</f>
        <v> Cabreúva</v>
      </c>
      <c r="P279" s="7" t="str">
        <f>IFERROR(__xludf.DUMMYFUNCTION("""COMPUTED_VALUE"""),"SP")</f>
        <v>SP</v>
      </c>
      <c r="Q279" s="7" t="str">
        <f>IFERROR(__xludf.DUMMYFUNCTION("""COMPUTED_VALUE""")," 13315-280 ")</f>
        <v> 13315-280 </v>
      </c>
      <c r="R279" s="9">
        <f>IFERROR(__xludf.DUMMYFUNCTION("SPLIT($K279,"" "","""")"),-2.3298898E7)</f>
        <v>-23298898</v>
      </c>
      <c r="S279" s="9">
        <f>IFERROR(__xludf.DUMMYFUNCTION("""COMPUTED_VALUE"""),-4.7134442E7)</f>
        <v>-47134442</v>
      </c>
      <c r="T279" s="10">
        <v>3508405.0</v>
      </c>
      <c r="U27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13315-280 ', 'PK-20686', SYSDATE, 0, 'PK-20686', SYSDATE, 'Rua  Peróba  Vale Verde (Centro)', 'Rua Peróba Vale Verde (Centro)', ' Vale Verde (Centro)', 'Rua', '3508405', 'Rua Peróba Vale Verde (Centro)',' Vale Verde (Centro)', '1', 'SP', '1', '-23298898', '-47134442', ' Vale Verde (Centro)' </v>
      </c>
    </row>
    <row r="280" ht="15.75" customHeight="1">
      <c r="A280" s="4" t="s">
        <v>879</v>
      </c>
      <c r="B280" s="5" t="s">
        <v>24</v>
      </c>
      <c r="C280" s="4" t="s">
        <v>10</v>
      </c>
      <c r="D280" s="5" t="s">
        <v>880</v>
      </c>
      <c r="E280" s="6">
        <v>214.0</v>
      </c>
      <c r="F280" s="6" t="s">
        <v>12</v>
      </c>
      <c r="G280" s="3" t="s">
        <v>13</v>
      </c>
      <c r="H280" s="7" t="str">
        <f>IFERROR(__xludf.DUMMYFUNCTION("SPLIT(A278,""Rua"","""")"),"       Georgios Kordoutis")</f>
        <v>       Georgios Kordoutis</v>
      </c>
      <c r="J280" s="3" t="s">
        <v>881</v>
      </c>
      <c r="K280" s="8" t="str">
        <f>IFERROR(__xludf.DUMMYFUNCTION("SPLIT($J280,""   "","""")"),"-23.260563 -47.048165")</f>
        <v>-23.260563 -47.048165</v>
      </c>
      <c r="L280" s="7" t="str">
        <f>IFERROR(__xludf.DUMMYFUNCTION("""COMPUTED_VALUE"""),"Rua")</f>
        <v>Rua</v>
      </c>
      <c r="M280" s="7" t="str">
        <f>IFERROR(__xludf.DUMMYFUNCTION("""COMPUTED_VALUE""")," Cassiterita")</f>
        <v> Cassiterita</v>
      </c>
      <c r="N280" s="7" t="str">
        <f>IFERROR(__xludf.DUMMYFUNCTION("""COMPUTED_VALUE""")," Jardim Colina da Serra II (Jacaré)")</f>
        <v> Jardim Colina da Serra II (Jacaré)</v>
      </c>
      <c r="O280" s="7" t="str">
        <f>IFERROR(__xludf.DUMMYFUNCTION("""COMPUTED_VALUE""")," Cabreúva")</f>
        <v> Cabreúva</v>
      </c>
      <c r="P280" s="7" t="str">
        <f>IFERROR(__xludf.DUMMYFUNCTION("""COMPUTED_VALUE"""),"SP")</f>
        <v>SP</v>
      </c>
      <c r="Q280" s="7" t="str">
        <f>IFERROR(__xludf.DUMMYFUNCTION("""COMPUTED_VALUE""")," 13318-282 ")</f>
        <v> 13318-282 </v>
      </c>
      <c r="R280" s="9">
        <f>IFERROR(__xludf.DUMMYFUNCTION("SPLIT($K280,"" "","""")"),-2.3260563E7)</f>
        <v>-23260563</v>
      </c>
      <c r="S280" s="9">
        <f>IFERROR(__xludf.DUMMYFUNCTION("""COMPUTED_VALUE"""),-4.7048165E7)</f>
        <v>-47048165</v>
      </c>
      <c r="T280" s="10">
        <v>3508405.0</v>
      </c>
      <c r="U28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13318-282 ', 'PK-20686', SYSDATE, 0, 'PK-20686', SYSDATE, 'Rua  Cassiterita  Jardim Colina da Serra II (Jacaré)', 'Rua Cassiterita Jardim Colina da Serra II (Jacaré)', ' Jardim Colina da Serra II (Jacaré)', 'Rua', '3508405', 'Rua Cassiterita Jardim Colina da Serra II (Jacaré)',' Jardim Colina da Serra II (Jacaré)', '1', 'SP', '1', '-23260563', '-47048165', ' Jardim Colina da Serra II (Jacaré)' </v>
      </c>
    </row>
    <row r="281" ht="15.75" customHeight="1">
      <c r="A281" s="4" t="s">
        <v>882</v>
      </c>
      <c r="B281" s="5" t="s">
        <v>394</v>
      </c>
      <c r="C281" s="4" t="s">
        <v>10</v>
      </c>
      <c r="D281" s="5" t="s">
        <v>883</v>
      </c>
      <c r="E281" s="6">
        <v>214.0</v>
      </c>
      <c r="F281" s="6" t="s">
        <v>12</v>
      </c>
      <c r="G281" s="3" t="s">
        <v>13</v>
      </c>
      <c r="H281" s="7" t="str">
        <f>IFERROR(__xludf.DUMMYFUNCTION("SPLIT(A279,""Rua"","""")"),"       Gláucio Silvio Cardoso")</f>
        <v>       Gláucio Silvio Cardoso</v>
      </c>
      <c r="J281" s="3" t="s">
        <v>884</v>
      </c>
      <c r="K281" s="8" t="str">
        <f>IFERROR(__xludf.DUMMYFUNCTION("SPLIT($J281,""   "","""")"),"-23.261103 -47.047289")</f>
        <v>-23.261103 -47.047289</v>
      </c>
      <c r="L281" s="7" t="str">
        <f>IFERROR(__xludf.DUMMYFUNCTION("""COMPUTED_VALUE"""),"Rua")</f>
        <v>Rua</v>
      </c>
      <c r="M281" s="7" t="str">
        <f>IFERROR(__xludf.DUMMYFUNCTION("""COMPUTED_VALUE""")," Lazuli")</f>
        <v> Lazuli</v>
      </c>
      <c r="N281" s="7" t="str">
        <f>IFERROR(__xludf.DUMMYFUNCTION("""COMPUTED_VALUE""")," Jardim Colina da Serra II (Jacaré)")</f>
        <v> Jardim Colina da Serra II (Jacaré)</v>
      </c>
      <c r="O281" s="7" t="str">
        <f>IFERROR(__xludf.DUMMYFUNCTION("""COMPUTED_VALUE""")," Cabreúva")</f>
        <v> Cabreúva</v>
      </c>
      <c r="P281" s="7" t="str">
        <f>IFERROR(__xludf.DUMMYFUNCTION("""COMPUTED_VALUE"""),"SP")</f>
        <v>SP</v>
      </c>
      <c r="Q281" s="7" t="str">
        <f>IFERROR(__xludf.DUMMYFUNCTION("""COMPUTED_VALUE""")," 13318-286 ")</f>
        <v> 13318-286 </v>
      </c>
      <c r="R281" s="9">
        <f>IFERROR(__xludf.DUMMYFUNCTION("SPLIT($K281,"" "","""")"),-2.3261103E7)</f>
        <v>-23261103</v>
      </c>
      <c r="S281" s="9">
        <f>IFERROR(__xludf.DUMMYFUNCTION("""COMPUTED_VALUE"""),-4.7047289E7)</f>
        <v>-47047289</v>
      </c>
      <c r="T281" s="10">
        <v>3508405.0</v>
      </c>
      <c r="U28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13318-286 ', 'PK-20686', SYSDATE, 0, 'PK-20686', SYSDATE, 'Rua  Lazuli  Jardim Colina da Serra II (Jacaré)', 'Rua Lazuli Jardim Colina da Serra II (Jacaré)', ' Jardim Colina da Serra II (Jacaré)', 'Rua', '3508405', 'Rua Lazuli Jardim Colina da Serra II (Jacaré)',' Jardim Colina da Serra II (Jacaré)', '1', 'SP', '1', '-23261103', '-47047289', ' Jardim Colina da Serra II (Jacaré)' </v>
      </c>
    </row>
    <row r="282" ht="15.75" hidden="1" customHeight="1">
      <c r="A282" s="4" t="s">
        <v>885</v>
      </c>
      <c r="B282" s="5" t="s">
        <v>372</v>
      </c>
      <c r="C282" s="4" t="s">
        <v>10</v>
      </c>
      <c r="D282" s="5" t="s">
        <v>886</v>
      </c>
      <c r="E282" s="6">
        <v>214.0</v>
      </c>
      <c r="F282" s="6" t="s">
        <v>12</v>
      </c>
      <c r="G282" s="3" t="s">
        <v>13</v>
      </c>
      <c r="H282" s="7" t="str">
        <f>IFERROR(__xludf.DUMMYFUNCTION("SPLIT(A280,""Rua"","""")"),"       Goiás")</f>
        <v>       Goiás</v>
      </c>
      <c r="J282" s="3" t="s">
        <v>887</v>
      </c>
      <c r="K282" s="8" t="str">
        <f>IFERROR(__xludf.DUMMYFUNCTION("SPLIT($J282,""   "","""")"),"-23.261717 -47.064942")</f>
        <v>-23.261717 -47.064942</v>
      </c>
      <c r="L282" s="7" t="str">
        <f>IFERROR(__xludf.DUMMYFUNCTION("""COMPUTED_VALUE"""),"Estrada")</f>
        <v>Estrada</v>
      </c>
      <c r="M282" s="7" t="str">
        <f>IFERROR(__xludf.DUMMYFUNCTION("""COMPUTED_VALUE""")," do Kajita")</f>
        <v> do Kajita</v>
      </c>
      <c r="N282" s="7" t="str">
        <f>IFERROR(__xludf.DUMMYFUNCTION("""COMPUTED_VALUE""")," Jacaré")</f>
        <v> Jacaré</v>
      </c>
      <c r="O282" s="7" t="str">
        <f>IFERROR(__xludf.DUMMYFUNCTION("""COMPUTED_VALUE""")," Cabreúva")</f>
        <v> Cabreúva</v>
      </c>
      <c r="P282" s="7" t="str">
        <f>IFERROR(__xludf.DUMMYFUNCTION("""COMPUTED_VALUE"""),"SP")</f>
        <v>SP</v>
      </c>
      <c r="Q282" s="7" t="str">
        <f>IFERROR(__xludf.DUMMYFUNCTION("""COMPUTED_VALUE""")," 13318-054 ")</f>
        <v> 13318-054 </v>
      </c>
      <c r="R282" s="9">
        <f>IFERROR(__xludf.DUMMYFUNCTION("SPLIT($K282,"" "","""")"),-2.3261717E7)</f>
        <v>-23261717</v>
      </c>
      <c r="S282" s="9">
        <f>IFERROR(__xludf.DUMMYFUNCTION("""COMPUTED_VALUE"""),-4.7064942E7)</f>
        <v>-47064942</v>
      </c>
      <c r="T282" s="10">
        <v>3508405.0</v>
      </c>
      <c r="U28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13318-054 ', 'PK-20686', SYSDATE, 0, 'PK-20686', SYSDATE, 'Estrada  do Kajita  Jacaré', 'Estrada do Kajita Jacaré', ' Jacaré', 'Estrada', '3508405', 'Estrada do Kajita Jacaré',' Jacaré', '1', 'SP', '1', '-23261717', '-47064942', ' Jacaré' </v>
      </c>
    </row>
    <row r="283" ht="15.75" customHeight="1">
      <c r="A283" s="4" t="s">
        <v>888</v>
      </c>
      <c r="B283" s="5" t="s">
        <v>160</v>
      </c>
      <c r="C283" s="4" t="s">
        <v>10</v>
      </c>
      <c r="D283" s="5" t="s">
        <v>889</v>
      </c>
      <c r="E283" s="6">
        <v>214.0</v>
      </c>
      <c r="F283" s="6" t="s">
        <v>12</v>
      </c>
      <c r="G283" s="3" t="s">
        <v>13</v>
      </c>
      <c r="H283" s="7" t="str">
        <f>IFERROR(__xludf.DUMMYFUNCTION("SPLIT(A281,""Rua"","""")"),"       Granada")</f>
        <v>       Granada</v>
      </c>
      <c r="J283" s="3" t="s">
        <v>890</v>
      </c>
      <c r="K283" s="8" t="str">
        <f>IFERROR(__xludf.DUMMYFUNCTION("SPLIT($J283,""   "","""")"),"-23.297817 -47.140846")</f>
        <v>-23.297817 -47.140846</v>
      </c>
      <c r="L283" s="7" t="str">
        <f>IFERROR(__xludf.DUMMYFUNCTION("""COMPUTED_VALUE"""),"Rua")</f>
        <v>Rua</v>
      </c>
      <c r="M283" s="7" t="str">
        <f>IFERROR(__xludf.DUMMYFUNCTION("""COMPUTED_VALUE""")," Chapéu de Sol")</f>
        <v> Chapéu de Sol</v>
      </c>
      <c r="N283" s="7" t="str">
        <f>IFERROR(__xludf.DUMMYFUNCTION("""COMPUTED_VALUE""")," Vale Verde (Centro)")</f>
        <v> Vale Verde (Centro)</v>
      </c>
      <c r="O283" s="7" t="str">
        <f>IFERROR(__xludf.DUMMYFUNCTION("""COMPUTED_VALUE""")," Cabreúva")</f>
        <v> Cabreúva</v>
      </c>
      <c r="P283" s="7" t="str">
        <f>IFERROR(__xludf.DUMMYFUNCTION("""COMPUTED_VALUE"""),"SP")</f>
        <v>SP</v>
      </c>
      <c r="Q283" s="7" t="str">
        <f>IFERROR(__xludf.DUMMYFUNCTION("""COMPUTED_VALUE""")," 13315-272 ")</f>
        <v> 13315-272 </v>
      </c>
      <c r="R283" s="9">
        <f>IFERROR(__xludf.DUMMYFUNCTION("SPLIT($K283,"" "","""")"),-2.3297817E7)</f>
        <v>-23297817</v>
      </c>
      <c r="S283" s="9">
        <f>IFERROR(__xludf.DUMMYFUNCTION("""COMPUTED_VALUE"""),-4.7140846E7)</f>
        <v>-47140846</v>
      </c>
      <c r="T283" s="10">
        <v>3508405.0</v>
      </c>
      <c r="U28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13315-272 ', 'PK-20686', SYSDATE, 0, 'PK-20686', SYSDATE, 'Rua  Chapéu de Sol  Vale Verde (Centro)', 'Rua Chapéu de Sol Vale Verde (Centro)', ' Vale Verde (Centro)', 'Rua', '3508405', 'Rua Chapéu de Sol Vale Verde (Centro)',' Vale Verde (Centro)', '1', 'SP', '1', '-23297817', '-47140846', ' Vale Verde (Centro)' </v>
      </c>
    </row>
    <row r="284" ht="15.75" customHeight="1">
      <c r="A284" s="4" t="s">
        <v>891</v>
      </c>
      <c r="B284" s="5" t="s">
        <v>231</v>
      </c>
      <c r="C284" s="4" t="s">
        <v>10</v>
      </c>
      <c r="D284" s="5" t="s">
        <v>892</v>
      </c>
      <c r="E284" s="6">
        <v>214.0</v>
      </c>
      <c r="F284" s="6" t="s">
        <v>12</v>
      </c>
      <c r="G284" s="3" t="s">
        <v>13</v>
      </c>
      <c r="H284" s="7" t="str">
        <f>IFERROR(__xludf.DUMMYFUNCTION("SPLIT(A282,""Rua"","""")"),"       Grécia")</f>
        <v>       Grécia</v>
      </c>
      <c r="J284" s="3" t="s">
        <v>893</v>
      </c>
      <c r="K284" s="8" t="str">
        <f>IFERROR(__xludf.DUMMYFUNCTION("SPLIT($J284,""   "","""")"),"-23.280174 -47.061265")</f>
        <v>-23.280174 -47.061265</v>
      </c>
      <c r="L284" s="7" t="str">
        <f>IFERROR(__xludf.DUMMYFUNCTION("""COMPUTED_VALUE"""),"Rua")</f>
        <v>Rua</v>
      </c>
      <c r="M284" s="7" t="str">
        <f>IFERROR(__xludf.DUMMYFUNCTION("""COMPUTED_VALUE""")," Pouso Alegre")</f>
        <v> Pouso Alegre</v>
      </c>
      <c r="N284" s="7" t="str">
        <f>IFERROR(__xludf.DUMMYFUNCTION("""COMPUTED_VALUE""")," Novo Bonfim (Vilarejo)")</f>
        <v> Novo Bonfim (Vilarejo)</v>
      </c>
      <c r="O284" s="7" t="str">
        <f>IFERROR(__xludf.DUMMYFUNCTION("""COMPUTED_VALUE""")," Cabreúva")</f>
        <v> Cabreúva</v>
      </c>
      <c r="P284" s="7" t="str">
        <f>IFERROR(__xludf.DUMMYFUNCTION("""COMPUTED_VALUE"""),"SP")</f>
        <v>SP</v>
      </c>
      <c r="Q284" s="7" t="str">
        <f>IFERROR(__xludf.DUMMYFUNCTION("""COMPUTED_VALUE""")," 13317-786 ")</f>
        <v> 13317-786 </v>
      </c>
      <c r="R284" s="9">
        <f>IFERROR(__xludf.DUMMYFUNCTION("SPLIT($K284,"" "","""")"),-2.3280174E7)</f>
        <v>-23280174</v>
      </c>
      <c r="S284" s="9">
        <f>IFERROR(__xludf.DUMMYFUNCTION("""COMPUTED_VALUE"""),-4.7061265E7)</f>
        <v>-47061265</v>
      </c>
      <c r="T284" s="10">
        <v>3508405.0</v>
      </c>
      <c r="U28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13317-786 ', 'PK-20686', SYSDATE, 0, 'PK-20686', SYSDATE, 'Rua  Pouso Alegre  Novo Bonfim (Vilarejo)', 'Rua Pouso Alegre Novo Bonfim (Vilarejo)', ' Novo Bonfim (Vilarejo)', 'Rua', '3508405', 'Rua Pouso Alegre Novo Bonfim (Vilarejo)',' Novo Bonfim (Vilarejo)', '1', 'SP', '1', '-23280174', '-47061265', ' Novo Bonfim (Vilarejo)' </v>
      </c>
    </row>
    <row r="285" ht="15.75" customHeight="1">
      <c r="A285" s="4" t="s">
        <v>894</v>
      </c>
      <c r="B285" s="5" t="s">
        <v>368</v>
      </c>
      <c r="C285" s="4" t="s">
        <v>10</v>
      </c>
      <c r="D285" s="5" t="s">
        <v>895</v>
      </c>
      <c r="E285" s="6">
        <v>214.0</v>
      </c>
      <c r="F285" s="6" t="s">
        <v>12</v>
      </c>
      <c r="G285" s="3" t="s">
        <v>13</v>
      </c>
      <c r="H285" s="7" t="str">
        <f>IFERROR(__xludf.DUMMYFUNCTION("SPLIT(A283,""Rua"","""")"),"       Groelândia")</f>
        <v>       Groelândia</v>
      </c>
      <c r="J285" s="3" t="s">
        <v>896</v>
      </c>
      <c r="K285" s="8" t="str">
        <f>IFERROR(__xludf.DUMMYFUNCTION("SPLIT($J285,""   "","""")"),"-23.251137 -47.056923")</f>
        <v>-23.251137 -47.056923</v>
      </c>
      <c r="L285" s="7" t="str">
        <f>IFERROR(__xludf.DUMMYFUNCTION("""COMPUTED_VALUE"""),"Rua")</f>
        <v>Rua</v>
      </c>
      <c r="M285" s="7" t="str">
        <f>IFERROR(__xludf.DUMMYFUNCTION("""COMPUTED_VALUE""")," José Bertagni")</f>
        <v> José Bertagni</v>
      </c>
      <c r="N285" s="7" t="str">
        <f>IFERROR(__xludf.DUMMYFUNCTION("""COMPUTED_VALUE""")," Jacaré")</f>
        <v> Jacaré</v>
      </c>
      <c r="O285" s="7" t="str">
        <f>IFERROR(__xludf.DUMMYFUNCTION("""COMPUTED_VALUE""")," Cabreúva")</f>
        <v> Cabreúva</v>
      </c>
      <c r="P285" s="7" t="str">
        <f>IFERROR(__xludf.DUMMYFUNCTION("""COMPUTED_VALUE"""),"SP")</f>
        <v>SP</v>
      </c>
      <c r="Q285" s="7" t="str">
        <f>IFERROR(__xludf.DUMMYFUNCTION("""COMPUTED_VALUE""")," 13318-126 ")</f>
        <v> 13318-126 </v>
      </c>
      <c r="R285" s="9">
        <f>IFERROR(__xludf.DUMMYFUNCTION("SPLIT($K285,"" "","""")"),-2.3251137E7)</f>
        <v>-23251137</v>
      </c>
      <c r="S285" s="9">
        <f>IFERROR(__xludf.DUMMYFUNCTION("""COMPUTED_VALUE"""),-4.7056923E7)</f>
        <v>-47056923</v>
      </c>
      <c r="T285" s="10">
        <v>3508405.0</v>
      </c>
      <c r="U28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13318-126 ', 'PK-20686', SYSDATE, 0, 'PK-20686', SYSDATE, 'Rua  José Bertagni  Jacaré', 'Rua José Bertagni Jacaré', ' Jacaré', 'Rua', '3508405', 'Rua José Bertagni Jacaré',' Jacaré', '1', 'SP', '1', '-23251137', '-47056923', ' Jacaré' </v>
      </c>
    </row>
    <row r="286" ht="15.75" customHeight="1">
      <c r="A286" s="4" t="s">
        <v>897</v>
      </c>
      <c r="B286" s="5" t="s">
        <v>153</v>
      </c>
      <c r="C286" s="4" t="s">
        <v>10</v>
      </c>
      <c r="D286" s="5" t="s">
        <v>898</v>
      </c>
      <c r="E286" s="6">
        <v>214.0</v>
      </c>
      <c r="F286" s="6" t="s">
        <v>12</v>
      </c>
      <c r="G286" s="3" t="s">
        <v>13</v>
      </c>
      <c r="H286" s="7" t="str">
        <f>IFERROR(__xludf.DUMMYFUNCTION("SPLIT(A284,""Rua"","""")"),"       Guaxinduva")</f>
        <v>       Guaxinduva</v>
      </c>
      <c r="J286" s="3" t="s">
        <v>899</v>
      </c>
      <c r="K286" s="8" t="str">
        <f>IFERROR(__xludf.DUMMYFUNCTION("SPLIT($J286,""   "","""")"),"-23.249028 -47.061846")</f>
        <v>-23.249028 -47.061846</v>
      </c>
      <c r="L286" s="7" t="str">
        <f>IFERROR(__xludf.DUMMYFUNCTION("""COMPUTED_VALUE"""),"Rua")</f>
        <v>Rua</v>
      </c>
      <c r="M286" s="7" t="str">
        <f>IFERROR(__xludf.DUMMYFUNCTION("""COMPUTED_VALUE""")," Humberto Pelegrini")</f>
        <v> Humberto Pelegrini</v>
      </c>
      <c r="N286" s="7" t="str">
        <f>IFERROR(__xludf.DUMMYFUNCTION("""COMPUTED_VALUE""")," Jacaré")</f>
        <v> Jacaré</v>
      </c>
      <c r="O286" s="7" t="str">
        <f>IFERROR(__xludf.DUMMYFUNCTION("""COMPUTED_VALUE""")," Cabreúva")</f>
        <v> Cabreúva</v>
      </c>
      <c r="P286" s="7" t="str">
        <f>IFERROR(__xludf.DUMMYFUNCTION("""COMPUTED_VALUE"""),"SP")</f>
        <v>SP</v>
      </c>
      <c r="Q286" s="7" t="str">
        <f>IFERROR(__xludf.DUMMYFUNCTION("""COMPUTED_VALUE""")," 13318-050 ")</f>
        <v> 13318-050 </v>
      </c>
      <c r="R286" s="9">
        <f>IFERROR(__xludf.DUMMYFUNCTION("SPLIT($K286,"" "","""")"),-2.3249028E7)</f>
        <v>-23249028</v>
      </c>
      <c r="S286" s="9">
        <f>IFERROR(__xludf.DUMMYFUNCTION("""COMPUTED_VALUE"""),-4.7061846E7)</f>
        <v>-47061846</v>
      </c>
      <c r="T286" s="10">
        <v>3508405.0</v>
      </c>
      <c r="U28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13318-050 ', 'PK-20686', SYSDATE, 0, 'PK-20686', SYSDATE, 'Rua  Humberto Pelegrini  Jacaré', 'Rua Humberto Pelegrini Jacaré', ' Jacaré', 'Rua', '3508405', 'Rua Humberto Pelegrini Jacaré',' Jacaré', '1', 'SP', '1', '-23249028', '-47061846', ' Jacaré' </v>
      </c>
    </row>
    <row r="287" ht="15.75" hidden="1" customHeight="1">
      <c r="A287" s="4" t="s">
        <v>900</v>
      </c>
      <c r="B287" s="5" t="s">
        <v>160</v>
      </c>
      <c r="C287" s="4" t="s">
        <v>10</v>
      </c>
      <c r="D287" s="5" t="s">
        <v>901</v>
      </c>
      <c r="E287" s="6">
        <v>214.0</v>
      </c>
      <c r="F287" s="6" t="s">
        <v>12</v>
      </c>
      <c r="G287" s="3" t="s">
        <v>13</v>
      </c>
      <c r="H287" s="7" t="str">
        <f>IFERROR(__xludf.DUMMYFUNCTION("SPLIT(A285,""Rua"","""")"),"       H")</f>
        <v>       H</v>
      </c>
      <c r="J287" s="3" t="s">
        <v>902</v>
      </c>
      <c r="K287" s="8" t="str">
        <f>IFERROR(__xludf.DUMMYFUNCTION("SPLIT($J287,""   "","""")"),"-23.291046 -47.054663")</f>
        <v>-23.291046 -47.054663</v>
      </c>
      <c r="L287" s="7" t="str">
        <f>IFERROR(__xludf.DUMMYFUNCTION("""COMPUTED_VALUE"""),"Estrada")</f>
        <v>Estrada</v>
      </c>
      <c r="M287" s="7" t="str">
        <f>IFERROR(__xludf.DUMMYFUNCTION("""COMPUTED_VALUE""")," do Sumidouro")</f>
        <v> do Sumidouro</v>
      </c>
      <c r="N287" s="7" t="str">
        <f>IFERROR(__xludf.DUMMYFUNCTION("""COMPUTED_VALUE""")," Bonfim")</f>
        <v> Bonfim</v>
      </c>
      <c r="O287" s="7" t="str">
        <f>IFERROR(__xludf.DUMMYFUNCTION("""COMPUTED_VALUE""")," Cabreúva")</f>
        <v> Cabreúva</v>
      </c>
      <c r="P287" s="7" t="str">
        <f>IFERROR(__xludf.DUMMYFUNCTION("""COMPUTED_VALUE"""),"SP")</f>
        <v>SP</v>
      </c>
      <c r="Q287" s="7" t="str">
        <f>IFERROR(__xludf.DUMMYFUNCTION("""COMPUTED_VALUE""")," 13319-028 ")</f>
        <v> 13319-028 </v>
      </c>
      <c r="R287" s="9">
        <f>IFERROR(__xludf.DUMMYFUNCTION("SPLIT($K287,"" "","""")"),-2.3291046E7)</f>
        <v>-23291046</v>
      </c>
      <c r="S287" s="9">
        <f>IFERROR(__xludf.DUMMYFUNCTION("""COMPUTED_VALUE"""),-4.7054663E7)</f>
        <v>-47054663</v>
      </c>
      <c r="T287" s="10">
        <v>3508405.0</v>
      </c>
      <c r="U28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13319-028 ', 'PK-20686', SYSDATE, 0, 'PK-20686', SYSDATE, 'Estrada  do Sumidouro  Bonfim', 'Estrada do Sumidouro Bonfim', ' Bonfim', 'Estrada', '3508405', 'Estrada do Sumidouro Bonfim',' Bonfim', '1', 'SP', '1', '-23291046', '-47054663', ' Bonfim' </v>
      </c>
    </row>
    <row r="288" ht="15.75" customHeight="1">
      <c r="A288" s="4" t="s">
        <v>903</v>
      </c>
      <c r="B288" s="5" t="s">
        <v>223</v>
      </c>
      <c r="C288" s="4" t="s">
        <v>10</v>
      </c>
      <c r="D288" s="5" t="s">
        <v>904</v>
      </c>
      <c r="E288" s="6">
        <v>214.0</v>
      </c>
      <c r="F288" s="6" t="s">
        <v>12</v>
      </c>
      <c r="G288" s="3" t="s">
        <v>13</v>
      </c>
      <c r="H288" s="7" t="str">
        <f>IFERROR(__xludf.DUMMYFUNCTION("SPLIT(A286,""Rua"","""")"),"       Hematita")</f>
        <v>       Hematita</v>
      </c>
      <c r="J288" s="3" t="s">
        <v>905</v>
      </c>
      <c r="K288" s="8" t="str">
        <f>IFERROR(__xludf.DUMMYFUNCTION("SPLIT($J288,""   "","""")"),"-23.268579 -47.064532")</f>
        <v>-23.268579 -47.064532</v>
      </c>
      <c r="L288" s="7" t="str">
        <f>IFERROR(__xludf.DUMMYFUNCTION("""COMPUTED_VALUE"""),"Rua")</f>
        <v>Rua</v>
      </c>
      <c r="M288" s="7" t="str">
        <f>IFERROR(__xludf.DUMMYFUNCTION("""COMPUTED_VALUE""")," Barcelona")</f>
        <v> Barcelona</v>
      </c>
      <c r="N288" s="7" t="str">
        <f>IFERROR(__xludf.DUMMYFUNCTION("""COMPUTED_VALUE""")," Ambrósio Castalde Neto (Vilarejo)")</f>
        <v> Ambrósio Castalde Neto (Vilarejo)</v>
      </c>
      <c r="O288" s="7" t="str">
        <f>IFERROR(__xludf.DUMMYFUNCTION("""COMPUTED_VALUE""")," Cabreúva")</f>
        <v> Cabreúva</v>
      </c>
      <c r="P288" s="7" t="str">
        <f>IFERROR(__xludf.DUMMYFUNCTION("""COMPUTED_VALUE"""),"SP")</f>
        <v>SP</v>
      </c>
      <c r="Q288" s="7" t="str">
        <f>IFERROR(__xludf.DUMMYFUNCTION("""COMPUTED_VALUE""")," 13317-602 ")</f>
        <v> 13317-602 </v>
      </c>
      <c r="R288" s="9">
        <f>IFERROR(__xludf.DUMMYFUNCTION("SPLIT($K288,"" "","""")"),-2.3268579E7)</f>
        <v>-23268579</v>
      </c>
      <c r="S288" s="9">
        <f>IFERROR(__xludf.DUMMYFUNCTION("""COMPUTED_VALUE"""),-4.7064532E7)</f>
        <v>-47064532</v>
      </c>
      <c r="T288" s="10">
        <v>3508405.0</v>
      </c>
      <c r="U28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13317-602 ', 'PK-20686', SYSDATE, 0, 'PK-20686', SYSDATE, 'Rua  Barcelona  Ambrósio Castalde Neto (Vilarejo)', 'Rua Barcelona Ambrósio Castalde Neto (Vilarejo)', ' Ambrósio Castalde Neto (Vilarejo)', 'Rua', '3508405', 'Rua Barcelona Ambrósio Castalde Neto (Vilarejo)',' Ambrósio Castalde Neto (Vilarejo)', '1', 'SP', '1', '-23268579', '-47064532', ' Ambrósio Castalde Neto (Vilarejo)' </v>
      </c>
    </row>
    <row r="289" ht="15.75" hidden="1" customHeight="1">
      <c r="A289" s="4" t="s">
        <v>906</v>
      </c>
      <c r="B289" s="5" t="s">
        <v>24</v>
      </c>
      <c r="C289" s="4" t="s">
        <v>10</v>
      </c>
      <c r="D289" s="5" t="s">
        <v>907</v>
      </c>
      <c r="E289" s="6">
        <v>214.0</v>
      </c>
      <c r="F289" s="6" t="s">
        <v>12</v>
      </c>
      <c r="G289" s="3" t="s">
        <v>13</v>
      </c>
      <c r="H289" s="7" t="str">
        <f>IFERROR(__xludf.DUMMYFUNCTION("SPLIT(A287,""Rua"","""")"),"       Holanda")</f>
        <v>       Holanda</v>
      </c>
      <c r="J289" s="3" t="s">
        <v>908</v>
      </c>
      <c r="K289" s="8" t="str">
        <f>IFERROR(__xludf.DUMMYFUNCTION("SPLIT($J289,""   "","""")"),"-23.245245 -47.050782")</f>
        <v>-23.245245 -47.050782</v>
      </c>
      <c r="L289" s="7" t="str">
        <f>IFERROR(__xludf.DUMMYFUNCTION("""COMPUTED_VALUE"""),"Avenida")</f>
        <v>Avenida</v>
      </c>
      <c r="M289" s="7" t="str">
        <f>IFERROR(__xludf.DUMMYFUNCTION("""COMPUTED_VALUE""")," Benedito Bicudo Galvão")</f>
        <v> Benedito Bicudo Galvão</v>
      </c>
      <c r="N289" s="7" t="str">
        <f>IFERROR(__xludf.DUMMYFUNCTION("""COMPUTED_VALUE""")," CECOM (Jacaré)")</f>
        <v> CECOM (Jacaré)</v>
      </c>
      <c r="O289" s="7" t="str">
        <f>IFERROR(__xludf.DUMMYFUNCTION("""COMPUTED_VALUE""")," Cabreúva")</f>
        <v> Cabreúva</v>
      </c>
      <c r="P289" s="7" t="str">
        <f>IFERROR(__xludf.DUMMYFUNCTION("""COMPUTED_VALUE"""),"SP")</f>
        <v>SP</v>
      </c>
      <c r="Q289" s="7" t="str">
        <f>IFERROR(__xludf.DUMMYFUNCTION("""COMPUTED_VALUE""")," 13318-354 ")</f>
        <v> 13318-354 </v>
      </c>
      <c r="R289" s="9">
        <f>IFERROR(__xludf.DUMMYFUNCTION("SPLIT($K289,"" "","""")"),-2.3245245E7)</f>
        <v>-23245245</v>
      </c>
      <c r="S289" s="9">
        <f>IFERROR(__xludf.DUMMYFUNCTION("""COMPUTED_VALUE"""),-4.7050782E7)</f>
        <v>-47050782</v>
      </c>
      <c r="T289" s="10">
        <v>3508405.0</v>
      </c>
      <c r="U28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13318-354 ', 'PK-20686', SYSDATE, 0, 'PK-20686', SYSDATE, 'Avenida  Benedito Bicudo Galvão  CECOM (Jacaré)', 'Avenida Benedito Bicudo Galvão CECOM (Jacaré)', ' CECOM (Jacaré)', 'Avenida', '3508405', 'Avenida Benedito Bicudo Galvão CECOM (Jacaré)',' CECOM (Jacaré)', '1', 'SP', '1', '-23245245', '-47050782', ' CECOM (Jacaré)' </v>
      </c>
    </row>
    <row r="290" ht="15.75" customHeight="1">
      <c r="A290" s="4" t="s">
        <v>909</v>
      </c>
      <c r="B290" s="5" t="s">
        <v>160</v>
      </c>
      <c r="C290" s="4" t="s">
        <v>10</v>
      </c>
      <c r="D290" s="5" t="s">
        <v>910</v>
      </c>
      <c r="E290" s="6">
        <v>214.0</v>
      </c>
      <c r="F290" s="6" t="s">
        <v>12</v>
      </c>
      <c r="G290" s="3" t="s">
        <v>13</v>
      </c>
      <c r="H290" s="7" t="str">
        <f>IFERROR(__xludf.DUMMYFUNCTION("SPLIT(A288,""Rua"","""")"),"       Humberto Donatti")</f>
        <v>       Humberto Donatti</v>
      </c>
      <c r="J290" s="3" t="s">
        <v>911</v>
      </c>
      <c r="K290" s="8" t="str">
        <f>IFERROR(__xludf.DUMMYFUNCTION("SPLIT($J290,""   "","""")"),"-23.246052 -47.057515")</f>
        <v>-23.246052 -47.057515</v>
      </c>
      <c r="L290" s="7" t="str">
        <f>IFERROR(__xludf.DUMMYFUNCTION("""COMPUTED_VALUE"""),"Rua")</f>
        <v>Rua</v>
      </c>
      <c r="M290" s="7" t="str">
        <f>IFERROR(__xludf.DUMMYFUNCTION("""COMPUTED_VALUE""")," Antonio Furquim")</f>
        <v> Antonio Furquim</v>
      </c>
      <c r="N290" s="7" t="str">
        <f>IFERROR(__xludf.DUMMYFUNCTION("""COMPUTED_VALUE""")," Jacaré")</f>
        <v> Jacaré</v>
      </c>
      <c r="O290" s="7" t="str">
        <f>IFERROR(__xludf.DUMMYFUNCTION("""COMPUTED_VALUE""")," Cabreúva")</f>
        <v> Cabreúva</v>
      </c>
      <c r="P290" s="7" t="str">
        <f>IFERROR(__xludf.DUMMYFUNCTION("""COMPUTED_VALUE"""),"SP")</f>
        <v>SP</v>
      </c>
      <c r="Q290" s="7" t="str">
        <f>IFERROR(__xludf.DUMMYFUNCTION("""COMPUTED_VALUE""")," 13318-108 ")</f>
        <v> 13318-108 </v>
      </c>
      <c r="R290" s="9">
        <f>IFERROR(__xludf.DUMMYFUNCTION("SPLIT($K290,"" "","""")"),-2.3246052E7)</f>
        <v>-23246052</v>
      </c>
      <c r="S290" s="9">
        <f>IFERROR(__xludf.DUMMYFUNCTION("""COMPUTED_VALUE"""),-4.7057515E7)</f>
        <v>-47057515</v>
      </c>
      <c r="T290" s="10">
        <v>3508405.0</v>
      </c>
      <c r="U29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13318-108 ', 'PK-20686', SYSDATE, 0, 'PK-20686', SYSDATE, 'Rua  Antonio Furquim  Jacaré', 'Rua Antonio Furquim Jacaré', ' Jacaré', 'Rua', '3508405', 'Rua Antonio Furquim Jacaré',' Jacaré', '1', 'SP', '1', '-23246052', '-47057515', ' Jacaré' </v>
      </c>
    </row>
    <row r="291" ht="15.75" customHeight="1">
      <c r="A291" s="4" t="s">
        <v>912</v>
      </c>
      <c r="B291" s="5" t="s">
        <v>368</v>
      </c>
      <c r="C291" s="4" t="s">
        <v>10</v>
      </c>
      <c r="D291" s="5" t="s">
        <v>913</v>
      </c>
      <c r="E291" s="6">
        <v>214.0</v>
      </c>
      <c r="F291" s="6" t="s">
        <v>12</v>
      </c>
      <c r="G291" s="3" t="s">
        <v>13</v>
      </c>
      <c r="H291" s="7" t="str">
        <f>IFERROR(__xludf.DUMMYFUNCTION("SPLIT(A289,""Rua"","""")"),"       Humberto Pelegrini")</f>
        <v>       Humberto Pelegrini</v>
      </c>
      <c r="J291" s="3" t="s">
        <v>914</v>
      </c>
      <c r="K291" s="8" t="str">
        <f>IFERROR(__xludf.DUMMYFUNCTION("SPLIT($J291,""   "","""")"),"-23.307366 -47.133678")</f>
        <v>-23.307366 -47.133678</v>
      </c>
      <c r="L291" s="7" t="str">
        <f>IFERROR(__xludf.DUMMYFUNCTION("""COMPUTED_VALUE"""),"Rua")</f>
        <v>Rua</v>
      </c>
      <c r="M291" s="7" t="str">
        <f>IFERROR(__xludf.DUMMYFUNCTION("""COMPUTED_VALUE""")," Holanda")</f>
        <v> Holanda</v>
      </c>
      <c r="N291" s="7" t="str">
        <f>IFERROR(__xludf.DUMMYFUNCTION("""COMPUTED_VALUE""")," Villarejo Sopé da Serra (Vilarejo)")</f>
        <v> Villarejo Sopé da Serra (Vilarejo)</v>
      </c>
      <c r="O291" s="7" t="str">
        <f>IFERROR(__xludf.DUMMYFUNCTION("""COMPUTED_VALUE""")," Cabreúva")</f>
        <v> Cabreúva</v>
      </c>
      <c r="P291" s="7" t="str">
        <f>IFERROR(__xludf.DUMMYFUNCTION("""COMPUTED_VALUE"""),"SP")</f>
        <v>SP</v>
      </c>
      <c r="Q291" s="7" t="str">
        <f>IFERROR(__xludf.DUMMYFUNCTION("""COMPUTED_VALUE""")," 13317-662 ")</f>
        <v> 13317-662 </v>
      </c>
      <c r="R291" s="9">
        <f>IFERROR(__xludf.DUMMYFUNCTION("SPLIT($K291,"" "","""")"),-2.3307366E7)</f>
        <v>-23307366</v>
      </c>
      <c r="S291" s="9">
        <f>IFERROR(__xludf.DUMMYFUNCTION("""COMPUTED_VALUE"""),-4.7133678E7)</f>
        <v>-47133678</v>
      </c>
      <c r="T291" s="10">
        <v>3508405.0</v>
      </c>
      <c r="U29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13317-662 ', 'PK-20686', SYSDATE, 0, 'PK-20686', SYSDATE, 'Rua  Holanda  Villarejo Sopé da Serra (Vilarejo)', 'Rua Holanda Villarejo Sopé da Serra (Vilarejo)', ' Villarejo Sopé da Serra (Vilarejo)', 'Rua', '3508405', 'Rua Holanda Villarejo Sopé da Serra (Vilarejo)',' Villarejo Sopé da Serra (Vilarejo)', '1', 'SP', '1', '-23307366', '-47133678', ' Villarejo Sopé da Serra (Vilarejo)' </v>
      </c>
    </row>
    <row r="292" ht="15.75" customHeight="1">
      <c r="A292" s="4" t="s">
        <v>915</v>
      </c>
      <c r="B292" s="5" t="s">
        <v>476</v>
      </c>
      <c r="C292" s="4" t="s">
        <v>10</v>
      </c>
      <c r="D292" s="5" t="s">
        <v>916</v>
      </c>
      <c r="E292" s="6">
        <v>214.0</v>
      </c>
      <c r="F292" s="6" t="s">
        <v>12</v>
      </c>
      <c r="G292" s="3" t="s">
        <v>13</v>
      </c>
      <c r="H292" s="7" t="str">
        <f>IFERROR(__xludf.DUMMYFUNCTION("SPLIT(A290,""Rua"","""")"),"       Hungria")</f>
        <v>       Hungria</v>
      </c>
      <c r="J292" s="3" t="s">
        <v>917</v>
      </c>
      <c r="K292" s="8" t="str">
        <f>IFERROR(__xludf.DUMMYFUNCTION("SPLIT($J292,""   "","""")"),"-23.307366 -47.133678")</f>
        <v>-23.307366 -47.133678</v>
      </c>
      <c r="L292" s="7" t="str">
        <f>IFERROR(__xludf.DUMMYFUNCTION("""COMPUTED_VALUE"""),"Rua")</f>
        <v>Rua</v>
      </c>
      <c r="M292" s="7" t="str">
        <f>IFERROR(__xludf.DUMMYFUNCTION("""COMPUTED_VALUE""")," Kuwait")</f>
        <v> Kuwait</v>
      </c>
      <c r="N292" s="7" t="str">
        <f>IFERROR(__xludf.DUMMYFUNCTION("""COMPUTED_VALUE""")," Villarejo Sopé da Serra (Vilarejo)")</f>
        <v> Villarejo Sopé da Serra (Vilarejo)</v>
      </c>
      <c r="O292" s="7" t="str">
        <f>IFERROR(__xludf.DUMMYFUNCTION("""COMPUTED_VALUE""")," Cabreúva")</f>
        <v> Cabreúva</v>
      </c>
      <c r="P292" s="7" t="str">
        <f>IFERROR(__xludf.DUMMYFUNCTION("""COMPUTED_VALUE"""),"SP")</f>
        <v>SP</v>
      </c>
      <c r="Q292" s="7" t="str">
        <f>IFERROR(__xludf.DUMMYFUNCTION("""COMPUTED_VALUE""")," 13317-692 ")</f>
        <v> 13317-692 </v>
      </c>
      <c r="R292" s="9">
        <f>IFERROR(__xludf.DUMMYFUNCTION("SPLIT($K292,"" "","""")"),-2.3307366E7)</f>
        <v>-23307366</v>
      </c>
      <c r="S292" s="9">
        <f>IFERROR(__xludf.DUMMYFUNCTION("""COMPUTED_VALUE"""),-4.7133678E7)</f>
        <v>-47133678</v>
      </c>
      <c r="T292" s="10">
        <v>3508405.0</v>
      </c>
      <c r="U29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13317-692 ', 'PK-20686', SYSDATE, 0, 'PK-20686', SYSDATE, 'Rua  Kuwait  Villarejo Sopé da Serra (Vilarejo)', 'Rua Kuwait Villarejo Sopé da Serra (Vilarejo)', ' Villarejo Sopé da Serra (Vilarejo)', 'Rua', '3508405', 'Rua Kuwait Villarejo Sopé da Serra (Vilarejo)',' Villarejo Sopé da Serra (Vilarejo)', '1', 'SP', '1', '-23307366', '-47133678', ' Villarejo Sopé da Serra (Vilarejo)' </v>
      </c>
    </row>
    <row r="293" ht="15.75" hidden="1" customHeight="1">
      <c r="A293" s="4" t="s">
        <v>918</v>
      </c>
      <c r="B293" s="5" t="s">
        <v>212</v>
      </c>
      <c r="C293" s="4" t="s">
        <v>10</v>
      </c>
      <c r="D293" s="5" t="s">
        <v>919</v>
      </c>
      <c r="E293" s="6">
        <v>214.0</v>
      </c>
      <c r="F293" s="6" t="s">
        <v>12</v>
      </c>
      <c r="G293" s="3" t="s">
        <v>13</v>
      </c>
      <c r="H293" s="7" t="str">
        <f>IFERROR(__xludf.DUMMYFUNCTION("SPLIT(A291,""Rua"","""")"),"       I")</f>
        <v>       I</v>
      </c>
      <c r="J293" s="3" t="s">
        <v>920</v>
      </c>
      <c r="K293" s="8" t="str">
        <f>IFERROR(__xludf.DUMMYFUNCTION("SPLIT($J293,""   "","""")"),"-23.287089 -47.05739")</f>
        <v>-23.287089 -47.05739</v>
      </c>
      <c r="L293" s="7" t="str">
        <f>IFERROR(__xludf.DUMMYFUNCTION("""COMPUTED_VALUE"""),"RodoVia")</f>
        <v>RodoVia</v>
      </c>
      <c r="M293" s="7" t="str">
        <f>IFERROR(__xludf.DUMMYFUNCTION("""COMPUTED_VALUE""")," Prefeito João Zacchi")</f>
        <v> Prefeito João Zacchi</v>
      </c>
      <c r="N293" s="7" t="str">
        <f>IFERROR(__xludf.DUMMYFUNCTION("""COMPUTED_VALUE""")," Bonfim")</f>
        <v> Bonfim</v>
      </c>
      <c r="O293" s="7" t="str">
        <f>IFERROR(__xludf.DUMMYFUNCTION("""COMPUTED_VALUE""")," Cabreúva")</f>
        <v> Cabreúva</v>
      </c>
      <c r="P293" s="7" t="str">
        <f>IFERROR(__xludf.DUMMYFUNCTION("""COMPUTED_VALUE"""),"SP")</f>
        <v>SP</v>
      </c>
      <c r="Q293" s="7" t="str">
        <f>IFERROR(__xludf.DUMMYFUNCTION("""COMPUTED_VALUE""")," 13319-016 ")</f>
        <v> 13319-016 </v>
      </c>
      <c r="R293" s="9">
        <f>IFERROR(__xludf.DUMMYFUNCTION("SPLIT($K293,"" "","""")"),-2.3287089E7)</f>
        <v>-23287089</v>
      </c>
      <c r="S293" s="9">
        <f>IFERROR(__xludf.DUMMYFUNCTION("""COMPUTED_VALUE"""),-4705739.0)</f>
        <v>-4705739</v>
      </c>
      <c r="T293" s="10">
        <v>3508405.0</v>
      </c>
      <c r="U29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13319-016 ', 'PK-20686', SYSDATE, 0, 'PK-20686', SYSDATE, 'RodoVia  Prefeito João Zacchi  Bonfim', 'RodoVia Prefeito João Zacchi Bonfim', ' Bonfim', 'RodoVia', '3508405', 'RodoVia Prefeito João Zacchi Bonfim',' Bonfim', '1', 'SP', '1', '-23287089', '-4705739', ' Bonfim' </v>
      </c>
    </row>
    <row r="294" ht="15.75" hidden="1" customHeight="1">
      <c r="A294" s="4" t="s">
        <v>921</v>
      </c>
      <c r="B294" s="5" t="s">
        <v>160</v>
      </c>
      <c r="C294" s="4" t="s">
        <v>10</v>
      </c>
      <c r="D294" s="5" t="s">
        <v>922</v>
      </c>
      <c r="E294" s="6">
        <v>214.0</v>
      </c>
      <c r="F294" s="6" t="s">
        <v>12</v>
      </c>
      <c r="G294" s="3" t="s">
        <v>13</v>
      </c>
      <c r="H294" s="7" t="str">
        <f>IFERROR(__xludf.DUMMYFUNCTION("SPLIT(A292,""Rua"","""")"),"       Idalina Russo Câmara")</f>
        <v>       Idalina Russo Câmara</v>
      </c>
      <c r="J294" s="3" t="s">
        <v>923</v>
      </c>
      <c r="K294" s="8" t="str">
        <f>IFERROR(__xludf.DUMMYFUNCTION("SPLIT($J294,""   "","""")"),"-23.289426 -47.088971")</f>
        <v>-23.289426 -47.088971</v>
      </c>
      <c r="L294" s="7" t="str">
        <f>IFERROR(__xludf.DUMMYFUNCTION("""COMPUTED_VALUE"""),"RodoVia")</f>
        <v>RodoVia</v>
      </c>
      <c r="M294" s="7" t="str">
        <f>IFERROR(__xludf.DUMMYFUNCTION("""COMPUTED_VALUE""")," Prefeito João Zacchi")</f>
        <v> Prefeito João Zacchi</v>
      </c>
      <c r="N294" s="7" t="str">
        <f>IFERROR(__xludf.DUMMYFUNCTION("""COMPUTED_VALUE""")," Caí")</f>
        <v> Caí</v>
      </c>
      <c r="O294" s="7" t="str">
        <f>IFERROR(__xludf.DUMMYFUNCTION("""COMPUTED_VALUE""")," Cabreúva")</f>
        <v> Cabreúva</v>
      </c>
      <c r="P294" s="7" t="str">
        <f>IFERROR(__xludf.DUMMYFUNCTION("""COMPUTED_VALUE"""),"SP")</f>
        <v>SP</v>
      </c>
      <c r="Q294" s="7" t="str">
        <f>IFERROR(__xludf.DUMMYFUNCTION("""COMPUTED_VALUE""")," 13317-000 ")</f>
        <v> 13317-000 </v>
      </c>
      <c r="R294" s="9">
        <f>IFERROR(__xludf.DUMMYFUNCTION("SPLIT($K294,"" "","""")"),-2.3289426E7)</f>
        <v>-23289426</v>
      </c>
      <c r="S294" s="9">
        <f>IFERROR(__xludf.DUMMYFUNCTION("""COMPUTED_VALUE"""),-4.7088971E7)</f>
        <v>-47088971</v>
      </c>
      <c r="T294" s="10">
        <v>3508405.0</v>
      </c>
      <c r="U29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13317-000 ', 'PK-20686', SYSDATE, 0, 'PK-20686', SYSDATE, 'RodoVia  Prefeito João Zacchi  Caí', 'RodoVia Prefeito João Zacchi Caí', ' Caí', 'RodoVia', '3508405', 'RodoVia Prefeito João Zacchi Caí',' Caí', '1', 'SP', '1', '-23289426', '-47088971', ' Caí' </v>
      </c>
    </row>
    <row r="295" ht="15.75" hidden="1" customHeight="1">
      <c r="A295" s="4" t="s">
        <v>924</v>
      </c>
      <c r="B295" s="5" t="s">
        <v>160</v>
      </c>
      <c r="C295" s="4" t="s">
        <v>10</v>
      </c>
      <c r="D295" s="5" t="s">
        <v>925</v>
      </c>
      <c r="E295" s="6">
        <v>214.0</v>
      </c>
      <c r="F295" s="6" t="s">
        <v>12</v>
      </c>
      <c r="G295" s="3" t="s">
        <v>13</v>
      </c>
      <c r="H295" s="7" t="str">
        <f>IFERROR(__xludf.DUMMYFUNCTION("SPLIT(A293,""Rua"","""")"),"       Imbuia")</f>
        <v>       Imbuia</v>
      </c>
      <c r="J295" s="3" t="s">
        <v>926</v>
      </c>
      <c r="K295" s="8" t="str">
        <f>IFERROR(__xludf.DUMMYFUNCTION("SPLIT($J295,""   "","""")"),"-23.259822 -47.056104")</f>
        <v>-23.259822 -47.056104</v>
      </c>
      <c r="L295" s="7" t="str">
        <f>IFERROR(__xludf.DUMMYFUNCTION("""COMPUTED_VALUE"""),"Avenida")</f>
        <v>Avenida</v>
      </c>
      <c r="M295" s="7" t="str">
        <f>IFERROR(__xludf.DUMMYFUNCTION("""COMPUTED_VALUE""")," Vereador José Donato")</f>
        <v> Vereador José Donato</v>
      </c>
      <c r="N295" s="7" t="str">
        <f>IFERROR(__xludf.DUMMYFUNCTION("""COMPUTED_VALUE""")," Jacaré")</f>
        <v> Jacaré</v>
      </c>
      <c r="O295" s="7" t="str">
        <f>IFERROR(__xludf.DUMMYFUNCTION("""COMPUTED_VALUE""")," Cabreúva")</f>
        <v> Cabreúva</v>
      </c>
      <c r="P295" s="7" t="str">
        <f>IFERROR(__xludf.DUMMYFUNCTION("""COMPUTED_VALUE"""),"SP")</f>
        <v>SP</v>
      </c>
      <c r="Q295" s="7" t="str">
        <f>IFERROR(__xludf.DUMMYFUNCTION("""COMPUTED_VALUE""")," 13318-112 ")</f>
        <v> 13318-112 </v>
      </c>
      <c r="R295" s="9">
        <f>IFERROR(__xludf.DUMMYFUNCTION("SPLIT($K295,"" "","""")"),-2.3259822E7)</f>
        <v>-23259822</v>
      </c>
      <c r="S295" s="9">
        <f>IFERROR(__xludf.DUMMYFUNCTION("""COMPUTED_VALUE"""),-4.7056104E7)</f>
        <v>-47056104</v>
      </c>
      <c r="T295" s="10">
        <v>3508405.0</v>
      </c>
      <c r="U29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13318-112 ', 'PK-20686', SYSDATE, 0, 'PK-20686', SYSDATE, 'Avenida  Vereador José Donato  Jacaré', 'Avenida Vereador José Donato Jacaré', ' Jacaré', 'Avenida', '3508405', 'Avenida Vereador José Donato Jacaré',' Jacaré', '1', 'SP', '1', '-23259822', '-47056104', ' Jacaré' </v>
      </c>
    </row>
    <row r="296" ht="15.75" customHeight="1">
      <c r="A296" s="4" t="s">
        <v>927</v>
      </c>
      <c r="B296" s="5" t="s">
        <v>160</v>
      </c>
      <c r="C296" s="4" t="s">
        <v>10</v>
      </c>
      <c r="D296" s="5" t="s">
        <v>928</v>
      </c>
      <c r="E296" s="6">
        <v>214.0</v>
      </c>
      <c r="F296" s="6" t="s">
        <v>12</v>
      </c>
      <c r="G296" s="3" t="s">
        <v>13</v>
      </c>
      <c r="H296" s="7" t="str">
        <f>IFERROR(__xludf.DUMMYFUNCTION("SPLIT(A294,""Rua"","""")"),"       Índia")</f>
        <v>       Índia</v>
      </c>
      <c r="J296" s="3" t="s">
        <v>929</v>
      </c>
      <c r="K296" s="8" t="str">
        <f>IFERROR(__xludf.DUMMYFUNCTION("SPLIT($J296,""   "","""")"),"-23.307019 -47.136822")</f>
        <v>-23.307019 -47.136822</v>
      </c>
      <c r="L296" s="7" t="str">
        <f>IFERROR(__xludf.DUMMYFUNCTION("""COMPUTED_VALUE"""),"Rua")</f>
        <v>Rua</v>
      </c>
      <c r="M296" s="7" t="str">
        <f>IFERROR(__xludf.DUMMYFUNCTION("""COMPUTED_VALUE""")," Pedro Singulani")</f>
        <v> Pedro Singulani</v>
      </c>
      <c r="N296" s="7" t="str">
        <f>IFERROR(__xludf.DUMMYFUNCTION("""COMPUTED_VALUE""")," Jardim Alice (Centro)")</f>
        <v> Jardim Alice (Centro)</v>
      </c>
      <c r="O296" s="7" t="str">
        <f>IFERROR(__xludf.DUMMYFUNCTION("""COMPUTED_VALUE""")," Cabreúva")</f>
        <v> Cabreúva</v>
      </c>
      <c r="P296" s="7" t="str">
        <f>IFERROR(__xludf.DUMMYFUNCTION("""COMPUTED_VALUE"""),"SP")</f>
        <v>SP</v>
      </c>
      <c r="Q296" s="7" t="str">
        <f>IFERROR(__xludf.DUMMYFUNCTION("""COMPUTED_VALUE""")," 13315-178 ")</f>
        <v> 13315-178 </v>
      </c>
      <c r="R296" s="9">
        <f>IFERROR(__xludf.DUMMYFUNCTION("SPLIT($K296,"" "","""")"),-2.3307019E7)</f>
        <v>-23307019</v>
      </c>
      <c r="S296" s="9">
        <f>IFERROR(__xludf.DUMMYFUNCTION("""COMPUTED_VALUE"""),-4.7136822E7)</f>
        <v>-47136822</v>
      </c>
      <c r="T296" s="10">
        <v>3508405.0</v>
      </c>
      <c r="U29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13315-178 ', 'PK-20686', SYSDATE, 0, 'PK-20686', SYSDATE, 'Rua  Pedro Singulani  Jardim Alice (Centro)', 'Rua Pedro Singulani Jardim Alice (Centro)', ' Jardim Alice (Centro)', 'Rua', '3508405', 'Rua Pedro Singulani Jardim Alice (Centro)',' Jardim Alice (Centro)', '1', 'SP', '1', '-23307019', '-47136822', ' Jardim Alice (Centro)' </v>
      </c>
    </row>
    <row r="297" ht="15.75" customHeight="1">
      <c r="A297" s="12" t="s">
        <v>930</v>
      </c>
      <c r="B297" s="13" t="s">
        <v>24</v>
      </c>
      <c r="C297" s="4" t="s">
        <v>10</v>
      </c>
      <c r="D297" s="13" t="s">
        <v>931</v>
      </c>
      <c r="E297" s="6">
        <v>214.0</v>
      </c>
      <c r="F297" s="6" t="s">
        <v>12</v>
      </c>
      <c r="G297" s="3" t="s">
        <v>13</v>
      </c>
      <c r="H297" s="7" t="str">
        <f>IFERROR(__xludf.DUMMYFUNCTION("SPLIT(A295,""Rua"","""")"),"       Indonésia")</f>
        <v>       Indonésia</v>
      </c>
      <c r="J297" s="3" t="s">
        <v>932</v>
      </c>
      <c r="K297" s="8" t="str">
        <f>IFERROR(__xludf.DUMMYFUNCTION("SPLIT($J297,""   "","""")"),"-23.260403 -47.050694")</f>
        <v>-23.260403 -47.050694</v>
      </c>
      <c r="L297" s="7" t="str">
        <f>IFERROR(__xludf.DUMMYFUNCTION("""COMPUTED_VALUE"""),"Rua")</f>
        <v>Rua</v>
      </c>
      <c r="M297" s="7" t="str">
        <f>IFERROR(__xludf.DUMMYFUNCTION("""COMPUTED_VALUE""")," Quartzo")</f>
        <v> Quartzo</v>
      </c>
      <c r="N297" s="7" t="str">
        <f>IFERROR(__xludf.DUMMYFUNCTION("""COMPUTED_VALUE""")," Jardim Colina da Serra II (Jacaré)")</f>
        <v> Jardim Colina da Serra II (Jacaré)</v>
      </c>
      <c r="O297" s="7" t="str">
        <f>IFERROR(__xludf.DUMMYFUNCTION("""COMPUTED_VALUE""")," Cabreúva")</f>
        <v> Cabreúva</v>
      </c>
      <c r="P297" s="7" t="str">
        <f>IFERROR(__xludf.DUMMYFUNCTION("""COMPUTED_VALUE"""),"SP")</f>
        <v>SP</v>
      </c>
      <c r="Q297" s="7" t="str">
        <f>IFERROR(__xludf.DUMMYFUNCTION("""COMPUTED_VALUE""")," 13318-260 ")</f>
        <v> 13318-260 </v>
      </c>
      <c r="R297" s="9">
        <f>IFERROR(__xludf.DUMMYFUNCTION("SPLIT($K297,"" "","""")"),-2.3260403E7)</f>
        <v>-23260403</v>
      </c>
      <c r="S297" s="9">
        <f>IFERROR(__xludf.DUMMYFUNCTION("""COMPUTED_VALUE"""),-4.7050694E7)</f>
        <v>-47050694</v>
      </c>
      <c r="T297" s="10">
        <v>3508405.0</v>
      </c>
      <c r="U29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13318-260 ', 'PK-20686', SYSDATE, 0, 'PK-20686', SYSDATE, 'Rua  Quartzo  Jardim Colina da Serra II (Jacaré)', 'Rua Quartzo Jardim Colina da Serra II (Jacaré)', ' Jardim Colina da Serra II (Jacaré)', 'Rua', '3508405', 'Rua Quartzo Jardim Colina da Serra II (Jacaré)',' Jardim Colina da Serra II (Jacaré)', '1', 'SP', '1', '-23260403', '-47050694', ' Jardim Colina da Serra II (Jacaré)' </v>
      </c>
    </row>
    <row r="298" ht="15.75" customHeight="1">
      <c r="A298" s="4" t="s">
        <v>933</v>
      </c>
      <c r="B298" s="5" t="s">
        <v>413</v>
      </c>
      <c r="C298" s="4" t="s">
        <v>10</v>
      </c>
      <c r="D298" s="5" t="s">
        <v>934</v>
      </c>
      <c r="E298" s="6">
        <v>214.0</v>
      </c>
      <c r="F298" s="6" t="s">
        <v>12</v>
      </c>
      <c r="G298" s="3" t="s">
        <v>13</v>
      </c>
      <c r="H298" s="7" t="str">
        <f>IFERROR(__xludf.DUMMYFUNCTION("SPLIT(A296,""Rua"","""")"),"       Inglaterra")</f>
        <v>       Inglaterra</v>
      </c>
      <c r="J298" s="3" t="s">
        <v>935</v>
      </c>
      <c r="K298" s="8" t="str">
        <f>IFERROR(__xludf.DUMMYFUNCTION("SPLIT($J298,""   "","""")"),"-23.307366 -47.133678")</f>
        <v>-23.307366 -47.133678</v>
      </c>
      <c r="L298" s="7" t="str">
        <f>IFERROR(__xludf.DUMMYFUNCTION("""COMPUTED_VALUE"""),"Rua")</f>
        <v>Rua</v>
      </c>
      <c r="M298" s="7" t="str">
        <f>IFERROR(__xludf.DUMMYFUNCTION("""COMPUTED_VALUE""")," Oito")</f>
        <v> Oito</v>
      </c>
      <c r="N298" s="7" t="str">
        <f>IFERROR(__xludf.DUMMYFUNCTION("""COMPUTED_VALUE""")," Alpes do Tietê")</f>
        <v> Alpes do Tietê</v>
      </c>
      <c r="O298" s="7" t="str">
        <f>IFERROR(__xludf.DUMMYFUNCTION("""COMPUTED_VALUE""")," Cabreúva")</f>
        <v> Cabreúva</v>
      </c>
      <c r="P298" s="7" t="str">
        <f>IFERROR(__xludf.DUMMYFUNCTION("""COMPUTED_VALUE"""),"SP")</f>
        <v>SP</v>
      </c>
      <c r="Q298" s="7" t="str">
        <f>IFERROR(__xludf.DUMMYFUNCTION("""COMPUTED_VALUE""")," 13316-607 ")</f>
        <v> 13316-607 </v>
      </c>
      <c r="R298" s="9">
        <f>IFERROR(__xludf.DUMMYFUNCTION("SPLIT($K298,"" "","""")"),-2.3307366E7)</f>
        <v>-23307366</v>
      </c>
      <c r="S298" s="9">
        <f>IFERROR(__xludf.DUMMYFUNCTION("""COMPUTED_VALUE"""),-4.7133678E7)</f>
        <v>-47133678</v>
      </c>
      <c r="T298" s="10">
        <v>3508405.0</v>
      </c>
      <c r="U29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13316-607 ', 'PK-20686', SYSDATE, 0, 'PK-20686', SYSDATE, 'Rua  Oito  Alpes do Tietê', 'Rua Oito Alpes do Tietê', ' Alpes do Tietê', 'Rua', '3508405', 'Rua Oito Alpes do Tietê',' Alpes do Tietê', '1', 'SP', '1', '-23307366', '-47133678', ' Alpes do Tietê' </v>
      </c>
    </row>
    <row r="299" ht="15.75" customHeight="1">
      <c r="A299" s="4" t="s">
        <v>936</v>
      </c>
      <c r="B299" s="5" t="s">
        <v>199</v>
      </c>
      <c r="C299" s="4" t="s">
        <v>10</v>
      </c>
      <c r="D299" s="5" t="s">
        <v>937</v>
      </c>
      <c r="E299" s="6">
        <v>214.0</v>
      </c>
      <c r="F299" s="6" t="s">
        <v>12</v>
      </c>
      <c r="G299" s="3" t="s">
        <v>13</v>
      </c>
      <c r="H299" s="7" t="str">
        <f>IFERROR(__xludf.DUMMYFUNCTION("SPLIT(A297,""Rua"","""")"),"       Intendente Manoel Gaspar de Abreu")</f>
        <v>       Intendente Manoel Gaspar de Abreu</v>
      </c>
      <c r="J299" s="3" t="s">
        <v>938</v>
      </c>
      <c r="K299" s="8" t="str">
        <f>IFERROR(__xludf.DUMMYFUNCTION("SPLIT($J299,""   "","""")"),"-23.256856 -47.091768")</f>
        <v>-23.256856 -47.091768</v>
      </c>
      <c r="L299" s="7" t="str">
        <f>IFERROR(__xludf.DUMMYFUNCTION("""COMPUTED_VALUE"""),"Rua")</f>
        <v>Rua</v>
      </c>
      <c r="M299" s="7" t="str">
        <f>IFERROR(__xludf.DUMMYFUNCTION("""COMPUTED_VALUE""")," das CotoVias")</f>
        <v> das CotoVias</v>
      </c>
      <c r="N299" s="7" t="str">
        <f>IFERROR(__xludf.DUMMYFUNCTION("""COMPUTED_VALUE""")," Chácaras do Pinhal (Pinhal)")</f>
        <v> Chácaras do Pinhal (Pinhal)</v>
      </c>
      <c r="O299" s="7" t="str">
        <f>IFERROR(__xludf.DUMMYFUNCTION("""COMPUTED_VALUE""")," Cabreúva")</f>
        <v> Cabreúva</v>
      </c>
      <c r="P299" s="7" t="str">
        <f>IFERROR(__xludf.DUMMYFUNCTION("""COMPUTED_VALUE"""),"SP")</f>
        <v>SP</v>
      </c>
      <c r="Q299" s="7" t="str">
        <f>IFERROR(__xludf.DUMMYFUNCTION("""COMPUTED_VALUE""")," 13317-238 ")</f>
        <v> 13317-238 </v>
      </c>
      <c r="R299" s="9">
        <f>IFERROR(__xludf.DUMMYFUNCTION("SPLIT($K299,"" "","""")"),-2.3256856E7)</f>
        <v>-23256856</v>
      </c>
      <c r="S299" s="9">
        <f>IFERROR(__xludf.DUMMYFUNCTION("""COMPUTED_VALUE"""),-4.7091768E7)</f>
        <v>-47091768</v>
      </c>
      <c r="T299" s="10">
        <v>3508405.0</v>
      </c>
      <c r="U29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13317-238 ', 'PK-20686', SYSDATE, 0, 'PK-20686', SYSDATE, 'Rua  das CotoVias  Chácaras do Pinhal (Pinhal)', 'Rua das CotoVias Chácaras do Pinhal (Pinhal)', ' Chácaras do Pinhal (Pinhal)', 'Rua', '3508405', 'Rua das CotoVias Chácaras do Pinhal (Pinhal)',' Chácaras do Pinhal (Pinhal)', '1', 'SP', '1', '-23256856', '-47091768', ' Chácaras do Pinhal (Pinhal)' </v>
      </c>
    </row>
    <row r="300" ht="15.75" hidden="1" customHeight="1">
      <c r="A300" s="4" t="s">
        <v>939</v>
      </c>
      <c r="B300" s="5" t="s">
        <v>216</v>
      </c>
      <c r="C300" s="4" t="s">
        <v>10</v>
      </c>
      <c r="D300" s="5" t="s">
        <v>940</v>
      </c>
      <c r="E300" s="6">
        <v>214.0</v>
      </c>
      <c r="F300" s="6" t="s">
        <v>12</v>
      </c>
      <c r="G300" s="3" t="s">
        <v>13</v>
      </c>
      <c r="H300" s="7" t="str">
        <f>IFERROR(__xludf.DUMMYFUNCTION("SPLIT(A298,""Rua"","""")"),"       Ipanema")</f>
        <v>       Ipanema</v>
      </c>
      <c r="J300" s="3" t="s">
        <v>941</v>
      </c>
      <c r="K300" s="8" t="str">
        <f>IFERROR(__xludf.DUMMYFUNCTION("SPLIT($J300,""   "","""")"),"-23.259822 -47.056104")</f>
        <v>-23.259822 -47.056104</v>
      </c>
      <c r="L300" s="7" t="str">
        <f>IFERROR(__xludf.DUMMYFUNCTION("""COMPUTED_VALUE"""),"Avenida")</f>
        <v>Avenida</v>
      </c>
      <c r="M300" s="7" t="str">
        <f>IFERROR(__xludf.DUMMYFUNCTION("""COMPUTED_VALUE""")," Vereador José Donato")</f>
        <v> Vereador José Donato</v>
      </c>
      <c r="N300" s="7" t="str">
        <f>IFERROR(__xludf.DUMMYFUNCTION("""COMPUTED_VALUE""")," 567AC Jacaré")</f>
        <v> 567AC Jacaré</v>
      </c>
      <c r="O300" s="7" t="str">
        <f>IFERROR(__xludf.DUMMYFUNCTION("""COMPUTED_VALUE""")," Cabreúva")</f>
        <v> Cabreúva</v>
      </c>
      <c r="P300" s="7" t="str">
        <f>IFERROR(__xludf.DUMMYFUNCTION("""COMPUTED_VALUE"""),"SP")</f>
        <v>SP</v>
      </c>
      <c r="Q300" s="7" t="str">
        <f>IFERROR(__xludf.DUMMYFUNCTION("""COMPUTED_VALUE""")," 13318-971 ")</f>
        <v> 13318-971 </v>
      </c>
      <c r="R300" s="9">
        <f>IFERROR(__xludf.DUMMYFUNCTION("SPLIT($K300,"" "","""")"),-2.3259822E7)</f>
        <v>-23259822</v>
      </c>
      <c r="S300" s="9">
        <f>IFERROR(__xludf.DUMMYFUNCTION("""COMPUTED_VALUE"""),-4.7056104E7)</f>
        <v>-47056104</v>
      </c>
      <c r="T300" s="10">
        <v>3508405.0</v>
      </c>
      <c r="U30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13318-971 ', 'PK-20686', SYSDATE, 0, 'PK-20686', SYSDATE, 'Avenida  Vereador José Donato  567AC Jacaré', 'Avenida Vereador José Donato 567AC Jacaré', ' 567AC Jacaré', 'Avenida', '3508405', 'Avenida Vereador José Donato 567AC Jacaré',' 567AC Jacaré', '1', 'SP', '1', '-23259822', '-47056104', ' 567AC Jacaré' </v>
      </c>
    </row>
    <row r="301" ht="15.75" customHeight="1">
      <c r="A301" s="4" t="s">
        <v>942</v>
      </c>
      <c r="B301" s="5" t="s">
        <v>160</v>
      </c>
      <c r="C301" s="4" t="s">
        <v>10</v>
      </c>
      <c r="D301" s="5" t="s">
        <v>943</v>
      </c>
      <c r="E301" s="6">
        <v>214.0</v>
      </c>
      <c r="F301" s="6" t="s">
        <v>12</v>
      </c>
      <c r="G301" s="3" t="s">
        <v>13</v>
      </c>
      <c r="H301" s="7" t="str">
        <f>IFERROR(__xludf.DUMMYFUNCTION("SPLIT(A299,""Rua"","""")"),"       Ipê")</f>
        <v>       Ipê</v>
      </c>
      <c r="J301" s="3" t="s">
        <v>944</v>
      </c>
      <c r="K301" s="8" t="str">
        <f>IFERROR(__xludf.DUMMYFUNCTION("SPLIT($J301,""   "","""")"),"-23.307366 -47.133678")</f>
        <v>-23.307366 -47.133678</v>
      </c>
      <c r="L301" s="7" t="str">
        <f>IFERROR(__xludf.DUMMYFUNCTION("""COMPUTED_VALUE"""),"Rua")</f>
        <v>Rua</v>
      </c>
      <c r="M301" s="7" t="str">
        <f>IFERROR(__xludf.DUMMYFUNCTION("""COMPUTED_VALUE""")," Turmalina")</f>
        <v> Turmalina</v>
      </c>
      <c r="N301" s="7" t="str">
        <f>IFERROR(__xludf.DUMMYFUNCTION("""COMPUTED_VALUE""")," Vila Preciosa (Vilarejo)")</f>
        <v> Vila Preciosa (Vilarejo)</v>
      </c>
      <c r="O301" s="7" t="str">
        <f>IFERROR(__xludf.DUMMYFUNCTION("""COMPUTED_VALUE""")," Cabreúva")</f>
        <v> Cabreúva</v>
      </c>
      <c r="P301" s="7" t="str">
        <f>IFERROR(__xludf.DUMMYFUNCTION("""COMPUTED_VALUE"""),"SP")</f>
        <v>SP</v>
      </c>
      <c r="Q301" s="7" t="str">
        <f>IFERROR(__xludf.DUMMYFUNCTION("""COMPUTED_VALUE""")," 13317-518 ")</f>
        <v> 13317-518 </v>
      </c>
      <c r="R301" s="9">
        <f>IFERROR(__xludf.DUMMYFUNCTION("SPLIT($K301,"" "","""")"),-2.3307366E7)</f>
        <v>-23307366</v>
      </c>
      <c r="S301" s="9">
        <f>IFERROR(__xludf.DUMMYFUNCTION("""COMPUTED_VALUE"""),-4.7133678E7)</f>
        <v>-47133678</v>
      </c>
      <c r="T301" s="10">
        <v>3508405.0</v>
      </c>
      <c r="U30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13317-518 ', 'PK-20686', SYSDATE, 0, 'PK-20686', SYSDATE, 'Rua  Turmalina  Vila Preciosa (Vilarejo)', 'Rua Turmalina Vila Preciosa (Vilarejo)', ' Vila Preciosa (Vilarejo)', 'Rua', '3508405', 'Rua Turmalina Vila Preciosa (Vilarejo)',' Vila Preciosa (Vilarejo)', '1', 'SP', '1', '-23307366', '-47133678', ' Vila Preciosa (Vilarejo)' </v>
      </c>
    </row>
    <row r="302" ht="15.75" customHeight="1">
      <c r="A302" s="4" t="s">
        <v>945</v>
      </c>
      <c r="B302" s="5" t="s">
        <v>413</v>
      </c>
      <c r="C302" s="4" t="s">
        <v>10</v>
      </c>
      <c r="D302" s="5" t="s">
        <v>946</v>
      </c>
      <c r="E302" s="6">
        <v>214.0</v>
      </c>
      <c r="F302" s="6" t="s">
        <v>12</v>
      </c>
      <c r="G302" s="3" t="s">
        <v>13</v>
      </c>
      <c r="H302" s="7" t="str">
        <f>IFERROR(__xludf.DUMMYFUNCTION("SPLIT(A300,""Rua"","""")"),"       Iperó")</f>
        <v>       Iperó</v>
      </c>
      <c r="J302" s="3" t="s">
        <v>947</v>
      </c>
      <c r="K302" s="8" t="str">
        <f>IFERROR(__xludf.DUMMYFUNCTION("SPLIT($J302,""   "","""")"),"-23.253074 -47.088722")</f>
        <v>-23.253074 -47.088722</v>
      </c>
      <c r="L302" s="7" t="str">
        <f>IFERROR(__xludf.DUMMYFUNCTION("""COMPUTED_VALUE"""),"Rua")</f>
        <v>Rua</v>
      </c>
      <c r="M302" s="7" t="str">
        <f>IFERROR(__xludf.DUMMYFUNCTION("""COMPUTED_VALUE""")," das Samambaias")</f>
        <v> das Samambaias</v>
      </c>
      <c r="N302" s="7" t="str">
        <f>IFERROR(__xludf.DUMMYFUNCTION("""COMPUTED_VALUE""")," Pinhal Mirim (Pinhal)")</f>
        <v> Pinhal Mirim (Pinhal)</v>
      </c>
      <c r="O302" s="7" t="str">
        <f>IFERROR(__xludf.DUMMYFUNCTION("""COMPUTED_VALUE""")," Cabreúva")</f>
        <v> Cabreúva</v>
      </c>
      <c r="P302" s="7" t="str">
        <f>IFERROR(__xludf.DUMMYFUNCTION("""COMPUTED_VALUE"""),"SP")</f>
        <v>SP</v>
      </c>
      <c r="Q302" s="7" t="str">
        <f>IFERROR(__xludf.DUMMYFUNCTION("""COMPUTED_VALUE""")," 13317-282 ")</f>
        <v> 13317-282 </v>
      </c>
      <c r="R302" s="9">
        <f>IFERROR(__xludf.DUMMYFUNCTION("SPLIT($K302,"" "","""")"),-2.3253074E7)</f>
        <v>-23253074</v>
      </c>
      <c r="S302" s="9">
        <f>IFERROR(__xludf.DUMMYFUNCTION("""COMPUTED_VALUE"""),-4.7088722E7)</f>
        <v>-47088722</v>
      </c>
      <c r="T302" s="10">
        <v>3508405.0</v>
      </c>
      <c r="U30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13317-282 ', 'PK-20686', SYSDATE, 0, 'PK-20686', SYSDATE, 'Rua  das Samambaias  Pinhal Mirim (Pinhal)', 'Rua das Samambaias Pinhal Mirim (Pinhal)', ' Pinhal Mirim (Pinhal)', 'Rua', '3508405', 'Rua das Samambaias Pinhal Mirim (Pinhal)',' Pinhal Mirim (Pinhal)', '1', 'SP', '1', '-23253074', '-47088722', ' Pinhal Mirim (Pinhal)' </v>
      </c>
    </row>
    <row r="303" ht="15.75" customHeight="1">
      <c r="A303" s="4" t="s">
        <v>948</v>
      </c>
      <c r="B303" s="5" t="s">
        <v>160</v>
      </c>
      <c r="C303" s="4" t="s">
        <v>10</v>
      </c>
      <c r="D303" s="5" t="s">
        <v>949</v>
      </c>
      <c r="E303" s="6">
        <v>214.0</v>
      </c>
      <c r="F303" s="6" t="s">
        <v>12</v>
      </c>
      <c r="G303" s="3" t="s">
        <v>13</v>
      </c>
      <c r="H303" s="7" t="str">
        <f>IFERROR(__xludf.DUMMYFUNCTION("SPLIT(A301,""Rua"","""")"),"       Irã")</f>
        <v>       Irã</v>
      </c>
      <c r="J303" s="3" t="s">
        <v>950</v>
      </c>
      <c r="K303" s="8" t="str">
        <f>IFERROR(__xludf.DUMMYFUNCTION("SPLIT($J303,""   "","""")"),"-23.307366 -47.133678")</f>
        <v>-23.307366 -47.133678</v>
      </c>
      <c r="L303" s="7" t="str">
        <f>IFERROR(__xludf.DUMMYFUNCTION("""COMPUTED_VALUE"""),"Rua")</f>
        <v>Rua</v>
      </c>
      <c r="M303" s="7" t="str">
        <f>IFERROR(__xludf.DUMMYFUNCTION("""COMPUTED_VALUE""")," Gana")</f>
        <v> Gana</v>
      </c>
      <c r="N303" s="7" t="str">
        <f>IFERROR(__xludf.DUMMYFUNCTION("""COMPUTED_VALUE""")," Jardim Residencial Bela Vista (Vilarejo)")</f>
        <v> Jardim Residencial Bela Vista (Vilarejo)</v>
      </c>
      <c r="O303" s="7" t="str">
        <f>IFERROR(__xludf.DUMMYFUNCTION("""COMPUTED_VALUE""")," Cabreúva")</f>
        <v> Cabreúva</v>
      </c>
      <c r="P303" s="7" t="str">
        <f>IFERROR(__xludf.DUMMYFUNCTION("""COMPUTED_VALUE"""),"SP")</f>
        <v>SP</v>
      </c>
      <c r="Q303" s="7" t="str">
        <f>IFERROR(__xludf.DUMMYFUNCTION("""COMPUTED_VALUE""")," 13317-744 ")</f>
        <v> 13317-744 </v>
      </c>
      <c r="R303" s="9">
        <f>IFERROR(__xludf.DUMMYFUNCTION("SPLIT($K303,"" "","""")"),-2.3307366E7)</f>
        <v>-23307366</v>
      </c>
      <c r="S303" s="9">
        <f>IFERROR(__xludf.DUMMYFUNCTION("""COMPUTED_VALUE"""),-4.7133678E7)</f>
        <v>-47133678</v>
      </c>
      <c r="T303" s="10">
        <v>3508405.0</v>
      </c>
      <c r="U30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13317-744 ', 'PK-20686', SYSDATE, 0, 'PK-20686', SYSDATE, 'Rua  Gana  Jardim Residencial Bela Vista (Vilarejo)', 'Rua Gana Jardim Residencial Bela Vista (Vilarejo)', ' Jardim Residencial Bela Vista (Vilarejo)', 'Rua', '3508405', 'Rua Gana Jardim Residencial Bela Vista (Vilarejo)',' Jardim Residencial Bela Vista (Vilarejo)', '1', 'SP', '1', '-23307366', '-47133678', ' Jardim Residencial Bela Vista (Vilarejo)' </v>
      </c>
    </row>
    <row r="304" ht="15.75" customHeight="1">
      <c r="A304" s="4" t="s">
        <v>951</v>
      </c>
      <c r="B304" s="5" t="s">
        <v>160</v>
      </c>
      <c r="C304" s="4" t="s">
        <v>10</v>
      </c>
      <c r="D304" s="5" t="s">
        <v>952</v>
      </c>
      <c r="E304" s="6">
        <v>214.0</v>
      </c>
      <c r="F304" s="6" t="s">
        <v>12</v>
      </c>
      <c r="G304" s="3" t="s">
        <v>13</v>
      </c>
      <c r="H304" s="7" t="str">
        <f>IFERROR(__xludf.DUMMYFUNCTION("SPLIT(A302,""Rua"","""")"),"       Irajá")</f>
        <v>       Irajá</v>
      </c>
      <c r="J304" s="3" t="s">
        <v>953</v>
      </c>
      <c r="K304" s="8" t="str">
        <f>IFERROR(__xludf.DUMMYFUNCTION("SPLIT($J304,""   "","""")"),"-23.255041 -47.095315")</f>
        <v>-23.255041 -47.095315</v>
      </c>
      <c r="L304" s="7" t="str">
        <f>IFERROR(__xludf.DUMMYFUNCTION("""COMPUTED_VALUE"""),"Rua")</f>
        <v>Rua</v>
      </c>
      <c r="M304" s="7" t="str">
        <f>IFERROR(__xludf.DUMMYFUNCTION("""COMPUTED_VALUE""")," Onofre Sakamoto 71")</f>
        <v> Onofre Sakamoto 71</v>
      </c>
      <c r="N304" s="7" t="str">
        <f>IFERROR(__xludf.DUMMYFUNCTION("""COMPUTED_VALUE""")," AGC Pinhal")</f>
        <v> AGC Pinhal</v>
      </c>
      <c r="O304" s="7" t="str">
        <f>IFERROR(__xludf.DUMMYFUNCTION("""COMPUTED_VALUE"""),"Cabreúva")</f>
        <v>Cabreúva</v>
      </c>
      <c r="P304" s="7" t="str">
        <f>IFERROR(__xludf.DUMMYFUNCTION("""COMPUTED_VALUE"""),"SP")</f>
        <v>SP</v>
      </c>
      <c r="Q304" s="7" t="str">
        <f>IFERROR(__xludf.DUMMYFUNCTION("""COMPUTED_VALUE""")," 13315-971 ")</f>
        <v> 13315-971 </v>
      </c>
      <c r="R304" s="9">
        <f>IFERROR(__xludf.DUMMYFUNCTION("SPLIT($K304,"" "","""")"),-2.3255041E7)</f>
        <v>-23255041</v>
      </c>
      <c r="S304" s="9">
        <f>IFERROR(__xludf.DUMMYFUNCTION("""COMPUTED_VALUE"""),-4.7095315E7)</f>
        <v>-47095315</v>
      </c>
      <c r="T304" s="10">
        <v>3508405.0</v>
      </c>
      <c r="U30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13315-971 ', 'PK-20686', SYSDATE, 0, 'PK-20686', SYSDATE, 'Rua  Onofre Sakamoto 71  AGC Pinhal', 'Rua Onofre Sakamoto 71 AGC Pinhal', ' AGC Pinhal', 'Rua', '3508405', 'Rua Onofre Sakamoto 71 AGC Pinhal',' AGC Pinhal', '1', 'SP', '1', '-23255041', '-47095315', ' AGC Pinhal' </v>
      </c>
    </row>
    <row r="305" ht="15.75" customHeight="1">
      <c r="A305" s="4" t="s">
        <v>954</v>
      </c>
      <c r="B305" s="5" t="s">
        <v>193</v>
      </c>
      <c r="C305" s="4" t="s">
        <v>10</v>
      </c>
      <c r="D305" s="5" t="s">
        <v>955</v>
      </c>
      <c r="E305" s="6">
        <v>214.0</v>
      </c>
      <c r="F305" s="6" t="s">
        <v>12</v>
      </c>
      <c r="G305" s="3" t="s">
        <v>13</v>
      </c>
      <c r="H305" s="7" t="str">
        <f>IFERROR(__xludf.DUMMYFUNCTION("SPLIT(A303,""Rua"","""")"),"       Iraque")</f>
        <v>       Iraque</v>
      </c>
      <c r="J305" s="3" t="s">
        <v>956</v>
      </c>
      <c r="K305" s="8" t="str">
        <f>IFERROR(__xludf.DUMMYFUNCTION("SPLIT($J305,""   "","""")"),"-23.314575 -47.133471")</f>
        <v>-23.314575 -47.133471</v>
      </c>
      <c r="L305" s="7" t="str">
        <f>IFERROR(__xludf.DUMMYFUNCTION("""COMPUTED_VALUE"""),"Rua")</f>
        <v>Rua</v>
      </c>
      <c r="M305" s="7" t="str">
        <f>IFERROR(__xludf.DUMMYFUNCTION("""COMPUTED_VALUE""")," Maestro Benedicto Xisto Leite Sabugo")</f>
        <v> Maestro Benedicto Xisto Leite Sabugo</v>
      </c>
      <c r="N305" s="7" t="str">
        <f>IFERROR(__xludf.DUMMYFUNCTION("""COMPUTED_VALUE""")," Nova Cabreúva (Centro)")</f>
        <v> Nova Cabreúva (Centro)</v>
      </c>
      <c r="O305" s="7" t="str">
        <f>IFERROR(__xludf.DUMMYFUNCTION("""COMPUTED_VALUE""")," Cabreúva")</f>
        <v> Cabreúva</v>
      </c>
      <c r="P305" s="7" t="str">
        <f>IFERROR(__xludf.DUMMYFUNCTION("""COMPUTED_VALUE"""),"SP")</f>
        <v>SP</v>
      </c>
      <c r="Q305" s="7" t="str">
        <f>IFERROR(__xludf.DUMMYFUNCTION("""COMPUTED_VALUE""")," 13315-122 ")</f>
        <v> 13315-122 </v>
      </c>
      <c r="R305" s="9">
        <f>IFERROR(__xludf.DUMMYFUNCTION("SPLIT($K305,"" "","""")"),-2.3314575E7)</f>
        <v>-23314575</v>
      </c>
      <c r="S305" s="9">
        <f>IFERROR(__xludf.DUMMYFUNCTION("""COMPUTED_VALUE"""),-4.7133471E7)</f>
        <v>-47133471</v>
      </c>
      <c r="T305" s="10">
        <v>3508405.0</v>
      </c>
      <c r="U30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13315-122 ', 'PK-20686', SYSDATE, 0, 'PK-20686', SYSDATE, 'Rua  Maestro Benedicto Xisto Leite Sabugo  Nova Cabreúva (Centro)', 'Rua Maestro Benedicto Xisto Leite Sabugo Nova Cabreúva (Centro)', ' Nova Cabreúva (Centro)', 'Rua', '3508405', 'Rua Maestro Benedicto Xisto Leite Sabugo Nova Cabreúva (Centro)',' Nova Cabreúva (Centro)', '1', 'SP', '1', '-23314575', '-47133471', ' Nova Cabreúva (Centro)' </v>
      </c>
    </row>
    <row r="306" ht="15.75" customHeight="1">
      <c r="A306" s="4" t="s">
        <v>957</v>
      </c>
      <c r="B306" s="5" t="s">
        <v>193</v>
      </c>
      <c r="C306" s="4" t="s">
        <v>10</v>
      </c>
      <c r="D306" s="5" t="s">
        <v>958</v>
      </c>
      <c r="E306" s="6">
        <v>214.0</v>
      </c>
      <c r="F306" s="6" t="s">
        <v>12</v>
      </c>
      <c r="G306" s="3" t="s">
        <v>13</v>
      </c>
      <c r="H306" s="7" t="str">
        <f>IFERROR(__xludf.DUMMYFUNCTION("SPLIT(A304,""Rua"","""")"),"       Israel")</f>
        <v>       Israel</v>
      </c>
      <c r="J306" s="3" t="s">
        <v>959</v>
      </c>
      <c r="K306" s="8" t="str">
        <f>IFERROR(__xludf.DUMMYFUNCTION("SPLIT($J306,""   "","""")"),"-23.302817 -47.140574")</f>
        <v>-23.302817 -47.140574</v>
      </c>
      <c r="L306" s="7" t="str">
        <f>IFERROR(__xludf.DUMMYFUNCTION("""COMPUTED_VALUE"""),"Rua")</f>
        <v>Rua</v>
      </c>
      <c r="M306" s="7" t="str">
        <f>IFERROR(__xludf.DUMMYFUNCTION("""COMPUTED_VALUE""")," do Cedro")</f>
        <v> do Cedro</v>
      </c>
      <c r="N306" s="7" t="str">
        <f>IFERROR(__xludf.DUMMYFUNCTION("""COMPUTED_VALUE""")," Vale Verde (Centro)")</f>
        <v> Vale Verde (Centro)</v>
      </c>
      <c r="O306" s="7" t="str">
        <f>IFERROR(__xludf.DUMMYFUNCTION("""COMPUTED_VALUE""")," Cabreúva")</f>
        <v> Cabreúva</v>
      </c>
      <c r="P306" s="7" t="str">
        <f>IFERROR(__xludf.DUMMYFUNCTION("""COMPUTED_VALUE"""),"SP")</f>
        <v>SP</v>
      </c>
      <c r="Q306" s="7" t="str">
        <f>IFERROR(__xludf.DUMMYFUNCTION("""COMPUTED_VALUE""")," 13315-246 ")</f>
        <v> 13315-246 </v>
      </c>
      <c r="R306" s="9">
        <f>IFERROR(__xludf.DUMMYFUNCTION("SPLIT($K306,"" "","""")"),-2.3302817E7)</f>
        <v>-23302817</v>
      </c>
      <c r="S306" s="9">
        <f>IFERROR(__xludf.DUMMYFUNCTION("""COMPUTED_VALUE"""),-4.7140574E7)</f>
        <v>-47140574</v>
      </c>
      <c r="T306" s="10">
        <v>3508405.0</v>
      </c>
      <c r="U30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13315-246 ', 'PK-20686', SYSDATE, 0, 'PK-20686', SYSDATE, 'Rua  do Cedro  Vale Verde (Centro)', 'Rua do Cedro Vale Verde (Centro)', ' Vale Verde (Centro)', 'Rua', '3508405', 'Rua do Cedro Vale Verde (Centro)',' Vale Verde (Centro)', '1', 'SP', '1', '-23302817', '-47140574', ' Vale Verde (Centro)' </v>
      </c>
    </row>
    <row r="307" ht="15.75" customHeight="1">
      <c r="A307" s="4" t="s">
        <v>960</v>
      </c>
      <c r="B307" s="5" t="s">
        <v>216</v>
      </c>
      <c r="C307" s="4" t="s">
        <v>10</v>
      </c>
      <c r="D307" s="5" t="s">
        <v>961</v>
      </c>
      <c r="E307" s="6">
        <v>214.0</v>
      </c>
      <c r="F307" s="6" t="s">
        <v>12</v>
      </c>
      <c r="G307" s="3" t="s">
        <v>13</v>
      </c>
      <c r="H307" s="7" t="str">
        <f>IFERROR(__xludf.DUMMYFUNCTION("SPLIT(A305,""Rua"","""")"),"       Itajubá")</f>
        <v>       Itajubá</v>
      </c>
      <c r="J307" s="3" t="s">
        <v>962</v>
      </c>
      <c r="K307" s="8" t="str">
        <f>IFERROR(__xludf.DUMMYFUNCTION("SPLIT($J307,""   "","""")"),"-23.307366 -47.133678")</f>
        <v>-23.307366 -47.133678</v>
      </c>
      <c r="L307" s="7" t="str">
        <f>IFERROR(__xludf.DUMMYFUNCTION("""COMPUTED_VALUE"""),"Rua")</f>
        <v>Rua</v>
      </c>
      <c r="M307" s="7" t="str">
        <f>IFERROR(__xludf.DUMMYFUNCTION("""COMPUTED_VALUE""")," Abissínia")</f>
        <v> Abissínia</v>
      </c>
      <c r="N307" s="7" t="str">
        <f>IFERROR(__xludf.DUMMYFUNCTION("""COMPUTED_VALUE""")," Jardim Residencial Bela Vista (Vilarejo)")</f>
        <v> Jardim Residencial Bela Vista (Vilarejo)</v>
      </c>
      <c r="O307" s="7" t="str">
        <f>IFERROR(__xludf.DUMMYFUNCTION("""COMPUTED_VALUE""")," Cabreúva")</f>
        <v> Cabreúva</v>
      </c>
      <c r="P307" s="7" t="str">
        <f>IFERROR(__xludf.DUMMYFUNCTION("""COMPUTED_VALUE"""),"SP")</f>
        <v>SP</v>
      </c>
      <c r="Q307" s="7" t="str">
        <f>IFERROR(__xludf.DUMMYFUNCTION("""COMPUTED_VALUE""")," 13317-710 ")</f>
        <v> 13317-710 </v>
      </c>
      <c r="R307" s="9">
        <f>IFERROR(__xludf.DUMMYFUNCTION("SPLIT($K307,"" "","""")"),-2.3307366E7)</f>
        <v>-23307366</v>
      </c>
      <c r="S307" s="9">
        <f>IFERROR(__xludf.DUMMYFUNCTION("""COMPUTED_VALUE"""),-4.7133678E7)</f>
        <v>-47133678</v>
      </c>
      <c r="T307" s="10">
        <v>3508405.0</v>
      </c>
      <c r="U30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13317-710 ', 'PK-20686', SYSDATE, 0, 'PK-20686', SYSDATE, 'Rua  Abissínia  Jardim Residencial Bela Vista (Vilarejo)', 'Rua Abissínia Jardim Residencial Bela Vista (Vilarejo)', ' Jardim Residencial Bela Vista (Vilarejo)', 'Rua', '3508405', 'Rua Abissínia Jardim Residencial Bela Vista (Vilarejo)',' Jardim Residencial Bela Vista (Vilarejo)', '1', 'SP', '1', '-23307366', '-47133678', ' Jardim Residencial Bela Vista (Vilarejo)' </v>
      </c>
    </row>
    <row r="308" ht="15.75" customHeight="1">
      <c r="A308" s="4" t="s">
        <v>963</v>
      </c>
      <c r="B308" s="5" t="s">
        <v>216</v>
      </c>
      <c r="C308" s="4" t="s">
        <v>10</v>
      </c>
      <c r="D308" s="5" t="s">
        <v>964</v>
      </c>
      <c r="E308" s="6">
        <v>214.0</v>
      </c>
      <c r="F308" s="6" t="s">
        <v>12</v>
      </c>
      <c r="G308" s="3" t="s">
        <v>13</v>
      </c>
      <c r="H308" s="7" t="str">
        <f>IFERROR(__xludf.DUMMYFUNCTION("SPLIT(A306,""Rua"","""")"),"       Itapetininga")</f>
        <v>       Itapetininga</v>
      </c>
      <c r="J308" s="3" t="s">
        <v>965</v>
      </c>
      <c r="K308" s="8" t="str">
        <f>IFERROR(__xludf.DUMMYFUNCTION("SPLIT($J308,""   "","""")"),"-23.307366 -47.133678")</f>
        <v>-23.307366 -47.133678</v>
      </c>
      <c r="L308" s="7" t="str">
        <f>IFERROR(__xludf.DUMMYFUNCTION("""COMPUTED_VALUE"""),"Rua")</f>
        <v>Rua</v>
      </c>
      <c r="M308" s="7" t="str">
        <f>IFERROR(__xludf.DUMMYFUNCTION("""COMPUTED_VALUE""")," África do Sul")</f>
        <v> África do Sul</v>
      </c>
      <c r="N308" s="7" t="str">
        <f>IFERROR(__xludf.DUMMYFUNCTION("""COMPUTED_VALUE""")," Jardim Residencial Bela Vista (Vilarejo)")</f>
        <v> Jardim Residencial Bela Vista (Vilarejo)</v>
      </c>
      <c r="O308" s="7" t="str">
        <f>IFERROR(__xludf.DUMMYFUNCTION("""COMPUTED_VALUE""")," Cabreúva")</f>
        <v> Cabreúva</v>
      </c>
      <c r="P308" s="7" t="str">
        <f>IFERROR(__xludf.DUMMYFUNCTION("""COMPUTED_VALUE"""),"SP")</f>
        <v>SP</v>
      </c>
      <c r="Q308" s="7" t="str">
        <f>IFERROR(__xludf.DUMMYFUNCTION("""COMPUTED_VALUE""")," 13317-742 ")</f>
        <v> 13317-742 </v>
      </c>
      <c r="R308" s="9">
        <f>IFERROR(__xludf.DUMMYFUNCTION("SPLIT($K308,"" "","""")"),-2.3307366E7)</f>
        <v>-23307366</v>
      </c>
      <c r="S308" s="9">
        <f>IFERROR(__xludf.DUMMYFUNCTION("""COMPUTED_VALUE"""),-4.7133678E7)</f>
        <v>-47133678</v>
      </c>
      <c r="T308" s="10">
        <v>3508405.0</v>
      </c>
      <c r="U30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13317-742 ', 'PK-20686', SYSDATE, 0, 'PK-20686', SYSDATE, 'Rua  África do Sul  Jardim Residencial Bela Vista (Vilarejo)', 'Rua África do Sul Jardim Residencial Bela Vista (Vilarejo)', ' Jardim Residencial Bela Vista (Vilarejo)', 'Rua', '3508405', 'Rua África do Sul Jardim Residencial Bela Vista (Vilarejo)',' Jardim Residencial Bela Vista (Vilarejo)', '1', 'SP', '1', '-23307366', '-47133678', ' Jardim Residencial Bela Vista (Vilarejo)' </v>
      </c>
    </row>
    <row r="309" ht="15.75" customHeight="1">
      <c r="A309" s="4" t="s">
        <v>966</v>
      </c>
      <c r="B309" s="5" t="s">
        <v>216</v>
      </c>
      <c r="C309" s="4" t="s">
        <v>10</v>
      </c>
      <c r="D309" s="5" t="s">
        <v>967</v>
      </c>
      <c r="E309" s="6">
        <v>214.0</v>
      </c>
      <c r="F309" s="6" t="s">
        <v>12</v>
      </c>
      <c r="G309" s="3" t="s">
        <v>13</v>
      </c>
      <c r="H309" s="7" t="str">
        <f>IFERROR(__xludf.DUMMYFUNCTION("SPLIT(A307,""Rua"","""")"),"       Itatiba")</f>
        <v>       Itatiba</v>
      </c>
      <c r="J309" s="3" t="s">
        <v>968</v>
      </c>
      <c r="K309" s="8" t="str">
        <f>IFERROR(__xludf.DUMMYFUNCTION("SPLIT($J309,""   "","""")"),"-23.243194 -47.064269")</f>
        <v>-23.243194 -47.064269</v>
      </c>
      <c r="L309" s="7" t="str">
        <f>IFERROR(__xludf.DUMMYFUNCTION("""COMPUTED_VALUE"""),"Rua")</f>
        <v>Rua</v>
      </c>
      <c r="M309" s="7" t="str">
        <f>IFERROR(__xludf.DUMMYFUNCTION("""COMPUTED_VALUE""")," Nicodemos Pincinato")</f>
        <v> Nicodemos Pincinato</v>
      </c>
      <c r="N309" s="7" t="str">
        <f>IFERROR(__xludf.DUMMYFUNCTION("""COMPUTED_VALUE""")," Jacaré")</f>
        <v> Jacaré</v>
      </c>
      <c r="O309" s="7" t="str">
        <f>IFERROR(__xludf.DUMMYFUNCTION("""COMPUTED_VALUE""")," Cabreúva")</f>
        <v> Cabreúva</v>
      </c>
      <c r="P309" s="7" t="str">
        <f>IFERROR(__xludf.DUMMYFUNCTION("""COMPUTED_VALUE"""),"SP")</f>
        <v>SP</v>
      </c>
      <c r="Q309" s="7" t="str">
        <f>IFERROR(__xludf.DUMMYFUNCTION("""COMPUTED_VALUE""")," 13318-006 ")</f>
        <v> 13318-006 </v>
      </c>
      <c r="R309" s="9">
        <f>IFERROR(__xludf.DUMMYFUNCTION("SPLIT($K309,"" "","""")"),-2.3243194E7)</f>
        <v>-23243194</v>
      </c>
      <c r="S309" s="9">
        <f>IFERROR(__xludf.DUMMYFUNCTION("""COMPUTED_VALUE"""),-4.7064269E7)</f>
        <v>-47064269</v>
      </c>
      <c r="T309" s="10">
        <v>3508405.0</v>
      </c>
      <c r="U30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13318-006 ', 'PK-20686', SYSDATE, 0, 'PK-20686', SYSDATE, 'Rua  Nicodemos Pincinato  Jacaré', 'Rua Nicodemos Pincinato Jacaré', ' Jacaré', 'Rua', '3508405', 'Rua Nicodemos Pincinato Jacaré',' Jacaré', '1', 'SP', '1', '-23243194', '-47064269', ' Jacaré' </v>
      </c>
    </row>
    <row r="310" ht="15.75" customHeight="1">
      <c r="A310" s="4" t="s">
        <v>969</v>
      </c>
      <c r="B310" s="5" t="s">
        <v>160</v>
      </c>
      <c r="C310" s="4" t="s">
        <v>10</v>
      </c>
      <c r="D310" s="5" t="s">
        <v>970</v>
      </c>
      <c r="E310" s="6">
        <v>214.0</v>
      </c>
      <c r="F310" s="6" t="s">
        <v>12</v>
      </c>
      <c r="G310" s="3" t="s">
        <v>13</v>
      </c>
      <c r="H310" s="7" t="str">
        <f>IFERROR(__xludf.DUMMYFUNCTION("SPLIT(A308,""Rua"","""")"),"       Itupeva")</f>
        <v>       Itupeva</v>
      </c>
      <c r="J310" s="3" t="s">
        <v>971</v>
      </c>
      <c r="K310" s="8" t="str">
        <f>IFERROR(__xludf.DUMMYFUNCTION("SPLIT($J310,""   "","""")"),"-23.307366 -47.133678")</f>
        <v>-23.307366 -47.133678</v>
      </c>
      <c r="L310" s="7" t="str">
        <f>IFERROR(__xludf.DUMMYFUNCTION("""COMPUTED_VALUE"""),"Rua")</f>
        <v>Rua</v>
      </c>
      <c r="M310" s="7" t="str">
        <f>IFERROR(__xludf.DUMMYFUNCTION("""COMPUTED_VALUE""")," B")</f>
        <v> B</v>
      </c>
      <c r="N310" s="7" t="str">
        <f>IFERROR(__xludf.DUMMYFUNCTION("""COMPUTED_VALUE""")," Fazenda Sossego (São Francisco)")</f>
        <v> Fazenda Sossego (São Francisco)</v>
      </c>
      <c r="O310" s="7" t="str">
        <f>IFERROR(__xludf.DUMMYFUNCTION("""COMPUTED_VALUE""")," Cabreúva")</f>
        <v> Cabreúva</v>
      </c>
      <c r="P310" s="7" t="str">
        <f>IFERROR(__xludf.DUMMYFUNCTION("""COMPUTED_VALUE"""),"SP")</f>
        <v>SP</v>
      </c>
      <c r="Q310" s="7" t="str">
        <f>IFERROR(__xludf.DUMMYFUNCTION("""COMPUTED_VALUE""")," 13316-701 ")</f>
        <v> 13316-701 </v>
      </c>
      <c r="R310" s="9">
        <f>IFERROR(__xludf.DUMMYFUNCTION("SPLIT($K310,"" "","""")"),-2.3307366E7)</f>
        <v>-23307366</v>
      </c>
      <c r="S310" s="9">
        <f>IFERROR(__xludf.DUMMYFUNCTION("""COMPUTED_VALUE"""),-4.7133678E7)</f>
        <v>-47133678</v>
      </c>
      <c r="T310" s="10">
        <v>3508405.0</v>
      </c>
      <c r="U31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13316-701 ', 'PK-20686', SYSDATE, 0, 'PK-20686', SYSDATE, 'Rua  B  Fazenda Sossego (São Francisco)', 'Rua B Fazenda Sossego (São Francisco)', ' Fazenda Sossego (São Francisco)', 'Rua', '3508405', 'Rua B Fazenda Sossego (São Francisco)',' Fazenda Sossego (São Francisco)', '1', 'SP', '1', '-23307366', '-47133678', ' Fazenda Sossego (São Francisco)' </v>
      </c>
    </row>
    <row r="311" ht="15.75" hidden="1" customHeight="1">
      <c r="A311" s="4" t="s">
        <v>972</v>
      </c>
      <c r="B311" s="5" t="s">
        <v>973</v>
      </c>
      <c r="C311" s="4" t="s">
        <v>10</v>
      </c>
      <c r="D311" s="5" t="s">
        <v>974</v>
      </c>
      <c r="E311" s="6">
        <v>214.0</v>
      </c>
      <c r="F311" s="6" t="s">
        <v>12</v>
      </c>
      <c r="G311" s="3" t="s">
        <v>13</v>
      </c>
      <c r="H311" s="7" t="str">
        <f>IFERROR(__xludf.DUMMYFUNCTION("SPLIT(A309,""Rua"","""")"),"       Ituverava")</f>
        <v>       Ituverava</v>
      </c>
      <c r="J311" s="3" t="s">
        <v>975</v>
      </c>
      <c r="K311" s="8" t="str">
        <f>IFERROR(__xludf.DUMMYFUNCTION("SPLIT($J311,""   "","""")"),"-23.307366 -47.133678")</f>
        <v>-23.307366 -47.133678</v>
      </c>
      <c r="L311" s="7" t="str">
        <f>IFERROR(__xludf.DUMMYFUNCTION("""COMPUTED_VALUE"""),"Avenida")</f>
        <v>Avenida</v>
      </c>
      <c r="M311" s="7" t="str">
        <f>IFERROR(__xludf.DUMMYFUNCTION("""COMPUTED_VALUE""")," Pascoal Santi")</f>
        <v> Pascoal Santi</v>
      </c>
      <c r="N311" s="7" t="str">
        <f>IFERROR(__xludf.DUMMYFUNCTION("""COMPUTED_VALUE""")," Jardim Fazendinha Real (Vilarejo)")</f>
        <v> Jardim Fazendinha Real (Vilarejo)</v>
      </c>
      <c r="O311" s="7" t="str">
        <f>IFERROR(__xludf.DUMMYFUNCTION("""COMPUTED_VALUE""")," Cabreúva")</f>
        <v> Cabreúva</v>
      </c>
      <c r="P311" s="7" t="str">
        <f>IFERROR(__xludf.DUMMYFUNCTION("""COMPUTED_VALUE"""),"SP")</f>
        <v>SP</v>
      </c>
      <c r="Q311" s="7" t="str">
        <f>IFERROR(__xludf.DUMMYFUNCTION("""COMPUTED_VALUE""")," 13317-766 ")</f>
        <v> 13317-766 </v>
      </c>
      <c r="R311" s="9">
        <f>IFERROR(__xludf.DUMMYFUNCTION("SPLIT($K311,"" "","""")"),-2.3307366E7)</f>
        <v>-23307366</v>
      </c>
      <c r="S311" s="9">
        <f>IFERROR(__xludf.DUMMYFUNCTION("""COMPUTED_VALUE"""),-4.7133678E7)</f>
        <v>-47133678</v>
      </c>
      <c r="T311" s="10">
        <v>3508405.0</v>
      </c>
      <c r="U31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13317-766 ', 'PK-20686', SYSDATE, 0, 'PK-20686', SYSDATE, 'Avenida  Pascoal Santi  Jardim Fazendinha Real (Vilarejo)', 'Avenida Pascoal Santi Jardim Fazendinha Real (Vilarejo)', ' Jardim Fazendinha Real (Vilarejo)', 'Avenida', '3508405', 'Avenida Pascoal Santi Jardim Fazendinha Real (Vilarejo)',' Jardim Fazendinha Real (Vilarejo)', '1', 'SP', '1', '-23307366', '-47133678', ' Jardim Fazendinha Real (Vilarejo)' </v>
      </c>
    </row>
    <row r="312" ht="15.75" hidden="1" customHeight="1">
      <c r="A312" s="4" t="s">
        <v>976</v>
      </c>
      <c r="B312" s="5" t="s">
        <v>368</v>
      </c>
      <c r="C312" s="4" t="s">
        <v>10</v>
      </c>
      <c r="D312" s="5" t="s">
        <v>977</v>
      </c>
      <c r="E312" s="6">
        <v>214.0</v>
      </c>
      <c r="F312" s="6" t="s">
        <v>12</v>
      </c>
      <c r="G312" s="3" t="s">
        <v>13</v>
      </c>
      <c r="H312" s="7" t="str">
        <f>IFERROR(__xludf.DUMMYFUNCTION("SPLIT(A310,""Rua"","""")"),"       IugosláVia   ")</f>
        <v>       IugosláVia   </v>
      </c>
      <c r="J312" s="3" t="s">
        <v>978</v>
      </c>
      <c r="K312" s="8" t="str">
        <f>IFERROR(__xludf.DUMMYFUNCTION("SPLIT($J312,""   "","""")"),"-23.257909 -47.051612")</f>
        <v>-23.257909 -47.051612</v>
      </c>
      <c r="L312" s="7" t="str">
        <f>IFERROR(__xludf.DUMMYFUNCTION("""COMPUTED_VALUE"""),"Avenida")</f>
        <v>Avenida</v>
      </c>
      <c r="M312" s="7" t="str">
        <f>IFERROR(__xludf.DUMMYFUNCTION("""COMPUTED_VALUE""")," Hirono")</f>
        <v> Hirono</v>
      </c>
      <c r="N312" s="7" t="str">
        <f>IFERROR(__xludf.DUMMYFUNCTION("""COMPUTED_VALUE""")," Portal da Concórdia II (Jacaré)")</f>
        <v> Portal da Concórdia II (Jacaré)</v>
      </c>
      <c r="O312" s="7" t="str">
        <f>IFERROR(__xludf.DUMMYFUNCTION("""COMPUTED_VALUE""")," Cabreúva")</f>
        <v> Cabreúva</v>
      </c>
      <c r="P312" s="7" t="str">
        <f>IFERROR(__xludf.DUMMYFUNCTION("""COMPUTED_VALUE"""),"SP")</f>
        <v>SP</v>
      </c>
      <c r="Q312" s="7" t="str">
        <f>IFERROR(__xludf.DUMMYFUNCTION("""COMPUTED_VALUE""")," 13318-294 ")</f>
        <v> 13318-294 </v>
      </c>
      <c r="R312" s="9">
        <f>IFERROR(__xludf.DUMMYFUNCTION("SPLIT($K312,"" "","""")"),-2.3257909E7)</f>
        <v>-23257909</v>
      </c>
      <c r="S312" s="9">
        <f>IFERROR(__xludf.DUMMYFUNCTION("""COMPUTED_VALUE"""),-4.7051612E7)</f>
        <v>-47051612</v>
      </c>
      <c r="T312" s="10">
        <v>3508405.0</v>
      </c>
      <c r="U31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13318-294 ', 'PK-20686', SYSDATE, 0, 'PK-20686', SYSDATE, 'Avenida  Hirono  Portal da Concórdia II (Jacaré)', 'Avenida Hirono Portal da Concórdia II (Jacaré)', ' Portal da Concórdia II (Jacaré)', 'Avenida', '3508405', 'Avenida Hirono Portal da Concórdia II (Jacaré)',' Portal da Concórdia II (Jacaré)', '1', 'SP', '1', '-23257909', '-47051612', ' Portal da Concórdia II (Jacaré)' </v>
      </c>
    </row>
    <row r="313" ht="15.75" customHeight="1">
      <c r="A313" s="4" t="s">
        <v>979</v>
      </c>
      <c r="B313" s="5" t="s">
        <v>212</v>
      </c>
      <c r="C313" s="4" t="s">
        <v>10</v>
      </c>
      <c r="D313" s="5" t="s">
        <v>980</v>
      </c>
      <c r="E313" s="6">
        <v>214.0</v>
      </c>
      <c r="F313" s="6" t="s">
        <v>12</v>
      </c>
      <c r="G313" s="3" t="s">
        <v>13</v>
      </c>
      <c r="H313" s="7" t="str">
        <f>IFERROR(__xludf.DUMMYFUNCTION("SPLIT(A311,""Rua"","""")"),"       Izidoro Franceschini")</f>
        <v>       Izidoro Franceschini</v>
      </c>
      <c r="J313" s="3" t="s">
        <v>981</v>
      </c>
      <c r="K313" s="8" t="str">
        <f>IFERROR(__xludf.DUMMYFUNCTION("SPLIT($J313,""   "","""")"),"-23.280364 -47.0765")</f>
        <v>-23.280364 -47.0765</v>
      </c>
      <c r="L313" s="7" t="str">
        <f>IFERROR(__xludf.DUMMYFUNCTION("""COMPUTED_VALUE"""),"Rua")</f>
        <v>Rua</v>
      </c>
      <c r="M313" s="7" t="str">
        <f>IFERROR(__xludf.DUMMYFUNCTION("""COMPUTED_VALUE""")," Francisco Lopes")</f>
        <v> Francisco Lopes</v>
      </c>
      <c r="N313" s="7" t="str">
        <f>IFERROR(__xludf.DUMMYFUNCTION("""COMPUTED_VALUE""")," Pinhal")</f>
        <v> Pinhal</v>
      </c>
      <c r="O313" s="7" t="str">
        <f>IFERROR(__xludf.DUMMYFUNCTION("""COMPUTED_VALUE""")," Cabreúva")</f>
        <v> Cabreúva</v>
      </c>
      <c r="P313" s="7" t="str">
        <f>IFERROR(__xludf.DUMMYFUNCTION("""COMPUTED_VALUE"""),"SP")</f>
        <v>SP</v>
      </c>
      <c r="Q313" s="7" t="str">
        <f>IFERROR(__xludf.DUMMYFUNCTION("""COMPUTED_VALUE""")," 13317-250 ")</f>
        <v> 13317-250 </v>
      </c>
      <c r="R313" s="9">
        <f>IFERROR(__xludf.DUMMYFUNCTION("SPLIT($K313,"" "","""")"),-2.3280364E7)</f>
        <v>-23280364</v>
      </c>
      <c r="S313" s="9">
        <f>IFERROR(__xludf.DUMMYFUNCTION("""COMPUTED_VALUE"""),-470765.0)</f>
        <v>-470765</v>
      </c>
      <c r="T313" s="10">
        <v>3508405.0</v>
      </c>
      <c r="U31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13317-250 ', 'PK-20686', SYSDATE, 0, 'PK-20686', SYSDATE, 'Rua  Francisco Lopes  Pinhal', 'Rua Francisco Lopes Pinhal', ' Pinhal', 'Rua', '3508405', 'Rua Francisco Lopes Pinhal',' Pinhal', '1', 'SP', '1', '-23280364', '-470765', ' Pinhal' </v>
      </c>
    </row>
    <row r="314" ht="15.75" customHeight="1">
      <c r="A314" s="4" t="s">
        <v>982</v>
      </c>
      <c r="B314" s="5" t="s">
        <v>394</v>
      </c>
      <c r="C314" s="4" t="s">
        <v>10</v>
      </c>
      <c r="D314" s="5" t="s">
        <v>983</v>
      </c>
      <c r="E314" s="6">
        <v>214.0</v>
      </c>
      <c r="F314" s="6" t="s">
        <v>12</v>
      </c>
      <c r="G314" s="3" t="s">
        <v>13</v>
      </c>
      <c r="H314" s="7" t="str">
        <f>IFERROR(__xludf.DUMMYFUNCTION("SPLIT(A312,""Rua"","""")"),"       J")</f>
        <v>       J</v>
      </c>
      <c r="J314" s="3" t="s">
        <v>984</v>
      </c>
      <c r="K314" s="8" t="str">
        <f>IFERROR(__xludf.DUMMYFUNCTION("SPLIT($J314,""   "","""")"),"-23.282059 -47.06021")</f>
        <v>-23.282059 -47.06021</v>
      </c>
      <c r="L314" s="7" t="str">
        <f>IFERROR(__xludf.DUMMYFUNCTION("""COMPUTED_VALUE"""),"Rua")</f>
        <v>Rua</v>
      </c>
      <c r="M314" s="7" t="str">
        <f>IFERROR(__xludf.DUMMYFUNCTION("""COMPUTED_VALUE""")," Atibaia")</f>
        <v> Atibaia</v>
      </c>
      <c r="N314" s="7" t="str">
        <f>IFERROR(__xludf.DUMMYFUNCTION("""COMPUTED_VALUE""")," Novo Bonfim (Vilarejo)")</f>
        <v> Novo Bonfim (Vilarejo)</v>
      </c>
      <c r="O314" s="7" t="str">
        <f>IFERROR(__xludf.DUMMYFUNCTION("""COMPUTED_VALUE""")," Cabreúva")</f>
        <v> Cabreúva</v>
      </c>
      <c r="P314" s="7" t="str">
        <f>IFERROR(__xludf.DUMMYFUNCTION("""COMPUTED_VALUE"""),"SP")</f>
        <v>SP</v>
      </c>
      <c r="Q314" s="7" t="str">
        <f>IFERROR(__xludf.DUMMYFUNCTION("""COMPUTED_VALUE""")," 13317-798 ")</f>
        <v> 13317-798 </v>
      </c>
      <c r="R314" s="9">
        <f>IFERROR(__xludf.DUMMYFUNCTION("SPLIT($K314,"" "","""")"),-2.3282059E7)</f>
        <v>-23282059</v>
      </c>
      <c r="S314" s="9">
        <f>IFERROR(__xludf.DUMMYFUNCTION("""COMPUTED_VALUE"""),-4706021.0)</f>
        <v>-4706021</v>
      </c>
      <c r="T314" s="10">
        <v>3508405.0</v>
      </c>
      <c r="U31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13317-798 ', 'PK-20686', SYSDATE, 0, 'PK-20686', SYSDATE, 'Rua  Atibaia  Novo Bonfim (Vilarejo)', 'Rua Atibaia Novo Bonfim (Vilarejo)', ' Novo Bonfim (Vilarejo)', 'Rua', '3508405', 'Rua Atibaia Novo Bonfim (Vilarejo)',' Novo Bonfim (Vilarejo)', '1', 'SP', '1', '-23282059', '-4706021', ' Novo Bonfim (Vilarejo)' </v>
      </c>
    </row>
    <row r="315" ht="15.75" customHeight="1">
      <c r="A315" s="4" t="s">
        <v>985</v>
      </c>
      <c r="B315" s="5" t="s">
        <v>160</v>
      </c>
      <c r="C315" s="4" t="s">
        <v>10</v>
      </c>
      <c r="D315" s="5" t="s">
        <v>986</v>
      </c>
      <c r="E315" s="6">
        <v>214.0</v>
      </c>
      <c r="F315" s="6" t="s">
        <v>12</v>
      </c>
      <c r="G315" s="3" t="s">
        <v>13</v>
      </c>
      <c r="H315" s="7" t="str">
        <f>IFERROR(__xludf.DUMMYFUNCTION("SPLIT(A313,""Rua"","""")"),"       Jacarandá")</f>
        <v>       Jacarandá</v>
      </c>
      <c r="J315" s="3" t="s">
        <v>987</v>
      </c>
      <c r="K315" s="8" t="str">
        <f>IFERROR(__xludf.DUMMYFUNCTION("SPLIT($J315,""   "","""")"),"-23.307366 -47.133678")</f>
        <v>-23.307366 -47.133678</v>
      </c>
      <c r="L315" s="7" t="str">
        <f>IFERROR(__xludf.DUMMYFUNCTION("""COMPUTED_VALUE"""),"Rua")</f>
        <v>Rua</v>
      </c>
      <c r="M315" s="7" t="str">
        <f>IFERROR(__xludf.DUMMYFUNCTION("""COMPUTED_VALUE""")," Argélia")</f>
        <v> Argélia</v>
      </c>
      <c r="N315" s="7" t="str">
        <f>IFERROR(__xludf.DUMMYFUNCTION("""COMPUTED_VALUE""")," Jardim Residencial Bela Vista (Vilarejo)")</f>
        <v> Jardim Residencial Bela Vista (Vilarejo)</v>
      </c>
      <c r="O315" s="7" t="str">
        <f>IFERROR(__xludf.DUMMYFUNCTION("""COMPUTED_VALUE""")," Cabreúva")</f>
        <v> Cabreúva</v>
      </c>
      <c r="P315" s="7" t="str">
        <f>IFERROR(__xludf.DUMMYFUNCTION("""COMPUTED_VALUE"""),"SP")</f>
        <v>SP</v>
      </c>
      <c r="Q315" s="7" t="str">
        <f>IFERROR(__xludf.DUMMYFUNCTION("""COMPUTED_VALUE""")," 13317-714 ")</f>
        <v> 13317-714 </v>
      </c>
      <c r="R315" s="9">
        <f>IFERROR(__xludf.DUMMYFUNCTION("SPLIT($K315,"" "","""")"),-2.3307366E7)</f>
        <v>-23307366</v>
      </c>
      <c r="S315" s="9">
        <f>IFERROR(__xludf.DUMMYFUNCTION("""COMPUTED_VALUE"""),-4.7133678E7)</f>
        <v>-47133678</v>
      </c>
      <c r="T315" s="10">
        <v>3508405.0</v>
      </c>
      <c r="U31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13317-714 ', 'PK-20686', SYSDATE, 0, 'PK-20686', SYSDATE, 'Rua  Argélia  Jardim Residencial Bela Vista (Vilarejo)', 'Rua Argélia Jardim Residencial Bela Vista (Vilarejo)', ' Jardim Residencial Bela Vista (Vilarejo)', 'Rua', '3508405', 'Rua Argélia Jardim Residencial Bela Vista (Vilarejo)',' Jardim Residencial Bela Vista (Vilarejo)', '1', 'SP', '1', '-23307366', '-47133678', ' Jardim Residencial Bela Vista (Vilarejo)' </v>
      </c>
    </row>
    <row r="316" ht="15.75" customHeight="1">
      <c r="A316" s="4" t="s">
        <v>988</v>
      </c>
      <c r="B316" s="5" t="s">
        <v>231</v>
      </c>
      <c r="C316" s="4" t="s">
        <v>10</v>
      </c>
      <c r="D316" s="5" t="s">
        <v>989</v>
      </c>
      <c r="E316" s="6">
        <v>214.0</v>
      </c>
      <c r="F316" s="6" t="s">
        <v>12</v>
      </c>
      <c r="G316" s="3" t="s">
        <v>13</v>
      </c>
      <c r="H316" s="7" t="str">
        <f>IFERROR(__xludf.DUMMYFUNCTION("SPLIT(A314,""Rua"","""")"),"       Jade")</f>
        <v>       Jade</v>
      </c>
      <c r="J316" s="3" t="s">
        <v>990</v>
      </c>
      <c r="K316" s="8" t="str">
        <f>IFERROR(__xludf.DUMMYFUNCTION("SPLIT($J316,""   "","""")"),"-23.305021 -47.129791")</f>
        <v>-23.305021 -47.129791</v>
      </c>
      <c r="L316" s="7" t="str">
        <f>IFERROR(__xludf.DUMMYFUNCTION("""COMPUTED_VALUE"""),"Rua")</f>
        <v>Rua</v>
      </c>
      <c r="M316" s="7" t="str">
        <f>IFERROR(__xludf.DUMMYFUNCTION("""COMPUTED_VALUE""")," Arminda da Costa Soares")</f>
        <v> Arminda da Costa Soares</v>
      </c>
      <c r="N316" s="7" t="str">
        <f>IFERROR(__xludf.DUMMYFUNCTION("""COMPUTED_VALUE""")," Jardim Zicatti (Centro)")</f>
        <v> Jardim Zicatti (Centro)</v>
      </c>
      <c r="O316" s="7" t="str">
        <f>IFERROR(__xludf.DUMMYFUNCTION("""COMPUTED_VALUE""")," Cabreúva")</f>
        <v> Cabreúva</v>
      </c>
      <c r="P316" s="7" t="str">
        <f>IFERROR(__xludf.DUMMYFUNCTION("""COMPUTED_VALUE"""),"SP")</f>
        <v>SP</v>
      </c>
      <c r="Q316" s="7" t="str">
        <f>IFERROR(__xludf.DUMMYFUNCTION("""COMPUTED_VALUE""")," 13315-180 ")</f>
        <v> 13315-180 </v>
      </c>
      <c r="R316" s="9">
        <f>IFERROR(__xludf.DUMMYFUNCTION("SPLIT($K316,"" "","""")"),-2.3305021E7)</f>
        <v>-23305021</v>
      </c>
      <c r="S316" s="9">
        <f>IFERROR(__xludf.DUMMYFUNCTION("""COMPUTED_VALUE"""),-4.7129791E7)</f>
        <v>-47129791</v>
      </c>
      <c r="T316" s="10">
        <v>3508405.0</v>
      </c>
      <c r="U31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13315-180 ', 'PK-20686', SYSDATE, 0, 'PK-20686', SYSDATE, 'Rua  Arminda da Costa Soares  Jardim Zicatti (Centro)', 'Rua Arminda da Costa Soares Jardim Zicatti (Centro)', ' Jardim Zicatti (Centro)', 'Rua', '3508405', 'Rua Arminda da Costa Soares Jardim Zicatti (Centro)',' Jardim Zicatti (Centro)', '1', 'SP', '1', '-23305021', '-47129791', ' Jardim Zicatti (Centro)' </v>
      </c>
    </row>
    <row r="317" ht="15.75" customHeight="1">
      <c r="A317" s="4" t="s">
        <v>991</v>
      </c>
      <c r="B317" s="5" t="s">
        <v>212</v>
      </c>
      <c r="C317" s="4" t="s">
        <v>10</v>
      </c>
      <c r="D317" s="5" t="s">
        <v>992</v>
      </c>
      <c r="E317" s="6">
        <v>214.0</v>
      </c>
      <c r="F317" s="6" t="s">
        <v>12</v>
      </c>
      <c r="G317" s="3" t="s">
        <v>13</v>
      </c>
      <c r="H317" s="7" t="str">
        <f>IFERROR(__xludf.DUMMYFUNCTION("SPLIT(A315,""Rua"","""")"),"       Jamaica")</f>
        <v>       Jamaica</v>
      </c>
      <c r="J317" s="3" t="s">
        <v>993</v>
      </c>
      <c r="K317" s="8" t="str">
        <f>IFERROR(__xludf.DUMMYFUNCTION("SPLIT($J317,""   "","""")"),"-23.307366 -47.133678")</f>
        <v>-23.307366 -47.133678</v>
      </c>
      <c r="L317" s="7" t="str">
        <f>IFERROR(__xludf.DUMMYFUNCTION("""COMPUTED_VALUE"""),"Rua")</f>
        <v>Rua</v>
      </c>
      <c r="M317" s="7" t="str">
        <f>IFERROR(__xludf.DUMMYFUNCTION("""COMPUTED_VALUE""")," Dezessete")</f>
        <v> Dezessete</v>
      </c>
      <c r="N317" s="7" t="str">
        <f>IFERROR(__xludf.DUMMYFUNCTION("""COMPUTED_VALUE""")," Alpes do Tietê")</f>
        <v> Alpes do Tietê</v>
      </c>
      <c r="O317" s="7" t="str">
        <f>IFERROR(__xludf.DUMMYFUNCTION("""COMPUTED_VALUE""")," Cabreúva")</f>
        <v> Cabreúva</v>
      </c>
      <c r="P317" s="7" t="str">
        <f>IFERROR(__xludf.DUMMYFUNCTION("""COMPUTED_VALUE"""),"SP")</f>
        <v>SP</v>
      </c>
      <c r="Q317" s="7" t="str">
        <f>IFERROR(__xludf.DUMMYFUNCTION("""COMPUTED_VALUE""")," 13316-616 ")</f>
        <v> 13316-616 </v>
      </c>
      <c r="R317" s="9">
        <f>IFERROR(__xludf.DUMMYFUNCTION("SPLIT($K317,"" "","""")"),-2.3307366E7)</f>
        <v>-23307366</v>
      </c>
      <c r="S317" s="9">
        <f>IFERROR(__xludf.DUMMYFUNCTION("""COMPUTED_VALUE"""),-4.7133678E7)</f>
        <v>-47133678</v>
      </c>
      <c r="T317" s="10">
        <v>3508405.0</v>
      </c>
      <c r="U31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13316-616 ', 'PK-20686', SYSDATE, 0, 'PK-20686', SYSDATE, 'Rua  Dezessete  Alpes do Tietê', 'Rua Dezessete Alpes do Tietê', ' Alpes do Tietê', 'Rua', '3508405', 'Rua Dezessete Alpes do Tietê',' Alpes do Tietê', '1', 'SP', '1', '-23307366', '-47133678', ' Alpes do Tietê' </v>
      </c>
    </row>
    <row r="318" ht="15.75" customHeight="1">
      <c r="A318" s="4" t="s">
        <v>994</v>
      </c>
      <c r="B318" s="5" t="s">
        <v>212</v>
      </c>
      <c r="C318" s="4" t="s">
        <v>10</v>
      </c>
      <c r="D318" s="5" t="s">
        <v>995</v>
      </c>
      <c r="E318" s="6">
        <v>214.0</v>
      </c>
      <c r="F318" s="6" t="s">
        <v>12</v>
      </c>
      <c r="G318" s="3" t="s">
        <v>13</v>
      </c>
      <c r="H318" s="7" t="str">
        <f>IFERROR(__xludf.DUMMYFUNCTION("SPLIT(A316,""Rua"","""")"),"       Japi")</f>
        <v>       Japi</v>
      </c>
      <c r="J318" s="3" t="s">
        <v>996</v>
      </c>
      <c r="K318" s="8" t="str">
        <f>IFERROR(__xludf.DUMMYFUNCTION("SPLIT($J318,""   "","""")"),"-23.287018 -47.058413")</f>
        <v>-23.287018 -47.058413</v>
      </c>
      <c r="L318" s="7" t="str">
        <f>IFERROR(__xludf.DUMMYFUNCTION("""COMPUTED_VALUE"""),"Rua")</f>
        <v>Rua</v>
      </c>
      <c r="M318" s="7" t="str">
        <f>IFERROR(__xludf.DUMMYFUNCTION("""COMPUTED_VALUE""")," Humberto Donatti")</f>
        <v> Humberto Donatti</v>
      </c>
      <c r="N318" s="7" t="str">
        <f>IFERROR(__xludf.DUMMYFUNCTION("""COMPUTED_VALUE""")," Bonfim")</f>
        <v> Bonfim</v>
      </c>
      <c r="O318" s="7" t="str">
        <f>IFERROR(__xludf.DUMMYFUNCTION("""COMPUTED_VALUE""")," Cabreúva")</f>
        <v> Cabreúva</v>
      </c>
      <c r="P318" s="7" t="str">
        <f>IFERROR(__xludf.DUMMYFUNCTION("""COMPUTED_VALUE"""),"SP")</f>
        <v>SP</v>
      </c>
      <c r="Q318" s="7" t="str">
        <f>IFERROR(__xludf.DUMMYFUNCTION("""COMPUTED_VALUE""")," 13319-012 ")</f>
        <v> 13319-012 </v>
      </c>
      <c r="R318" s="9">
        <f>IFERROR(__xludf.DUMMYFUNCTION("SPLIT($K318,"" "","""")"),-2.3287018E7)</f>
        <v>-23287018</v>
      </c>
      <c r="S318" s="9">
        <f>IFERROR(__xludf.DUMMYFUNCTION("""COMPUTED_VALUE"""),-4.7058413E7)</f>
        <v>-47058413</v>
      </c>
      <c r="T318" s="10">
        <v>3508405.0</v>
      </c>
      <c r="U31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13319-012 ', 'PK-20686', SYSDATE, 0, 'PK-20686', SYSDATE, 'Rua  Humberto Donatti  Bonfim', 'Rua Humberto Donatti Bonfim', ' Bonfim', 'Rua', '3508405', 'Rua Humberto Donatti Bonfim',' Bonfim', '1', 'SP', '1', '-23287018', '-47058413', ' Bonfim' </v>
      </c>
    </row>
    <row r="319" ht="15.75" customHeight="1">
      <c r="A319" s="4" t="s">
        <v>997</v>
      </c>
      <c r="B319" s="5" t="s">
        <v>973</v>
      </c>
      <c r="C319" s="4" t="s">
        <v>10</v>
      </c>
      <c r="D319" s="5" t="s">
        <v>998</v>
      </c>
      <c r="E319" s="6">
        <v>214.0</v>
      </c>
      <c r="F319" s="6" t="s">
        <v>12</v>
      </c>
      <c r="G319" s="3" t="s">
        <v>13</v>
      </c>
      <c r="H319" s="7" t="str">
        <f>IFERROR(__xludf.DUMMYFUNCTION("SPLIT(A317,""Rua"","""")"),"       Jasmim")</f>
        <v>       Jasmim</v>
      </c>
      <c r="J319" s="3" t="s">
        <v>999</v>
      </c>
      <c r="K319" s="8" t="str">
        <f>IFERROR(__xludf.DUMMYFUNCTION("SPLIT($J319,""   "","""")"),"-23.245618 -47.064924")</f>
        <v>-23.245618 -47.064924</v>
      </c>
      <c r="L319" s="7" t="str">
        <f>IFERROR(__xludf.DUMMYFUNCTION("""COMPUTED_VALUE"""),"Rua")</f>
        <v>Rua</v>
      </c>
      <c r="M319" s="7" t="str">
        <f>IFERROR(__xludf.DUMMYFUNCTION("""COMPUTED_VALUE""")," Tannat")</f>
        <v> Tannat</v>
      </c>
      <c r="N319" s="7" t="str">
        <f>IFERROR(__xludf.DUMMYFUNCTION("""COMPUTED_VALUE""")," Reserva da Quinta (Jacaré)")</f>
        <v> Reserva da Quinta (Jacaré)</v>
      </c>
      <c r="O319" s="7" t="str">
        <f>IFERROR(__xludf.DUMMYFUNCTION("""COMPUTED_VALUE""")," Cabreúva")</f>
        <v> Cabreúva</v>
      </c>
      <c r="P319" s="7" t="str">
        <f>IFERROR(__xludf.DUMMYFUNCTION("""COMPUTED_VALUE"""),"SP")</f>
        <v>SP</v>
      </c>
      <c r="Q319" s="7" t="str">
        <f>IFERROR(__xludf.DUMMYFUNCTION("""COMPUTED_VALUE""")," 13318-450 ")</f>
        <v> 13318-450 </v>
      </c>
      <c r="R319" s="9">
        <f>IFERROR(__xludf.DUMMYFUNCTION("SPLIT($K319,"" "","""")"),-2.3245618E7)</f>
        <v>-23245618</v>
      </c>
      <c r="S319" s="9">
        <f>IFERROR(__xludf.DUMMYFUNCTION("""COMPUTED_VALUE"""),-4.7064924E7)</f>
        <v>-47064924</v>
      </c>
      <c r="T319" s="10">
        <v>3508405.0</v>
      </c>
      <c r="U31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13318-450 ', 'PK-20686', SYSDATE, 0, 'PK-20686', SYSDATE, 'Rua  Tannat  Reserva da Quinta (Jacaré)', 'Rua Tannat Reserva da Quinta (Jacaré)', ' Reserva da Quinta (Jacaré)', 'Rua', '3508405', 'Rua Tannat Reserva da Quinta (Jacaré)',' Reserva da Quinta (Jacaré)', '1', 'SP', '1', '-23245618', '-47064924', ' Reserva da Quinta (Jacaré)' </v>
      </c>
    </row>
    <row r="320" ht="15.75" customHeight="1">
      <c r="A320" s="4" t="s">
        <v>1000</v>
      </c>
      <c r="B320" s="5" t="s">
        <v>24</v>
      </c>
      <c r="C320" s="4" t="s">
        <v>10</v>
      </c>
      <c r="D320" s="5" t="s">
        <v>1001</v>
      </c>
      <c r="E320" s="6">
        <v>214.0</v>
      </c>
      <c r="F320" s="6" t="s">
        <v>12</v>
      </c>
      <c r="G320" s="3" t="s">
        <v>13</v>
      </c>
      <c r="H320" s="7" t="str">
        <f>IFERROR(__xludf.DUMMYFUNCTION("SPLIT(A318,""Rua"","""")"),"       Jequitibá")</f>
        <v>       Jequitibá</v>
      </c>
      <c r="J320" s="3" t="s">
        <v>1002</v>
      </c>
      <c r="K320" s="8" t="str">
        <f>IFERROR(__xludf.DUMMYFUNCTION("SPLIT($J320,""   "","""")"),"-23.249039 -47.055736")</f>
        <v>-23.249039 -47.055736</v>
      </c>
      <c r="L320" s="7" t="str">
        <f>IFERROR(__xludf.DUMMYFUNCTION("""COMPUTED_VALUE"""),"Rua")</f>
        <v>Rua</v>
      </c>
      <c r="M320" s="7" t="str">
        <f>IFERROR(__xludf.DUMMYFUNCTION("""COMPUTED_VALUE""")," Bahia")</f>
        <v> Bahia</v>
      </c>
      <c r="N320" s="7" t="str">
        <f>IFERROR(__xludf.DUMMYFUNCTION("""COMPUTED_VALUE""")," Jacaré")</f>
        <v> Jacaré</v>
      </c>
      <c r="O320" s="7" t="str">
        <f>IFERROR(__xludf.DUMMYFUNCTION("""COMPUTED_VALUE""")," Cabreúva")</f>
        <v> Cabreúva</v>
      </c>
      <c r="P320" s="7" t="str">
        <f>IFERROR(__xludf.DUMMYFUNCTION("""COMPUTED_VALUE"""),"SP")</f>
        <v>SP</v>
      </c>
      <c r="Q320" s="7" t="str">
        <f>IFERROR(__xludf.DUMMYFUNCTION("""COMPUTED_VALUE""")," 13318-124 ")</f>
        <v> 13318-124 </v>
      </c>
      <c r="R320" s="9">
        <f>IFERROR(__xludf.DUMMYFUNCTION("SPLIT($K320,"" "","""")"),-2.3249039E7)</f>
        <v>-23249039</v>
      </c>
      <c r="S320" s="9">
        <f>IFERROR(__xludf.DUMMYFUNCTION("""COMPUTED_VALUE"""),-4.7055736E7)</f>
        <v>-47055736</v>
      </c>
      <c r="T320" s="10">
        <v>3508405.0</v>
      </c>
      <c r="U32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13318-124 ', 'PK-20686', SYSDATE, 0, 'PK-20686', SYSDATE, 'Rua  Bahia  Jacaré', 'Rua Bahia Jacaré', ' Jacaré', 'Rua', '3508405', 'Rua Bahia Jacaré',' Jacaré', '1', 'SP', '1', '-23249039', '-47055736', ' Jacaré' </v>
      </c>
    </row>
    <row r="321" ht="15.75" customHeight="1">
      <c r="A321" s="4" t="s">
        <v>1003</v>
      </c>
      <c r="B321" s="5" t="s">
        <v>223</v>
      </c>
      <c r="C321" s="4" t="s">
        <v>10</v>
      </c>
      <c r="D321" s="5" t="s">
        <v>1004</v>
      </c>
      <c r="E321" s="6">
        <v>214.0</v>
      </c>
      <c r="F321" s="6" t="s">
        <v>12</v>
      </c>
      <c r="G321" s="3" t="s">
        <v>13</v>
      </c>
      <c r="H321" s="7" t="str">
        <f>IFERROR(__xludf.DUMMYFUNCTION("SPLIT(A319,""Rua"","""")"),"       João Batista Rosa")</f>
        <v>       João Batista Rosa</v>
      </c>
      <c r="J321" s="3" t="s">
        <v>1005</v>
      </c>
      <c r="K321" s="8" t="str">
        <f>IFERROR(__xludf.DUMMYFUNCTION("SPLIT($J321,""   "","""")"),"-23.28274 -47.060418")</f>
        <v>-23.28274 -47.060418</v>
      </c>
      <c r="L321" s="7" t="str">
        <f>IFERROR(__xludf.DUMMYFUNCTION("""COMPUTED_VALUE"""),"Rua")</f>
        <v>Rua</v>
      </c>
      <c r="M321" s="7" t="str">
        <f>IFERROR(__xludf.DUMMYFUNCTION("""COMPUTED_VALUE""")," Cafelândia")</f>
        <v> Cafelândia</v>
      </c>
      <c r="N321" s="7" t="str">
        <f>IFERROR(__xludf.DUMMYFUNCTION("""COMPUTED_VALUE""")," Novo Bonfim (Vilarejo)")</f>
        <v> Novo Bonfim (Vilarejo)</v>
      </c>
      <c r="O321" s="7" t="str">
        <f>IFERROR(__xludf.DUMMYFUNCTION("""COMPUTED_VALUE""")," Cabreúva")</f>
        <v> Cabreúva</v>
      </c>
      <c r="P321" s="7" t="str">
        <f>IFERROR(__xludf.DUMMYFUNCTION("""COMPUTED_VALUE"""),"SP")</f>
        <v>SP</v>
      </c>
      <c r="Q321" s="7" t="str">
        <f>IFERROR(__xludf.DUMMYFUNCTION("""COMPUTED_VALUE""")," 13317-796 ")</f>
        <v> 13317-796 </v>
      </c>
      <c r="R321" s="9">
        <f>IFERROR(__xludf.DUMMYFUNCTION("SPLIT($K321,"" "","""")"),-2328274.0)</f>
        <v>-2328274</v>
      </c>
      <c r="S321" s="9">
        <f>IFERROR(__xludf.DUMMYFUNCTION("""COMPUTED_VALUE"""),-4.7060418E7)</f>
        <v>-47060418</v>
      </c>
      <c r="T321" s="10">
        <v>3508405.0</v>
      </c>
      <c r="U32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13317-796 ', 'PK-20686', SYSDATE, 0, 'PK-20686', SYSDATE, 'Rua  Cafelândia  Novo Bonfim (Vilarejo)', 'Rua Cafelândia Novo Bonfim (Vilarejo)', ' Novo Bonfim (Vilarejo)', 'Rua', '3508405', 'Rua Cafelândia Novo Bonfim (Vilarejo)',' Novo Bonfim (Vilarejo)', '1', 'SP', '1', '-2328274', '-47060418', ' Novo Bonfim (Vilarejo)' </v>
      </c>
    </row>
    <row r="322" ht="15.75" customHeight="1">
      <c r="A322" s="4" t="s">
        <v>1006</v>
      </c>
      <c r="B322" s="5" t="s">
        <v>180</v>
      </c>
      <c r="C322" s="4" t="s">
        <v>10</v>
      </c>
      <c r="D322" s="5" t="s">
        <v>1007</v>
      </c>
      <c r="E322" s="6">
        <v>214.0</v>
      </c>
      <c r="F322" s="6" t="s">
        <v>12</v>
      </c>
      <c r="G322" s="3" t="s">
        <v>13</v>
      </c>
      <c r="H322" s="7" t="str">
        <f>IFERROR(__xludf.DUMMYFUNCTION("SPLIT(A320,""Rua"","""")"),"       João de Campos")</f>
        <v>       João de Campos</v>
      </c>
      <c r="J322" s="3" t="s">
        <v>1008</v>
      </c>
      <c r="K322" s="8" t="str">
        <f>IFERROR(__xludf.DUMMYFUNCTION("SPLIT($J322,""   "","""")"),"-23.272114 -47.050891")</f>
        <v>-23.272114 -47.050891</v>
      </c>
      <c r="L322" s="7" t="str">
        <f>IFERROR(__xludf.DUMMYFUNCTION("""COMPUTED_VALUE"""),"Rua")</f>
        <v>Rua</v>
      </c>
      <c r="M322" s="7" t="str">
        <f>IFERROR(__xludf.DUMMYFUNCTION("""COMPUTED_VALUE""")," Índia")</f>
        <v> Índia</v>
      </c>
      <c r="N322" s="7" t="str">
        <f>IFERROR(__xludf.DUMMYFUNCTION("""COMPUTED_VALUE""")," Villarejo Sopé da Serra (Vilarejo)")</f>
        <v> Villarejo Sopé da Serra (Vilarejo)</v>
      </c>
      <c r="O322" s="7" t="str">
        <f>IFERROR(__xludf.DUMMYFUNCTION("""COMPUTED_VALUE""")," Cabreúva")</f>
        <v> Cabreúva</v>
      </c>
      <c r="P322" s="7" t="str">
        <f>IFERROR(__xludf.DUMMYFUNCTION("""COMPUTED_VALUE"""),"SP")</f>
        <v>SP</v>
      </c>
      <c r="Q322" s="7" t="str">
        <f>IFERROR(__xludf.DUMMYFUNCTION("""COMPUTED_VALUE""")," 13317-702 ")</f>
        <v> 13317-702 </v>
      </c>
      <c r="R322" s="9">
        <f>IFERROR(__xludf.DUMMYFUNCTION("SPLIT($K322,"" "","""")"),-2.3272114E7)</f>
        <v>-23272114</v>
      </c>
      <c r="S322" s="9">
        <f>IFERROR(__xludf.DUMMYFUNCTION("""COMPUTED_VALUE"""),-4.7050891E7)</f>
        <v>-47050891</v>
      </c>
      <c r="T322" s="10">
        <v>3508405.0</v>
      </c>
      <c r="U32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13317-702 ', 'PK-20686', SYSDATE, 0, 'PK-20686', SYSDATE, 'Rua  Índia  Villarejo Sopé da Serra (Vilarejo)', 'Rua Índia Villarejo Sopé da Serra (Vilarejo)', ' Villarejo Sopé da Serra (Vilarejo)', 'Rua', '3508405', 'Rua Índia Villarejo Sopé da Serra (Vilarejo)',' Villarejo Sopé da Serra (Vilarejo)', '1', 'SP', '1', '-23272114', '-47050891', ' Villarejo Sopé da Serra (Vilarejo)' </v>
      </c>
    </row>
    <row r="323" ht="15.75" customHeight="1">
      <c r="A323" s="4" t="s">
        <v>1009</v>
      </c>
      <c r="B323" s="5" t="s">
        <v>24</v>
      </c>
      <c r="C323" s="4" t="s">
        <v>10</v>
      </c>
      <c r="D323" s="5" t="s">
        <v>1010</v>
      </c>
      <c r="E323" s="6">
        <v>214.0</v>
      </c>
      <c r="F323" s="6" t="s">
        <v>12</v>
      </c>
      <c r="G323" s="3" t="s">
        <v>13</v>
      </c>
      <c r="H323" s="7" t="str">
        <f>IFERROR(__xludf.DUMMYFUNCTION("SPLIT(A321,""Rua"","""")"),"       João Eupideo da Costa")</f>
        <v>       João Eupideo da Costa</v>
      </c>
      <c r="J323" s="3" t="s">
        <v>1011</v>
      </c>
      <c r="K323" s="8" t="str">
        <f>IFERROR(__xludf.DUMMYFUNCTION("SPLIT($J323,""   "","""")"),"-23.257909 -47.051612")</f>
        <v>-23.257909 -47.051612</v>
      </c>
      <c r="L323" s="7" t="str">
        <f>IFERROR(__xludf.DUMMYFUNCTION("""COMPUTED_VALUE"""),"Rua")</f>
        <v>Rua</v>
      </c>
      <c r="M323" s="7" t="str">
        <f>IFERROR(__xludf.DUMMYFUNCTION("""COMPUTED_VALUE""")," das Casuarinas")</f>
        <v> das Casuarinas</v>
      </c>
      <c r="N323" s="7" t="str">
        <f>IFERROR(__xludf.DUMMYFUNCTION("""COMPUTED_VALUE""")," Portal da Concórdia (Jacaré)")</f>
        <v> Portal da Concórdia (Jacaré)</v>
      </c>
      <c r="O323" s="7" t="str">
        <f>IFERROR(__xludf.DUMMYFUNCTION("""COMPUTED_VALUE""")," Cabreúva")</f>
        <v> Cabreúva</v>
      </c>
      <c r="P323" s="7" t="str">
        <f>IFERROR(__xludf.DUMMYFUNCTION("""COMPUTED_VALUE"""),"SP")</f>
        <v>SP</v>
      </c>
      <c r="Q323" s="7" t="str">
        <f>IFERROR(__xludf.DUMMYFUNCTION("""COMPUTED_VALUE""")," 13318-334 ")</f>
        <v> 13318-334 </v>
      </c>
      <c r="R323" s="9">
        <f>IFERROR(__xludf.DUMMYFUNCTION("SPLIT($K323,"" "","""")"),-2.3257909E7)</f>
        <v>-23257909</v>
      </c>
      <c r="S323" s="9">
        <f>IFERROR(__xludf.DUMMYFUNCTION("""COMPUTED_VALUE"""),-4.7051612E7)</f>
        <v>-47051612</v>
      </c>
      <c r="T323" s="10">
        <v>3508405.0</v>
      </c>
      <c r="U32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13318-334 ', 'PK-20686', SYSDATE, 0, 'PK-20686', SYSDATE, 'Rua  das Casuarinas  Portal da Concórdia (Jacaré)', 'Rua das Casuarinas Portal da Concórdia (Jacaré)', ' Portal da Concórdia (Jacaré)', 'Rua', '3508405', 'Rua das Casuarinas Portal da Concórdia (Jacaré)',' Portal da Concórdia (Jacaré)', '1', 'SP', '1', '-23257909', '-47051612', ' Portal da Concórdia (Jacaré)' </v>
      </c>
    </row>
    <row r="324" ht="15.75" customHeight="1">
      <c r="A324" s="4" t="s">
        <v>1012</v>
      </c>
      <c r="B324" s="5" t="s">
        <v>160</v>
      </c>
      <c r="C324" s="4" t="s">
        <v>10</v>
      </c>
      <c r="D324" s="5" t="s">
        <v>1013</v>
      </c>
      <c r="E324" s="6">
        <v>214.0</v>
      </c>
      <c r="F324" s="6" t="s">
        <v>12</v>
      </c>
      <c r="G324" s="3" t="s">
        <v>13</v>
      </c>
      <c r="H324" s="7" t="str">
        <f>IFERROR(__xludf.DUMMYFUNCTION("SPLIT(A322,""Rua"","""")"),"       Joaquim Rabello Cintra")</f>
        <v>       Joaquim Rabello Cintra</v>
      </c>
      <c r="J324" s="3" t="s">
        <v>1014</v>
      </c>
      <c r="K324" s="8" t="str">
        <f>IFERROR(__xludf.DUMMYFUNCTION("SPLIT($J324,""   "","""")"),"-23.307366 -47.133678")</f>
        <v>-23.307366 -47.133678</v>
      </c>
      <c r="L324" s="7" t="str">
        <f>IFERROR(__xludf.DUMMYFUNCTION("""COMPUTED_VALUE"""),"Rua")</f>
        <v>Rua</v>
      </c>
      <c r="M324" s="7" t="str">
        <f>IFERROR(__xludf.DUMMYFUNCTION("""COMPUTED_VALUE""")," Tchecoeslováquia")</f>
        <v> Tchecoeslováquia</v>
      </c>
      <c r="N324" s="7" t="str">
        <f>IFERROR(__xludf.DUMMYFUNCTION("""COMPUTED_VALUE""")," Villarejo Sopé da Serra (Vilarejo)")</f>
        <v> Villarejo Sopé da Serra (Vilarejo)</v>
      </c>
      <c r="O324" s="7" t="str">
        <f>IFERROR(__xludf.DUMMYFUNCTION("""COMPUTED_VALUE""")," Cabreúva")</f>
        <v> Cabreúva</v>
      </c>
      <c r="P324" s="7" t="str">
        <f>IFERROR(__xludf.DUMMYFUNCTION("""COMPUTED_VALUE"""),"SP")</f>
        <v>SP</v>
      </c>
      <c r="Q324" s="7" t="str">
        <f>IFERROR(__xludf.DUMMYFUNCTION("""COMPUTED_VALUE""")," 13317-614 ")</f>
        <v> 13317-614 </v>
      </c>
      <c r="R324" s="9">
        <f>IFERROR(__xludf.DUMMYFUNCTION("SPLIT($K324,"" "","""")"),-2.3307366E7)</f>
        <v>-23307366</v>
      </c>
      <c r="S324" s="9">
        <f>IFERROR(__xludf.DUMMYFUNCTION("""COMPUTED_VALUE"""),-4.7133678E7)</f>
        <v>-47133678</v>
      </c>
      <c r="T324" s="10">
        <v>3508405.0</v>
      </c>
      <c r="U32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13317-614 ', 'PK-20686', SYSDATE, 0, 'PK-20686', SYSDATE, 'Rua  Tchecoeslováquia  Villarejo Sopé da Serra (Vilarejo)', 'Rua Tchecoeslováquia Villarejo Sopé da Serra (Vilarejo)', ' Villarejo Sopé da Serra (Vilarejo)', 'Rua', '3508405', 'Rua Tchecoeslováquia Villarejo Sopé da Serra (Vilarejo)',' Villarejo Sopé da Serra (Vilarejo)', '1', 'SP', '1', '-23307366', '-47133678', ' Villarejo Sopé da Serra (Vilarejo)' </v>
      </c>
    </row>
    <row r="325" ht="15.75" customHeight="1">
      <c r="A325" s="4" t="s">
        <v>1015</v>
      </c>
      <c r="B325" s="5" t="s">
        <v>24</v>
      </c>
      <c r="C325" s="4" t="s">
        <v>10</v>
      </c>
      <c r="D325" s="5" t="s">
        <v>1016</v>
      </c>
      <c r="E325" s="6">
        <v>214.0</v>
      </c>
      <c r="F325" s="6" t="s">
        <v>12</v>
      </c>
      <c r="G325" s="3" t="s">
        <v>13</v>
      </c>
      <c r="H325" s="7" t="str">
        <f>IFERROR(__xludf.DUMMYFUNCTION("SPLIT(A323,""Rua"","""")"),"       Joinville")</f>
        <v>       Joinville</v>
      </c>
      <c r="J325" s="3" t="s">
        <v>1017</v>
      </c>
      <c r="K325" s="8" t="str">
        <f>IFERROR(__xludf.DUMMYFUNCTION("SPLIT($J325,""   "","""")"),"-23.239907 -47.061608")</f>
        <v>-23.239907 -47.061608</v>
      </c>
      <c r="L325" s="7" t="str">
        <f>IFERROR(__xludf.DUMMYFUNCTION("""COMPUTED_VALUE"""),"Rua")</f>
        <v>Rua</v>
      </c>
      <c r="M325" s="7" t="str">
        <f>IFERROR(__xludf.DUMMYFUNCTION("""COMPUTED_VALUE""")," Vitória")</f>
        <v> Vitória</v>
      </c>
      <c r="N325" s="7" t="str">
        <f>IFERROR(__xludf.DUMMYFUNCTION("""COMPUTED_VALUE""")," Jacaré")</f>
        <v> Jacaré</v>
      </c>
      <c r="O325" s="7" t="str">
        <f>IFERROR(__xludf.DUMMYFUNCTION("""COMPUTED_VALUE""")," Cabreúva")</f>
        <v> Cabreúva</v>
      </c>
      <c r="P325" s="7" t="str">
        <f>IFERROR(__xludf.DUMMYFUNCTION("""COMPUTED_VALUE"""),"SP")</f>
        <v>SP</v>
      </c>
      <c r="Q325" s="7" t="str">
        <f>IFERROR(__xludf.DUMMYFUNCTION("""COMPUTED_VALUE""")," 13318-008 ")</f>
        <v> 13318-008 </v>
      </c>
      <c r="R325" s="9">
        <f>IFERROR(__xludf.DUMMYFUNCTION("SPLIT($K325,"" "","""")"),-2.3239907E7)</f>
        <v>-23239907</v>
      </c>
      <c r="S325" s="9">
        <f>IFERROR(__xludf.DUMMYFUNCTION("""COMPUTED_VALUE"""),-4.7061608E7)</f>
        <v>-47061608</v>
      </c>
      <c r="T325" s="10">
        <v>3508405.0</v>
      </c>
      <c r="U32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13318-008 ', 'PK-20686', SYSDATE, 0, 'PK-20686', SYSDATE, 'Rua  Vitória  Jacaré', 'Rua Vitória Jacaré', ' Jacaré', 'Rua', '3508405', 'Rua Vitória Jacaré',' Jacaré', '1', 'SP', '1', '-23239907', '-47061608', ' Jacaré' </v>
      </c>
    </row>
    <row r="326" ht="15.75" customHeight="1">
      <c r="A326" s="4" t="s">
        <v>1018</v>
      </c>
      <c r="B326" s="5" t="s">
        <v>501</v>
      </c>
      <c r="C326" s="4" t="s">
        <v>10</v>
      </c>
      <c r="D326" s="5" t="s">
        <v>1019</v>
      </c>
      <c r="E326" s="6">
        <v>214.0</v>
      </c>
      <c r="F326" s="6" t="s">
        <v>12</v>
      </c>
      <c r="G326" s="3" t="s">
        <v>13</v>
      </c>
      <c r="H326" s="7" t="str">
        <f>IFERROR(__xludf.DUMMYFUNCTION("SPLIT(A324,""Rua"","""")"),"       Jordânia")</f>
        <v>       Jordânia</v>
      </c>
      <c r="J326" s="3" t="s">
        <v>1020</v>
      </c>
      <c r="K326" s="8" t="str">
        <f>IFERROR(__xludf.DUMMYFUNCTION("SPLIT($J326,""   "","""")"),"-23.307366 -47.133678")</f>
        <v>-23.307366 -47.133678</v>
      </c>
      <c r="L326" s="7" t="str">
        <f>IFERROR(__xludf.DUMMYFUNCTION("""COMPUTED_VALUE"""),"Rua")</f>
        <v>Rua</v>
      </c>
      <c r="M326" s="7" t="str">
        <f>IFERROR(__xludf.DUMMYFUNCTION("""COMPUTED_VALUE""")," Cinco")</f>
        <v> Cinco</v>
      </c>
      <c r="N326" s="7" t="str">
        <f>IFERROR(__xludf.DUMMYFUNCTION("""COMPUTED_VALUE""")," Alpes do Tietê")</f>
        <v> Alpes do Tietê</v>
      </c>
      <c r="O326" s="7" t="str">
        <f>IFERROR(__xludf.DUMMYFUNCTION("""COMPUTED_VALUE""")," Cabreúva")</f>
        <v> Cabreúva</v>
      </c>
      <c r="P326" s="7" t="str">
        <f>IFERROR(__xludf.DUMMYFUNCTION("""COMPUTED_VALUE"""),"SP")</f>
        <v>SP</v>
      </c>
      <c r="Q326" s="7" t="str">
        <f>IFERROR(__xludf.DUMMYFUNCTION("""COMPUTED_VALUE""")," 13316-604 ")</f>
        <v> 13316-604 </v>
      </c>
      <c r="R326" s="9">
        <f>IFERROR(__xludf.DUMMYFUNCTION("SPLIT($K326,"" "","""")"),-2.3307366E7)</f>
        <v>-23307366</v>
      </c>
      <c r="S326" s="9">
        <f>IFERROR(__xludf.DUMMYFUNCTION("""COMPUTED_VALUE"""),-4.7133678E7)</f>
        <v>-47133678</v>
      </c>
      <c r="T326" s="10">
        <v>3508405.0</v>
      </c>
      <c r="U32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13316-604 ', 'PK-20686', SYSDATE, 0, 'PK-20686', SYSDATE, 'Rua  Cinco  Alpes do Tietê', 'Rua Cinco Alpes do Tietê', ' Alpes do Tietê', 'Rua', '3508405', 'Rua Cinco Alpes do Tietê',' Alpes do Tietê', '1', 'SP', '1', '-23307366', '-47133678', ' Alpes do Tietê' </v>
      </c>
    </row>
    <row r="327" ht="15.75" customHeight="1">
      <c r="A327" s="4" t="s">
        <v>1021</v>
      </c>
      <c r="B327" s="5" t="s">
        <v>456</v>
      </c>
      <c r="C327" s="4" t="s">
        <v>10</v>
      </c>
      <c r="D327" s="5" t="s">
        <v>1022</v>
      </c>
      <c r="E327" s="6">
        <v>214.0</v>
      </c>
      <c r="F327" s="6" t="s">
        <v>12</v>
      </c>
      <c r="G327" s="3" t="s">
        <v>13</v>
      </c>
      <c r="H327" s="7" t="str">
        <f>IFERROR(__xludf.DUMMYFUNCTION("SPLIT(A325,""Rua"","""")"),"       José Bertagni")</f>
        <v>       José Bertagni</v>
      </c>
      <c r="J327" s="3" t="s">
        <v>1023</v>
      </c>
      <c r="K327" s="8" t="str">
        <f>IFERROR(__xludf.DUMMYFUNCTION("SPLIT($J327,""   "","""")"),"-23.265569 -47.095698")</f>
        <v>-23.265569 -47.095698</v>
      </c>
      <c r="L327" s="7" t="str">
        <f>IFERROR(__xludf.DUMMYFUNCTION("""COMPUTED_VALUE"""),"Rua")</f>
        <v>Rua</v>
      </c>
      <c r="M327" s="7" t="str">
        <f>IFERROR(__xludf.DUMMYFUNCTION("""COMPUTED_VALUE""")," das Dálias")</f>
        <v> das Dálias</v>
      </c>
      <c r="N327" s="7" t="str">
        <f>IFERROR(__xludf.DUMMYFUNCTION("""COMPUTED_VALUE""")," Chácaras do Pinhal (Pinhal)")</f>
        <v> Chácaras do Pinhal (Pinhal)</v>
      </c>
      <c r="O327" s="7" t="str">
        <f>IFERROR(__xludf.DUMMYFUNCTION("""COMPUTED_VALUE""")," Cabreúva")</f>
        <v> Cabreúva</v>
      </c>
      <c r="P327" s="7" t="str">
        <f>IFERROR(__xludf.DUMMYFUNCTION("""COMPUTED_VALUE"""),"SP")</f>
        <v>SP</v>
      </c>
      <c r="Q327" s="7" t="str">
        <f>IFERROR(__xludf.DUMMYFUNCTION("""COMPUTED_VALUE""")," 13317-248 ")</f>
        <v> 13317-248 </v>
      </c>
      <c r="R327" s="9">
        <f>IFERROR(__xludf.DUMMYFUNCTION("SPLIT($K327,"" "","""")"),-2.3265569E7)</f>
        <v>-23265569</v>
      </c>
      <c r="S327" s="9">
        <f>IFERROR(__xludf.DUMMYFUNCTION("""COMPUTED_VALUE"""),-4.7095698E7)</f>
        <v>-47095698</v>
      </c>
      <c r="T327" s="10">
        <v>3508405.0</v>
      </c>
      <c r="U32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13317-248 ', 'PK-20686', SYSDATE, 0, 'PK-20686', SYSDATE, 'Rua  das Dálias  Chácaras do Pinhal (Pinhal)', 'Rua das Dálias Chácaras do Pinhal (Pinhal)', ' Chácaras do Pinhal (Pinhal)', 'Rua', '3508405', 'Rua das Dálias Chácaras do Pinhal (Pinhal)',' Chácaras do Pinhal (Pinhal)', '1', 'SP', '1', '-23265569', '-47095698', ' Chácaras do Pinhal (Pinhal)' </v>
      </c>
    </row>
    <row r="328" ht="15.75" customHeight="1">
      <c r="A328" s="4" t="s">
        <v>1024</v>
      </c>
      <c r="B328" s="5" t="s">
        <v>24</v>
      </c>
      <c r="C328" s="4" t="s">
        <v>10</v>
      </c>
      <c r="D328" s="5" t="s">
        <v>1025</v>
      </c>
      <c r="E328" s="6">
        <v>214.0</v>
      </c>
      <c r="F328" s="6" t="s">
        <v>12</v>
      </c>
      <c r="G328" s="3" t="s">
        <v>13</v>
      </c>
      <c r="H328" s="7" t="str">
        <f>IFERROR(__xludf.DUMMYFUNCTION("SPLIT(A326,""Rua"","""")"),"       José Bonifácio")</f>
        <v>       José Bonifácio</v>
      </c>
      <c r="J328" s="3" t="s">
        <v>1026</v>
      </c>
      <c r="K328" s="8" t="str">
        <f>IFERROR(__xludf.DUMMYFUNCTION("SPLIT($J328,""   "","""")"),"-23.245618 -47.064924")</f>
        <v>-23.245618 -47.064924</v>
      </c>
      <c r="L328" s="7" t="str">
        <f>IFERROR(__xludf.DUMMYFUNCTION("""COMPUTED_VALUE"""),"Rua")</f>
        <v>Rua</v>
      </c>
      <c r="M328" s="7" t="str">
        <f>IFERROR(__xludf.DUMMYFUNCTION("""COMPUTED_VALUE""")," Pinot")</f>
        <v> Pinot</v>
      </c>
      <c r="N328" s="7" t="str">
        <f>IFERROR(__xludf.DUMMYFUNCTION("""COMPUTED_VALUE""")," Reserva da Quinta (Jacaré)")</f>
        <v> Reserva da Quinta (Jacaré)</v>
      </c>
      <c r="O328" s="7" t="str">
        <f>IFERROR(__xludf.DUMMYFUNCTION("""COMPUTED_VALUE""")," Cabreúva")</f>
        <v> Cabreúva</v>
      </c>
      <c r="P328" s="7" t="str">
        <f>IFERROR(__xludf.DUMMYFUNCTION("""COMPUTED_VALUE"""),"SP")</f>
        <v>SP</v>
      </c>
      <c r="Q328" s="7" t="str">
        <f>IFERROR(__xludf.DUMMYFUNCTION("""COMPUTED_VALUE""")," 13318-446 ")</f>
        <v> 13318-446 </v>
      </c>
      <c r="R328" s="9">
        <f>IFERROR(__xludf.DUMMYFUNCTION("SPLIT($K328,"" "","""")"),-2.3245618E7)</f>
        <v>-23245618</v>
      </c>
      <c r="S328" s="9">
        <f>IFERROR(__xludf.DUMMYFUNCTION("""COMPUTED_VALUE"""),-4.7064924E7)</f>
        <v>-47064924</v>
      </c>
      <c r="T328" s="10">
        <v>3508405.0</v>
      </c>
      <c r="U32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13318-446 ', 'PK-20686', SYSDATE, 0, 'PK-20686', SYSDATE, 'Rua  Pinot  Reserva da Quinta (Jacaré)', 'Rua Pinot Reserva da Quinta (Jacaré)', ' Reserva da Quinta (Jacaré)', 'Rua', '3508405', 'Rua Pinot Reserva da Quinta (Jacaré)',' Reserva da Quinta (Jacaré)', '1', 'SP', '1', '-23245618', '-47064924', ' Reserva da Quinta (Jacaré)' </v>
      </c>
    </row>
    <row r="329" ht="15.75" hidden="1" customHeight="1">
      <c r="A329" s="4" t="s">
        <v>1027</v>
      </c>
      <c r="B329" s="5" t="s">
        <v>132</v>
      </c>
      <c r="C329" s="4" t="s">
        <v>10</v>
      </c>
      <c r="D329" s="5" t="s">
        <v>1028</v>
      </c>
      <c r="E329" s="6">
        <v>214.0</v>
      </c>
      <c r="F329" s="6" t="s">
        <v>12</v>
      </c>
      <c r="G329" s="3" t="s">
        <v>13</v>
      </c>
      <c r="H329" s="7" t="str">
        <f>IFERROR(__xludf.DUMMYFUNCTION("SPLIT(A327,""Rua"","""")"),"       José Corazza")</f>
        <v>       José Corazza</v>
      </c>
      <c r="J329" s="3" t="s">
        <v>1029</v>
      </c>
      <c r="K329" s="8" t="str">
        <f>IFERROR(__xludf.DUMMYFUNCTION("SPLIT($J329,""   "","""")"),"-23.25729 -47.09146")</f>
        <v>-23.25729 -47.09146</v>
      </c>
      <c r="L329" s="7" t="str">
        <f>IFERROR(__xludf.DUMMYFUNCTION("""COMPUTED_VALUE"""),"Via")</f>
        <v>Via</v>
      </c>
      <c r="M329" s="7" t="str">
        <f>IFERROR(__xludf.DUMMYFUNCTION("""COMPUTED_VALUE""")," das Vitórias-Régia")</f>
        <v> das Vitórias-Régia</v>
      </c>
      <c r="N329" s="7" t="str">
        <f>IFERROR(__xludf.DUMMYFUNCTION("""COMPUTED_VALUE""")," Chácaras do Pinhal V (Pinhal)")</f>
        <v> Chácaras do Pinhal V (Pinhal)</v>
      </c>
      <c r="O329" s="7" t="str">
        <f>IFERROR(__xludf.DUMMYFUNCTION("""COMPUTED_VALUE""")," Cabreúva")</f>
        <v> Cabreúva</v>
      </c>
      <c r="P329" s="7" t="str">
        <f>IFERROR(__xludf.DUMMYFUNCTION("""COMPUTED_VALUE"""),"SP")</f>
        <v>SP</v>
      </c>
      <c r="Q329" s="7" t="str">
        <f>IFERROR(__xludf.DUMMYFUNCTION("""COMPUTED_VALUE""")," 13317-260 ")</f>
        <v> 13317-260 </v>
      </c>
      <c r="R329" s="9">
        <f>IFERROR(__xludf.DUMMYFUNCTION("SPLIT($K329,"" "","""")"),-2325729.0)</f>
        <v>-2325729</v>
      </c>
      <c r="S329" s="9">
        <f>IFERROR(__xludf.DUMMYFUNCTION("""COMPUTED_VALUE"""),-4709146.0)</f>
        <v>-4709146</v>
      </c>
      <c r="T329" s="10">
        <v>3508405.0</v>
      </c>
      <c r="U32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13317-260 ', 'PK-20686', SYSDATE, 0, 'PK-20686', SYSDATE, 'Via  das Vitórias-Régia  Chácaras do Pinhal V (Pinhal)', 'Via das Vitórias-Régia Chácaras do Pinhal V (Pinhal)', ' Chácaras do Pinhal V (Pinhal)', 'Via', '3508405', 'Via das Vitórias-Régia Chácaras do Pinhal V (Pinhal)',' Chácaras do Pinhal V (Pinhal)', '1', 'SP', '1', '-2325729', '-4709146', ' Chácaras do Pinhal V (Pinhal)' </v>
      </c>
    </row>
    <row r="330" ht="15.75" hidden="1" customHeight="1">
      <c r="A330" s="4" t="s">
        <v>1030</v>
      </c>
      <c r="B330" s="5" t="s">
        <v>226</v>
      </c>
      <c r="C330" s="4" t="s">
        <v>10</v>
      </c>
      <c r="D330" s="5" t="s">
        <v>1031</v>
      </c>
      <c r="E330" s="6">
        <v>214.0</v>
      </c>
      <c r="F330" s="6" t="s">
        <v>12</v>
      </c>
      <c r="G330" s="3" t="s">
        <v>13</v>
      </c>
      <c r="H330" s="7" t="str">
        <f>IFERROR(__xludf.DUMMYFUNCTION("SPLIT(A328,""Rua"","""")"),"       José Fermiano")</f>
        <v>       José Fermiano</v>
      </c>
      <c r="J330" s="3" t="s">
        <v>1032</v>
      </c>
      <c r="K330" s="8" t="str">
        <f>IFERROR(__xludf.DUMMYFUNCTION("SPLIT($J330,""   "","""")"),"-23.258005 -47.050855")</f>
        <v>-23.258005 -47.050855</v>
      </c>
      <c r="L330" s="7" t="str">
        <f>IFERROR(__xludf.DUMMYFUNCTION("""COMPUTED_VALUE"""),"Avenida")</f>
        <v>Avenida</v>
      </c>
      <c r="M330" s="7" t="str">
        <f>IFERROR(__xludf.DUMMYFUNCTION("""COMPUTED_VALUE""")," Cláudio Giannini")</f>
        <v> Cláudio Giannini</v>
      </c>
      <c r="N330" s="7" t="str">
        <f>IFERROR(__xludf.DUMMYFUNCTION("""COMPUTED_VALUE""")," Jardim Colina da Serra (Jacaré)")</f>
        <v> Jardim Colina da Serra (Jacaré)</v>
      </c>
      <c r="O330" s="7" t="str">
        <f>IFERROR(__xludf.DUMMYFUNCTION("""COMPUTED_VALUE""")," Cabreúva")</f>
        <v> Cabreúva</v>
      </c>
      <c r="P330" s="7" t="str">
        <f>IFERROR(__xludf.DUMMYFUNCTION("""COMPUTED_VALUE"""),"SP")</f>
        <v>SP</v>
      </c>
      <c r="Q330" s="7" t="str">
        <f>IFERROR(__xludf.DUMMYFUNCTION("""COMPUTED_VALUE""")," 13318-230 ")</f>
        <v> 13318-230 </v>
      </c>
      <c r="R330" s="9">
        <f>IFERROR(__xludf.DUMMYFUNCTION("SPLIT($K330,"" "","""")"),-2.3258005E7)</f>
        <v>-23258005</v>
      </c>
      <c r="S330" s="9">
        <f>IFERROR(__xludf.DUMMYFUNCTION("""COMPUTED_VALUE"""),-4.7050855E7)</f>
        <v>-47050855</v>
      </c>
      <c r="T330" s="10">
        <v>3508405.0</v>
      </c>
      <c r="U33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13318-230 ', 'PK-20686', SYSDATE, 0, 'PK-20686', SYSDATE, 'Avenida  Cláudio Giannini  Jardim Colina da Serra (Jacaré)', 'Avenida Cláudio Giannini Jardim Colina da Serra (Jacaré)', ' Jardim Colina da Serra (Jacaré)', 'Avenida', '3508405', 'Avenida Cláudio Giannini Jardim Colina da Serra (Jacaré)',' Jardim Colina da Serra (Jacaré)', '1', 'SP', '1', '-23258005', '-47050855', ' Jardim Colina da Serra (Jacaré)' </v>
      </c>
    </row>
    <row r="331" ht="15.75" customHeight="1">
      <c r="A331" s="4" t="s">
        <v>1033</v>
      </c>
      <c r="B331" s="5" t="s">
        <v>193</v>
      </c>
      <c r="C331" s="4" t="s">
        <v>10</v>
      </c>
      <c r="D331" s="5" t="s">
        <v>1034</v>
      </c>
      <c r="E331" s="6">
        <v>214.0</v>
      </c>
      <c r="F331" s="6" t="s">
        <v>12</v>
      </c>
      <c r="G331" s="3" t="s">
        <v>13</v>
      </c>
      <c r="H331" s="7" t="str">
        <f>IFERROR(__xludf.DUMMYFUNCTION("SPLIT(A329,""Rua"","""")"),"       José Pedro da Silva")</f>
        <v>       José Pedro da Silva</v>
      </c>
      <c r="J331" s="3" t="s">
        <v>1035</v>
      </c>
      <c r="K331" s="8" t="str">
        <f>IFERROR(__xludf.DUMMYFUNCTION("SPLIT($J331,""   "","""")"),"-23.305863 -47.138427")</f>
        <v>-23.305863 -47.138427</v>
      </c>
      <c r="L331" s="7" t="str">
        <f>IFERROR(__xludf.DUMMYFUNCTION("""COMPUTED_VALUE"""),"Rua")</f>
        <v>Rua</v>
      </c>
      <c r="M331" s="7" t="str">
        <f>IFERROR(__xludf.DUMMYFUNCTION("""COMPUTED_VALUE""")," João Batista Rosa")</f>
        <v> João Batista Rosa</v>
      </c>
      <c r="N331" s="7" t="str">
        <f>IFERROR(__xludf.DUMMYFUNCTION("""COMPUTED_VALUE""")," Jardim Alice (Centro)")</f>
        <v> Jardim Alice (Centro)</v>
      </c>
      <c r="O331" s="7" t="str">
        <f>IFERROR(__xludf.DUMMYFUNCTION("""COMPUTED_VALUE""")," Cabreúva")</f>
        <v> Cabreúva</v>
      </c>
      <c r="P331" s="7" t="str">
        <f>IFERROR(__xludf.DUMMYFUNCTION("""COMPUTED_VALUE"""),"SP")</f>
        <v>SP</v>
      </c>
      <c r="Q331" s="7" t="str">
        <f>IFERROR(__xludf.DUMMYFUNCTION("""COMPUTED_VALUE""")," 13315-174 ")</f>
        <v> 13315-174 </v>
      </c>
      <c r="R331" s="9">
        <f>IFERROR(__xludf.DUMMYFUNCTION("SPLIT($K331,"" "","""")"),-2.3305863E7)</f>
        <v>-23305863</v>
      </c>
      <c r="S331" s="9">
        <f>IFERROR(__xludf.DUMMYFUNCTION("""COMPUTED_VALUE"""),-4.7138427E7)</f>
        <v>-47138427</v>
      </c>
      <c r="T331" s="10">
        <v>3508405.0</v>
      </c>
      <c r="U33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13315-174 ', 'PK-20686', SYSDATE, 0, 'PK-20686', SYSDATE, 'Rua  João Batista Rosa  Jardim Alice (Centro)', 'Rua João Batista Rosa Jardim Alice (Centro)', ' Jardim Alice (Centro)', 'Rua', '3508405', 'Rua João Batista Rosa Jardim Alice (Centro)',' Jardim Alice (Centro)', '1', 'SP', '1', '-23305863', '-47138427', ' Jardim Alice (Centro)' </v>
      </c>
    </row>
    <row r="332" ht="15.75" customHeight="1">
      <c r="A332" s="4" t="s">
        <v>1036</v>
      </c>
      <c r="B332" s="5" t="s">
        <v>216</v>
      </c>
      <c r="C332" s="4" t="s">
        <v>10</v>
      </c>
      <c r="D332" s="5" t="s">
        <v>1037</v>
      </c>
      <c r="E332" s="6">
        <v>214.0</v>
      </c>
      <c r="F332" s="6" t="s">
        <v>12</v>
      </c>
      <c r="G332" s="3" t="s">
        <v>13</v>
      </c>
      <c r="H332" s="7" t="str">
        <f>IFERROR(__xludf.DUMMYFUNCTION("SPLIT(A330,""Rua"","""")"),"       José Soares Silva Neto")</f>
        <v>       José Soares Silva Neto</v>
      </c>
      <c r="J332" s="3" t="s">
        <v>1038</v>
      </c>
      <c r="K332" s="8" t="str">
        <f>IFERROR(__xludf.DUMMYFUNCTION("SPLIT($J332,""   "","""")"),"-23.250617 -47.054445")</f>
        <v>-23.250617 -47.054445</v>
      </c>
      <c r="L332" s="7" t="str">
        <f>IFERROR(__xludf.DUMMYFUNCTION("""COMPUTED_VALUE"""),"Rua")</f>
        <v>Rua</v>
      </c>
      <c r="M332" s="7" t="str">
        <f>IFERROR(__xludf.DUMMYFUNCTION("""COMPUTED_VALUE""")," Francisco Nunes")</f>
        <v> Francisco Nunes</v>
      </c>
      <c r="N332" s="7" t="str">
        <f>IFERROR(__xludf.DUMMYFUNCTION("""COMPUTED_VALUE""")," Jardim da Serra (Jacaré)")</f>
        <v> Jardim da Serra (Jacaré)</v>
      </c>
      <c r="O332" s="7" t="str">
        <f>IFERROR(__xludf.DUMMYFUNCTION("""COMPUTED_VALUE""")," Cabreúva")</f>
        <v> Cabreúva</v>
      </c>
      <c r="P332" s="7" t="str">
        <f>IFERROR(__xludf.DUMMYFUNCTION("""COMPUTED_VALUE"""),"SP")</f>
        <v>SP</v>
      </c>
      <c r="Q332" s="7" t="str">
        <f>IFERROR(__xludf.DUMMYFUNCTION("""COMPUTED_VALUE""")," 13318-142 ")</f>
        <v> 13318-142 </v>
      </c>
      <c r="R332" s="9">
        <f>IFERROR(__xludf.DUMMYFUNCTION("SPLIT($K332,"" "","""")"),-2.3250617E7)</f>
        <v>-23250617</v>
      </c>
      <c r="S332" s="9">
        <f>IFERROR(__xludf.DUMMYFUNCTION("""COMPUTED_VALUE"""),-4.7054445E7)</f>
        <v>-47054445</v>
      </c>
      <c r="T332" s="10">
        <v>3508405.0</v>
      </c>
      <c r="U33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13318-142 ', 'PK-20686', SYSDATE, 0, 'PK-20686', SYSDATE, 'Rua  Francisco Nunes  Jardim da Serra (Jacaré)', 'Rua Francisco Nunes Jardim da Serra (Jacaré)', ' Jardim da Serra (Jacaré)', 'Rua', '3508405', 'Rua Francisco Nunes Jardim da Serra (Jacaré)',' Jardim da Serra (Jacaré)', '1', 'SP', '1', '-23250617', '-47054445', ' Jardim da Serra (Jacaré)' </v>
      </c>
    </row>
    <row r="333" ht="15.75" customHeight="1">
      <c r="A333" s="4" t="s">
        <v>1039</v>
      </c>
      <c r="B333" s="5" t="s">
        <v>24</v>
      </c>
      <c r="C333" s="4" t="s">
        <v>10</v>
      </c>
      <c r="D333" s="5" t="s">
        <v>1040</v>
      </c>
      <c r="E333" s="6">
        <v>214.0</v>
      </c>
      <c r="F333" s="6" t="s">
        <v>12</v>
      </c>
      <c r="G333" s="3" t="s">
        <v>13</v>
      </c>
      <c r="H333" s="7" t="str">
        <f>IFERROR(__xludf.DUMMYFUNCTION("SPLIT(A331,""Rua"","""")"),"       Juiz de Fora")</f>
        <v>       Juiz de Fora</v>
      </c>
      <c r="J333" s="3" t="s">
        <v>1041</v>
      </c>
      <c r="K333" s="8" t="str">
        <f>IFERROR(__xludf.DUMMYFUNCTION("SPLIT($J333,""   "","""")"),"-21.292246 -50.342843")</f>
        <v>-21.292246 -50.342843</v>
      </c>
      <c r="L333" s="7" t="str">
        <f>IFERROR(__xludf.DUMMYFUNCTION("""COMPUTED_VALUE"""),"Rua")</f>
        <v>Rua</v>
      </c>
      <c r="M333" s="7" t="str">
        <f>IFERROR(__xludf.DUMMYFUNCTION("""COMPUTED_VALUE""")," Manoel Ribeiro Leal")</f>
        <v> Manoel Ribeiro Leal</v>
      </c>
      <c r="N333" s="7" t="str">
        <f>IFERROR(__xludf.DUMMYFUNCTION("""COMPUTED_VALUE""")," Jardim Primavera (Jacaré)")</f>
        <v> Jardim Primavera (Jacaré)</v>
      </c>
      <c r="O333" s="7" t="str">
        <f>IFERROR(__xludf.DUMMYFUNCTION("""COMPUTED_VALUE""")," Cabreúva")</f>
        <v> Cabreúva</v>
      </c>
      <c r="P333" s="7" t="str">
        <f>IFERROR(__xludf.DUMMYFUNCTION("""COMPUTED_VALUE"""),"SP")</f>
        <v>SP</v>
      </c>
      <c r="Q333" s="7" t="str">
        <f>IFERROR(__xludf.DUMMYFUNCTION("""COMPUTED_VALUE""")," 13318-424 ")</f>
        <v> 13318-424 </v>
      </c>
      <c r="R333" s="9">
        <f>IFERROR(__xludf.DUMMYFUNCTION("SPLIT($K333,"" "","""")"),-2.1292246E7)</f>
        <v>-21292246</v>
      </c>
      <c r="S333" s="9">
        <f>IFERROR(__xludf.DUMMYFUNCTION("""COMPUTED_VALUE"""),-5.0342843E7)</f>
        <v>-50342843</v>
      </c>
      <c r="T333" s="10">
        <v>3508405.0</v>
      </c>
      <c r="U33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13318-424 ', 'PK-20686', SYSDATE, 0, 'PK-20686', SYSDATE, 'Rua  Manoel Ribeiro Leal  Jardim Primavera (Jacaré)', 'Rua Manoel Ribeiro Leal Jardim Primavera (Jacaré)', ' Jardim Primavera (Jacaré)', 'Rua', '3508405', 'Rua Manoel Ribeiro Leal Jardim Primavera (Jacaré)',' Jardim Primavera (Jacaré)', '1', 'SP', '1', '-21292246', '-50342843', ' Jardim Primavera (Jacaré)' </v>
      </c>
    </row>
    <row r="334" ht="15.75" customHeight="1">
      <c r="A334" s="4" t="s">
        <v>1042</v>
      </c>
      <c r="B334" s="5" t="s">
        <v>368</v>
      </c>
      <c r="C334" s="4" t="s">
        <v>10</v>
      </c>
      <c r="D334" s="5" t="s">
        <v>1043</v>
      </c>
      <c r="E334" s="6">
        <v>214.0</v>
      </c>
      <c r="F334" s="6" t="s">
        <v>12</v>
      </c>
      <c r="G334" s="3" t="s">
        <v>13</v>
      </c>
      <c r="H334" s="7" t="str">
        <f>IFERROR(__xludf.DUMMYFUNCTION("SPLIT(A332,""Rua"","""")"),"       Jundiaí")</f>
        <v>       Jundiaí</v>
      </c>
      <c r="J334" s="3" t="s">
        <v>1044</v>
      </c>
      <c r="K334" s="8" t="str">
        <f>IFERROR(__xludf.DUMMYFUNCTION("SPLIT($J334,""   "","""")"),"-23.240266 -47.053585")</f>
        <v>-23.240266 -47.053585</v>
      </c>
      <c r="L334" s="7" t="str">
        <f>IFERROR(__xludf.DUMMYFUNCTION("""COMPUTED_VALUE"""),"Rua")</f>
        <v>Rua</v>
      </c>
      <c r="M334" s="7" t="str">
        <f>IFERROR(__xludf.DUMMYFUNCTION("""COMPUTED_VALUE""")," Moema")</f>
        <v> Moema</v>
      </c>
      <c r="N334" s="7" t="str">
        <f>IFERROR(__xludf.DUMMYFUNCTION("""COMPUTED_VALUE""")," Residencial Haras Pindorama I (Jacaré)")</f>
        <v> Residencial Haras Pindorama I (Jacaré)</v>
      </c>
      <c r="O334" s="7" t="str">
        <f>IFERROR(__xludf.DUMMYFUNCTION("""COMPUTED_VALUE""")," Cabreúva")</f>
        <v> Cabreúva</v>
      </c>
      <c r="P334" s="7" t="str">
        <f>IFERROR(__xludf.DUMMYFUNCTION("""COMPUTED_VALUE"""),"SP")</f>
        <v>SP</v>
      </c>
      <c r="Q334" s="7" t="str">
        <f>IFERROR(__xludf.DUMMYFUNCTION("""COMPUTED_VALUE""")," 13318-404 ")</f>
        <v> 13318-404 </v>
      </c>
      <c r="R334" s="9">
        <f>IFERROR(__xludf.DUMMYFUNCTION("SPLIT($K334,"" "","""")"),-2.3240266E7)</f>
        <v>-23240266</v>
      </c>
      <c r="S334" s="9">
        <f>IFERROR(__xludf.DUMMYFUNCTION("""COMPUTED_VALUE"""),-4.7053585E7)</f>
        <v>-47053585</v>
      </c>
      <c r="T334" s="10">
        <v>3508405.0</v>
      </c>
      <c r="U33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13318-404 ', 'PK-20686', SYSDATE, 0, 'PK-20686', SYSDATE, 'Rua  Moema  Residencial Haras Pindorama I (Jacaré)', 'Rua Moema Residencial Haras Pindorama I (Jacaré)', ' Residencial Haras Pindorama I (Jacaré)', 'Rua', '3508405', 'Rua Moema Residencial Haras Pindorama I (Jacaré)',' Residencial Haras Pindorama I (Jacaré)', '1', 'SP', '1', '-23240266', '-47053585', ' Residencial Haras Pindorama I (Jacaré)' </v>
      </c>
    </row>
    <row r="335" ht="15.75" customHeight="1">
      <c r="A335" s="4" t="s">
        <v>1045</v>
      </c>
      <c r="B335" s="5" t="s">
        <v>160</v>
      </c>
      <c r="C335" s="4" t="s">
        <v>10</v>
      </c>
      <c r="D335" s="5" t="s">
        <v>1046</v>
      </c>
      <c r="E335" s="6">
        <v>214.0</v>
      </c>
      <c r="F335" s="6" t="s">
        <v>12</v>
      </c>
      <c r="G335" s="3" t="s">
        <v>13</v>
      </c>
      <c r="H335" s="7" t="str">
        <f>IFERROR(__xludf.DUMMYFUNCTION("SPLIT(A333,""Rua"","""")"),"       Juvenal Bicudo Galvão")</f>
        <v>       Juvenal Bicudo Galvão</v>
      </c>
      <c r="J335" s="3" t="s">
        <v>1047</v>
      </c>
      <c r="K335" s="8" t="str">
        <f>IFERROR(__xludf.DUMMYFUNCTION("SPLIT($J335,""   "","""")"),"-23.307201 -47.136676")</f>
        <v>-23.307201 -47.136676</v>
      </c>
      <c r="L335" s="7" t="str">
        <f>IFERROR(__xludf.DUMMYFUNCTION("""COMPUTED_VALUE"""),"Rua")</f>
        <v>Rua</v>
      </c>
      <c r="M335" s="7" t="str">
        <f>IFERROR(__xludf.DUMMYFUNCTION("""COMPUTED_VALUE""")," Benedito Alves dos Santos")</f>
        <v> Benedito Alves dos Santos</v>
      </c>
      <c r="N335" s="7" t="str">
        <f>IFERROR(__xludf.DUMMYFUNCTION("""COMPUTED_VALUE""")," Jardim Ipê (Centro)")</f>
        <v> Jardim Ipê (Centro)</v>
      </c>
      <c r="O335" s="7" t="str">
        <f>IFERROR(__xludf.DUMMYFUNCTION("""COMPUTED_VALUE""")," Cabreúva")</f>
        <v> Cabreúva</v>
      </c>
      <c r="P335" s="7" t="str">
        <f>IFERROR(__xludf.DUMMYFUNCTION("""COMPUTED_VALUE"""),"SP")</f>
        <v>SP</v>
      </c>
      <c r="Q335" s="7" t="str">
        <f>IFERROR(__xludf.DUMMYFUNCTION("""COMPUTED_VALUE""")," 13315-160 ")</f>
        <v> 13315-160 </v>
      </c>
      <c r="R335" s="9">
        <f>IFERROR(__xludf.DUMMYFUNCTION("SPLIT($K335,"" "","""")"),-2.3307201E7)</f>
        <v>-23307201</v>
      </c>
      <c r="S335" s="9">
        <f>IFERROR(__xludf.DUMMYFUNCTION("""COMPUTED_VALUE"""),-4.7136676E7)</f>
        <v>-47136676</v>
      </c>
      <c r="T335" s="10">
        <v>3508405.0</v>
      </c>
      <c r="U33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13315-160 ', 'PK-20686', SYSDATE, 0, 'PK-20686', SYSDATE, 'Rua  Benedito Alves dos Santos  Jardim Ipê (Centro)', 'Rua Benedito Alves dos Santos Jardim Ipê (Centro)', ' Jardim Ipê (Centro)', 'Rua', '3508405', 'Rua Benedito Alves dos Santos Jardim Ipê (Centro)',' Jardim Ipê (Centro)', '1', 'SP', '1', '-23307201', '-47136676', ' Jardim Ipê (Centro)' </v>
      </c>
    </row>
    <row r="336" ht="15.75" customHeight="1">
      <c r="A336" s="4" t="s">
        <v>1048</v>
      </c>
      <c r="B336" s="5" t="s">
        <v>368</v>
      </c>
      <c r="C336" s="4" t="s">
        <v>10</v>
      </c>
      <c r="D336" s="5" t="s">
        <v>1049</v>
      </c>
      <c r="E336" s="6">
        <v>214.0</v>
      </c>
      <c r="F336" s="6" t="s">
        <v>12</v>
      </c>
      <c r="G336" s="3" t="s">
        <v>13</v>
      </c>
      <c r="H336" s="7" t="str">
        <f>IFERROR(__xludf.DUMMYFUNCTION("SPLIT(A334,""Rua"","""")"),"       K")</f>
        <v>       K</v>
      </c>
      <c r="J336" s="3" t="s">
        <v>1050</v>
      </c>
      <c r="K336" s="8" t="str">
        <f>IFERROR(__xludf.DUMMYFUNCTION("SPLIT($J336,""   "","""")"),"-23.287089 -47.05739")</f>
        <v>-23.287089 -47.05739</v>
      </c>
      <c r="L336" s="7" t="str">
        <f>IFERROR(__xludf.DUMMYFUNCTION("""COMPUTED_VALUE"""),"Rua")</f>
        <v>Rua</v>
      </c>
      <c r="M336" s="7" t="str">
        <f>IFERROR(__xludf.DUMMYFUNCTION("""COMPUTED_VALUE""")," Virgínia")</f>
        <v> Virgínia</v>
      </c>
      <c r="N336" s="7" t="str">
        <f>IFERROR(__xludf.DUMMYFUNCTION("""COMPUTED_VALUE""")," Bonfim")</f>
        <v> Bonfim</v>
      </c>
      <c r="O336" s="7" t="str">
        <f>IFERROR(__xludf.DUMMYFUNCTION("""COMPUTED_VALUE""")," Cabreúva")</f>
        <v> Cabreúva</v>
      </c>
      <c r="P336" s="7" t="str">
        <f>IFERROR(__xludf.DUMMYFUNCTION("""COMPUTED_VALUE"""),"SP")</f>
        <v>SP</v>
      </c>
      <c r="Q336" s="7" t="str">
        <f>IFERROR(__xludf.DUMMYFUNCTION("""COMPUTED_VALUE""")," 13319-030 ")</f>
        <v> 13319-030 </v>
      </c>
      <c r="R336" s="9">
        <f>IFERROR(__xludf.DUMMYFUNCTION("SPLIT($K336,"" "","""")"),-2.3287089E7)</f>
        <v>-23287089</v>
      </c>
      <c r="S336" s="9">
        <f>IFERROR(__xludf.DUMMYFUNCTION("""COMPUTED_VALUE"""),-4705739.0)</f>
        <v>-4705739</v>
      </c>
      <c r="T336" s="10">
        <v>3508405.0</v>
      </c>
      <c r="U33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13319-030 ', 'PK-20686', SYSDATE, 0, 'PK-20686', SYSDATE, 'Rua  Virgínia  Bonfim', 'Rua Virgínia Bonfim', ' Bonfim', 'Rua', '3508405', 'Rua Virgínia Bonfim',' Bonfim', '1', 'SP', '1', '-23287089', '-4705739', ' Bonfim' </v>
      </c>
    </row>
    <row r="337" ht="15.75" customHeight="1">
      <c r="A337" s="4" t="s">
        <v>1051</v>
      </c>
      <c r="B337" s="5" t="s">
        <v>160</v>
      </c>
      <c r="C337" s="4" t="s">
        <v>10</v>
      </c>
      <c r="D337" s="5" t="s">
        <v>1052</v>
      </c>
      <c r="E337" s="6">
        <v>214.0</v>
      </c>
      <c r="F337" s="6" t="s">
        <v>12</v>
      </c>
      <c r="G337" s="3" t="s">
        <v>13</v>
      </c>
      <c r="H337" s="7" t="str">
        <f>IFERROR(__xludf.DUMMYFUNCTION("SPLIT(A335,""Rua"","""")"),"       Kuwait")</f>
        <v>       Kuwait</v>
      </c>
      <c r="J337" s="3" t="s">
        <v>1053</v>
      </c>
      <c r="K337" s="8" t="str">
        <f>IFERROR(__xludf.DUMMYFUNCTION("SPLIT($J337,""   "","""")"),"-23.30897 -47.131949")</f>
        <v>-23.30897 -47.131949</v>
      </c>
      <c r="L337" s="7" t="str">
        <f>IFERROR(__xludf.DUMMYFUNCTION("""COMPUTED_VALUE"""),"Rua")</f>
        <v>Rua</v>
      </c>
      <c r="M337" s="7" t="str">
        <f>IFERROR(__xludf.DUMMYFUNCTION("""COMPUTED_VALUE""")," Sargento Antonio Santa Rosa")</f>
        <v> Sargento Antonio Santa Rosa</v>
      </c>
      <c r="N337" s="7" t="str">
        <f>IFERROR(__xludf.DUMMYFUNCTION("""COMPUTED_VALUE""")," Centro")</f>
        <v> Centro</v>
      </c>
      <c r="O337" s="7" t="str">
        <f>IFERROR(__xludf.DUMMYFUNCTION("""COMPUTED_VALUE""")," Cabreúva")</f>
        <v> Cabreúva</v>
      </c>
      <c r="P337" s="7" t="str">
        <f>IFERROR(__xludf.DUMMYFUNCTION("""COMPUTED_VALUE"""),"SP")</f>
        <v>SP</v>
      </c>
      <c r="Q337" s="7" t="str">
        <f>IFERROR(__xludf.DUMMYFUNCTION("""COMPUTED_VALUE""")," 13315-020 ")</f>
        <v> 13315-020 </v>
      </c>
      <c r="R337" s="9">
        <f>IFERROR(__xludf.DUMMYFUNCTION("SPLIT($K337,"" "","""")"),-2330897.0)</f>
        <v>-2330897</v>
      </c>
      <c r="S337" s="9">
        <f>IFERROR(__xludf.DUMMYFUNCTION("""COMPUTED_VALUE"""),-4.7131949E7)</f>
        <v>-47131949</v>
      </c>
      <c r="T337" s="10">
        <v>3508405.0</v>
      </c>
      <c r="U33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13315-020 ', 'PK-20686', SYSDATE, 0, 'PK-20686', SYSDATE, 'Rua  Sargento Antonio Santa Rosa  Centro', 'Rua Sargento Antonio Santa Rosa Centro', ' Centro', 'Rua', '3508405', 'Rua Sargento Antonio Santa Rosa Centro',' Centro', '1', 'SP', '1', '-2330897', '-47131949', ' Centro' </v>
      </c>
    </row>
    <row r="338" ht="15.75" customHeight="1">
      <c r="A338" s="4" t="s">
        <v>1054</v>
      </c>
      <c r="B338" s="5" t="s">
        <v>180</v>
      </c>
      <c r="C338" s="4" t="s">
        <v>10</v>
      </c>
      <c r="D338" s="5" t="s">
        <v>1055</v>
      </c>
      <c r="E338" s="6">
        <v>214.0</v>
      </c>
      <c r="F338" s="6" t="s">
        <v>12</v>
      </c>
      <c r="G338" s="3" t="s">
        <v>13</v>
      </c>
      <c r="H338" s="7" t="str">
        <f>IFERROR(__xludf.DUMMYFUNCTION("SPLIT(A336,""Rua"","""")"),"       L")</f>
        <v>       L</v>
      </c>
      <c r="J338" s="3" t="s">
        <v>1056</v>
      </c>
      <c r="K338" s="8" t="str">
        <f>IFERROR(__xludf.DUMMYFUNCTION("SPLIT($J338,""   "","""")"),"-23.300756 -47.136936")</f>
        <v>-23.300756 -47.136936</v>
      </c>
      <c r="L338" s="7" t="str">
        <f>IFERROR(__xludf.DUMMYFUNCTION("""COMPUTED_VALUE"""),"Rua")</f>
        <v>Rua</v>
      </c>
      <c r="M338" s="7" t="str">
        <f>IFERROR(__xludf.DUMMYFUNCTION("""COMPUTED_VALUE""")," Imbuia")</f>
        <v> Imbuia</v>
      </c>
      <c r="N338" s="7" t="str">
        <f>IFERROR(__xludf.DUMMYFUNCTION("""COMPUTED_VALUE""")," Vale Verde (Centro)")</f>
        <v> Vale Verde (Centro)</v>
      </c>
      <c r="O338" s="7" t="str">
        <f>IFERROR(__xludf.DUMMYFUNCTION("""COMPUTED_VALUE""")," Cabreúva")</f>
        <v> Cabreúva</v>
      </c>
      <c r="P338" s="7" t="str">
        <f>IFERROR(__xludf.DUMMYFUNCTION("""COMPUTED_VALUE"""),"SP")</f>
        <v>SP</v>
      </c>
      <c r="Q338" s="7" t="str">
        <f>IFERROR(__xludf.DUMMYFUNCTION("""COMPUTED_VALUE""")," 13315-262 ")</f>
        <v> 13315-262 </v>
      </c>
      <c r="R338" s="9">
        <f>IFERROR(__xludf.DUMMYFUNCTION("SPLIT($K338,"" "","""")"),-2.3300756E7)</f>
        <v>-23300756</v>
      </c>
      <c r="S338" s="9">
        <f>IFERROR(__xludf.DUMMYFUNCTION("""COMPUTED_VALUE"""),-4.7136936E7)</f>
        <v>-47136936</v>
      </c>
      <c r="T338" s="10">
        <v>3508405.0</v>
      </c>
      <c r="U33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13315-262 ', 'PK-20686', SYSDATE, 0, 'PK-20686', SYSDATE, 'Rua  Imbuia  Vale Verde (Centro)', 'Rua Imbuia Vale Verde (Centro)', ' Vale Verde (Centro)', 'Rua', '3508405', 'Rua Imbuia Vale Verde (Centro)',' Vale Verde (Centro)', '1', 'SP', '1', '-23300756', '-47136936', ' Vale Verde (Centro)' </v>
      </c>
    </row>
    <row r="339" ht="15.75" customHeight="1">
      <c r="A339" s="4" t="s">
        <v>1057</v>
      </c>
      <c r="B339" s="5" t="s">
        <v>132</v>
      </c>
      <c r="C339" s="4" t="s">
        <v>10</v>
      </c>
      <c r="D339" s="5" t="s">
        <v>1058</v>
      </c>
      <c r="E339" s="6">
        <v>214.0</v>
      </c>
      <c r="F339" s="6" t="s">
        <v>12</v>
      </c>
      <c r="G339" s="3" t="s">
        <v>13</v>
      </c>
      <c r="H339" s="7" t="str">
        <f>IFERROR(__xludf.DUMMYFUNCTION("SPLIT(A337,""Rua"","""")"),"       Laos")</f>
        <v>       Laos</v>
      </c>
      <c r="J339" s="3" t="s">
        <v>1059</v>
      </c>
      <c r="K339" s="8" t="str">
        <f>IFERROR(__xludf.DUMMYFUNCTION("SPLIT($J339,""   "","""")"),"-23.316451 -47.130043")</f>
        <v>-23.316451 -47.130043</v>
      </c>
      <c r="L339" s="7" t="str">
        <f>IFERROR(__xludf.DUMMYFUNCTION("""COMPUTED_VALUE"""),"Rua")</f>
        <v>Rua</v>
      </c>
      <c r="M339" s="7" t="str">
        <f>IFERROR(__xludf.DUMMYFUNCTION("""COMPUTED_VALUE""")," José Bonifácio")</f>
        <v> José Bonifácio</v>
      </c>
      <c r="N339" s="7" t="str">
        <f>IFERROR(__xludf.DUMMYFUNCTION("""COMPUTED_VALUE""")," Jardim SantAna (Centro)")</f>
        <v> Jardim SantAna (Centro)</v>
      </c>
      <c r="O339" s="7" t="str">
        <f>IFERROR(__xludf.DUMMYFUNCTION("""COMPUTED_VALUE""")," Cabreúva")</f>
        <v> Cabreúva</v>
      </c>
      <c r="P339" s="7" t="str">
        <f>IFERROR(__xludf.DUMMYFUNCTION("""COMPUTED_VALUE"""),"SP")</f>
        <v>SP</v>
      </c>
      <c r="Q339" s="7" t="str">
        <f>IFERROR(__xludf.DUMMYFUNCTION("""COMPUTED_VALUE""")," 13315-092 ")</f>
        <v> 13315-092 </v>
      </c>
      <c r="R339" s="9">
        <f>IFERROR(__xludf.DUMMYFUNCTION("SPLIT($K339,"" "","""")"),-2.3316451E7)</f>
        <v>-23316451</v>
      </c>
      <c r="S339" s="9">
        <f>IFERROR(__xludf.DUMMYFUNCTION("""COMPUTED_VALUE"""),-4.7130043E7)</f>
        <v>-47130043</v>
      </c>
      <c r="T339" s="10">
        <v>3508405.0</v>
      </c>
      <c r="U33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13315-092 ', 'PK-20686', SYSDATE, 0, 'PK-20686', SYSDATE, 'Rua  José Bonifácio  Jardim SantAna (Centro)', 'Rua José Bonifácio Jardim SantAna (Centro)', ' Jardim SantAna (Centro)', 'Rua', '3508405', 'Rua José Bonifácio Jardim SantAna (Centro)',' Jardim SantAna (Centro)', '1', 'SP', '1', '-23316451', '-47130043', ' Jardim SantAna (Centro)' </v>
      </c>
    </row>
    <row r="340" ht="15.75" customHeight="1">
      <c r="A340" s="4" t="s">
        <v>1060</v>
      </c>
      <c r="B340" s="5" t="s">
        <v>153</v>
      </c>
      <c r="C340" s="4" t="s">
        <v>10</v>
      </c>
      <c r="D340" s="5" t="s">
        <v>1061</v>
      </c>
      <c r="E340" s="6">
        <v>214.0</v>
      </c>
      <c r="F340" s="6" t="s">
        <v>12</v>
      </c>
      <c r="G340" s="3" t="s">
        <v>13</v>
      </c>
      <c r="H340" s="7" t="str">
        <f>IFERROR(__xludf.DUMMYFUNCTION("SPLIT(A338,""Rua"","""")"),"       Lauro Amirat")</f>
        <v>       Lauro Amirat</v>
      </c>
      <c r="J340" s="3" t="s">
        <v>1062</v>
      </c>
      <c r="K340" s="8" t="str">
        <f>IFERROR(__xludf.DUMMYFUNCTION("SPLIT($J340,""   "","""")"),"-23.305993 -47.132988")</f>
        <v>-23.305993 -47.132988</v>
      </c>
      <c r="L340" s="7" t="str">
        <f>IFERROR(__xludf.DUMMYFUNCTION("""COMPUTED_VALUE"""),"Rua")</f>
        <v>Rua</v>
      </c>
      <c r="M340" s="7" t="str">
        <f>IFERROR(__xludf.DUMMYFUNCTION("""COMPUTED_VALUE""")," Mansueto Mesquita Togni")</f>
        <v> Mansueto Mesquita Togni</v>
      </c>
      <c r="N340" s="7" t="str">
        <f>IFERROR(__xludf.DUMMYFUNCTION("""COMPUTED_VALUE""")," Centro")</f>
        <v> Centro</v>
      </c>
      <c r="O340" s="7" t="str">
        <f>IFERROR(__xludf.DUMMYFUNCTION("""COMPUTED_VALUE""")," Cabreúva")</f>
        <v> Cabreúva</v>
      </c>
      <c r="P340" s="7" t="str">
        <f>IFERROR(__xludf.DUMMYFUNCTION("""COMPUTED_VALUE"""),"SP")</f>
        <v>SP</v>
      </c>
      <c r="Q340" s="7" t="str">
        <f>IFERROR(__xludf.DUMMYFUNCTION("""COMPUTED_VALUE""")," 13315-009 ")</f>
        <v> 13315-009 </v>
      </c>
      <c r="R340" s="9">
        <f>IFERROR(__xludf.DUMMYFUNCTION("SPLIT($K340,"" "","""")"),-2.3305993E7)</f>
        <v>-23305993</v>
      </c>
      <c r="S340" s="9">
        <f>IFERROR(__xludf.DUMMYFUNCTION("""COMPUTED_VALUE"""),-4.7132988E7)</f>
        <v>-47132988</v>
      </c>
      <c r="T340" s="10">
        <v>3508405.0</v>
      </c>
      <c r="U34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13315-009 ', 'PK-20686', SYSDATE, 0, 'PK-20686', SYSDATE, 'Rua  Mansueto Mesquita Togni  Centro', 'Rua Mansueto Mesquita Togni Centro', ' Centro', 'Rua', '3508405', 'Rua Mansueto Mesquita Togni Centro',' Centro', '1', 'SP', '1', '-23305993', '-47132988', ' Centro' </v>
      </c>
    </row>
    <row r="341" ht="15.75" customHeight="1">
      <c r="A341" s="4" t="s">
        <v>1063</v>
      </c>
      <c r="B341" s="5" t="s">
        <v>160</v>
      </c>
      <c r="C341" s="4" t="s">
        <v>10</v>
      </c>
      <c r="D341" s="5" t="s">
        <v>1064</v>
      </c>
      <c r="E341" s="6">
        <v>214.0</v>
      </c>
      <c r="F341" s="6" t="s">
        <v>12</v>
      </c>
      <c r="G341" s="3" t="s">
        <v>13</v>
      </c>
      <c r="H341" s="7" t="str">
        <f>IFERROR(__xludf.DUMMYFUNCTION("SPLIT(A339,""Rua"","""")"),"       Lauro Pinto Toledo")</f>
        <v>       Lauro Pinto Toledo</v>
      </c>
      <c r="J341" s="3" t="s">
        <v>1065</v>
      </c>
      <c r="K341" s="8" t="str">
        <f>IFERROR(__xludf.DUMMYFUNCTION("SPLIT($J341,""   "","""")"),"-23.306642 -47.136539")</f>
        <v>-23.306642 -47.136539</v>
      </c>
      <c r="L341" s="7" t="str">
        <f>IFERROR(__xludf.DUMMYFUNCTION("""COMPUTED_VALUE"""),"Rua")</f>
        <v>Rua</v>
      </c>
      <c r="M341" s="7" t="str">
        <f>IFERROR(__xludf.DUMMYFUNCTION("""COMPUTED_VALUE""")," 24 de Março")</f>
        <v> 24 de Março</v>
      </c>
      <c r="N341" s="7" t="str">
        <f>IFERROR(__xludf.DUMMYFUNCTION("""COMPUTED_VALUE""")," Jardim Alice (Centro)")</f>
        <v> Jardim Alice (Centro)</v>
      </c>
      <c r="O341" s="7" t="str">
        <f>IFERROR(__xludf.DUMMYFUNCTION("""COMPUTED_VALUE""")," Cabreúva")</f>
        <v> Cabreúva</v>
      </c>
      <c r="P341" s="7" t="str">
        <f>IFERROR(__xludf.DUMMYFUNCTION("""COMPUTED_VALUE"""),"SP")</f>
        <v>SP</v>
      </c>
      <c r="Q341" s="7" t="str">
        <f>IFERROR(__xludf.DUMMYFUNCTION("""COMPUTED_VALUE""")," 13315-172 ")</f>
        <v> 13315-172 </v>
      </c>
      <c r="R341" s="9">
        <f>IFERROR(__xludf.DUMMYFUNCTION("SPLIT($K341,"" "","""")"),-2.3306642E7)</f>
        <v>-23306642</v>
      </c>
      <c r="S341" s="9">
        <f>IFERROR(__xludf.DUMMYFUNCTION("""COMPUTED_VALUE"""),-4.7136539E7)</f>
        <v>-47136539</v>
      </c>
      <c r="T341" s="10">
        <v>3508405.0</v>
      </c>
      <c r="U34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13315-172 ', 'PK-20686', SYSDATE, 0, 'PK-20686', SYSDATE, 'Rua  24 de Março  Jardim Alice (Centro)', 'Rua 24 de Março Jardim Alice (Centro)', ' Jardim Alice (Centro)', 'Rua', '3508405', 'Rua 24 de Março Jardim Alice (Centro)',' Jardim Alice (Centro)', '1', 'SP', '1', '-23306642', '-47136539', ' Jardim Alice (Centro)' </v>
      </c>
    </row>
    <row r="342" ht="15.75" hidden="1" customHeight="1">
      <c r="A342" s="4" t="s">
        <v>1066</v>
      </c>
      <c r="B342" s="5" t="s">
        <v>160</v>
      </c>
      <c r="C342" s="4" t="s">
        <v>10</v>
      </c>
      <c r="D342" s="5" t="s">
        <v>1067</v>
      </c>
      <c r="E342" s="6">
        <v>214.0</v>
      </c>
      <c r="F342" s="6" t="s">
        <v>12</v>
      </c>
      <c r="G342" s="3" t="s">
        <v>13</v>
      </c>
      <c r="H342" s="7" t="str">
        <f>IFERROR(__xludf.DUMMYFUNCTION("SPLIT(A340,""Rua"","""")"),"       Lazuli")</f>
        <v>       Lazuli</v>
      </c>
      <c r="J342" s="3" t="s">
        <v>1068</v>
      </c>
      <c r="K342" s="8" t="str">
        <f>IFERROR(__xludf.DUMMYFUNCTION("SPLIT($J342,""   "","""")"),"-23.307366 -47.133678")</f>
        <v>-23.307366 -47.133678</v>
      </c>
      <c r="L342" s="7" t="str">
        <f>IFERROR(__xludf.DUMMYFUNCTION("""COMPUTED_VALUE"""),"Avenida")</f>
        <v>Avenida</v>
      </c>
      <c r="M342" s="7" t="str">
        <f>IFERROR(__xludf.DUMMYFUNCTION("""COMPUTED_VALUE""")," José Daniel Tosi")</f>
        <v> José Daniel Tosi</v>
      </c>
      <c r="N342" s="7" t="str">
        <f>IFERROR(__xludf.DUMMYFUNCTION("""COMPUTED_VALUE""")," Pinhal")</f>
        <v> Pinhal</v>
      </c>
      <c r="O342" s="7" t="str">
        <f>IFERROR(__xludf.DUMMYFUNCTION("""COMPUTED_VALUE""")," Cabreúva")</f>
        <v> Cabreúva</v>
      </c>
      <c r="P342" s="7" t="str">
        <f>IFERROR(__xludf.DUMMYFUNCTION("""COMPUTED_VALUE"""),"SP")</f>
        <v>SP</v>
      </c>
      <c r="Q342" s="7" t="str">
        <f>IFERROR(__xludf.DUMMYFUNCTION("""COMPUTED_VALUE""")," 13317-244 ")</f>
        <v> 13317-244 </v>
      </c>
      <c r="R342" s="9">
        <f>IFERROR(__xludf.DUMMYFUNCTION("SPLIT($K342,"" "","""")"),-2.3307366E7)</f>
        <v>-23307366</v>
      </c>
      <c r="S342" s="9">
        <f>IFERROR(__xludf.DUMMYFUNCTION("""COMPUTED_VALUE"""),-4.7133678E7)</f>
        <v>-47133678</v>
      </c>
      <c r="T342" s="10">
        <v>3508405.0</v>
      </c>
      <c r="U34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13317-244 ', 'PK-20686', SYSDATE, 0, 'PK-20686', SYSDATE, 'Avenida  José Daniel Tosi  Pinhal', 'Avenida José Daniel Tosi Pinhal', ' Pinhal', 'Avenida', '3508405', 'Avenida José Daniel Tosi Pinhal',' Pinhal', '1', 'SP', '1', '-23307366', '-47133678', ' Pinhal' </v>
      </c>
    </row>
    <row r="343" ht="15.75" hidden="1" customHeight="1">
      <c r="A343" s="4" t="s">
        <v>1069</v>
      </c>
      <c r="B343" s="5" t="s">
        <v>160</v>
      </c>
      <c r="C343" s="4" t="s">
        <v>10</v>
      </c>
      <c r="D343" s="5" t="s">
        <v>1070</v>
      </c>
      <c r="E343" s="6">
        <v>214.0</v>
      </c>
      <c r="F343" s="6" t="s">
        <v>12</v>
      </c>
      <c r="G343" s="3" t="s">
        <v>13</v>
      </c>
      <c r="H343" s="7" t="str">
        <f>IFERROR(__xludf.DUMMYFUNCTION("SPLIT(A341,""Rua"","""")"),"       Líbano")</f>
        <v>       Líbano</v>
      </c>
      <c r="J343" s="3" t="s">
        <v>1071</v>
      </c>
      <c r="K343" s="8" t="str">
        <f>IFERROR(__xludf.DUMMYFUNCTION("SPLIT($J343,""   "","""")"),"-23.35383 -47.082512")</f>
        <v>-23.35383 -47.082512</v>
      </c>
      <c r="L343" s="7" t="str">
        <f>IFERROR(__xludf.DUMMYFUNCTION("""COMPUTED_VALUE"""),"Avenida")</f>
        <v>Avenida</v>
      </c>
      <c r="M343" s="7" t="str">
        <f>IFERROR(__xludf.DUMMYFUNCTION("""COMPUTED_VALUE""")," Miguel da Cruz")</f>
        <v> Miguel da Cruz</v>
      </c>
      <c r="N343" s="7" t="str">
        <f>IFERROR(__xludf.DUMMYFUNCTION("""COMPUTED_VALUE""")," Bananal")</f>
        <v> Bananal</v>
      </c>
      <c r="O343" s="7" t="str">
        <f>IFERROR(__xludf.DUMMYFUNCTION("""COMPUTED_VALUE""")," Cabreúva")</f>
        <v> Cabreúva</v>
      </c>
      <c r="P343" s="7" t="str">
        <f>IFERROR(__xludf.DUMMYFUNCTION("""COMPUTED_VALUE"""),"SP")</f>
        <v>SP</v>
      </c>
      <c r="Q343" s="7" t="str">
        <f>IFERROR(__xludf.DUMMYFUNCTION("""COMPUTED_VALUE""")," 13316-802 ")</f>
        <v> 13316-802 </v>
      </c>
      <c r="R343" s="9">
        <f>IFERROR(__xludf.DUMMYFUNCTION("SPLIT($K343,"" "","""")"),-2335383.0)</f>
        <v>-2335383</v>
      </c>
      <c r="S343" s="9">
        <f>IFERROR(__xludf.DUMMYFUNCTION("""COMPUTED_VALUE"""),-4.7082512E7)</f>
        <v>-47082512</v>
      </c>
      <c r="T343" s="10">
        <v>3508405.0</v>
      </c>
      <c r="U34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13316-802 ', 'PK-20686', SYSDATE, 0, 'PK-20686', SYSDATE, 'Avenida  Miguel da Cruz  Bananal', 'Avenida Miguel da Cruz Bananal', ' Bananal', 'Avenida', '3508405', 'Avenida Miguel da Cruz Bananal',' Bananal', '1', 'SP', '1', '-2335383', '-47082512', ' Bananal' </v>
      </c>
    </row>
    <row r="344" ht="15.75" customHeight="1">
      <c r="A344" s="4" t="s">
        <v>1072</v>
      </c>
      <c r="B344" s="5" t="s">
        <v>193</v>
      </c>
      <c r="C344" s="4" t="s">
        <v>10</v>
      </c>
      <c r="D344" s="5" t="s">
        <v>1073</v>
      </c>
      <c r="E344" s="6">
        <v>214.0</v>
      </c>
      <c r="F344" s="6" t="s">
        <v>12</v>
      </c>
      <c r="G344" s="3" t="s">
        <v>13</v>
      </c>
      <c r="H344" s="7" t="str">
        <f>IFERROR(__xludf.DUMMYFUNCTION("SPLIT(A342,""Rua"","""")"),"       Líbia")</f>
        <v>       Líbia</v>
      </c>
      <c r="J344" s="3" t="s">
        <v>1074</v>
      </c>
      <c r="K344" s="8" t="str">
        <f>IFERROR(__xludf.DUMMYFUNCTION("SPLIT($J344,""   "","""")"),"-23.269975 -47.061401")</f>
        <v>-23.269975 -47.061401</v>
      </c>
      <c r="L344" s="7" t="str">
        <f>IFERROR(__xludf.DUMMYFUNCTION("""COMPUTED_VALUE"""),"Rua")</f>
        <v>Rua</v>
      </c>
      <c r="M344" s="7" t="str">
        <f>IFERROR(__xludf.DUMMYFUNCTION("""COMPUTED_VALUE""")," Irã")</f>
        <v> Irã</v>
      </c>
      <c r="N344" s="7" t="str">
        <f>IFERROR(__xludf.DUMMYFUNCTION("""COMPUTED_VALUE""")," Villarejo Sopé da Serra (Vilarejo)")</f>
        <v> Villarejo Sopé da Serra (Vilarejo)</v>
      </c>
      <c r="O344" s="7" t="str">
        <f>IFERROR(__xludf.DUMMYFUNCTION("""COMPUTED_VALUE""")," Cabreúva")</f>
        <v> Cabreúva</v>
      </c>
      <c r="P344" s="7" t="str">
        <f>IFERROR(__xludf.DUMMYFUNCTION("""COMPUTED_VALUE"""),"SP")</f>
        <v>SP</v>
      </c>
      <c r="Q344" s="7" t="str">
        <f>IFERROR(__xludf.DUMMYFUNCTION("""COMPUTED_VALUE""")," 13317-646 ")</f>
        <v> 13317-646 </v>
      </c>
      <c r="R344" s="9">
        <f>IFERROR(__xludf.DUMMYFUNCTION("SPLIT($K344,"" "","""")"),-2.3269975E7)</f>
        <v>-23269975</v>
      </c>
      <c r="S344" s="9">
        <f>IFERROR(__xludf.DUMMYFUNCTION("""COMPUTED_VALUE"""),-4.7061401E7)</f>
        <v>-47061401</v>
      </c>
      <c r="T344" s="10">
        <v>3508405.0</v>
      </c>
      <c r="U34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13317-646 ', 'PK-20686', SYSDATE, 0, 'PK-20686', SYSDATE, 'Rua  Irã  Villarejo Sopé da Serra (Vilarejo)', 'Rua Irã Villarejo Sopé da Serra (Vilarejo)', ' Villarejo Sopé da Serra (Vilarejo)', 'Rua', '3508405', 'Rua Irã Villarejo Sopé da Serra (Vilarejo)',' Villarejo Sopé da Serra (Vilarejo)', '1', 'SP', '1', '-23269975', '-47061401', ' Villarejo Sopé da Serra (Vilarejo)' </v>
      </c>
    </row>
    <row r="345" ht="15.75" customHeight="1">
      <c r="A345" s="4" t="s">
        <v>1075</v>
      </c>
      <c r="B345" s="5" t="s">
        <v>231</v>
      </c>
      <c r="C345" s="4" t="s">
        <v>10</v>
      </c>
      <c r="D345" s="5" t="s">
        <v>1076</v>
      </c>
      <c r="E345" s="6">
        <v>214.0</v>
      </c>
      <c r="F345" s="6" t="s">
        <v>12</v>
      </c>
      <c r="G345" s="3" t="s">
        <v>13</v>
      </c>
      <c r="H345" s="7" t="str">
        <f>IFERROR(__xludf.DUMMYFUNCTION("SPLIT(A343,""Rua"","""")"),"       Lituânia")</f>
        <v>       Lituânia</v>
      </c>
      <c r="J345" s="3" t="s">
        <v>1077</v>
      </c>
      <c r="K345" s="8" t="str">
        <f>IFERROR(__xludf.DUMMYFUNCTION("SPLIT($J345,""   "","""")"),"-23.269963 -47.0603")</f>
        <v>-23.269963 -47.0603</v>
      </c>
      <c r="L345" s="7" t="str">
        <f>IFERROR(__xludf.DUMMYFUNCTION("""COMPUTED_VALUE"""),"Rua")</f>
        <v>Rua</v>
      </c>
      <c r="M345" s="7" t="str">
        <f>IFERROR(__xludf.DUMMYFUNCTION("""COMPUTED_VALUE""")," Laos")</f>
        <v> Laos</v>
      </c>
      <c r="N345" s="7" t="str">
        <f>IFERROR(__xludf.DUMMYFUNCTION("""COMPUTED_VALUE""")," Villarejo Sopé da Serra (Vilarejo)")</f>
        <v> Villarejo Sopé da Serra (Vilarejo)</v>
      </c>
      <c r="O345" s="7" t="str">
        <f>IFERROR(__xludf.DUMMYFUNCTION("""COMPUTED_VALUE""")," Cabreúva")</f>
        <v> Cabreúva</v>
      </c>
      <c r="P345" s="7" t="str">
        <f>IFERROR(__xludf.DUMMYFUNCTION("""COMPUTED_VALUE"""),"SP")</f>
        <v>SP</v>
      </c>
      <c r="Q345" s="7" t="str">
        <f>IFERROR(__xludf.DUMMYFUNCTION("""COMPUTED_VALUE""")," 13317-650 ")</f>
        <v> 13317-650 </v>
      </c>
      <c r="R345" s="9">
        <f>IFERROR(__xludf.DUMMYFUNCTION("SPLIT($K345,"" "","""")"),-2.3269963E7)</f>
        <v>-23269963</v>
      </c>
      <c r="S345" s="9">
        <f>IFERROR(__xludf.DUMMYFUNCTION("""COMPUTED_VALUE"""),-470603.0)</f>
        <v>-470603</v>
      </c>
      <c r="T345" s="10">
        <v>3508405.0</v>
      </c>
      <c r="U34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13317-650 ', 'PK-20686', SYSDATE, 0, 'PK-20686', SYSDATE, 'Rua  Laos  Villarejo Sopé da Serra (Vilarejo)', 'Rua Laos Villarejo Sopé da Serra (Vilarejo)', ' Villarejo Sopé da Serra (Vilarejo)', 'Rua', '3508405', 'Rua Laos Villarejo Sopé da Serra (Vilarejo)',' Villarejo Sopé da Serra (Vilarejo)', '1', 'SP', '1', '-23269963', '-470603', ' Villarejo Sopé da Serra (Vilarejo)' </v>
      </c>
    </row>
    <row r="346" ht="15.75" customHeight="1">
      <c r="A346" s="4" t="s">
        <v>1078</v>
      </c>
      <c r="B346" s="5" t="s">
        <v>223</v>
      </c>
      <c r="C346" s="4" t="s">
        <v>10</v>
      </c>
      <c r="D346" s="5" t="s">
        <v>1079</v>
      </c>
      <c r="E346" s="6">
        <v>214.0</v>
      </c>
      <c r="F346" s="6" t="s">
        <v>12</v>
      </c>
      <c r="G346" s="3" t="s">
        <v>13</v>
      </c>
      <c r="H346" s="7" t="str">
        <f>IFERROR(__xludf.DUMMYFUNCTION("SPLIT(A344,""Rua"","""")"),"       Lorena")</f>
        <v>       Lorena</v>
      </c>
      <c r="J346" s="3" t="s">
        <v>1080</v>
      </c>
      <c r="K346" s="8" t="str">
        <f>IFERROR(__xludf.DUMMYFUNCTION("SPLIT($J346,""   "","""")"),"-23.397834 -46.424257")</f>
        <v>-23.397834 -46.424257</v>
      </c>
      <c r="L346" s="7" t="str">
        <f>IFERROR(__xludf.DUMMYFUNCTION("""COMPUTED_VALUE"""),"Rua")</f>
        <v>Rua</v>
      </c>
      <c r="M346" s="7" t="str">
        <f>IFERROR(__xludf.DUMMYFUNCTION("""COMPUTED_VALUE""")," Alagoas")</f>
        <v> Alagoas</v>
      </c>
      <c r="N346" s="7" t="str">
        <f>IFERROR(__xludf.DUMMYFUNCTION("""COMPUTED_VALUE""")," Jacaré")</f>
        <v> Jacaré</v>
      </c>
      <c r="O346" s="7" t="str">
        <f>IFERROR(__xludf.DUMMYFUNCTION("""COMPUTED_VALUE""")," Cabreúva")</f>
        <v> Cabreúva</v>
      </c>
      <c r="P346" s="7" t="str">
        <f>IFERROR(__xludf.DUMMYFUNCTION("""COMPUTED_VALUE"""),"SP")</f>
        <v>SP</v>
      </c>
      <c r="Q346" s="7" t="str">
        <f>IFERROR(__xludf.DUMMYFUNCTION("""COMPUTED_VALUE""")," 13318-121 ")</f>
        <v> 13318-121 </v>
      </c>
      <c r="R346" s="9">
        <f>IFERROR(__xludf.DUMMYFUNCTION("SPLIT($K346,"" "","""")"),-2.3397834E7)</f>
        <v>-23397834</v>
      </c>
      <c r="S346" s="9">
        <f>IFERROR(__xludf.DUMMYFUNCTION("""COMPUTED_VALUE"""),-4.6424257E7)</f>
        <v>-46424257</v>
      </c>
      <c r="T346" s="10">
        <v>3508405.0</v>
      </c>
      <c r="U34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13318-121 ', 'PK-20686', SYSDATE, 0, 'PK-20686', SYSDATE, 'Rua  Alagoas  Jacaré', 'Rua Alagoas Jacaré', ' Jacaré', 'Rua', '3508405', 'Rua Alagoas Jacaré',' Jacaré', '1', 'SP', '1', '-23397834', '-46424257', ' Jacaré' </v>
      </c>
    </row>
    <row r="347" ht="15.75" customHeight="1">
      <c r="A347" s="12" t="s">
        <v>1081</v>
      </c>
      <c r="B347" s="13" t="s">
        <v>368</v>
      </c>
      <c r="C347" s="4" t="s">
        <v>10</v>
      </c>
      <c r="D347" s="13" t="s">
        <v>1082</v>
      </c>
      <c r="E347" s="6">
        <v>214.0</v>
      </c>
      <c r="F347" s="6" t="s">
        <v>12</v>
      </c>
      <c r="G347" s="3" t="s">
        <v>13</v>
      </c>
      <c r="H347" s="7" t="str">
        <f>IFERROR(__xludf.DUMMYFUNCTION("SPLIT(A345,""Rua"","""")"),"       Luis Nunes")</f>
        <v>       Luis Nunes</v>
      </c>
      <c r="J347" s="3" t="s">
        <v>1083</v>
      </c>
      <c r="K347" s="8" t="str">
        <f>IFERROR(__xludf.DUMMYFUNCTION("SPLIT($J347,""   "","""")"),"-23.262616 -47.061614")</f>
        <v>-23.262616 -47.061614</v>
      </c>
      <c r="L347" s="7" t="str">
        <f>IFERROR(__xludf.DUMMYFUNCTION("""COMPUTED_VALUE"""),"Rua")</f>
        <v>Rua</v>
      </c>
      <c r="M347" s="7" t="str">
        <f>IFERROR(__xludf.DUMMYFUNCTION("""COMPUTED_VALUE""")," Bulgária")</f>
        <v> Bulgária</v>
      </c>
      <c r="N347" s="7" t="str">
        <f>IFERROR(__xludf.DUMMYFUNCTION("""COMPUTED_VALUE""")," Villarejo Sopé da Serra (Vilarejo)")</f>
        <v> Villarejo Sopé da Serra (Vilarejo)</v>
      </c>
      <c r="O347" s="7" t="str">
        <f>IFERROR(__xludf.DUMMYFUNCTION("""COMPUTED_VALUE""")," Cabreúva")</f>
        <v> Cabreúva</v>
      </c>
      <c r="P347" s="7" t="str">
        <f>IFERROR(__xludf.DUMMYFUNCTION("""COMPUTED_VALUE"""),"SP")</f>
        <v>SP</v>
      </c>
      <c r="Q347" s="7" t="str">
        <f>IFERROR(__xludf.DUMMYFUNCTION("""COMPUTED_VALUE""")," 13317-616 ")</f>
        <v> 13317-616 </v>
      </c>
      <c r="R347" s="9">
        <f>IFERROR(__xludf.DUMMYFUNCTION("SPLIT($K347,"" "","""")"),-2.3262616E7)</f>
        <v>-23262616</v>
      </c>
      <c r="S347" s="9">
        <f>IFERROR(__xludf.DUMMYFUNCTION("""COMPUTED_VALUE"""),-4.7061614E7)</f>
        <v>-47061614</v>
      </c>
      <c r="T347" s="10">
        <v>3508405.0</v>
      </c>
      <c r="U34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13317-616 ', 'PK-20686', SYSDATE, 0, 'PK-20686', SYSDATE, 'Rua  Bulgária  Villarejo Sopé da Serra (Vilarejo)', 'Rua Bulgária Villarejo Sopé da Serra (Vilarejo)', ' Villarejo Sopé da Serra (Vilarejo)', 'Rua', '3508405', 'Rua Bulgária Villarejo Sopé da Serra (Vilarejo)',' Villarejo Sopé da Serra (Vilarejo)', '1', 'SP', '1', '-23262616', '-47061614', ' Villarejo Sopé da Serra (Vilarejo)' </v>
      </c>
    </row>
    <row r="348" ht="15.75" customHeight="1">
      <c r="A348" s="4" t="s">
        <v>1084</v>
      </c>
      <c r="B348" s="5" t="s">
        <v>825</v>
      </c>
      <c r="C348" s="4" t="s">
        <v>10</v>
      </c>
      <c r="D348" s="5" t="s">
        <v>1085</v>
      </c>
      <c r="E348" s="6">
        <v>214.0</v>
      </c>
      <c r="F348" s="6" t="s">
        <v>12</v>
      </c>
      <c r="G348" s="3" t="s">
        <v>13</v>
      </c>
      <c r="H348" s="7" t="str">
        <f>IFERROR(__xludf.DUMMYFUNCTION("SPLIT(A346,""Rua"","""")"),"       Luiz Panzarini")</f>
        <v>       Luiz Panzarini</v>
      </c>
      <c r="J348" s="3" t="s">
        <v>1086</v>
      </c>
      <c r="K348" s="8" t="str">
        <f>IFERROR(__xludf.DUMMYFUNCTION("SPLIT($J348,""   "","""")"),"-23.312277 -47.130426")</f>
        <v>-23.312277 -47.130426</v>
      </c>
      <c r="L348" s="7" t="str">
        <f>IFERROR(__xludf.DUMMYFUNCTION("""COMPUTED_VALUE"""),"Rua")</f>
        <v>Rua</v>
      </c>
      <c r="M348" s="7" t="str">
        <f>IFERROR(__xludf.DUMMYFUNCTION("""COMPUTED_VALUE""")," Barão do Rio Branco")</f>
        <v> Barão do Rio Branco</v>
      </c>
      <c r="N348" s="7" t="str">
        <f>IFERROR(__xludf.DUMMYFUNCTION("""COMPUTED_VALUE""")," Jardim Santana (Centro)")</f>
        <v> Jardim Santana (Centro)</v>
      </c>
      <c r="O348" s="7" t="str">
        <f>IFERROR(__xludf.DUMMYFUNCTION("""COMPUTED_VALUE""")," Cabreúva")</f>
        <v> Cabreúva</v>
      </c>
      <c r="P348" s="7" t="str">
        <f>IFERROR(__xludf.DUMMYFUNCTION("""COMPUTED_VALUE"""),"SP")</f>
        <v>SP</v>
      </c>
      <c r="Q348" s="7" t="str">
        <f>IFERROR(__xludf.DUMMYFUNCTION("""COMPUTED_VALUE""")," 13315-084 ")</f>
        <v> 13315-084 </v>
      </c>
      <c r="R348" s="9">
        <f>IFERROR(__xludf.DUMMYFUNCTION("SPLIT($K348,"" "","""")"),-2.3312277E7)</f>
        <v>-23312277</v>
      </c>
      <c r="S348" s="9">
        <f>IFERROR(__xludf.DUMMYFUNCTION("""COMPUTED_VALUE"""),-4.7130426E7)</f>
        <v>-47130426</v>
      </c>
      <c r="T348" s="10">
        <v>3508405.0</v>
      </c>
      <c r="U34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13315-084 ', 'PK-20686', SYSDATE, 0, 'PK-20686', SYSDATE, 'Rua  Barão do Rio Branco  Jardim Santana (Centro)', 'Rua Barão do Rio Branco Jardim Santana (Centro)', ' Jardim Santana (Centro)', 'Rua', '3508405', 'Rua Barão do Rio Branco Jardim Santana (Centro)',' Jardim Santana (Centro)', '1', 'SP', '1', '-23312277', '-47130426', ' Jardim Santana (Centro)' </v>
      </c>
    </row>
    <row r="349" ht="15.75" customHeight="1">
      <c r="A349" s="4" t="s">
        <v>1087</v>
      </c>
      <c r="B349" s="5" t="s">
        <v>160</v>
      </c>
      <c r="C349" s="4" t="s">
        <v>10</v>
      </c>
      <c r="D349" s="5" t="s">
        <v>1088</v>
      </c>
      <c r="E349" s="6">
        <v>214.0</v>
      </c>
      <c r="F349" s="6" t="s">
        <v>12</v>
      </c>
      <c r="G349" s="3" t="s">
        <v>13</v>
      </c>
      <c r="H349" s="7" t="str">
        <f>IFERROR(__xludf.DUMMYFUNCTION("SPLIT(A347,""Rua"","""")"),"       M")</f>
        <v>       M</v>
      </c>
      <c r="J349" s="3" t="s">
        <v>1089</v>
      </c>
      <c r="K349" s="8" t="str">
        <f>IFERROR(__xludf.DUMMYFUNCTION("SPLIT($J349,""   "","""")"),"-23.255829 -47.058935")</f>
        <v>-23.255829 -47.058935</v>
      </c>
      <c r="L349" s="7" t="str">
        <f>IFERROR(__xludf.DUMMYFUNCTION("""COMPUTED_VALUE"""),"Rua")</f>
        <v>Rua</v>
      </c>
      <c r="M349" s="7" t="str">
        <f>IFERROR(__xludf.DUMMYFUNCTION("""COMPUTED_VALUE""")," Minas Gerais")</f>
        <v> Minas Gerais</v>
      </c>
      <c r="N349" s="7" t="str">
        <f>IFERROR(__xludf.DUMMYFUNCTION("""COMPUTED_VALUE""")," Parque Santo Antônio (Jacaré)")</f>
        <v> Parque Santo Antônio (Jacaré)</v>
      </c>
      <c r="O349" s="7" t="str">
        <f>IFERROR(__xludf.DUMMYFUNCTION("""COMPUTED_VALUE""")," Cabreúva")</f>
        <v> Cabreúva</v>
      </c>
      <c r="P349" s="7" t="str">
        <f>IFERROR(__xludf.DUMMYFUNCTION("""COMPUTED_VALUE"""),"SP")</f>
        <v>SP</v>
      </c>
      <c r="Q349" s="7" t="str">
        <f>IFERROR(__xludf.DUMMYFUNCTION("""COMPUTED_VALUE""")," 13318-174 ")</f>
        <v> 13318-174 </v>
      </c>
      <c r="R349" s="9">
        <f>IFERROR(__xludf.DUMMYFUNCTION("SPLIT($K349,"" "","""")"),-2.3255829E7)</f>
        <v>-23255829</v>
      </c>
      <c r="S349" s="9">
        <f>IFERROR(__xludf.DUMMYFUNCTION("""COMPUTED_VALUE"""),-4.7058935E7)</f>
        <v>-47058935</v>
      </c>
      <c r="T349" s="10">
        <v>3508405.0</v>
      </c>
      <c r="U34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13318-174 ', 'PK-20686', SYSDATE, 0, 'PK-20686', SYSDATE, 'Rua  Minas Gerais  Parque Santo Antônio (Jacaré)', 'Rua Minas Gerais Parque Santo Antônio (Jacaré)', ' Parque Santo Antônio (Jacaré)', 'Rua', '3508405', 'Rua Minas Gerais Parque Santo Antônio (Jacaré)',' Parque Santo Antônio (Jacaré)', '1', 'SP', '1', '-23255829', '-47058935', ' Parque Santo Antônio (Jacaré)' </v>
      </c>
    </row>
    <row r="350" ht="15.75" customHeight="1">
      <c r="A350" s="4" t="s">
        <v>1090</v>
      </c>
      <c r="B350" s="5" t="s">
        <v>216</v>
      </c>
      <c r="C350" s="4" t="s">
        <v>10</v>
      </c>
      <c r="D350" s="5" t="s">
        <v>1091</v>
      </c>
      <c r="E350" s="6">
        <v>214.0</v>
      </c>
      <c r="F350" s="6" t="s">
        <v>12</v>
      </c>
      <c r="G350" s="3" t="s">
        <v>13</v>
      </c>
      <c r="H350" s="7" t="str">
        <f>IFERROR(__xludf.DUMMYFUNCTION("SPLIT(A348,""Rua"","""")"),"       Maceió")</f>
        <v>       Maceió</v>
      </c>
      <c r="J350" s="3" t="s">
        <v>1092</v>
      </c>
      <c r="K350" s="8" t="str">
        <f>IFERROR(__xludf.DUMMYFUNCTION("SPLIT($J350,""   "","""")"),"-23.307366 -47.133678")</f>
        <v>-23.307366 -47.133678</v>
      </c>
      <c r="L350" s="7" t="str">
        <f>IFERROR(__xludf.DUMMYFUNCTION("""COMPUTED_VALUE"""),"Rua")</f>
        <v>Rua</v>
      </c>
      <c r="M350" s="7" t="str">
        <f>IFERROR(__xludf.DUMMYFUNCTION("""COMPUTED_VALUE""")," Egito")</f>
        <v> Egito</v>
      </c>
      <c r="N350" s="7" t="str">
        <f>IFERROR(__xludf.DUMMYFUNCTION("""COMPUTED_VALUE""")," Jardim Residencial Bela Vista (Vilarejo)")</f>
        <v> Jardim Residencial Bela Vista (Vilarejo)</v>
      </c>
      <c r="O350" s="7" t="str">
        <f>IFERROR(__xludf.DUMMYFUNCTION("""COMPUTED_VALUE""")," Cabreúva")</f>
        <v> Cabreúva</v>
      </c>
      <c r="P350" s="7" t="str">
        <f>IFERROR(__xludf.DUMMYFUNCTION("""COMPUTED_VALUE"""),"SP")</f>
        <v>SP</v>
      </c>
      <c r="Q350" s="7" t="str">
        <f>IFERROR(__xludf.DUMMYFUNCTION("""COMPUTED_VALUE""")," 13317-718 ")</f>
        <v> 13317-718 </v>
      </c>
      <c r="R350" s="9">
        <f>IFERROR(__xludf.DUMMYFUNCTION("SPLIT($K350,"" "","""")"),-2.3307366E7)</f>
        <v>-23307366</v>
      </c>
      <c r="S350" s="9">
        <f>IFERROR(__xludf.DUMMYFUNCTION("""COMPUTED_VALUE"""),-4.7133678E7)</f>
        <v>-47133678</v>
      </c>
      <c r="T350" s="10">
        <v>3508405.0</v>
      </c>
      <c r="U35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13317-718 ', 'PK-20686', SYSDATE, 0, 'PK-20686', SYSDATE, 'Rua  Egito  Jardim Residencial Bela Vista (Vilarejo)', 'Rua Egito Jardim Residencial Bela Vista (Vilarejo)', ' Jardim Residencial Bela Vista (Vilarejo)', 'Rua', '3508405', 'Rua Egito Jardim Residencial Bela Vista (Vilarejo)',' Jardim Residencial Bela Vista (Vilarejo)', '1', 'SP', '1', '-23307366', '-47133678', ' Jardim Residencial Bela Vista (Vilarejo)' </v>
      </c>
    </row>
    <row r="351" ht="15.75" customHeight="1">
      <c r="A351" s="4" t="s">
        <v>1093</v>
      </c>
      <c r="B351" s="5" t="s">
        <v>1094</v>
      </c>
      <c r="C351" s="4" t="s">
        <v>10</v>
      </c>
      <c r="D351" s="5" t="s">
        <v>1095</v>
      </c>
      <c r="E351" s="6">
        <v>214.0</v>
      </c>
      <c r="F351" s="6" t="s">
        <v>12</v>
      </c>
      <c r="G351" s="3" t="s">
        <v>13</v>
      </c>
      <c r="H351" s="7" t="str">
        <f>IFERROR(__xludf.DUMMYFUNCTION("SPLIT(A349,""Rua"","""")"),"       Madagascar")</f>
        <v>       Madagascar</v>
      </c>
      <c r="J351" s="3" t="s">
        <v>1096</v>
      </c>
      <c r="K351" s="8" t="str">
        <f>IFERROR(__xludf.DUMMYFUNCTION("SPLIT($J351,""   "","""")"),"-23.252877 -47.062255")</f>
        <v>-23.252877 -47.062255</v>
      </c>
      <c r="L351" s="7" t="str">
        <f>IFERROR(__xludf.DUMMYFUNCTION("""COMPUTED_VALUE"""),"Rua")</f>
        <v>Rua</v>
      </c>
      <c r="M351" s="7" t="str">
        <f>IFERROR(__xludf.DUMMYFUNCTION("""COMPUTED_VALUE""")," Araguaina")</f>
        <v> Araguaina</v>
      </c>
      <c r="N351" s="7" t="str">
        <f>IFERROR(__xludf.DUMMYFUNCTION("""COMPUTED_VALUE""")," Vale Verde II (Jacaré)")</f>
        <v> Vale Verde II (Jacaré)</v>
      </c>
      <c r="O351" s="7" t="str">
        <f>IFERROR(__xludf.DUMMYFUNCTION("""COMPUTED_VALUE""")," Cabreúva")</f>
        <v> Cabreúva</v>
      </c>
      <c r="P351" s="7" t="str">
        <f>IFERROR(__xludf.DUMMYFUNCTION("""COMPUTED_VALUE"""),"SP")</f>
        <v>SP</v>
      </c>
      <c r="Q351" s="7" t="str">
        <f>IFERROR(__xludf.DUMMYFUNCTION("""COMPUTED_VALUE""")," 13318-160 ")</f>
        <v> 13318-160 </v>
      </c>
      <c r="R351" s="9">
        <f>IFERROR(__xludf.DUMMYFUNCTION("SPLIT($K351,"" "","""")"),-2.3252877E7)</f>
        <v>-23252877</v>
      </c>
      <c r="S351" s="9">
        <f>IFERROR(__xludf.DUMMYFUNCTION("""COMPUTED_VALUE"""),-4.7062255E7)</f>
        <v>-47062255</v>
      </c>
      <c r="T351" s="10">
        <v>3508405.0</v>
      </c>
      <c r="U35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13318-160 ', 'PK-20686', SYSDATE, 0, 'PK-20686', SYSDATE, 'Rua  Araguaina  Vale Verde II (Jacaré)', 'Rua Araguaina Vale Verde II (Jacaré)', ' Vale Verde II (Jacaré)', 'Rua', '3508405', 'Rua Araguaina Vale Verde II (Jacaré)',' Vale Verde II (Jacaré)', '1', 'SP', '1', '-23252877', '-47062255', ' Vale Verde II (Jacaré)' </v>
      </c>
    </row>
    <row r="352" ht="15.75" hidden="1" customHeight="1">
      <c r="A352" s="4" t="s">
        <v>1097</v>
      </c>
      <c r="B352" s="5" t="s">
        <v>142</v>
      </c>
      <c r="C352" s="4" t="s">
        <v>10</v>
      </c>
      <c r="D352" s="5" t="s">
        <v>1098</v>
      </c>
      <c r="E352" s="6">
        <v>214.0</v>
      </c>
      <c r="F352" s="6" t="s">
        <v>12</v>
      </c>
      <c r="G352" s="3" t="s">
        <v>13</v>
      </c>
      <c r="H352" s="7" t="str">
        <f>IFERROR(__xludf.DUMMYFUNCTION("SPLIT(A350,""Rua"","""")"),"       Maestro Benedicto Xisto Leite Sabugo")</f>
        <v>       Maestro Benedicto Xisto Leite Sabugo</v>
      </c>
      <c r="J352" s="3" t="s">
        <v>1099</v>
      </c>
      <c r="K352" s="8" t="str">
        <f>IFERROR(__xludf.DUMMYFUNCTION("SPLIT($J352,""   "","""")"),"-23.256466 -47.071555")</f>
        <v>-23.256466 -47.071555</v>
      </c>
      <c r="L352" s="7" t="str">
        <f>IFERROR(__xludf.DUMMYFUNCTION("""COMPUTED_VALUE"""),"Travessa")</f>
        <v>Travessa</v>
      </c>
      <c r="M352" s="7" t="str">
        <f>IFERROR(__xludf.DUMMYFUNCTION("""COMPUTED_VALUE""")," das Pérolas")</f>
        <v> das Pérolas</v>
      </c>
      <c r="N352" s="7" t="str">
        <f>IFERROR(__xludf.DUMMYFUNCTION("""COMPUTED_VALUE""")," Vila Preciosa (Vilarejo)")</f>
        <v> Vila Preciosa (Vilarejo)</v>
      </c>
      <c r="O352" s="7" t="str">
        <f>IFERROR(__xludf.DUMMYFUNCTION("""COMPUTED_VALUE""")," Cabreúva")</f>
        <v> Cabreúva</v>
      </c>
      <c r="P352" s="7" t="str">
        <f>IFERROR(__xludf.DUMMYFUNCTION("""COMPUTED_VALUE"""),"SP")</f>
        <v>SP</v>
      </c>
      <c r="Q352" s="7" t="str">
        <f>IFERROR(__xludf.DUMMYFUNCTION("""COMPUTED_VALUE""")," 13317-502 ")</f>
        <v> 13317-502 </v>
      </c>
      <c r="R352" s="9">
        <f>IFERROR(__xludf.DUMMYFUNCTION("SPLIT($K352,"" "","""")"),-2.3256466E7)</f>
        <v>-23256466</v>
      </c>
      <c r="S352" s="9">
        <f>IFERROR(__xludf.DUMMYFUNCTION("""COMPUTED_VALUE"""),-4.7071555E7)</f>
        <v>-47071555</v>
      </c>
      <c r="T352" s="10">
        <v>3508405.0</v>
      </c>
      <c r="U35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13317-502 ', 'PK-20686', SYSDATE, 0, 'PK-20686', SYSDATE, 'Travessa  das Pérolas  Vila Preciosa (Vilarejo)', 'Travessa das Pérolas Vila Preciosa (Vilarejo)', ' Vila Preciosa (Vilarejo)', 'Travessa', '3508405', 'Travessa das Pérolas Vila Preciosa (Vilarejo)',' Vila Preciosa (Vilarejo)', '1', 'SP', '1', '-23256466', '-47071555', ' Vila Preciosa (Vilarejo)' </v>
      </c>
    </row>
    <row r="353" ht="15.75" customHeight="1">
      <c r="A353" s="4" t="s">
        <v>1100</v>
      </c>
      <c r="B353" s="5" t="s">
        <v>142</v>
      </c>
      <c r="C353" s="4" t="s">
        <v>10</v>
      </c>
      <c r="D353" s="5" t="s">
        <v>1101</v>
      </c>
      <c r="E353" s="6">
        <v>214.0</v>
      </c>
      <c r="F353" s="6" t="s">
        <v>12</v>
      </c>
      <c r="G353" s="3" t="s">
        <v>13</v>
      </c>
      <c r="H353" s="7" t="str">
        <f>IFERROR(__xludf.DUMMYFUNCTION("SPLIT(A351,""Rua"","""")"),"       Magnetita")</f>
        <v>       Magnetita</v>
      </c>
      <c r="J353" s="3" t="s">
        <v>1102</v>
      </c>
      <c r="K353" s="8" t="str">
        <f>IFERROR(__xludf.DUMMYFUNCTION("SPLIT($J353,""   "","""")"),"-23.261148 -47.053328")</f>
        <v>-23.261148 -47.053328</v>
      </c>
      <c r="L353" s="7" t="str">
        <f>IFERROR(__xludf.DUMMYFUNCTION("""COMPUTED_VALUE"""),"Rua")</f>
        <v>Rua</v>
      </c>
      <c r="M353" s="7" t="str">
        <f>IFERROR(__xludf.DUMMYFUNCTION("""COMPUTED_VALUE""")," Topázio Imperial")</f>
        <v> Topázio Imperial</v>
      </c>
      <c r="N353" s="7" t="str">
        <f>IFERROR(__xludf.DUMMYFUNCTION("""COMPUTED_VALUE""")," Jacaré")</f>
        <v> Jacaré</v>
      </c>
      <c r="O353" s="7" t="str">
        <f>IFERROR(__xludf.DUMMYFUNCTION("""COMPUTED_VALUE""")," Cabreúva")</f>
        <v> Cabreúva</v>
      </c>
      <c r="P353" s="7" t="str">
        <f>IFERROR(__xludf.DUMMYFUNCTION("""COMPUTED_VALUE"""),"SP")</f>
        <v>SP</v>
      </c>
      <c r="Q353" s="7" t="str">
        <f>IFERROR(__xludf.DUMMYFUNCTION("""COMPUTED_VALUE""")," 13318-240 ")</f>
        <v> 13318-240 </v>
      </c>
      <c r="R353" s="9">
        <f>IFERROR(__xludf.DUMMYFUNCTION("SPLIT($K353,"" "","""")"),-2.3261148E7)</f>
        <v>-23261148</v>
      </c>
      <c r="S353" s="9">
        <f>IFERROR(__xludf.DUMMYFUNCTION("""COMPUTED_VALUE"""),-4.7053328E7)</f>
        <v>-47053328</v>
      </c>
      <c r="T353" s="10">
        <v>3508405.0</v>
      </c>
      <c r="U35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13318-240 ', 'PK-20686', SYSDATE, 0, 'PK-20686', SYSDATE, 'Rua  Topázio Imperial  Jacaré', 'Rua Topázio Imperial Jacaré', ' Jacaré', 'Rua', '3508405', 'Rua Topázio Imperial Jacaré',' Jacaré', '1', 'SP', '1', '-23261148', '-47053328', ' Jacaré' </v>
      </c>
    </row>
    <row r="354" ht="15.75" customHeight="1">
      <c r="A354" s="4" t="s">
        <v>1103</v>
      </c>
      <c r="B354" s="5" t="s">
        <v>164</v>
      </c>
      <c r="C354" s="4" t="s">
        <v>10</v>
      </c>
      <c r="D354" s="5" t="s">
        <v>1104</v>
      </c>
      <c r="E354" s="6">
        <v>214.0</v>
      </c>
      <c r="F354" s="6" t="s">
        <v>12</v>
      </c>
      <c r="G354" s="3" t="s">
        <v>13</v>
      </c>
      <c r="H354" s="7" t="str">
        <f>IFERROR(__xludf.DUMMYFUNCTION("SPLIT(A352,""Rua"","""")"),"       Malbec")</f>
        <v>       Malbec</v>
      </c>
      <c r="J354" s="3" t="s">
        <v>1105</v>
      </c>
      <c r="K354" s="8" t="str">
        <f>IFERROR(__xludf.DUMMYFUNCTION("SPLIT($J354,""   "","""")"),"-21.292246 -50.342843")</f>
        <v>-21.292246 -50.342843</v>
      </c>
      <c r="L354" s="7" t="str">
        <f>IFERROR(__xludf.DUMMYFUNCTION("""COMPUTED_VALUE"""),"Rua")</f>
        <v>Rua</v>
      </c>
      <c r="M354" s="7" t="str">
        <f>IFERROR(__xludf.DUMMYFUNCTION("""COMPUTED_VALUE""")," Intendente Manoel Gaspar de Abreu")</f>
        <v> Intendente Manoel Gaspar de Abreu</v>
      </c>
      <c r="N354" s="7" t="str">
        <f>IFERROR(__xludf.DUMMYFUNCTION("""COMPUTED_VALUE""")," Jacaré")</f>
        <v> Jacaré</v>
      </c>
      <c r="O354" s="7" t="str">
        <f>IFERROR(__xludf.DUMMYFUNCTION("""COMPUTED_VALUE""")," Cabreúva")</f>
        <v> Cabreúva</v>
      </c>
      <c r="P354" s="7" t="str">
        <f>IFERROR(__xludf.DUMMYFUNCTION("""COMPUTED_VALUE"""),"SP")</f>
        <v>SP</v>
      </c>
      <c r="Q354" s="7" t="str">
        <f>IFERROR(__xludf.DUMMYFUNCTION("""COMPUTED_VALUE""")," 13318-052 ")</f>
        <v> 13318-052 </v>
      </c>
      <c r="R354" s="9">
        <f>IFERROR(__xludf.DUMMYFUNCTION("SPLIT($K354,"" "","""")"),-2.1292246E7)</f>
        <v>-21292246</v>
      </c>
      <c r="S354" s="9">
        <f>IFERROR(__xludf.DUMMYFUNCTION("""COMPUTED_VALUE"""),-5.0342843E7)</f>
        <v>-50342843</v>
      </c>
      <c r="T354" s="10">
        <v>3508405.0</v>
      </c>
      <c r="U35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13318-052 ', 'PK-20686', SYSDATE, 0, 'PK-20686', SYSDATE, 'Rua  Intendente Manoel Gaspar de Abreu  Jacaré', 'Rua Intendente Manoel Gaspar de Abreu Jacaré', ' Jacaré', 'Rua', '3508405', 'Rua Intendente Manoel Gaspar de Abreu Jacaré',' Jacaré', '1', 'SP', '1', '-21292246', '-50342843', ' Jacaré' </v>
      </c>
    </row>
    <row r="355" ht="15.75" customHeight="1">
      <c r="A355" s="4" t="s">
        <v>1106</v>
      </c>
      <c r="B355" s="5" t="s">
        <v>180</v>
      </c>
      <c r="C355" s="4" t="s">
        <v>10</v>
      </c>
      <c r="D355" s="5" t="s">
        <v>1107</v>
      </c>
      <c r="E355" s="6">
        <v>214.0</v>
      </c>
      <c r="F355" s="6" t="s">
        <v>12</v>
      </c>
      <c r="G355" s="3" t="s">
        <v>13</v>
      </c>
      <c r="H355" s="7" t="str">
        <f>IFERROR(__xludf.DUMMYFUNCTION("SPLIT(A353,""Rua"","""")"),"       Malvasia")</f>
        <v>       Malvasia</v>
      </c>
      <c r="J355" s="3" t="s">
        <v>1108</v>
      </c>
      <c r="K355" s="8" t="str">
        <f>IFERROR(__xludf.DUMMYFUNCTION("SPLIT($J355,""   "","""")"),"-23.253179 -47.061676")</f>
        <v>-23.253179 -47.061676</v>
      </c>
      <c r="L355" s="7" t="str">
        <f>IFERROR(__xludf.DUMMYFUNCTION("""COMPUTED_VALUE"""),"Rua")</f>
        <v>Rua</v>
      </c>
      <c r="M355" s="7" t="str">
        <f>IFERROR(__xludf.DUMMYFUNCTION("""COMPUTED_VALUE""")," Tocantins")</f>
        <v> Tocantins</v>
      </c>
      <c r="N355" s="7" t="str">
        <f>IFERROR(__xludf.DUMMYFUNCTION("""COMPUTED_VALUE""")," Vale Verde II (Jacaré)")</f>
        <v> Vale Verde II (Jacaré)</v>
      </c>
      <c r="O355" s="7" t="str">
        <f>IFERROR(__xludf.DUMMYFUNCTION("""COMPUTED_VALUE""")," Cabreúva")</f>
        <v> Cabreúva</v>
      </c>
      <c r="P355" s="7" t="str">
        <f>IFERROR(__xludf.DUMMYFUNCTION("""COMPUTED_VALUE"""),"SP")</f>
        <v>SP</v>
      </c>
      <c r="Q355" s="7" t="str">
        <f>IFERROR(__xludf.DUMMYFUNCTION("""COMPUTED_VALUE""")," 13318-162 ")</f>
        <v> 13318-162 </v>
      </c>
      <c r="R355" s="9">
        <f>IFERROR(__xludf.DUMMYFUNCTION("SPLIT($K355,"" "","""")"),-2.3253179E7)</f>
        <v>-23253179</v>
      </c>
      <c r="S355" s="9">
        <f>IFERROR(__xludf.DUMMYFUNCTION("""COMPUTED_VALUE"""),-4.7061676E7)</f>
        <v>-47061676</v>
      </c>
      <c r="T355" s="10">
        <v>3508405.0</v>
      </c>
      <c r="U35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13318-162 ', 'PK-20686', SYSDATE, 0, 'PK-20686', SYSDATE, 'Rua  Tocantins  Vale Verde II (Jacaré)', 'Rua Tocantins Vale Verde II (Jacaré)', ' Vale Verde II (Jacaré)', 'Rua', '3508405', 'Rua Tocantins Vale Verde II (Jacaré)',' Vale Verde II (Jacaré)', '1', 'SP', '1', '-23253179', '-47061676', ' Vale Verde II (Jacaré)' </v>
      </c>
    </row>
    <row r="356" ht="15.75" customHeight="1">
      <c r="A356" s="4" t="s">
        <v>1109</v>
      </c>
      <c r="B356" s="5" t="s">
        <v>577</v>
      </c>
      <c r="C356" s="4" t="s">
        <v>10</v>
      </c>
      <c r="D356" s="5" t="s">
        <v>1110</v>
      </c>
      <c r="E356" s="6">
        <v>214.0</v>
      </c>
      <c r="F356" s="6" t="s">
        <v>12</v>
      </c>
      <c r="G356" s="3" t="s">
        <v>13</v>
      </c>
      <c r="H356" s="7" t="str">
        <f>IFERROR(__xludf.DUMMYFUNCTION("SPLIT(A354,""Rua"","""")"),"       Manoel Ávila")</f>
        <v>       Manoel Ávila</v>
      </c>
      <c r="J356" s="3" t="s">
        <v>1111</v>
      </c>
      <c r="K356" s="8" t="str">
        <f>IFERROR(__xludf.DUMMYFUNCTION("SPLIT($J356,""   "","""")"),"-23.259419 -47.052878")</f>
        <v>-23.259419 -47.052878</v>
      </c>
      <c r="L356" s="7" t="str">
        <f>IFERROR(__xludf.DUMMYFUNCTION("""COMPUTED_VALUE"""),"Rua")</f>
        <v>Rua</v>
      </c>
      <c r="M356" s="7" t="str">
        <f>IFERROR(__xludf.DUMMYFUNCTION("""COMPUTED_VALUE""")," Safira")</f>
        <v> Safira</v>
      </c>
      <c r="N356" s="7" t="str">
        <f>IFERROR(__xludf.DUMMYFUNCTION("""COMPUTED_VALUE""")," Jardim Colina da Serra (Jacaré)")</f>
        <v> Jardim Colina da Serra (Jacaré)</v>
      </c>
      <c r="O356" s="7" t="str">
        <f>IFERROR(__xludf.DUMMYFUNCTION("""COMPUTED_VALUE""")," Cabreúva")</f>
        <v> Cabreúva</v>
      </c>
      <c r="P356" s="7" t="str">
        <f>IFERROR(__xludf.DUMMYFUNCTION("""COMPUTED_VALUE"""),"SP")</f>
        <v>SP</v>
      </c>
      <c r="Q356" s="7" t="str">
        <f>IFERROR(__xludf.DUMMYFUNCTION("""COMPUTED_VALUE""")," 13318-252 ")</f>
        <v> 13318-252 </v>
      </c>
      <c r="R356" s="9">
        <f>IFERROR(__xludf.DUMMYFUNCTION("SPLIT($K356,"" "","""")"),-2.3259419E7)</f>
        <v>-23259419</v>
      </c>
      <c r="S356" s="9">
        <f>IFERROR(__xludf.DUMMYFUNCTION("""COMPUTED_VALUE"""),-4.7052878E7)</f>
        <v>-47052878</v>
      </c>
      <c r="T356" s="10">
        <v>3508405.0</v>
      </c>
      <c r="U35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13318-252 ', 'PK-20686', SYSDATE, 0, 'PK-20686', SYSDATE, 'Rua  Safira  Jardim Colina da Serra (Jacaré)', 'Rua Safira Jardim Colina da Serra (Jacaré)', ' Jardim Colina da Serra (Jacaré)', 'Rua', '3508405', 'Rua Safira Jardim Colina da Serra (Jacaré)',' Jardim Colina da Serra (Jacaré)', '1', 'SP', '1', '-23259419', '-47052878', ' Jardim Colina da Serra (Jacaré)' </v>
      </c>
    </row>
    <row r="357" ht="15.75" customHeight="1">
      <c r="A357" s="4" t="s">
        <v>1112</v>
      </c>
      <c r="B357" s="5" t="s">
        <v>180</v>
      </c>
      <c r="C357" s="4" t="s">
        <v>10</v>
      </c>
      <c r="D357" s="5" t="s">
        <v>1113</v>
      </c>
      <c r="E357" s="6">
        <v>214.0</v>
      </c>
      <c r="F357" s="6" t="s">
        <v>12</v>
      </c>
      <c r="G357" s="3" t="s">
        <v>13</v>
      </c>
      <c r="H357" s="7" t="str">
        <f>IFERROR(__xludf.DUMMYFUNCTION("SPLIT(A355,""Rua"","""")"),"       Manoel Martins de Melo")</f>
        <v>       Manoel Martins de Melo</v>
      </c>
      <c r="J357" s="3" t="s">
        <v>1114</v>
      </c>
      <c r="K357" s="8" t="str">
        <f>IFERROR(__xludf.DUMMYFUNCTION("SPLIT($J357,""   "","""")"),"-23.265149 -47.063572")</f>
        <v>-23.265149 -47.063572</v>
      </c>
      <c r="L357" s="7" t="str">
        <f>IFERROR(__xludf.DUMMYFUNCTION("""COMPUTED_VALUE"""),"Rua")</f>
        <v>Rua</v>
      </c>
      <c r="M357" s="7" t="str">
        <f>IFERROR(__xludf.DUMMYFUNCTION("""COMPUTED_VALUE""")," Suécia")</f>
        <v> Suécia</v>
      </c>
      <c r="N357" s="7" t="str">
        <f>IFERROR(__xludf.DUMMYFUNCTION("""COMPUTED_VALUE""")," Villarejo Sopé da Serra (Vilarejo)")</f>
        <v> Villarejo Sopé da Serra (Vilarejo)</v>
      </c>
      <c r="O357" s="7" t="str">
        <f>IFERROR(__xludf.DUMMYFUNCTION("""COMPUTED_VALUE""")," Cabreúva")</f>
        <v> Cabreúva</v>
      </c>
      <c r="P357" s="7" t="str">
        <f>IFERROR(__xludf.DUMMYFUNCTION("""COMPUTED_VALUE"""),"SP")</f>
        <v>SP</v>
      </c>
      <c r="Q357" s="7" t="str">
        <f>IFERROR(__xludf.DUMMYFUNCTION("""COMPUTED_VALUE""")," 13317-628 ")</f>
        <v> 13317-628 </v>
      </c>
      <c r="R357" s="9">
        <f>IFERROR(__xludf.DUMMYFUNCTION("SPLIT($K357,"" "","""")"),-2.3265149E7)</f>
        <v>-23265149</v>
      </c>
      <c r="S357" s="9">
        <f>IFERROR(__xludf.DUMMYFUNCTION("""COMPUTED_VALUE"""),-4.7063572E7)</f>
        <v>-47063572</v>
      </c>
      <c r="T357" s="10">
        <v>3508405.0</v>
      </c>
      <c r="U35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13317-628 ', 'PK-20686', SYSDATE, 0, 'PK-20686', SYSDATE, 'Rua  Suécia  Villarejo Sopé da Serra (Vilarejo)', 'Rua Suécia Villarejo Sopé da Serra (Vilarejo)', ' Villarejo Sopé da Serra (Vilarejo)', 'Rua', '3508405', 'Rua Suécia Villarejo Sopé da Serra (Vilarejo)',' Villarejo Sopé da Serra (Vilarejo)', '1', 'SP', '1', '-23265149', '-47063572', ' Villarejo Sopé da Serra (Vilarejo)' </v>
      </c>
    </row>
    <row r="358" ht="15.75" hidden="1" customHeight="1">
      <c r="A358" s="4" t="s">
        <v>1115</v>
      </c>
      <c r="B358" s="5" t="s">
        <v>24</v>
      </c>
      <c r="C358" s="4" t="s">
        <v>10</v>
      </c>
      <c r="D358" s="5" t="s">
        <v>1116</v>
      </c>
      <c r="E358" s="6">
        <v>214.0</v>
      </c>
      <c r="F358" s="6" t="s">
        <v>12</v>
      </c>
      <c r="G358" s="3" t="s">
        <v>13</v>
      </c>
      <c r="H358" s="7" t="str">
        <f>IFERROR(__xludf.DUMMYFUNCTION("SPLIT(A356,""Rua"","""")"),"       Manoel Ribeiro Leal")</f>
        <v>       Manoel Ribeiro Leal</v>
      </c>
      <c r="J358" s="3" t="s">
        <v>1117</v>
      </c>
      <c r="K358" s="8" t="str">
        <f>IFERROR(__xludf.DUMMYFUNCTION("SPLIT($J358,""   "","""")"),"-23.248473 -47.06072")</f>
        <v>-23.248473 -47.06072</v>
      </c>
      <c r="L358" s="7" t="str">
        <f>IFERROR(__xludf.DUMMYFUNCTION("""COMPUTED_VALUE"""),"Travessa")</f>
        <v>Travessa</v>
      </c>
      <c r="M358" s="7" t="str">
        <f>IFERROR(__xludf.DUMMYFUNCTION("""COMPUTED_VALUE""")," Manaus")</f>
        <v> Manaus</v>
      </c>
      <c r="N358" s="7" t="str">
        <f>IFERROR(__xludf.DUMMYFUNCTION("""COMPUTED_VALUE""")," Jacaré")</f>
        <v> Jacaré</v>
      </c>
      <c r="O358" s="7" t="str">
        <f>IFERROR(__xludf.DUMMYFUNCTION("""COMPUTED_VALUE""")," Cabreúva")</f>
        <v> Cabreúva</v>
      </c>
      <c r="P358" s="7" t="str">
        <f>IFERROR(__xludf.DUMMYFUNCTION("""COMPUTED_VALUE"""),"SP")</f>
        <v>SP</v>
      </c>
      <c r="Q358" s="7" t="str">
        <f>IFERROR(__xludf.DUMMYFUNCTION("""COMPUTED_VALUE""")," 13318-068 ")</f>
        <v> 13318-068 </v>
      </c>
      <c r="R358" s="9">
        <f>IFERROR(__xludf.DUMMYFUNCTION("SPLIT($K358,"" "","""")"),-2.3248473E7)</f>
        <v>-23248473</v>
      </c>
      <c r="S358" s="9">
        <f>IFERROR(__xludf.DUMMYFUNCTION("""COMPUTED_VALUE"""),-4706072.0)</f>
        <v>-4706072</v>
      </c>
      <c r="T358" s="10">
        <v>3508405.0</v>
      </c>
      <c r="U35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13318-068 ', 'PK-20686', SYSDATE, 0, 'PK-20686', SYSDATE, 'Travessa  Manaus  Jacaré', 'Travessa Manaus Jacaré', ' Jacaré', 'Travessa', '3508405', 'Travessa Manaus Jacaré',' Jacaré', '1', 'SP', '1', '-23248473', '-4706072', ' Jacaré' </v>
      </c>
    </row>
    <row r="359" ht="15.75" hidden="1" customHeight="1">
      <c r="A359" s="4" t="s">
        <v>1118</v>
      </c>
      <c r="B359" s="5" t="s">
        <v>24</v>
      </c>
      <c r="C359" s="4" t="s">
        <v>10</v>
      </c>
      <c r="D359" s="5" t="s">
        <v>1119</v>
      </c>
      <c r="E359" s="6">
        <v>214.0</v>
      </c>
      <c r="F359" s="6" t="s">
        <v>12</v>
      </c>
      <c r="G359" s="3" t="s">
        <v>13</v>
      </c>
      <c r="H359" s="7" t="str">
        <f>IFERROR(__xludf.DUMMYFUNCTION("SPLIT(A357,""Rua"","""")"),"       Mansueto Mesquita Togni")</f>
        <v>       Mansueto Mesquita Togni</v>
      </c>
      <c r="J359" s="3" t="s">
        <v>1120</v>
      </c>
      <c r="K359" s="8" t="str">
        <f>IFERROR(__xludf.DUMMYFUNCTION("SPLIT($J359,""   "","""")"),"-23.243904 -47.05856")</f>
        <v>-23.243904 -47.05856</v>
      </c>
      <c r="L359" s="7" t="str">
        <f>IFERROR(__xludf.DUMMYFUNCTION("""COMPUTED_VALUE"""),"Avenida")</f>
        <v>Avenida</v>
      </c>
      <c r="M359" s="7" t="str">
        <f>IFERROR(__xludf.DUMMYFUNCTION("""COMPUTED_VALUE""")," Cabernet")</f>
        <v> Cabernet</v>
      </c>
      <c r="N359" s="7" t="str">
        <f>IFERROR(__xludf.DUMMYFUNCTION("""COMPUTED_VALUE""")," Reserva da Quinta (Jacaré)")</f>
        <v> Reserva da Quinta (Jacaré)</v>
      </c>
      <c r="O359" s="7" t="str">
        <f>IFERROR(__xludf.DUMMYFUNCTION("""COMPUTED_VALUE""")," Cabreúva")</f>
        <v> Cabreúva</v>
      </c>
      <c r="P359" s="7" t="str">
        <f>IFERROR(__xludf.DUMMYFUNCTION("""COMPUTED_VALUE"""),"SP")</f>
        <v>SP</v>
      </c>
      <c r="Q359" s="7" t="str">
        <f>IFERROR(__xludf.DUMMYFUNCTION("""COMPUTED_VALUE""")," 13318-440 ")</f>
        <v> 13318-440 </v>
      </c>
      <c r="R359" s="9">
        <f>IFERROR(__xludf.DUMMYFUNCTION("SPLIT($K359,"" "","""")"),-2.3243904E7)</f>
        <v>-23243904</v>
      </c>
      <c r="S359" s="9">
        <f>IFERROR(__xludf.DUMMYFUNCTION("""COMPUTED_VALUE"""),-4705856.0)</f>
        <v>-4705856</v>
      </c>
      <c r="T359" s="10">
        <v>3508405.0</v>
      </c>
      <c r="U35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13318-440 ', 'PK-20686', SYSDATE, 0, 'PK-20686', SYSDATE, 'Avenida  Cabernet  Reserva da Quinta (Jacaré)', 'Avenida Cabernet Reserva da Quinta (Jacaré)', ' Reserva da Quinta (Jacaré)', 'Avenida', '3508405', 'Avenida Cabernet Reserva da Quinta (Jacaré)',' Reserva da Quinta (Jacaré)', '1', 'SP', '1', '-23243904', '-4705856', ' Reserva da Quinta (Jacaré)' </v>
      </c>
    </row>
    <row r="360" ht="15.75" hidden="1" customHeight="1">
      <c r="A360" s="4" t="s">
        <v>1121</v>
      </c>
      <c r="B360" s="5" t="s">
        <v>223</v>
      </c>
      <c r="C360" s="4" t="s">
        <v>10</v>
      </c>
      <c r="D360" s="5" t="s">
        <v>1122</v>
      </c>
      <c r="E360" s="6">
        <v>214.0</v>
      </c>
      <c r="F360" s="6" t="s">
        <v>12</v>
      </c>
      <c r="G360" s="3" t="s">
        <v>13</v>
      </c>
      <c r="H360" s="7" t="str">
        <f>IFERROR(__xludf.DUMMYFUNCTION("SPLIT(A358,""Rua"","""")"),"       Marajó")</f>
        <v>       Marajó</v>
      </c>
      <c r="J360" s="3" t="s">
        <v>1123</v>
      </c>
      <c r="K360" s="8" t="str">
        <f>IFERROR(__xludf.DUMMYFUNCTION("SPLIT($J360,""   "","""")"),"-23.245618 -47.064924")</f>
        <v>-23.245618 -47.064924</v>
      </c>
      <c r="L360" s="7" t="str">
        <f>IFERROR(__xludf.DUMMYFUNCTION("""COMPUTED_VALUE"""),"Alameda")</f>
        <v>Alameda</v>
      </c>
      <c r="M360" s="7" t="str">
        <f>IFERROR(__xludf.DUMMYFUNCTION("""COMPUTED_VALUE""")," Aníbal Geraldo")</f>
        <v> Aníbal Geraldo</v>
      </c>
      <c r="N360" s="7" t="str">
        <f>IFERROR(__xludf.DUMMYFUNCTION("""COMPUTED_VALUE""")," CECOM (Jacaré)")</f>
        <v> CECOM (Jacaré)</v>
      </c>
      <c r="O360" s="7" t="str">
        <f>IFERROR(__xludf.DUMMYFUNCTION("""COMPUTED_VALUE""")," Cabreúva")</f>
        <v> Cabreúva</v>
      </c>
      <c r="P360" s="7" t="str">
        <f>IFERROR(__xludf.DUMMYFUNCTION("""COMPUTED_VALUE"""),"SP")</f>
        <v>SP</v>
      </c>
      <c r="Q360" s="7" t="str">
        <f>IFERROR(__xludf.DUMMYFUNCTION("""COMPUTED_VALUE""")," 13318-350 ")</f>
        <v> 13318-350 </v>
      </c>
      <c r="R360" s="9">
        <f>IFERROR(__xludf.DUMMYFUNCTION("SPLIT($K360,"" "","""")"),-2.3245618E7)</f>
        <v>-23245618</v>
      </c>
      <c r="S360" s="9">
        <f>IFERROR(__xludf.DUMMYFUNCTION("""COMPUTED_VALUE"""),-4.7064924E7)</f>
        <v>-47064924</v>
      </c>
      <c r="T360" s="10">
        <v>3508405.0</v>
      </c>
      <c r="U36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13318-350 ', 'PK-20686', SYSDATE, 0, 'PK-20686', SYSDATE, 'Alameda  Aníbal Geraldo  CECOM (Jacaré)', 'Alameda Aníbal Geraldo CECOM (Jacaré)', ' CECOM (Jacaré)', 'Alameda', '3508405', 'Alameda Aníbal Geraldo CECOM (Jacaré)',' CECOM (Jacaré)', '1', 'SP', '1', '-23245618', '-47064924', ' CECOM (Jacaré)' </v>
      </c>
    </row>
    <row r="361" ht="15.75" customHeight="1">
      <c r="A361" s="4" t="s">
        <v>1124</v>
      </c>
      <c r="B361" s="5" t="s">
        <v>180</v>
      </c>
      <c r="C361" s="4" t="s">
        <v>10</v>
      </c>
      <c r="D361" s="5" t="s">
        <v>1125</v>
      </c>
      <c r="E361" s="6">
        <v>214.0</v>
      </c>
      <c r="F361" s="6" t="s">
        <v>12</v>
      </c>
      <c r="G361" s="3" t="s">
        <v>13</v>
      </c>
      <c r="H361" s="7" t="str">
        <f>IFERROR(__xludf.DUMMYFUNCTION("SPLIT(A359,""Rua"","""")"),"       Maranhão")</f>
        <v>       Maranhão</v>
      </c>
      <c r="J361" s="3" t="s">
        <v>1126</v>
      </c>
      <c r="K361" s="8" t="str">
        <f>IFERROR(__xludf.DUMMYFUNCTION("SPLIT($J361,""   "","""")"),"-23.255022 -47.071242")</f>
        <v>-23.255022 -47.071242</v>
      </c>
      <c r="L361" s="7" t="str">
        <f>IFERROR(__xludf.DUMMYFUNCTION("""COMPUTED_VALUE"""),"Rua")</f>
        <v>Rua</v>
      </c>
      <c r="M361" s="7" t="str">
        <f>IFERROR(__xludf.DUMMYFUNCTION("""COMPUTED_VALUE""")," Turquesa")</f>
        <v> Turquesa</v>
      </c>
      <c r="N361" s="7" t="str">
        <f>IFERROR(__xludf.DUMMYFUNCTION("""COMPUTED_VALUE""")," Jardim Paraíso (Jacaré)")</f>
        <v> Jardim Paraíso (Jacaré)</v>
      </c>
      <c r="O361" s="7" t="str">
        <f>IFERROR(__xludf.DUMMYFUNCTION("""COMPUTED_VALUE""")," Cabreúva")</f>
        <v> Cabreúva</v>
      </c>
      <c r="P361" s="7" t="str">
        <f>IFERROR(__xludf.DUMMYFUNCTION("""COMPUTED_VALUE"""),"SP")</f>
        <v>SP</v>
      </c>
      <c r="Q361" s="7" t="str">
        <f>IFERROR(__xludf.DUMMYFUNCTION("""COMPUTED_VALUE""")," 13318-238 ")</f>
        <v> 13318-238 </v>
      </c>
      <c r="R361" s="9">
        <f>IFERROR(__xludf.DUMMYFUNCTION("SPLIT($K361,"" "","""")"),-2.3255022E7)</f>
        <v>-23255022</v>
      </c>
      <c r="S361" s="9">
        <f>IFERROR(__xludf.DUMMYFUNCTION("""COMPUTED_VALUE"""),-4.7071242E7)</f>
        <v>-47071242</v>
      </c>
      <c r="T361" s="10">
        <v>3508405.0</v>
      </c>
      <c r="U36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13318-238 ', 'PK-20686', SYSDATE, 0, 'PK-20686', SYSDATE, 'Rua  Turquesa  Jardim Paraíso (Jacaré)', 'Rua Turquesa Jardim Paraíso (Jacaré)', ' Jardim Paraíso (Jacaré)', 'Rua', '3508405', 'Rua Turquesa Jardim Paraíso (Jacaré)',' Jardim Paraíso (Jacaré)', '1', 'SP', '1', '-23255022', '-47071242', ' Jardim Paraíso (Jacaré)' </v>
      </c>
    </row>
    <row r="362" ht="15.75" customHeight="1">
      <c r="A362" s="4" t="s">
        <v>1127</v>
      </c>
      <c r="B362" s="5" t="s">
        <v>24</v>
      </c>
      <c r="C362" s="4" t="s">
        <v>10</v>
      </c>
      <c r="D362" s="5" t="s">
        <v>1128</v>
      </c>
      <c r="E362" s="6">
        <v>214.0</v>
      </c>
      <c r="F362" s="6" t="s">
        <v>12</v>
      </c>
      <c r="G362" s="3" t="s">
        <v>13</v>
      </c>
      <c r="H362" s="7" t="str">
        <f>IFERROR(__xludf.DUMMYFUNCTION("SPLIT(A360,""Rua"","""")"),"       Marcelina Pereira da Costa")</f>
        <v>       Marcelina Pereira da Costa</v>
      </c>
      <c r="J362" s="3" t="s">
        <v>1129</v>
      </c>
      <c r="K362" s="8" t="str">
        <f>IFERROR(__xludf.DUMMYFUNCTION("SPLIT($J362,""   "","""")"),"-23.318411 -47.117333")</f>
        <v>-23.318411 -47.117333</v>
      </c>
      <c r="L362" s="7" t="str">
        <f>IFERROR(__xludf.DUMMYFUNCTION("""COMPUTED_VALUE"""),"Rua")</f>
        <v>Rua</v>
      </c>
      <c r="M362" s="7" t="str">
        <f>IFERROR(__xludf.DUMMYFUNCTION("""COMPUTED_VALUE""")," do Cruzeiro")</f>
        <v> do Cruzeiro</v>
      </c>
      <c r="N362" s="7" t="str">
        <f>IFERROR(__xludf.DUMMYFUNCTION("""COMPUTED_VALUE""")," Bananal")</f>
        <v> Bananal</v>
      </c>
      <c r="O362" s="7" t="str">
        <f>IFERROR(__xludf.DUMMYFUNCTION("""COMPUTED_VALUE""")," Cabreúva")</f>
        <v> Cabreúva</v>
      </c>
      <c r="P362" s="7" t="str">
        <f>IFERROR(__xludf.DUMMYFUNCTION("""COMPUTED_VALUE"""),"SP")</f>
        <v>SP</v>
      </c>
      <c r="Q362" s="7" t="str">
        <f>IFERROR(__xludf.DUMMYFUNCTION("""COMPUTED_VALUE""")," 13316-805 ")</f>
        <v> 13316-805 </v>
      </c>
      <c r="R362" s="9">
        <f>IFERROR(__xludf.DUMMYFUNCTION("SPLIT($K362,"" "","""")"),-2.3318411E7)</f>
        <v>-23318411</v>
      </c>
      <c r="S362" s="9">
        <f>IFERROR(__xludf.DUMMYFUNCTION("""COMPUTED_VALUE"""),-4.7117333E7)</f>
        <v>-47117333</v>
      </c>
      <c r="T362" s="10">
        <v>3508405.0</v>
      </c>
      <c r="U36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13316-805 ', 'PK-20686', SYSDATE, 0, 'PK-20686', SYSDATE, 'Rua  do Cruzeiro  Bananal', 'Rua do Cruzeiro Bananal', ' Bananal', 'Rua', '3508405', 'Rua do Cruzeiro Bananal',' Bananal', '1', 'SP', '1', '-23318411', '-47117333', ' Bananal' </v>
      </c>
    </row>
    <row r="363" ht="15.75" customHeight="1">
      <c r="A363" s="4" t="s">
        <v>1130</v>
      </c>
      <c r="B363" s="5" t="s">
        <v>1131</v>
      </c>
      <c r="C363" s="4" t="s">
        <v>10</v>
      </c>
      <c r="D363" s="5" t="s">
        <v>1132</v>
      </c>
      <c r="E363" s="6">
        <v>214.0</v>
      </c>
      <c r="F363" s="6" t="s">
        <v>12</v>
      </c>
      <c r="G363" s="3" t="s">
        <v>13</v>
      </c>
      <c r="H363" s="7" t="str">
        <f>IFERROR(__xludf.DUMMYFUNCTION("SPLIT(A361,""Rua"","""")"),"       Marechal Deodoro da Fonseca")</f>
        <v>       Marechal Deodoro da Fonseca</v>
      </c>
      <c r="J363" s="3" t="s">
        <v>1133</v>
      </c>
      <c r="K363" s="8" t="str">
        <f>IFERROR(__xludf.DUMMYFUNCTION("SPLIT($J363,""   "","""")"),"-23.256466 -47.071555")</f>
        <v>-23.256466 -47.071555</v>
      </c>
      <c r="L363" s="7" t="str">
        <f>IFERROR(__xludf.DUMMYFUNCTION("""COMPUTED_VALUE"""),"Rua")</f>
        <v>Rua</v>
      </c>
      <c r="M363" s="7" t="str">
        <f>IFERROR(__xludf.DUMMYFUNCTION("""COMPUTED_VALUE""")," Turquesa")</f>
        <v> Turquesa</v>
      </c>
      <c r="N363" s="7" t="str">
        <f>IFERROR(__xludf.DUMMYFUNCTION("""COMPUTED_VALUE""")," Vila Preciosa (Vilarejo)")</f>
        <v> Vila Preciosa (Vilarejo)</v>
      </c>
      <c r="O363" s="7" t="str">
        <f>IFERROR(__xludf.DUMMYFUNCTION("""COMPUTED_VALUE""")," Cabreúva")</f>
        <v> Cabreúva</v>
      </c>
      <c r="P363" s="7" t="str">
        <f>IFERROR(__xludf.DUMMYFUNCTION("""COMPUTED_VALUE"""),"SP")</f>
        <v>SP</v>
      </c>
      <c r="Q363" s="7" t="str">
        <f>IFERROR(__xludf.DUMMYFUNCTION("""COMPUTED_VALUE""")," 13317-510 ")</f>
        <v> 13317-510 </v>
      </c>
      <c r="R363" s="9">
        <f>IFERROR(__xludf.DUMMYFUNCTION("SPLIT($K363,"" "","""")"),-2.3256466E7)</f>
        <v>-23256466</v>
      </c>
      <c r="S363" s="9">
        <f>IFERROR(__xludf.DUMMYFUNCTION("""COMPUTED_VALUE"""),-4.7071555E7)</f>
        <v>-47071555</v>
      </c>
      <c r="T363" s="10">
        <v>3508405.0</v>
      </c>
      <c r="U36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13317-510 ', 'PK-20686', SYSDATE, 0, 'PK-20686', SYSDATE, 'Rua  Turquesa  Vila Preciosa (Vilarejo)', 'Rua Turquesa Vila Preciosa (Vilarejo)', ' Vila Preciosa (Vilarejo)', 'Rua', '3508405', 'Rua Turquesa Vila Preciosa (Vilarejo)',' Vila Preciosa (Vilarejo)', '1', 'SP', '1', '-23256466', '-47071555', ' Vila Preciosa (Vilarejo)' </v>
      </c>
    </row>
    <row r="364" ht="15.75" customHeight="1">
      <c r="A364" s="4" t="s">
        <v>1134</v>
      </c>
      <c r="B364" s="5" t="s">
        <v>180</v>
      </c>
      <c r="C364" s="4" t="s">
        <v>10</v>
      </c>
      <c r="D364" s="5" t="s">
        <v>1135</v>
      </c>
      <c r="E364" s="6">
        <v>214.0</v>
      </c>
      <c r="F364" s="6" t="s">
        <v>12</v>
      </c>
      <c r="G364" s="3" t="s">
        <v>13</v>
      </c>
      <c r="H364" s="7" t="str">
        <f>IFERROR(__xludf.DUMMYFUNCTION("SPLIT(A362,""Rua"","""")"),"       Maria Nadir Rosa Barroso")</f>
        <v>       Maria Nadir Rosa Barroso</v>
      </c>
      <c r="J364" s="3" t="s">
        <v>1136</v>
      </c>
      <c r="K364" s="8" t="str">
        <f>IFERROR(__xludf.DUMMYFUNCTION("SPLIT($J364,""   "","""")"),"-23.252395 -47.062088")</f>
        <v>-23.252395 -47.062088</v>
      </c>
      <c r="L364" s="7" t="str">
        <f>IFERROR(__xludf.DUMMYFUNCTION("""COMPUTED_VALUE"""),"Rua")</f>
        <v>Rua</v>
      </c>
      <c r="M364" s="7" t="str">
        <f>IFERROR(__xludf.DUMMYFUNCTION("""COMPUTED_VALUE""")," dos Estados")</f>
        <v> dos Estados</v>
      </c>
      <c r="N364" s="7" t="str">
        <f>IFERROR(__xludf.DUMMYFUNCTION("""COMPUTED_VALUE""")," Jacaré")</f>
        <v> Jacaré</v>
      </c>
      <c r="O364" s="7" t="str">
        <f>IFERROR(__xludf.DUMMYFUNCTION("""COMPUTED_VALUE""")," Cabreúva")</f>
        <v> Cabreúva</v>
      </c>
      <c r="P364" s="7" t="str">
        <f>IFERROR(__xludf.DUMMYFUNCTION("""COMPUTED_VALUE"""),"SP")</f>
        <v>SP</v>
      </c>
      <c r="Q364" s="7" t="str">
        <f>IFERROR(__xludf.DUMMYFUNCTION("""COMPUTED_VALUE""")," 13318-058 ")</f>
        <v> 13318-058 </v>
      </c>
      <c r="R364" s="9">
        <f>IFERROR(__xludf.DUMMYFUNCTION("SPLIT($K364,"" "","""")"),-2.3252395E7)</f>
        <v>-23252395</v>
      </c>
      <c r="S364" s="9">
        <f>IFERROR(__xludf.DUMMYFUNCTION("""COMPUTED_VALUE"""),-4.7062088E7)</f>
        <v>-47062088</v>
      </c>
      <c r="T364" s="10">
        <v>3508405.0</v>
      </c>
      <c r="U36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13318-058 ', 'PK-20686', SYSDATE, 0, 'PK-20686', SYSDATE, 'Rua  dos Estados  Jacaré', 'Rua dos Estados Jacaré', ' Jacaré', 'Rua', '3508405', 'Rua dos Estados Jacaré',' Jacaré', '1', 'SP', '1', '-23252395', '-47062088', ' Jacaré' </v>
      </c>
    </row>
    <row r="365" ht="15.75" customHeight="1">
      <c r="A365" s="4" t="s">
        <v>1137</v>
      </c>
      <c r="B365" s="5" t="s">
        <v>372</v>
      </c>
      <c r="C365" s="4" t="s">
        <v>10</v>
      </c>
      <c r="D365" s="5" t="s">
        <v>1138</v>
      </c>
      <c r="E365" s="6">
        <v>214.0</v>
      </c>
      <c r="F365" s="6" t="s">
        <v>12</v>
      </c>
      <c r="G365" s="3" t="s">
        <v>13</v>
      </c>
      <c r="H365" s="7" t="str">
        <f>IFERROR(__xludf.DUMMYFUNCTION("SPLIT(A363,""Rua"","""")"),"       Mariana")</f>
        <v>       Mariana</v>
      </c>
      <c r="J365" s="3" t="s">
        <v>1139</v>
      </c>
      <c r="K365" s="8" t="str">
        <f>IFERROR(__xludf.DUMMYFUNCTION("SPLIT($J365,""   "","""")"),"-23.267079 -47.060744")</f>
        <v>-23.267079 -47.060744</v>
      </c>
      <c r="L365" s="7" t="str">
        <f>IFERROR(__xludf.DUMMYFUNCTION("""COMPUTED_VALUE"""),"Rua")</f>
        <v>Rua</v>
      </c>
      <c r="M365" s="7" t="str">
        <f>IFERROR(__xludf.DUMMYFUNCTION("""COMPUTED_VALUE""")," Monsenhor André Mortari")</f>
        <v> Monsenhor André Mortari</v>
      </c>
      <c r="N365" s="7" t="str">
        <f>IFERROR(__xludf.DUMMYFUNCTION("""COMPUTED_VALUE""")," Villarejo Sopé da Serra (Vilarejo)")</f>
        <v> Villarejo Sopé da Serra (Vilarejo)</v>
      </c>
      <c r="O365" s="7" t="str">
        <f>IFERROR(__xludf.DUMMYFUNCTION("""COMPUTED_VALUE""")," Cabreúva")</f>
        <v> Cabreúva</v>
      </c>
      <c r="P365" s="7" t="str">
        <f>IFERROR(__xludf.DUMMYFUNCTION("""COMPUTED_VALUE"""),"SP")</f>
        <v>SP</v>
      </c>
      <c r="Q365" s="7" t="str">
        <f>IFERROR(__xludf.DUMMYFUNCTION("""COMPUTED_VALUE""")," 13317-644 ")</f>
        <v> 13317-644 </v>
      </c>
      <c r="R365" s="9">
        <f>IFERROR(__xludf.DUMMYFUNCTION("SPLIT($K365,"" "","""")"),-2.3267079E7)</f>
        <v>-23267079</v>
      </c>
      <c r="S365" s="9">
        <f>IFERROR(__xludf.DUMMYFUNCTION("""COMPUTED_VALUE"""),-4.7060744E7)</f>
        <v>-47060744</v>
      </c>
      <c r="T365" s="10">
        <v>3508405.0</v>
      </c>
      <c r="U36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13317-644 ', 'PK-20686', SYSDATE, 0, 'PK-20686', SYSDATE, 'Rua  Monsenhor André Mortari  Villarejo Sopé da Serra (Vilarejo)', 'Rua Monsenhor André Mortari Villarejo Sopé da Serra (Vilarejo)', ' Villarejo Sopé da Serra (Vilarejo)', 'Rua', '3508405', 'Rua Monsenhor André Mortari Villarejo Sopé da Serra (Vilarejo)',' Villarejo Sopé da Serra (Vilarejo)', '1', 'SP', '1', '-23267079', '-47060744', ' Villarejo Sopé da Serra (Vilarejo)' </v>
      </c>
    </row>
    <row r="366" ht="15.75" hidden="1" customHeight="1">
      <c r="A366" s="4" t="s">
        <v>1140</v>
      </c>
      <c r="B366" s="5" t="s">
        <v>24</v>
      </c>
      <c r="C366" s="4" t="s">
        <v>10</v>
      </c>
      <c r="D366" s="5" t="s">
        <v>1141</v>
      </c>
      <c r="E366" s="6">
        <v>214.0</v>
      </c>
      <c r="F366" s="6" t="s">
        <v>12</v>
      </c>
      <c r="G366" s="3" t="s">
        <v>13</v>
      </c>
      <c r="H366" s="7" t="str">
        <f>IFERROR(__xludf.DUMMYFUNCTION("SPLIT(A364,""Rua"","""")"),"       Mário Faccioli")</f>
        <v>       Mário Faccioli</v>
      </c>
      <c r="J366" s="3" t="s">
        <v>1142</v>
      </c>
      <c r="K366" s="8" t="str">
        <f>IFERROR(__xludf.DUMMYFUNCTION("SPLIT($J366,""   "","""")"),"-23.25729 -47.09146")</f>
        <v>-23.25729 -47.09146</v>
      </c>
      <c r="L366" s="7" t="str">
        <f>IFERROR(__xludf.DUMMYFUNCTION("""COMPUTED_VALUE"""),"Via")</f>
        <v>Via</v>
      </c>
      <c r="M366" s="7" t="str">
        <f>IFERROR(__xludf.DUMMYFUNCTION("""COMPUTED_VALUE""")," dos Girassóis")</f>
        <v> dos Girassóis</v>
      </c>
      <c r="N366" s="7" t="str">
        <f>IFERROR(__xludf.DUMMYFUNCTION("""COMPUTED_VALUE""")," Chácaras do Pinhal (Pinhal)")</f>
        <v> Chácaras do Pinhal (Pinhal)</v>
      </c>
      <c r="O366" s="7" t="str">
        <f>IFERROR(__xludf.DUMMYFUNCTION("""COMPUTED_VALUE""")," Cabreúva")</f>
        <v> Cabreúva</v>
      </c>
      <c r="P366" s="7" t="str">
        <f>IFERROR(__xludf.DUMMYFUNCTION("""COMPUTED_VALUE"""),"SP")</f>
        <v>SP</v>
      </c>
      <c r="Q366" s="7" t="str">
        <f>IFERROR(__xludf.DUMMYFUNCTION("""COMPUTED_VALUE""")," 13317-268 ")</f>
        <v> 13317-268 </v>
      </c>
      <c r="R366" s="9">
        <f>IFERROR(__xludf.DUMMYFUNCTION("SPLIT($K366,"" "","""")"),-2325729.0)</f>
        <v>-2325729</v>
      </c>
      <c r="S366" s="9">
        <f>IFERROR(__xludf.DUMMYFUNCTION("""COMPUTED_VALUE"""),-4709146.0)</f>
        <v>-4709146</v>
      </c>
      <c r="T366" s="10">
        <v>3508405.0</v>
      </c>
      <c r="U36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13317-268 ', 'PK-20686', SYSDATE, 0, 'PK-20686', SYSDATE, 'Via  dos Girassóis  Chácaras do Pinhal (Pinhal)', 'Via dos Girassóis Chácaras do Pinhal (Pinhal)', ' Chácaras do Pinhal (Pinhal)', 'Via', '3508405', 'Via dos Girassóis Chácaras do Pinhal (Pinhal)',' Chácaras do Pinhal (Pinhal)', '1', 'SP', '1', '-2325729', '-4709146', ' Chácaras do Pinhal (Pinhal)' </v>
      </c>
    </row>
    <row r="367" ht="15.75" customHeight="1">
      <c r="A367" s="4" t="s">
        <v>1143</v>
      </c>
      <c r="B367" s="5" t="s">
        <v>24</v>
      </c>
      <c r="C367" s="4" t="s">
        <v>10</v>
      </c>
      <c r="D367" s="5" t="s">
        <v>1144</v>
      </c>
      <c r="E367" s="6">
        <v>214.0</v>
      </c>
      <c r="F367" s="6" t="s">
        <v>12</v>
      </c>
      <c r="G367" s="3" t="s">
        <v>13</v>
      </c>
      <c r="H367" s="7" t="str">
        <f>IFERROR(__xludf.DUMMYFUNCTION("SPLIT(A365,""Rua"","""")"),"       Marrocos")</f>
        <v>       Marrocos</v>
      </c>
      <c r="J367" s="3" t="s">
        <v>1145</v>
      </c>
      <c r="K367" s="8" t="str">
        <f>IFERROR(__xludf.DUMMYFUNCTION("SPLIT($J367,""   "","""")"),"-23.307366 -47.133678")</f>
        <v>-23.307366 -47.133678</v>
      </c>
      <c r="L367" s="7" t="str">
        <f>IFERROR(__xludf.DUMMYFUNCTION("""COMPUTED_VALUE"""),"Rua")</f>
        <v>Rua</v>
      </c>
      <c r="M367" s="7" t="str">
        <f>IFERROR(__xludf.DUMMYFUNCTION("""COMPUTED_VALUE""")," Quatorze")</f>
        <v> Quatorze</v>
      </c>
      <c r="N367" s="7" t="str">
        <f>IFERROR(__xludf.DUMMYFUNCTION("""COMPUTED_VALUE""")," Alpes do Tietê")</f>
        <v> Alpes do Tietê</v>
      </c>
      <c r="O367" s="7" t="str">
        <f>IFERROR(__xludf.DUMMYFUNCTION("""COMPUTED_VALUE""")," Cabreúva")</f>
        <v> Cabreúva</v>
      </c>
      <c r="P367" s="7" t="str">
        <f>IFERROR(__xludf.DUMMYFUNCTION("""COMPUTED_VALUE"""),"SP")</f>
        <v>SP</v>
      </c>
      <c r="Q367" s="7" t="str">
        <f>IFERROR(__xludf.DUMMYFUNCTION("""COMPUTED_VALUE""")," 13316-613 ")</f>
        <v> 13316-613 </v>
      </c>
      <c r="R367" s="9">
        <f>IFERROR(__xludf.DUMMYFUNCTION("SPLIT($K367,"" "","""")"),-2.3307366E7)</f>
        <v>-23307366</v>
      </c>
      <c r="S367" s="9">
        <f>IFERROR(__xludf.DUMMYFUNCTION("""COMPUTED_VALUE"""),-4.7133678E7)</f>
        <v>-47133678</v>
      </c>
      <c r="T367" s="10">
        <v>3508405.0</v>
      </c>
      <c r="U36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13316-613 ', 'PK-20686', SYSDATE, 0, 'PK-20686', SYSDATE, 'Rua  Quatorze  Alpes do Tietê', 'Rua Quatorze Alpes do Tietê', ' Alpes do Tietê', 'Rua', '3508405', 'Rua Quatorze Alpes do Tietê',' Alpes do Tietê', '1', 'SP', '1', '-23307366', '-47133678', ' Alpes do Tietê' </v>
      </c>
    </row>
    <row r="368" ht="15.75" customHeight="1">
      <c r="A368" s="4" t="s">
        <v>1146</v>
      </c>
      <c r="B368" s="5" t="s">
        <v>372</v>
      </c>
      <c r="C368" s="4" t="s">
        <v>10</v>
      </c>
      <c r="D368" s="5" t="s">
        <v>1147</v>
      </c>
      <c r="E368" s="6">
        <v>214.0</v>
      </c>
      <c r="F368" s="6" t="s">
        <v>12</v>
      </c>
      <c r="G368" s="3" t="s">
        <v>13</v>
      </c>
      <c r="H368" s="7" t="str">
        <f>IFERROR(__xludf.DUMMYFUNCTION("SPLIT(A366,""Rua"","""")"),"       Mato Grosso")</f>
        <v>       Mato Grosso</v>
      </c>
      <c r="J368" s="3" t="s">
        <v>1148</v>
      </c>
      <c r="K368" s="8" t="str">
        <f>IFERROR(__xludf.DUMMYFUNCTION("SPLIT($J368,""   "","""")"),"-23.303778 -47.136454")</f>
        <v>-23.303778 -47.136454</v>
      </c>
      <c r="L368" s="7" t="str">
        <f>IFERROR(__xludf.DUMMYFUNCTION("""COMPUTED_VALUE"""),"Rua")</f>
        <v>Rua</v>
      </c>
      <c r="M368" s="7" t="str">
        <f>IFERROR(__xludf.DUMMYFUNCTION("""COMPUTED_VALUE""")," das Candeias")</f>
        <v> das Candeias</v>
      </c>
      <c r="N368" s="7" t="str">
        <f>IFERROR(__xludf.DUMMYFUNCTION("""COMPUTED_VALUE""")," Vale Verde (Centro)")</f>
        <v> Vale Verde (Centro)</v>
      </c>
      <c r="O368" s="7" t="str">
        <f>IFERROR(__xludf.DUMMYFUNCTION("""COMPUTED_VALUE""")," Cabreúva")</f>
        <v> Cabreúva</v>
      </c>
      <c r="P368" s="7" t="str">
        <f>IFERROR(__xludf.DUMMYFUNCTION("""COMPUTED_VALUE"""),"SP")</f>
        <v>SP</v>
      </c>
      <c r="Q368" s="7" t="str">
        <f>IFERROR(__xludf.DUMMYFUNCTION("""COMPUTED_VALUE""")," 13315-242 ")</f>
        <v> 13315-242 </v>
      </c>
      <c r="R368" s="9">
        <f>IFERROR(__xludf.DUMMYFUNCTION("SPLIT($K368,"" "","""")"),-2.3303778E7)</f>
        <v>-23303778</v>
      </c>
      <c r="S368" s="9">
        <f>IFERROR(__xludf.DUMMYFUNCTION("""COMPUTED_VALUE"""),-4.7136454E7)</f>
        <v>-47136454</v>
      </c>
      <c r="T368" s="10">
        <v>3508405.0</v>
      </c>
      <c r="U36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13315-242 ', 'PK-20686', SYSDATE, 0, 'PK-20686', SYSDATE, 'Rua  das Candeias  Vale Verde (Centro)', 'Rua das Candeias Vale Verde (Centro)', ' Vale Verde (Centro)', 'Rua', '3508405', 'Rua das Candeias Vale Verde (Centro)',' Vale Verde (Centro)', '1', 'SP', '1', '-23303778', '-47136454', ' Vale Verde (Centro)' </v>
      </c>
    </row>
    <row r="369" ht="15.75" customHeight="1">
      <c r="A369" s="4" t="s">
        <v>1149</v>
      </c>
      <c r="B369" s="5" t="s">
        <v>142</v>
      </c>
      <c r="C369" s="4" t="s">
        <v>10</v>
      </c>
      <c r="D369" s="5" t="s">
        <v>1150</v>
      </c>
      <c r="E369" s="6">
        <v>214.0</v>
      </c>
      <c r="F369" s="6" t="s">
        <v>12</v>
      </c>
      <c r="G369" s="3" t="s">
        <v>13</v>
      </c>
      <c r="H369" s="7" t="str">
        <f>IFERROR(__xludf.DUMMYFUNCTION("SPLIT(A367,""Rua"","""")"),"       Mato Grosso do Sul")</f>
        <v>       Mato Grosso do Sul</v>
      </c>
      <c r="J369" s="3" t="s">
        <v>1151</v>
      </c>
      <c r="K369" s="8" t="str">
        <f>IFERROR(__xludf.DUMMYFUNCTION("SPLIT($J369,""   "","""")"),"-23.31923 -47.132348")</f>
        <v>-23.31923 -47.132348</v>
      </c>
      <c r="L369" s="7" t="str">
        <f>IFERROR(__xludf.DUMMYFUNCTION("""COMPUTED_VALUE"""),"Rua")</f>
        <v>Rua</v>
      </c>
      <c r="M369" s="7" t="str">
        <f>IFERROR(__xludf.DUMMYFUNCTION("""COMPUTED_VALUE""")," Valinhos")</f>
        <v> Valinhos</v>
      </c>
      <c r="N369" s="7" t="str">
        <f>IFERROR(__xludf.DUMMYFUNCTION("""COMPUTED_VALUE""")," Nova Cabreúva (Centro)")</f>
        <v> Nova Cabreúva (Centro)</v>
      </c>
      <c r="O369" s="7" t="str">
        <f>IFERROR(__xludf.DUMMYFUNCTION("""COMPUTED_VALUE""")," Cabreúva")</f>
        <v> Cabreúva</v>
      </c>
      <c r="P369" s="7" t="str">
        <f>IFERROR(__xludf.DUMMYFUNCTION("""COMPUTED_VALUE"""),"SP")</f>
        <v>SP</v>
      </c>
      <c r="Q369" s="7" t="str">
        <f>IFERROR(__xludf.DUMMYFUNCTION("""COMPUTED_VALUE""")," 13315-106 ")</f>
        <v> 13315-106 </v>
      </c>
      <c r="R369" s="9">
        <f>IFERROR(__xludf.DUMMYFUNCTION("SPLIT($K369,"" "","""")"),-2331923.0)</f>
        <v>-2331923</v>
      </c>
      <c r="S369" s="9">
        <f>IFERROR(__xludf.DUMMYFUNCTION("""COMPUTED_VALUE"""),-4.7132348E7)</f>
        <v>-47132348</v>
      </c>
      <c r="T369" s="10">
        <v>3508405.0</v>
      </c>
      <c r="U36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13315-106 ', 'PK-20686', SYSDATE, 0, 'PK-20686', SYSDATE, 'Rua  Valinhos  Nova Cabreúva (Centro)', 'Rua Valinhos Nova Cabreúva (Centro)', ' Nova Cabreúva (Centro)', 'Rua', '3508405', 'Rua Valinhos Nova Cabreúva (Centro)',' Nova Cabreúva (Centro)', '1', 'SP', '1', '-2331923', '-47132348', ' Nova Cabreúva (Centro)' </v>
      </c>
    </row>
    <row r="370" ht="15.75" customHeight="1">
      <c r="A370" s="4" t="s">
        <v>1152</v>
      </c>
      <c r="B370" s="5" t="s">
        <v>825</v>
      </c>
      <c r="C370" s="4" t="s">
        <v>10</v>
      </c>
      <c r="D370" s="5" t="s">
        <v>1153</v>
      </c>
      <c r="E370" s="6">
        <v>214.0</v>
      </c>
      <c r="F370" s="6" t="s">
        <v>12</v>
      </c>
      <c r="G370" s="3" t="s">
        <v>13</v>
      </c>
      <c r="H370" s="7" t="str">
        <f>IFERROR(__xludf.DUMMYFUNCTION("SPLIT(A368,""Rua"","""")"),"       Mauritânia")</f>
        <v>       Mauritânia</v>
      </c>
      <c r="J370" s="3" t="s">
        <v>1154</v>
      </c>
      <c r="K370" s="8" t="str">
        <f>IFERROR(__xludf.DUMMYFUNCTION("SPLIT($J370,""   "","""")"),"-23.246848 -47.064429")</f>
        <v>-23.246848 -47.064429</v>
      </c>
      <c r="L370" s="7" t="str">
        <f>IFERROR(__xludf.DUMMYFUNCTION("""COMPUTED_VALUE"""),"Rua")</f>
        <v>Rua</v>
      </c>
      <c r="M370" s="7" t="str">
        <f>IFERROR(__xludf.DUMMYFUNCTION("""COMPUTED_VALUE""")," Amapá")</f>
        <v> Amapá</v>
      </c>
      <c r="N370" s="7" t="str">
        <f>IFERROR(__xludf.DUMMYFUNCTION("""COMPUTED_VALUE""")," Jacaré")</f>
        <v> Jacaré</v>
      </c>
      <c r="O370" s="7" t="str">
        <f>IFERROR(__xludf.DUMMYFUNCTION("""COMPUTED_VALUE""")," Cabreúva")</f>
        <v> Cabreúva</v>
      </c>
      <c r="P370" s="7" t="str">
        <f>IFERROR(__xludf.DUMMYFUNCTION("""COMPUTED_VALUE"""),"SP")</f>
        <v>SP</v>
      </c>
      <c r="Q370" s="7" t="str">
        <f>IFERROR(__xludf.DUMMYFUNCTION("""COMPUTED_VALUE""")," 13318-044 ")</f>
        <v> 13318-044 </v>
      </c>
      <c r="R370" s="9">
        <f>IFERROR(__xludf.DUMMYFUNCTION("SPLIT($K370,"" "","""")"),-2.3246848E7)</f>
        <v>-23246848</v>
      </c>
      <c r="S370" s="9">
        <f>IFERROR(__xludf.DUMMYFUNCTION("""COMPUTED_VALUE"""),-4.7064429E7)</f>
        <v>-47064429</v>
      </c>
      <c r="T370" s="10">
        <v>3508405.0</v>
      </c>
      <c r="U37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13318-044 ', 'PK-20686', SYSDATE, 0, 'PK-20686', SYSDATE, 'Rua  Amapá  Jacaré', 'Rua Amapá Jacaré', ' Jacaré', 'Rua', '3508405', 'Rua Amapá Jacaré',' Jacaré', '1', 'SP', '1', '-23246848', '-47064429', ' Jacaré' </v>
      </c>
    </row>
    <row r="371" ht="15.75" hidden="1" customHeight="1">
      <c r="A371" s="4" t="s">
        <v>1155</v>
      </c>
      <c r="B371" s="5" t="s">
        <v>24</v>
      </c>
      <c r="C371" s="4" t="s">
        <v>10</v>
      </c>
      <c r="D371" s="5" t="s">
        <v>1156</v>
      </c>
      <c r="E371" s="6">
        <v>214.0</v>
      </c>
      <c r="F371" s="6" t="s">
        <v>12</v>
      </c>
      <c r="G371" s="3" t="s">
        <v>13</v>
      </c>
      <c r="H371" s="7" t="str">
        <f>IFERROR(__xludf.DUMMYFUNCTION("SPLIT(A369,""Rua"","""")"),"       Merlot")</f>
        <v>       Merlot</v>
      </c>
      <c r="J371" s="3" t="s">
        <v>1157</v>
      </c>
      <c r="K371" s="8" t="str">
        <f>IFERROR(__xludf.DUMMYFUNCTION("SPLIT($J371,""   "","""")"),"-23.276802 -47.060185")</f>
        <v>-23.276802 -47.060185</v>
      </c>
      <c r="L371" s="7" t="str">
        <f>IFERROR(__xludf.DUMMYFUNCTION("""COMPUTED_VALUE"""),"Avenida")</f>
        <v>Avenida</v>
      </c>
      <c r="M371" s="7" t="str">
        <f>IFERROR(__xludf.DUMMYFUNCTION("""COMPUTED_VALUE""")," Pascoal Santi")</f>
        <v> Pascoal Santi</v>
      </c>
      <c r="N371" s="7" t="str">
        <f>IFERROR(__xludf.DUMMYFUNCTION("""COMPUTED_VALUE""")," Villarejo Sopé da Serra (Vilarejo)")</f>
        <v> Villarejo Sopé da Serra (Vilarejo)</v>
      </c>
      <c r="O371" s="7" t="str">
        <f>IFERROR(__xludf.DUMMYFUNCTION("""COMPUTED_VALUE""")," Cabreúva")</f>
        <v> Cabreúva</v>
      </c>
      <c r="P371" s="7" t="str">
        <f>IFERROR(__xludf.DUMMYFUNCTION("""COMPUTED_VALUE"""),"SP")</f>
        <v>SP</v>
      </c>
      <c r="Q371" s="7" t="str">
        <f>IFERROR(__xludf.DUMMYFUNCTION("""COMPUTED_VALUE""")," 13317-654 ")</f>
        <v> 13317-654 </v>
      </c>
      <c r="R371" s="9">
        <f>IFERROR(__xludf.DUMMYFUNCTION("SPLIT($K371,"" "","""")"),-2.3276802E7)</f>
        <v>-23276802</v>
      </c>
      <c r="S371" s="9">
        <f>IFERROR(__xludf.DUMMYFUNCTION("""COMPUTED_VALUE"""),-4.7060185E7)</f>
        <v>-47060185</v>
      </c>
      <c r="T371" s="10">
        <v>3508405.0</v>
      </c>
      <c r="U37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13317-654 ', 'PK-20686', SYSDATE, 0, 'PK-20686', SYSDATE, 'Avenida  Pascoal Santi  Villarejo Sopé da Serra (Vilarejo)', 'Avenida Pascoal Santi Villarejo Sopé da Serra (Vilarejo)', ' Villarejo Sopé da Serra (Vilarejo)', 'Avenida', '3508405', 'Avenida Pascoal Santi Villarejo Sopé da Serra (Vilarejo)',' Villarejo Sopé da Serra (Vilarejo)', '1', 'SP', '1', '-23276802', '-47060185', ' Villarejo Sopé da Serra (Vilarejo)' </v>
      </c>
    </row>
    <row r="372" ht="15.75" customHeight="1">
      <c r="A372" s="4" t="s">
        <v>1155</v>
      </c>
      <c r="B372" s="5" t="s">
        <v>1131</v>
      </c>
      <c r="C372" s="4" t="s">
        <v>10</v>
      </c>
      <c r="D372" s="5" t="s">
        <v>1158</v>
      </c>
      <c r="E372" s="6">
        <v>214.0</v>
      </c>
      <c r="F372" s="6" t="s">
        <v>12</v>
      </c>
      <c r="G372" s="3" t="s">
        <v>13</v>
      </c>
      <c r="H372" s="7" t="str">
        <f>IFERROR(__xludf.DUMMYFUNCTION("SPLIT(A370,""Rua"","""")"),"       Miguel Castarde")</f>
        <v>       Miguel Castarde</v>
      </c>
      <c r="J372" s="3" t="s">
        <v>1159</v>
      </c>
      <c r="K372" s="8" t="str">
        <f>IFERROR(__xludf.DUMMYFUNCTION("SPLIT($J372,""   "","""")"),"-23.307366 -47.133678")</f>
        <v>-23.307366 -47.133678</v>
      </c>
      <c r="L372" s="7" t="str">
        <f>IFERROR(__xludf.DUMMYFUNCTION("""COMPUTED_VALUE"""),"Rua")</f>
        <v>Rua</v>
      </c>
      <c r="M372" s="7" t="str">
        <f>IFERROR(__xludf.DUMMYFUNCTION("""COMPUTED_VALUE""")," H")</f>
        <v> H</v>
      </c>
      <c r="N372" s="7" t="str">
        <f>IFERROR(__xludf.DUMMYFUNCTION("""COMPUTED_VALUE""")," Fazenda Sossego (São Francisco)")</f>
        <v> Fazenda Sossego (São Francisco)</v>
      </c>
      <c r="O372" s="7" t="str">
        <f>IFERROR(__xludf.DUMMYFUNCTION("""COMPUTED_VALUE""")," Cabreúva")</f>
        <v> Cabreúva</v>
      </c>
      <c r="P372" s="7" t="str">
        <f>IFERROR(__xludf.DUMMYFUNCTION("""COMPUTED_VALUE"""),"SP")</f>
        <v>SP</v>
      </c>
      <c r="Q372" s="7" t="str">
        <f>IFERROR(__xludf.DUMMYFUNCTION("""COMPUTED_VALUE""")," 13316-707 ")</f>
        <v> 13316-707 </v>
      </c>
      <c r="R372" s="9">
        <f>IFERROR(__xludf.DUMMYFUNCTION("SPLIT($K372,"" "","""")"),-2.3307366E7)</f>
        <v>-23307366</v>
      </c>
      <c r="S372" s="9">
        <f>IFERROR(__xludf.DUMMYFUNCTION("""COMPUTED_VALUE"""),-4.7133678E7)</f>
        <v>-47133678</v>
      </c>
      <c r="T372" s="10">
        <v>3508405.0</v>
      </c>
      <c r="U37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13316-707 ', 'PK-20686', SYSDATE, 0, 'PK-20686', SYSDATE, 'Rua  H  Fazenda Sossego (São Francisco)', 'Rua H Fazenda Sossego (São Francisco)', ' Fazenda Sossego (São Francisco)', 'Rua', '3508405', 'Rua H Fazenda Sossego (São Francisco)',' Fazenda Sossego (São Francisco)', '1', 'SP', '1', '-23307366', '-47133678', ' Fazenda Sossego (São Francisco)' </v>
      </c>
    </row>
    <row r="373" ht="15.75" hidden="1" customHeight="1">
      <c r="A373" s="4" t="s">
        <v>1160</v>
      </c>
      <c r="B373" s="5" t="s">
        <v>160</v>
      </c>
      <c r="C373" s="4" t="s">
        <v>10</v>
      </c>
      <c r="D373" s="5" t="s">
        <v>1161</v>
      </c>
      <c r="E373" s="6">
        <v>214.0</v>
      </c>
      <c r="F373" s="6" t="s">
        <v>12</v>
      </c>
      <c r="G373" s="3" t="s">
        <v>13</v>
      </c>
      <c r="H373" s="7" t="str">
        <f>IFERROR(__xludf.DUMMYFUNCTION("SPLIT(A371,""Rua"","""")"),"       Minas Gerais")</f>
        <v>       Minas Gerais</v>
      </c>
      <c r="J373" s="3" t="s">
        <v>1162</v>
      </c>
      <c r="K373" s="8" t="str">
        <f>IFERROR(__xludf.DUMMYFUNCTION("SPLIT($J373,""   "","""")"),"-23.245618 -47.064924")</f>
        <v>-23.245618 -47.064924</v>
      </c>
      <c r="L373" s="7" t="str">
        <f>IFERROR(__xludf.DUMMYFUNCTION("""COMPUTED_VALUE"""),"Via")</f>
        <v>Via</v>
      </c>
      <c r="M373" s="7" t="str">
        <f>IFERROR(__xludf.DUMMYFUNCTION("""COMPUTED_VALUE""")," Antonio Mesquita Togni")</f>
        <v> Antonio Mesquita Togni</v>
      </c>
      <c r="N373" s="7" t="str">
        <f>IFERROR(__xludf.DUMMYFUNCTION("""COMPUTED_VALUE""")," Jacaré")</f>
        <v> Jacaré</v>
      </c>
      <c r="O373" s="7" t="str">
        <f>IFERROR(__xludf.DUMMYFUNCTION("""COMPUTED_VALUE""")," Cabreúva")</f>
        <v> Cabreúva</v>
      </c>
      <c r="P373" s="7" t="str">
        <f>IFERROR(__xludf.DUMMYFUNCTION("""COMPUTED_VALUE"""),"SP")</f>
        <v>SP</v>
      </c>
      <c r="Q373" s="7" t="str">
        <f>IFERROR(__xludf.DUMMYFUNCTION("""COMPUTED_VALUE""")," 13318-024 ")</f>
        <v> 13318-024 </v>
      </c>
      <c r="R373" s="9">
        <f>IFERROR(__xludf.DUMMYFUNCTION("SPLIT($K373,"" "","""")"),-2.3245618E7)</f>
        <v>-23245618</v>
      </c>
      <c r="S373" s="9">
        <f>IFERROR(__xludf.DUMMYFUNCTION("""COMPUTED_VALUE"""),-4.7064924E7)</f>
        <v>-47064924</v>
      </c>
      <c r="T373" s="10">
        <v>3508405.0</v>
      </c>
      <c r="U37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13318-024 ', 'PK-20686', SYSDATE, 0, 'PK-20686', SYSDATE, 'Via  Antonio Mesquita Togni  Jacaré', 'Via Antonio Mesquita Togni Jacaré', ' Jacaré', 'Via', '3508405', 'Via Antonio Mesquita Togni Jacaré',' Jacaré', '1', 'SP', '1', '-23245618', '-47064924', ' Jacaré' </v>
      </c>
    </row>
    <row r="374" ht="15.75" hidden="1" customHeight="1">
      <c r="A374" s="4" t="s">
        <v>1163</v>
      </c>
      <c r="B374" s="5" t="s">
        <v>413</v>
      </c>
      <c r="C374" s="4" t="s">
        <v>10</v>
      </c>
      <c r="D374" s="5" t="s">
        <v>1164</v>
      </c>
      <c r="E374" s="6">
        <v>214.0</v>
      </c>
      <c r="F374" s="6" t="s">
        <v>12</v>
      </c>
      <c r="G374" s="3" t="s">
        <v>13</v>
      </c>
      <c r="H374" s="7" t="str">
        <f>IFERROR(__xludf.DUMMYFUNCTION("SPLIT(A372,""Rua"","""")"),"       Minas Gerais")</f>
        <v>       Minas Gerais</v>
      </c>
      <c r="J374" s="3" t="s">
        <v>1165</v>
      </c>
      <c r="K374" s="8" t="str">
        <f>IFERROR(__xludf.DUMMYFUNCTION("SPLIT($J374,""   "","""")"),"-23.240412 -47.065431")</f>
        <v>-23.240412 -47.065431</v>
      </c>
      <c r="L374" s="7" t="str">
        <f>IFERROR(__xludf.DUMMYFUNCTION("""COMPUTED_VALUE"""),"Alameda")</f>
        <v>Alameda</v>
      </c>
      <c r="M374" s="7" t="str">
        <f>IFERROR(__xludf.DUMMYFUNCTION("""COMPUTED_VALUE""")," dos Sabiás")</f>
        <v> dos Sabiás</v>
      </c>
      <c r="N374" s="7" t="str">
        <f>IFERROR(__xludf.DUMMYFUNCTION("""COMPUTED_VALUE""")," Quinta do Japi (Jacaré)")</f>
        <v> Quinta do Japi (Jacaré)</v>
      </c>
      <c r="O374" s="7" t="str">
        <f>IFERROR(__xludf.DUMMYFUNCTION("""COMPUTED_VALUE""")," Cabreúva")</f>
        <v> Cabreúva</v>
      </c>
      <c r="P374" s="7" t="str">
        <f>IFERROR(__xludf.DUMMYFUNCTION("""COMPUTED_VALUE"""),"SP")</f>
        <v>SP</v>
      </c>
      <c r="Q374" s="7" t="str">
        <f>IFERROR(__xludf.DUMMYFUNCTION("""COMPUTED_VALUE""")," 13318-432 ")</f>
        <v> 13318-432 </v>
      </c>
      <c r="R374" s="9">
        <f>IFERROR(__xludf.DUMMYFUNCTION("SPLIT($K374,"" "","""")"),-2.3240412E7)</f>
        <v>-23240412</v>
      </c>
      <c r="S374" s="9">
        <f>IFERROR(__xludf.DUMMYFUNCTION("""COMPUTED_VALUE"""),-4.7065431E7)</f>
        <v>-47065431</v>
      </c>
      <c r="T374" s="10">
        <v>3508405.0</v>
      </c>
      <c r="U37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13318-432 ', 'PK-20686', SYSDATE, 0, 'PK-20686', SYSDATE, 'Alameda  dos Sabiás  Quinta do Japi (Jacaré)', 'Alameda dos Sabiás Quinta do Japi (Jacaré)', ' Quinta do Japi (Jacaré)', 'Alameda', '3508405', 'Alameda dos Sabiás Quinta do Japi (Jacaré)',' Quinta do Japi (Jacaré)', '1', 'SP', '1', '-23240412', '-47065431', ' Quinta do Japi (Jacaré)' </v>
      </c>
    </row>
    <row r="375" ht="15.75" customHeight="1">
      <c r="A375" s="4" t="s">
        <v>1166</v>
      </c>
      <c r="B375" s="5" t="s">
        <v>212</v>
      </c>
      <c r="C375" s="4" t="s">
        <v>10</v>
      </c>
      <c r="D375" s="5" t="s">
        <v>1167</v>
      </c>
      <c r="E375" s="6">
        <v>214.0</v>
      </c>
      <c r="F375" s="6" t="s">
        <v>12</v>
      </c>
      <c r="G375" s="3" t="s">
        <v>13</v>
      </c>
      <c r="H375" s="7" t="str">
        <f>IFERROR(__xludf.DUMMYFUNCTION("SPLIT(A373,""Rua"","""")"),"       Moçambique")</f>
        <v>       Moçambique</v>
      </c>
      <c r="J375" s="3" t="s">
        <v>1168</v>
      </c>
      <c r="K375" s="8" t="str">
        <f>IFERROR(__xludf.DUMMYFUNCTION("SPLIT($J375,""   "","""")"),"-23.251611 -47.053156")</f>
        <v>-23.251611 -47.053156</v>
      </c>
      <c r="L375" s="7" t="str">
        <f>IFERROR(__xludf.DUMMYFUNCTION("""COMPUTED_VALUE"""),"Rua")</f>
        <v>Rua</v>
      </c>
      <c r="M375" s="7" t="str">
        <f>IFERROR(__xludf.DUMMYFUNCTION("""COMPUTED_VALUE""")," Cururu")</f>
        <v> Cururu</v>
      </c>
      <c r="N375" s="7" t="str">
        <f>IFERROR(__xludf.DUMMYFUNCTION("""COMPUTED_VALUE""")," Jardim da Serra (Jacaré)")</f>
        <v> Jardim da Serra (Jacaré)</v>
      </c>
      <c r="O375" s="7" t="str">
        <f>IFERROR(__xludf.DUMMYFUNCTION("""COMPUTED_VALUE""")," Cabreúva")</f>
        <v> Cabreúva</v>
      </c>
      <c r="P375" s="7" t="str">
        <f>IFERROR(__xludf.DUMMYFUNCTION("""COMPUTED_VALUE"""),"SP")</f>
        <v>SP</v>
      </c>
      <c r="Q375" s="7" t="str">
        <f>IFERROR(__xludf.DUMMYFUNCTION("""COMPUTED_VALUE""")," 13318-153 ")</f>
        <v> 13318-153 </v>
      </c>
      <c r="R375" s="9">
        <f>IFERROR(__xludf.DUMMYFUNCTION("SPLIT($K375,"" "","""")"),-2.3251611E7)</f>
        <v>-23251611</v>
      </c>
      <c r="S375" s="9">
        <f>IFERROR(__xludf.DUMMYFUNCTION("""COMPUTED_VALUE"""),-4.7053156E7)</f>
        <v>-47053156</v>
      </c>
      <c r="T375" s="10">
        <v>3508405.0</v>
      </c>
      <c r="U37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13318-153 ', 'PK-20686', SYSDATE, 0, 'PK-20686', SYSDATE, 'Rua  Cururu  Jardim da Serra (Jacaré)', 'Rua Cururu Jardim da Serra (Jacaré)', ' Jardim da Serra (Jacaré)', 'Rua', '3508405', 'Rua Cururu Jardim da Serra (Jacaré)',' Jardim da Serra (Jacaré)', '1', 'SP', '1', '-23251611', '-47053156', ' Jardim da Serra (Jacaré)' </v>
      </c>
    </row>
    <row r="376" ht="15.75" customHeight="1">
      <c r="A376" s="4" t="s">
        <v>1169</v>
      </c>
      <c r="B376" s="5" t="s">
        <v>160</v>
      </c>
      <c r="C376" s="4" t="s">
        <v>10</v>
      </c>
      <c r="D376" s="5" t="s">
        <v>1170</v>
      </c>
      <c r="E376" s="6">
        <v>214.0</v>
      </c>
      <c r="F376" s="6" t="s">
        <v>12</v>
      </c>
      <c r="G376" s="3" t="s">
        <v>13</v>
      </c>
      <c r="H376" s="7" t="str">
        <f>IFERROR(__xludf.DUMMYFUNCTION("SPLIT(A374,""Rua"","""")"),"       Moema")</f>
        <v>       Moema</v>
      </c>
      <c r="J376" s="3" t="s">
        <v>1171</v>
      </c>
      <c r="K376" s="8" t="str">
        <f>IFERROR(__xludf.DUMMYFUNCTION("SPLIT($J376,""   "","""")"),"-23.243282 -47.061833")</f>
        <v>-23.243282 -47.061833</v>
      </c>
      <c r="L376" s="7" t="str">
        <f>IFERROR(__xludf.DUMMYFUNCTION("""COMPUTED_VALUE"""),"Rua")</f>
        <v>Rua</v>
      </c>
      <c r="M376" s="7" t="str">
        <f>IFERROR(__xludf.DUMMYFUNCTION("""COMPUTED_VALUE""")," Domingos Archija")</f>
        <v> Domingos Archija</v>
      </c>
      <c r="N376" s="7" t="str">
        <f>IFERROR(__xludf.DUMMYFUNCTION("""COMPUTED_VALUE""")," Jacaré")</f>
        <v> Jacaré</v>
      </c>
      <c r="O376" s="7" t="str">
        <f>IFERROR(__xludf.DUMMYFUNCTION("""COMPUTED_VALUE""")," Cabreúva")</f>
        <v> Cabreúva</v>
      </c>
      <c r="P376" s="7" t="str">
        <f>IFERROR(__xludf.DUMMYFUNCTION("""COMPUTED_VALUE"""),"SP")</f>
        <v>SP</v>
      </c>
      <c r="Q376" s="7" t="str">
        <f>IFERROR(__xludf.DUMMYFUNCTION("""COMPUTED_VALUE""")," 13318-016 ")</f>
        <v> 13318-016 </v>
      </c>
      <c r="R376" s="9">
        <f>IFERROR(__xludf.DUMMYFUNCTION("SPLIT($K376,"" "","""")"),-2.3243282E7)</f>
        <v>-23243282</v>
      </c>
      <c r="S376" s="9">
        <f>IFERROR(__xludf.DUMMYFUNCTION("""COMPUTED_VALUE"""),-4.7061833E7)</f>
        <v>-47061833</v>
      </c>
      <c r="T376" s="10">
        <v>3508405.0</v>
      </c>
      <c r="U37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13318-016 ', 'PK-20686', SYSDATE, 0, 'PK-20686', SYSDATE, 'Rua  Domingos Archija  Jacaré', 'Rua Domingos Archija Jacaré', ' Jacaré', 'Rua', '3508405', 'Rua Domingos Archija Jacaré',' Jacaré', '1', 'SP', '1', '-23243282', '-47061833', ' Jacaré' </v>
      </c>
    </row>
    <row r="377" ht="15.75" hidden="1" customHeight="1">
      <c r="A377" s="4" t="s">
        <v>1172</v>
      </c>
      <c r="B377" s="5" t="s">
        <v>160</v>
      </c>
      <c r="C377" s="4" t="s">
        <v>10</v>
      </c>
      <c r="D377" s="5" t="s">
        <v>1173</v>
      </c>
      <c r="E377" s="6">
        <v>214.0</v>
      </c>
      <c r="F377" s="6" t="s">
        <v>12</v>
      </c>
      <c r="G377" s="3" t="s">
        <v>13</v>
      </c>
      <c r="H377" s="7" t="str">
        <f>IFERROR(__xludf.DUMMYFUNCTION("SPLIT(A375,""Rua"","""")"),"       Mógno")</f>
        <v>       Mógno</v>
      </c>
      <c r="J377" s="3" t="s">
        <v>1174</v>
      </c>
      <c r="K377" s="8" t="str">
        <f>IFERROR(__xludf.DUMMYFUNCTION("SPLIT($J377,""   "","""")"),"-23.30897 -47.131949")</f>
        <v>-23.30897 -47.131949</v>
      </c>
      <c r="L377" s="7" t="str">
        <f>IFERROR(__xludf.DUMMYFUNCTION("""COMPUTED_VALUE"""),"Praça")</f>
        <v>Praça</v>
      </c>
      <c r="M377" s="7" t="str">
        <f>IFERROR(__xludf.DUMMYFUNCTION("""COMPUTED_VALUE""")," Alberto Mesquita de Camargo")</f>
        <v> Alberto Mesquita de Camargo</v>
      </c>
      <c r="N377" s="7" t="str">
        <f>IFERROR(__xludf.DUMMYFUNCTION("""COMPUTED_VALUE""")," Centro")</f>
        <v> Centro</v>
      </c>
      <c r="O377" s="7" t="str">
        <f>IFERROR(__xludf.DUMMYFUNCTION("""COMPUTED_VALUE""")," Cabreúva")</f>
        <v> Cabreúva</v>
      </c>
      <c r="P377" s="7" t="str">
        <f>IFERROR(__xludf.DUMMYFUNCTION("""COMPUTED_VALUE"""),"SP")</f>
        <v>SP</v>
      </c>
      <c r="Q377" s="7" t="str">
        <f>IFERROR(__xludf.DUMMYFUNCTION("""COMPUTED_VALUE""")," 13315-019 ")</f>
        <v> 13315-019 </v>
      </c>
      <c r="R377" s="9">
        <f>IFERROR(__xludf.DUMMYFUNCTION("SPLIT($K377,"" "","""")"),-2330897.0)</f>
        <v>-2330897</v>
      </c>
      <c r="S377" s="9">
        <f>IFERROR(__xludf.DUMMYFUNCTION("""COMPUTED_VALUE"""),-4.7131949E7)</f>
        <v>-47131949</v>
      </c>
      <c r="T377" s="10">
        <v>3508405.0</v>
      </c>
      <c r="U37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13315-019 ', 'PK-20686', SYSDATE, 0, 'PK-20686', SYSDATE, 'Praça  Alberto Mesquita de Camargo  Centro', 'Praça Alberto Mesquita de Camargo Centro', ' Centro', 'Praça', '3508405', 'Praça Alberto Mesquita de Camargo Centro',' Centro', '1', 'SP', '1', '-2330897', '-47131949', ' Centro' </v>
      </c>
    </row>
    <row r="378" ht="15.75" hidden="1" customHeight="1">
      <c r="A378" s="4" t="s">
        <v>1175</v>
      </c>
      <c r="B378" s="5" t="s">
        <v>160</v>
      </c>
      <c r="C378" s="4" t="s">
        <v>10</v>
      </c>
      <c r="D378" s="5" t="s">
        <v>1176</v>
      </c>
      <c r="E378" s="6">
        <v>214.0</v>
      </c>
      <c r="F378" s="6" t="s">
        <v>12</v>
      </c>
      <c r="G378" s="3" t="s">
        <v>13</v>
      </c>
      <c r="H378" s="7" t="str">
        <f>IFERROR(__xludf.DUMMYFUNCTION("SPLIT(A376,""Rua"","""")"),"       Mônaco")</f>
        <v>       Mônaco</v>
      </c>
      <c r="J378" s="3" t="s">
        <v>1177</v>
      </c>
      <c r="K378" s="8" t="str">
        <f>IFERROR(__xludf.DUMMYFUNCTION("SPLIT($J378,""   "","""")"),"-23.309706 -47.132043")</f>
        <v>-23.309706 -47.132043</v>
      </c>
      <c r="L378" s="7" t="str">
        <f>IFERROR(__xludf.DUMMYFUNCTION("""COMPUTED_VALUE"""),"Travessa")</f>
        <v>Travessa</v>
      </c>
      <c r="M378" s="7" t="str">
        <f>IFERROR(__xludf.DUMMYFUNCTION("""COMPUTED_VALUE""")," Dom Pedro I")</f>
        <v> Dom Pedro I</v>
      </c>
      <c r="N378" s="7" t="str">
        <f>IFERROR(__xludf.DUMMYFUNCTION("""COMPUTED_VALUE""")," Centro")</f>
        <v> Centro</v>
      </c>
      <c r="O378" s="7" t="str">
        <f>IFERROR(__xludf.DUMMYFUNCTION("""COMPUTED_VALUE""")," Cabreúva")</f>
        <v> Cabreúva</v>
      </c>
      <c r="P378" s="7" t="str">
        <f>IFERROR(__xludf.DUMMYFUNCTION("""COMPUTED_VALUE"""),"SP")</f>
        <v>SP</v>
      </c>
      <c r="Q378" s="7" t="str">
        <f>IFERROR(__xludf.DUMMYFUNCTION("""COMPUTED_VALUE""")," 13315-041 ")</f>
        <v> 13315-041 </v>
      </c>
      <c r="R378" s="9">
        <f>IFERROR(__xludf.DUMMYFUNCTION("SPLIT($K378,"" "","""")"),-2.3309706E7)</f>
        <v>-23309706</v>
      </c>
      <c r="S378" s="9">
        <f>IFERROR(__xludf.DUMMYFUNCTION("""COMPUTED_VALUE"""),-4.7132043E7)</f>
        <v>-47132043</v>
      </c>
      <c r="T378" s="10">
        <v>3508405.0</v>
      </c>
      <c r="U37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13315-041 ', 'PK-20686', SYSDATE, 0, 'PK-20686', SYSDATE, 'Travessa  Dom Pedro I  Centro', 'Travessa Dom Pedro I Centro', ' Centro', 'Travessa', '3508405', 'Travessa Dom Pedro I Centro',' Centro', '1', 'SP', '1', '-23309706', '-47132043', ' Centro' </v>
      </c>
    </row>
    <row r="379" ht="15.75" hidden="1" customHeight="1">
      <c r="A379" s="4" t="s">
        <v>1178</v>
      </c>
      <c r="B379" s="5" t="s">
        <v>193</v>
      </c>
      <c r="C379" s="4" t="s">
        <v>10</v>
      </c>
      <c r="D379" s="5" t="s">
        <v>1179</v>
      </c>
      <c r="E379" s="6">
        <v>214.0</v>
      </c>
      <c r="F379" s="6" t="s">
        <v>12</v>
      </c>
      <c r="G379" s="3" t="s">
        <v>13</v>
      </c>
      <c r="H379" s="7" t="str">
        <f>IFERROR(__xludf.DUMMYFUNCTION("SPLIT(A377,""Rua"","""")"),"       Mongólia")</f>
        <v>       Mongólia</v>
      </c>
      <c r="J379" s="3" t="s">
        <v>1180</v>
      </c>
      <c r="K379" s="8" t="str">
        <f>IFERROR(__xludf.DUMMYFUNCTION("SPLIT($J379,""   "","""")"),"-23.311618 -47.116724")</f>
        <v>-23.311618 -47.116724</v>
      </c>
      <c r="L379" s="7" t="str">
        <f>IFERROR(__xludf.DUMMYFUNCTION("""COMPUTED_VALUE"""),"Estrada")</f>
        <v>Estrada</v>
      </c>
      <c r="M379" s="7" t="str">
        <f>IFERROR(__xludf.DUMMYFUNCTION("""COMPUTED_VALUE""")," da Figueira")</f>
        <v> da Figueira</v>
      </c>
      <c r="N379" s="7" t="str">
        <f>IFERROR(__xludf.DUMMYFUNCTION("""COMPUTED_VALUE""")," Piraí")</f>
        <v> Piraí</v>
      </c>
      <c r="O379" s="7" t="str">
        <f>IFERROR(__xludf.DUMMYFUNCTION("""COMPUTED_VALUE""")," Cabreúva")</f>
        <v> Cabreúva</v>
      </c>
      <c r="P379" s="7" t="str">
        <f>IFERROR(__xludf.DUMMYFUNCTION("""COMPUTED_VALUE"""),"SP")</f>
        <v>SP</v>
      </c>
      <c r="Q379" s="7" t="str">
        <f>IFERROR(__xludf.DUMMYFUNCTION("""COMPUTED_VALUE""")," 13315-302 ")</f>
        <v> 13315-302 </v>
      </c>
      <c r="R379" s="9">
        <f>IFERROR(__xludf.DUMMYFUNCTION("SPLIT($K379,"" "","""")"),-2.3311618E7)</f>
        <v>-23311618</v>
      </c>
      <c r="S379" s="9">
        <f>IFERROR(__xludf.DUMMYFUNCTION("""COMPUTED_VALUE"""),-4.7116724E7)</f>
        <v>-47116724</v>
      </c>
      <c r="T379" s="10">
        <v>3508405.0</v>
      </c>
      <c r="U37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13315-302 ', 'PK-20686', SYSDATE, 0, 'PK-20686', SYSDATE, 'Estrada  da Figueira  Piraí', 'Estrada da Figueira Piraí', ' Piraí', 'Estrada', '3508405', 'Estrada da Figueira Piraí',' Piraí', '1', 'SP', '1', '-23311618', '-47116724', ' Piraí' </v>
      </c>
    </row>
    <row r="380" ht="15.75" hidden="1" customHeight="1">
      <c r="A380" s="4" t="s">
        <v>1181</v>
      </c>
      <c r="B380" s="5" t="s">
        <v>193</v>
      </c>
      <c r="C380" s="4" t="s">
        <v>10</v>
      </c>
      <c r="D380" s="5" t="s">
        <v>1182</v>
      </c>
      <c r="E380" s="6">
        <v>214.0</v>
      </c>
      <c r="F380" s="6" t="s">
        <v>12</v>
      </c>
      <c r="G380" s="3" t="s">
        <v>13</v>
      </c>
      <c r="H380" s="7" t="str">
        <f>IFERROR(__xludf.DUMMYFUNCTION("SPLIT(A378,""Rua"","""")"),"       Monsenhor André Mortari")</f>
        <v>       Monsenhor André Mortari</v>
      </c>
      <c r="J380" s="3" t="s">
        <v>1183</v>
      </c>
      <c r="K380" s="8" t="str">
        <f>IFERROR(__xludf.DUMMYFUNCTION("SPLIT($J380,""   "","""")"),"-23.257909 -47.051612")</f>
        <v>-23.257909 -47.051612</v>
      </c>
      <c r="L380" s="7" t="str">
        <f>IFERROR(__xludf.DUMMYFUNCTION("""COMPUTED_VALUE"""),"Alameda")</f>
        <v>Alameda</v>
      </c>
      <c r="M380" s="7" t="str">
        <f>IFERROR(__xludf.DUMMYFUNCTION("""COMPUTED_VALUE""")," Algarve")</f>
        <v> Algarve</v>
      </c>
      <c r="N380" s="7" t="str">
        <f>IFERROR(__xludf.DUMMYFUNCTION("""COMPUTED_VALUE""")," Portal da Concórdia II (Jacaré)")</f>
        <v> Portal da Concórdia II (Jacaré)</v>
      </c>
      <c r="O380" s="7" t="str">
        <f>IFERROR(__xludf.DUMMYFUNCTION("""COMPUTED_VALUE""")," Cabreúva")</f>
        <v> Cabreúva</v>
      </c>
      <c r="P380" s="7" t="str">
        <f>IFERROR(__xludf.DUMMYFUNCTION("""COMPUTED_VALUE"""),"SP")</f>
        <v>SP</v>
      </c>
      <c r="Q380" s="7" t="str">
        <f>IFERROR(__xludf.DUMMYFUNCTION("""COMPUTED_VALUE""")," 13318-292 ")</f>
        <v> 13318-292 </v>
      </c>
      <c r="R380" s="9">
        <f>IFERROR(__xludf.DUMMYFUNCTION("SPLIT($K380,"" "","""")"),-2.3257909E7)</f>
        <v>-23257909</v>
      </c>
      <c r="S380" s="9">
        <f>IFERROR(__xludf.DUMMYFUNCTION("""COMPUTED_VALUE"""),-4.7051612E7)</f>
        <v>-47051612</v>
      </c>
      <c r="T380" s="10">
        <v>3508405.0</v>
      </c>
      <c r="U38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13318-292 ', 'PK-20686', SYSDATE, 0, 'PK-20686', SYSDATE, 'Alameda  Algarve  Portal da Concórdia II (Jacaré)', 'Alameda Algarve Portal da Concórdia II (Jacaré)', ' Portal da Concórdia II (Jacaré)', 'Alameda', '3508405', 'Alameda Algarve Portal da Concórdia II (Jacaré)',' Portal da Concórdia II (Jacaré)', '1', 'SP', '1', '-23257909', '-47051612', ' Portal da Concórdia II (Jacaré)' </v>
      </c>
    </row>
    <row r="381" ht="15.75" customHeight="1">
      <c r="A381" s="4" t="s">
        <v>1184</v>
      </c>
      <c r="B381" s="5" t="s">
        <v>505</v>
      </c>
      <c r="C381" s="4" t="s">
        <v>10</v>
      </c>
      <c r="D381" s="5" t="s">
        <v>1185</v>
      </c>
      <c r="E381" s="6">
        <v>214.0</v>
      </c>
      <c r="F381" s="6" t="s">
        <v>12</v>
      </c>
      <c r="G381" s="3" t="s">
        <v>13</v>
      </c>
      <c r="H381" s="7" t="str">
        <f>IFERROR(__xludf.DUMMYFUNCTION("SPLIT(A379,""Rua"","""")"),"       Monte Verde")</f>
        <v>       Monte Verde</v>
      </c>
      <c r="J381" s="3" t="s">
        <v>1186</v>
      </c>
      <c r="K381" s="8" t="str">
        <f>IFERROR(__xludf.DUMMYFUNCTION("SPLIT($J381,""   "","""")"),"-23.277676 -47.060666")</f>
        <v>-23.277676 -47.060666</v>
      </c>
      <c r="L381" s="7" t="str">
        <f>IFERROR(__xludf.DUMMYFUNCTION("""COMPUTED_VALUE"""),"Rua")</f>
        <v>Rua</v>
      </c>
      <c r="M381" s="7" t="str">
        <f>IFERROR(__xludf.DUMMYFUNCTION("""COMPUTED_VALUE""")," Araxá")</f>
        <v> Araxá</v>
      </c>
      <c r="N381" s="7" t="str">
        <f>IFERROR(__xludf.DUMMYFUNCTION("""COMPUTED_VALUE""")," Novo Bonfim (Vilarejo)")</f>
        <v> Novo Bonfim (Vilarejo)</v>
      </c>
      <c r="O381" s="7" t="str">
        <f>IFERROR(__xludf.DUMMYFUNCTION("""COMPUTED_VALUE""")," Cabreúva")</f>
        <v> Cabreúva</v>
      </c>
      <c r="P381" s="7" t="str">
        <f>IFERROR(__xludf.DUMMYFUNCTION("""COMPUTED_VALUE"""),"SP")</f>
        <v>SP</v>
      </c>
      <c r="Q381" s="7" t="str">
        <f>IFERROR(__xludf.DUMMYFUNCTION("""COMPUTED_VALUE""")," 13317-774 ")</f>
        <v> 13317-774 </v>
      </c>
      <c r="R381" s="9">
        <f>IFERROR(__xludf.DUMMYFUNCTION("SPLIT($K381,"" "","""")"),-2.3277676E7)</f>
        <v>-23277676</v>
      </c>
      <c r="S381" s="9">
        <f>IFERROR(__xludf.DUMMYFUNCTION("""COMPUTED_VALUE"""),-4.7060666E7)</f>
        <v>-47060666</v>
      </c>
      <c r="T381" s="10">
        <v>3508405.0</v>
      </c>
      <c r="U38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13317-774 ', 'PK-20686', SYSDATE, 0, 'PK-20686', SYSDATE, 'Rua  Araxá  Novo Bonfim (Vilarejo)', 'Rua Araxá Novo Bonfim (Vilarejo)', ' Novo Bonfim (Vilarejo)', 'Rua', '3508405', 'Rua Araxá Novo Bonfim (Vilarejo)',' Novo Bonfim (Vilarejo)', '1', 'SP', '1', '-23277676', '-47060666', ' Novo Bonfim (Vilarejo)' </v>
      </c>
    </row>
    <row r="382" ht="15.75" customHeight="1">
      <c r="A382" s="4" t="s">
        <v>1187</v>
      </c>
      <c r="B382" s="5" t="s">
        <v>142</v>
      </c>
      <c r="C382" s="4" t="s">
        <v>10</v>
      </c>
      <c r="D382" s="5" t="s">
        <v>1188</v>
      </c>
      <c r="E382" s="6">
        <v>214.0</v>
      </c>
      <c r="F382" s="6" t="s">
        <v>12</v>
      </c>
      <c r="G382" s="3" t="s">
        <v>13</v>
      </c>
      <c r="H382" s="7" t="str">
        <f>IFERROR(__xludf.DUMMYFUNCTION("SPLIT(A380,""Rua"","""")"),"       Montes Claros")</f>
        <v>       Montes Claros</v>
      </c>
      <c r="J382" s="3" t="s">
        <v>1189</v>
      </c>
      <c r="K382" s="8" t="str">
        <f>IFERROR(__xludf.DUMMYFUNCTION("SPLIT($J382,""   "","""")"),"-23.258801 -47.053955")</f>
        <v>-23.258801 -47.053955</v>
      </c>
      <c r="L382" s="7" t="str">
        <f>IFERROR(__xludf.DUMMYFUNCTION("""COMPUTED_VALUE"""),"Rua")</f>
        <v>Rua</v>
      </c>
      <c r="M382" s="7" t="str">
        <f>IFERROR(__xludf.DUMMYFUNCTION("""COMPUTED_VALUE""")," Esmeralda")</f>
        <v> Esmeralda</v>
      </c>
      <c r="N382" s="7" t="str">
        <f>IFERROR(__xludf.DUMMYFUNCTION("""COMPUTED_VALUE""")," Jardim Colina da Serra (Jacaré)")</f>
        <v> Jardim Colina da Serra (Jacaré)</v>
      </c>
      <c r="O382" s="7" t="str">
        <f>IFERROR(__xludf.DUMMYFUNCTION("""COMPUTED_VALUE""")," Cabreúva")</f>
        <v> Cabreúva</v>
      </c>
      <c r="P382" s="7" t="str">
        <f>IFERROR(__xludf.DUMMYFUNCTION("""COMPUTED_VALUE"""),"SP")</f>
        <v>SP</v>
      </c>
      <c r="Q382" s="7" t="str">
        <f>IFERROR(__xludf.DUMMYFUNCTION("""COMPUTED_VALUE""")," 13318-232 ")</f>
        <v> 13318-232 </v>
      </c>
      <c r="R382" s="9">
        <f>IFERROR(__xludf.DUMMYFUNCTION("SPLIT($K382,"" "","""")"),-2.3258801E7)</f>
        <v>-23258801</v>
      </c>
      <c r="S382" s="9">
        <f>IFERROR(__xludf.DUMMYFUNCTION("""COMPUTED_VALUE"""),-4.7053955E7)</f>
        <v>-47053955</v>
      </c>
      <c r="T382" s="10">
        <v>3508405.0</v>
      </c>
      <c r="U38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13318-232 ', 'PK-20686', SYSDATE, 0, 'PK-20686', SYSDATE, 'Rua  Esmeralda  Jardim Colina da Serra (Jacaré)', 'Rua Esmeralda Jardim Colina da Serra (Jacaré)', ' Jardim Colina da Serra (Jacaré)', 'Rua', '3508405', 'Rua Esmeralda Jardim Colina da Serra (Jacaré)',' Jardim Colina da Serra (Jacaré)', '1', 'SP', '1', '-23258801', '-47053955', ' Jardim Colina da Serra (Jacaré)' </v>
      </c>
    </row>
    <row r="383" ht="15.75" customHeight="1">
      <c r="A383" s="4" t="s">
        <v>1190</v>
      </c>
      <c r="B383" s="5" t="s">
        <v>160</v>
      </c>
      <c r="C383" s="4" t="s">
        <v>10</v>
      </c>
      <c r="D383" s="5" t="s">
        <v>1191</v>
      </c>
      <c r="E383" s="6">
        <v>214.0</v>
      </c>
      <c r="F383" s="6" t="s">
        <v>12</v>
      </c>
      <c r="G383" s="3" t="s">
        <v>13</v>
      </c>
      <c r="H383" s="7" t="str">
        <f>IFERROR(__xludf.DUMMYFUNCTION("SPLIT(A381,""Rua"","""")"),"       Montreal")</f>
        <v>       Montreal</v>
      </c>
      <c r="J383" s="3" t="s">
        <v>1192</v>
      </c>
      <c r="K383" s="8" t="str">
        <f>IFERROR(__xludf.DUMMYFUNCTION("SPLIT($J383,""   "","""")"),"-23.307366 -47.133678")</f>
        <v>-23.307366 -47.133678</v>
      </c>
      <c r="L383" s="7" t="str">
        <f>IFERROR(__xludf.DUMMYFUNCTION("""COMPUTED_VALUE"""),"Rua")</f>
        <v>Rua</v>
      </c>
      <c r="M383" s="7" t="str">
        <f>IFERROR(__xludf.DUMMYFUNCTION("""COMPUTED_VALUE""")," Ametista")</f>
        <v> Ametista</v>
      </c>
      <c r="N383" s="7" t="str">
        <f>IFERROR(__xludf.DUMMYFUNCTION("""COMPUTED_VALUE""")," Vila Preciosa (Vilarejo)")</f>
        <v> Vila Preciosa (Vilarejo)</v>
      </c>
      <c r="O383" s="7" t="str">
        <f>IFERROR(__xludf.DUMMYFUNCTION("""COMPUTED_VALUE""")," Cabreúva")</f>
        <v> Cabreúva</v>
      </c>
      <c r="P383" s="7" t="str">
        <f>IFERROR(__xludf.DUMMYFUNCTION("""COMPUTED_VALUE"""),"SP")</f>
        <v>SP</v>
      </c>
      <c r="Q383" s="7" t="str">
        <f>IFERROR(__xludf.DUMMYFUNCTION("""COMPUTED_VALUE""")," 13317-514 ")</f>
        <v> 13317-514 </v>
      </c>
      <c r="R383" s="9">
        <f>IFERROR(__xludf.DUMMYFUNCTION("SPLIT($K383,"" "","""")"),-2.3307366E7)</f>
        <v>-23307366</v>
      </c>
      <c r="S383" s="9">
        <f>IFERROR(__xludf.DUMMYFUNCTION("""COMPUTED_VALUE"""),-4.7133678E7)</f>
        <v>-47133678</v>
      </c>
      <c r="T383" s="10">
        <v>3508405.0</v>
      </c>
      <c r="U38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13317-514 ', 'PK-20686', SYSDATE, 0, 'PK-20686', SYSDATE, 'Rua  Ametista  Vila Preciosa (Vilarejo)', 'Rua Ametista Vila Preciosa (Vilarejo)', ' Vila Preciosa (Vilarejo)', 'Rua', '3508405', 'Rua Ametista Vila Preciosa (Vilarejo)',' Vila Preciosa (Vilarejo)', '1', 'SP', '1', '-23307366', '-47133678', ' Vila Preciosa (Vilarejo)' </v>
      </c>
    </row>
    <row r="384" ht="15.75" customHeight="1">
      <c r="A384" s="4" t="s">
        <v>1193</v>
      </c>
      <c r="B384" s="5" t="s">
        <v>142</v>
      </c>
      <c r="C384" s="4" t="s">
        <v>10</v>
      </c>
      <c r="D384" s="5" t="s">
        <v>1194</v>
      </c>
      <c r="E384" s="6">
        <v>214.0</v>
      </c>
      <c r="F384" s="6" t="s">
        <v>12</v>
      </c>
      <c r="G384" s="3" t="s">
        <v>13</v>
      </c>
      <c r="H384" s="7" t="str">
        <f>IFERROR(__xludf.DUMMYFUNCTION("SPLIT(A382,""Rua"","""")"),"       Moscatel")</f>
        <v>       Moscatel</v>
      </c>
      <c r="J384" s="3" t="s">
        <v>1195</v>
      </c>
      <c r="K384" s="8" t="str">
        <f>IFERROR(__xludf.DUMMYFUNCTION("SPLIT($J384,""   "","""")"),"-23.307366 -47.133678")</f>
        <v>-23.307366 -47.133678</v>
      </c>
      <c r="L384" s="7" t="str">
        <f>IFERROR(__xludf.DUMMYFUNCTION("""COMPUTED_VALUE"""),"Rua")</f>
        <v>Rua</v>
      </c>
      <c r="M384" s="7" t="str">
        <f>IFERROR(__xludf.DUMMYFUNCTION("""COMPUTED_VALUE""")," Dezesseis")</f>
        <v> Dezesseis</v>
      </c>
      <c r="N384" s="7" t="str">
        <f>IFERROR(__xludf.DUMMYFUNCTION("""COMPUTED_VALUE""")," Alpes do Tietê")</f>
        <v> Alpes do Tietê</v>
      </c>
      <c r="O384" s="7" t="str">
        <f>IFERROR(__xludf.DUMMYFUNCTION("""COMPUTED_VALUE""")," Cabreúva")</f>
        <v> Cabreúva</v>
      </c>
      <c r="P384" s="7" t="str">
        <f>IFERROR(__xludf.DUMMYFUNCTION("""COMPUTED_VALUE"""),"SP")</f>
        <v>SP</v>
      </c>
      <c r="Q384" s="7" t="str">
        <f>IFERROR(__xludf.DUMMYFUNCTION("""COMPUTED_VALUE""")," 13316-615 ")</f>
        <v> 13316-615 </v>
      </c>
      <c r="R384" s="9">
        <f>IFERROR(__xludf.DUMMYFUNCTION("SPLIT($K384,"" "","""")"),-2.3307366E7)</f>
        <v>-23307366</v>
      </c>
      <c r="S384" s="9">
        <f>IFERROR(__xludf.DUMMYFUNCTION("""COMPUTED_VALUE"""),-4.7133678E7)</f>
        <v>-47133678</v>
      </c>
      <c r="T384" s="10">
        <v>3508405.0</v>
      </c>
      <c r="U38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13316-615 ', 'PK-20686', SYSDATE, 0, 'PK-20686', SYSDATE, 'Rua  Dezesseis  Alpes do Tietê', 'Rua Dezesseis Alpes do Tietê', ' Alpes do Tietê', 'Rua', '3508405', 'Rua Dezesseis Alpes do Tietê',' Alpes do Tietê', '1', 'SP', '1', '-23307366', '-47133678', ' Alpes do Tietê' </v>
      </c>
    </row>
    <row r="385" ht="15.75" hidden="1" customHeight="1">
      <c r="A385" s="4" t="s">
        <v>1196</v>
      </c>
      <c r="B385" s="5" t="s">
        <v>24</v>
      </c>
      <c r="C385" s="4" t="s">
        <v>10</v>
      </c>
      <c r="D385" s="5" t="s">
        <v>1197</v>
      </c>
      <c r="E385" s="6">
        <v>214.0</v>
      </c>
      <c r="F385" s="6" t="s">
        <v>12</v>
      </c>
      <c r="G385" s="3" t="s">
        <v>13</v>
      </c>
      <c r="H385" s="7" t="str">
        <f>IFERROR(__xludf.DUMMYFUNCTION("SPLIT(A383,""Rua"","""")"),"       Namíbia")</f>
        <v>       Namíbia</v>
      </c>
      <c r="J385" s="3" t="s">
        <v>1198</v>
      </c>
      <c r="K385" s="8" t="str">
        <f>IFERROR(__xludf.DUMMYFUNCTION("SPLIT($J385,""   "","""")"),"-23.243904 -47.05856")</f>
        <v>-23.243904 -47.05856</v>
      </c>
      <c r="L385" s="7" t="str">
        <f>IFERROR(__xludf.DUMMYFUNCTION("""COMPUTED_VALUE"""),"Avenida")</f>
        <v>Avenida</v>
      </c>
      <c r="M385" s="7" t="str">
        <f>IFERROR(__xludf.DUMMYFUNCTION("""COMPUTED_VALUE""")," São Paulo")</f>
        <v> São Paulo</v>
      </c>
      <c r="N385" s="7" t="str">
        <f>IFERROR(__xludf.DUMMYFUNCTION("""COMPUTED_VALUE""")," Jacaré")</f>
        <v> Jacaré</v>
      </c>
      <c r="O385" s="7" t="str">
        <f>IFERROR(__xludf.DUMMYFUNCTION("""COMPUTED_VALUE""")," Cabreúva")</f>
        <v> Cabreúva</v>
      </c>
      <c r="P385" s="7" t="str">
        <f>IFERROR(__xludf.DUMMYFUNCTION("""COMPUTED_VALUE"""),"SP")</f>
        <v>SP</v>
      </c>
      <c r="Q385" s="7" t="str">
        <f>IFERROR(__xludf.DUMMYFUNCTION("""COMPUTED_VALUE""")," 13318-040 ")</f>
        <v> 13318-040 </v>
      </c>
      <c r="R385" s="9">
        <f>IFERROR(__xludf.DUMMYFUNCTION("SPLIT($K385,"" "","""")"),-2.3243904E7)</f>
        <v>-23243904</v>
      </c>
      <c r="S385" s="9">
        <f>IFERROR(__xludf.DUMMYFUNCTION("""COMPUTED_VALUE"""),-4705856.0)</f>
        <v>-4705856</v>
      </c>
      <c r="T385" s="10">
        <v>3508405.0</v>
      </c>
      <c r="U38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13318-040 ', 'PK-20686', SYSDATE, 0, 'PK-20686', SYSDATE, 'Avenida  São Paulo  Jacaré', 'Avenida São Paulo Jacaré', ' Jacaré', 'Avenida', '3508405', 'Avenida São Paulo Jacaré',' Jacaré', '1', 'SP', '1', '-23243904', '-4705856', ' Jacaré' </v>
      </c>
    </row>
    <row r="386" ht="15.75" customHeight="1">
      <c r="A386" s="4" t="s">
        <v>1199</v>
      </c>
      <c r="B386" s="5" t="s">
        <v>372</v>
      </c>
      <c r="C386" s="4" t="s">
        <v>10</v>
      </c>
      <c r="D386" s="5" t="s">
        <v>1200</v>
      </c>
      <c r="E386" s="6">
        <v>214.0</v>
      </c>
      <c r="F386" s="6" t="s">
        <v>12</v>
      </c>
      <c r="G386" s="3" t="s">
        <v>13</v>
      </c>
      <c r="H386" s="7" t="str">
        <f>IFERROR(__xludf.DUMMYFUNCTION("SPLIT(A384,""Rua"","""")"),"       Nebbiolo")</f>
        <v>       Nebbiolo</v>
      </c>
      <c r="J386" s="3" t="s">
        <v>1201</v>
      </c>
      <c r="K386" s="8" t="str">
        <f>IFERROR(__xludf.DUMMYFUNCTION("SPLIT($J386,""   "","""")"),"-23.245618 -47.064924")</f>
        <v>-23.245618 -47.064924</v>
      </c>
      <c r="L386" s="7" t="str">
        <f>IFERROR(__xludf.DUMMYFUNCTION("""COMPUTED_VALUE"""),"Rua")</f>
        <v>Rua</v>
      </c>
      <c r="M386" s="7" t="str">
        <f>IFERROR(__xludf.DUMMYFUNCTION("""COMPUTED_VALUE""")," Touriga")</f>
        <v> Touriga</v>
      </c>
      <c r="N386" s="7" t="str">
        <f>IFERROR(__xludf.DUMMYFUNCTION("""COMPUTED_VALUE""")," Reserva da Quinta (Jacaré)")</f>
        <v> Reserva da Quinta (Jacaré)</v>
      </c>
      <c r="O386" s="7" t="str">
        <f>IFERROR(__xludf.DUMMYFUNCTION("""COMPUTED_VALUE""")," Cabreúva")</f>
        <v> Cabreúva</v>
      </c>
      <c r="P386" s="7" t="str">
        <f>IFERROR(__xludf.DUMMYFUNCTION("""COMPUTED_VALUE"""),"SP")</f>
        <v>SP</v>
      </c>
      <c r="Q386" s="7" t="str">
        <f>IFERROR(__xludf.DUMMYFUNCTION("""COMPUTED_VALUE""")," 13318-456 ")</f>
        <v> 13318-456 </v>
      </c>
      <c r="R386" s="9">
        <f>IFERROR(__xludf.DUMMYFUNCTION("SPLIT($K386,"" "","""")"),-2.3245618E7)</f>
        <v>-23245618</v>
      </c>
      <c r="S386" s="9">
        <f>IFERROR(__xludf.DUMMYFUNCTION("""COMPUTED_VALUE"""),-4.7064924E7)</f>
        <v>-47064924</v>
      </c>
      <c r="T386" s="10">
        <v>3508405.0</v>
      </c>
      <c r="U38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13318-456 ', 'PK-20686', SYSDATE, 0, 'PK-20686', SYSDATE, 'Rua  Touriga  Reserva da Quinta (Jacaré)', 'Rua Touriga Reserva da Quinta (Jacaré)', ' Reserva da Quinta (Jacaré)', 'Rua', '3508405', 'Rua Touriga Reserva da Quinta (Jacaré)',' Reserva da Quinta (Jacaré)', '1', 'SP', '1', '-23245618', '-47064924', ' Reserva da Quinta (Jacaré)' </v>
      </c>
    </row>
    <row r="387" ht="15.75" hidden="1" customHeight="1">
      <c r="A387" s="4" t="s">
        <v>1202</v>
      </c>
      <c r="B387" s="5" t="s">
        <v>226</v>
      </c>
      <c r="C387" s="4" t="s">
        <v>10</v>
      </c>
      <c r="D387" s="5" t="s">
        <v>1203</v>
      </c>
      <c r="E387" s="6">
        <v>214.0</v>
      </c>
      <c r="F387" s="6" t="s">
        <v>12</v>
      </c>
      <c r="G387" s="3" t="s">
        <v>13</v>
      </c>
      <c r="H387" s="7" t="str">
        <f>IFERROR(__xludf.DUMMYFUNCTION("SPLIT(A385,""Rua"","""")"),"       Nicodemos Pincinato")</f>
        <v>       Nicodemos Pincinato</v>
      </c>
      <c r="J387" s="3" t="s">
        <v>1204</v>
      </c>
      <c r="K387" s="8" t="str">
        <f>IFERROR(__xludf.DUMMYFUNCTION("SPLIT($J387,""   "","""")"),"-23.254311 -47.049966")</f>
        <v>-23.254311 -47.049966</v>
      </c>
      <c r="L387" s="7" t="str">
        <f>IFERROR(__xludf.DUMMYFUNCTION("""COMPUTED_VALUE"""),"Alameda")</f>
        <v>Alameda</v>
      </c>
      <c r="M387" s="7" t="str">
        <f>IFERROR(__xludf.DUMMYFUNCTION("""COMPUTED_VALUE""")," dos Ciprestes")</f>
        <v> dos Ciprestes</v>
      </c>
      <c r="N387" s="7" t="str">
        <f>IFERROR(__xludf.DUMMYFUNCTION("""COMPUTED_VALUE""")," Portal da Concórdia (Jacaré)")</f>
        <v> Portal da Concórdia (Jacaré)</v>
      </c>
      <c r="O387" s="7" t="str">
        <f>IFERROR(__xludf.DUMMYFUNCTION("""COMPUTED_VALUE""")," Cabreúva")</f>
        <v> Cabreúva</v>
      </c>
      <c r="P387" s="7" t="str">
        <f>IFERROR(__xludf.DUMMYFUNCTION("""COMPUTED_VALUE"""),"SP")</f>
        <v>SP</v>
      </c>
      <c r="Q387" s="7" t="str">
        <f>IFERROR(__xludf.DUMMYFUNCTION("""COMPUTED_VALUE""")," 13318-332 ")</f>
        <v> 13318-332 </v>
      </c>
      <c r="R387" s="9">
        <f>IFERROR(__xludf.DUMMYFUNCTION("SPLIT($K387,"" "","""")"),-2.3254311E7)</f>
        <v>-23254311</v>
      </c>
      <c r="S387" s="9">
        <f>IFERROR(__xludf.DUMMYFUNCTION("""COMPUTED_VALUE"""),-4.7049966E7)</f>
        <v>-47049966</v>
      </c>
      <c r="T387" s="10">
        <v>3508405.0</v>
      </c>
      <c r="U38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13318-332 ', 'PK-20686', SYSDATE, 0, 'PK-20686', SYSDATE, 'Alameda  dos Ciprestes  Portal da Concórdia (Jacaré)', 'Alameda dos Ciprestes Portal da Concórdia (Jacaré)', ' Portal da Concórdia (Jacaré)', 'Alameda', '3508405', 'Alameda dos Ciprestes Portal da Concórdia (Jacaré)',' Portal da Concórdia (Jacaré)', '1', 'SP', '1', '-23254311', '-47049966', ' Portal da Concórdia (Jacaré)' </v>
      </c>
    </row>
    <row r="388" ht="15.75" customHeight="1">
      <c r="A388" s="4" t="s">
        <v>1205</v>
      </c>
      <c r="B388" s="5" t="s">
        <v>160</v>
      </c>
      <c r="C388" s="4" t="s">
        <v>10</v>
      </c>
      <c r="D388" s="5" t="s">
        <v>1206</v>
      </c>
      <c r="E388" s="6">
        <v>214.0</v>
      </c>
      <c r="F388" s="6" t="s">
        <v>12</v>
      </c>
      <c r="G388" s="3" t="s">
        <v>13</v>
      </c>
      <c r="H388" s="7" t="str">
        <f>IFERROR(__xludf.DUMMYFUNCTION("SPLIT(A386,""Rua"","""")"),"       Nigéria")</f>
        <v>       Nigéria</v>
      </c>
      <c r="J388" s="3" t="s">
        <v>1207</v>
      </c>
      <c r="K388" s="8" t="str">
        <f>IFERROR(__xludf.DUMMYFUNCTION("SPLIT($J388,""   "","""")"),"-23.307597 -47.137397")</f>
        <v>-23.307597 -47.137397</v>
      </c>
      <c r="L388" s="7" t="str">
        <f>IFERROR(__xludf.DUMMYFUNCTION("""COMPUTED_VALUE"""),"Rua")</f>
        <v>Rua</v>
      </c>
      <c r="M388" s="7" t="str">
        <f>IFERROR(__xludf.DUMMYFUNCTION("""COMPUTED_VALUE""")," Roque Mesquita Camargo")</f>
        <v> Roque Mesquita Camargo</v>
      </c>
      <c r="N388" s="7" t="str">
        <f>IFERROR(__xludf.DUMMYFUNCTION("""COMPUTED_VALUE""")," Jardim Ipê (Centro)")</f>
        <v> Jardim Ipê (Centro)</v>
      </c>
      <c r="O388" s="7" t="str">
        <f>IFERROR(__xludf.DUMMYFUNCTION("""COMPUTED_VALUE""")," Cabreúva")</f>
        <v> Cabreúva</v>
      </c>
      <c r="P388" s="7" t="str">
        <f>IFERROR(__xludf.DUMMYFUNCTION("""COMPUTED_VALUE"""),"SP")</f>
        <v>SP</v>
      </c>
      <c r="Q388" s="7" t="str">
        <f>IFERROR(__xludf.DUMMYFUNCTION("""COMPUTED_VALUE""")," 13315-164 ")</f>
        <v> 13315-164 </v>
      </c>
      <c r="R388" s="9">
        <f>IFERROR(__xludf.DUMMYFUNCTION("SPLIT($K388,"" "","""")"),-2.3307597E7)</f>
        <v>-23307597</v>
      </c>
      <c r="S388" s="9">
        <f>IFERROR(__xludf.DUMMYFUNCTION("""COMPUTED_VALUE"""),-4.7137397E7)</f>
        <v>-47137397</v>
      </c>
      <c r="T388" s="10">
        <v>3508405.0</v>
      </c>
      <c r="U38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13315-164 ', 'PK-20686', SYSDATE, 0, 'PK-20686', SYSDATE, 'Rua  Roque Mesquita Camargo  Jardim Ipê (Centro)', 'Rua Roque Mesquita Camargo Jardim Ipê (Centro)', ' Jardim Ipê (Centro)', 'Rua', '3508405', 'Rua Roque Mesquita Camargo Jardim Ipê (Centro)',' Jardim Ipê (Centro)', '1', 'SP', '1', '-23307597', '-47137397', ' Jardim Ipê (Centro)' </v>
      </c>
    </row>
    <row r="389" ht="15.75" customHeight="1">
      <c r="A389" s="4" t="s">
        <v>1208</v>
      </c>
      <c r="B389" s="5" t="s">
        <v>611</v>
      </c>
      <c r="C389" s="4" t="s">
        <v>10</v>
      </c>
      <c r="D389" s="5" t="s">
        <v>1209</v>
      </c>
      <c r="E389" s="6">
        <v>214.0</v>
      </c>
      <c r="F389" s="6" t="s">
        <v>12</v>
      </c>
      <c r="G389" s="3" t="s">
        <v>13</v>
      </c>
      <c r="H389" s="7" t="str">
        <f>IFERROR(__xludf.DUMMYFUNCTION("SPLIT(A387,""Rua"","""")"),"       Norberto Soares da Silva")</f>
        <v>       Norberto Soares da Silva</v>
      </c>
      <c r="J389" s="3" t="s">
        <v>1210</v>
      </c>
      <c r="K389" s="8" t="str">
        <f>IFERROR(__xludf.DUMMYFUNCTION("SPLIT($J389,""   "","""")"),"-23.274341 -47.055974")</f>
        <v>-23.274341 -47.055974</v>
      </c>
      <c r="L389" s="7" t="str">
        <f>IFERROR(__xludf.DUMMYFUNCTION("""COMPUTED_VALUE"""),"Rua")</f>
        <v>Rua</v>
      </c>
      <c r="M389" s="7" t="str">
        <f>IFERROR(__xludf.DUMMYFUNCTION("""COMPUTED_VALUE""")," Inglaterra")</f>
        <v> Inglaterra</v>
      </c>
      <c r="N389" s="7" t="str">
        <f>IFERROR(__xludf.DUMMYFUNCTION("""COMPUTED_VALUE""")," Villarejo Sopé da Serra (Vilarejo)")</f>
        <v> Villarejo Sopé da Serra (Vilarejo)</v>
      </c>
      <c r="O389" s="7" t="str">
        <f>IFERROR(__xludf.DUMMYFUNCTION("""COMPUTED_VALUE""")," Cabreúva")</f>
        <v> Cabreúva</v>
      </c>
      <c r="P389" s="7" t="str">
        <f>IFERROR(__xludf.DUMMYFUNCTION("""COMPUTED_VALUE"""),"SP")</f>
        <v>SP</v>
      </c>
      <c r="Q389" s="7" t="str">
        <f>IFERROR(__xludf.DUMMYFUNCTION("""COMPUTED_VALUE""")," 13317-660 ")</f>
        <v> 13317-660 </v>
      </c>
      <c r="R389" s="9">
        <f>IFERROR(__xludf.DUMMYFUNCTION("SPLIT($K389,"" "","""")"),-2.3274341E7)</f>
        <v>-23274341</v>
      </c>
      <c r="S389" s="9">
        <f>IFERROR(__xludf.DUMMYFUNCTION("""COMPUTED_VALUE"""),-4.7055974E7)</f>
        <v>-47055974</v>
      </c>
      <c r="T389" s="10">
        <v>3508405.0</v>
      </c>
      <c r="U38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13317-660 ', 'PK-20686', SYSDATE, 0, 'PK-20686', SYSDATE, 'Rua  Inglaterra  Villarejo Sopé da Serra (Vilarejo)', 'Rua Inglaterra Villarejo Sopé da Serra (Vilarejo)', ' Villarejo Sopé da Serra (Vilarejo)', 'Rua', '3508405', 'Rua Inglaterra Villarejo Sopé da Serra (Vilarejo)',' Villarejo Sopé da Serra (Vilarejo)', '1', 'SP', '1', '-23274341', '-47055974', ' Villarejo Sopé da Serra (Vilarejo)' </v>
      </c>
    </row>
    <row r="390" ht="15.75" customHeight="1">
      <c r="A390" s="4" t="s">
        <v>1211</v>
      </c>
      <c r="B390" s="5" t="s">
        <v>611</v>
      </c>
      <c r="C390" s="4" t="s">
        <v>10</v>
      </c>
      <c r="D390" s="5" t="s">
        <v>1212</v>
      </c>
      <c r="E390" s="6">
        <v>214.0</v>
      </c>
      <c r="F390" s="6" t="s">
        <v>12</v>
      </c>
      <c r="G390" s="3" t="s">
        <v>13</v>
      </c>
      <c r="H390" s="7" t="str">
        <f>IFERROR(__xludf.DUMMYFUNCTION("SPLIT(A388,""Rua"","""")"),"       Noruega")</f>
        <v>       Noruega</v>
      </c>
      <c r="J390" s="3" t="s">
        <v>1213</v>
      </c>
      <c r="K390" s="8" t="str">
        <f>IFERROR(__xludf.DUMMYFUNCTION("SPLIT($J390,""   "","""")"),"-23.306784 -47.137634")</f>
        <v>-23.306784 -47.137634</v>
      </c>
      <c r="L390" s="7" t="str">
        <f>IFERROR(__xludf.DUMMYFUNCTION("""COMPUTED_VALUE"""),"Rua")</f>
        <v>Rua</v>
      </c>
      <c r="M390" s="7" t="str">
        <f>IFERROR(__xludf.DUMMYFUNCTION("""COMPUTED_VALUE""")," Otoni Rodrigues da Silveira")</f>
        <v> Otoni Rodrigues da Silveira</v>
      </c>
      <c r="N390" s="7" t="str">
        <f>IFERROR(__xludf.DUMMYFUNCTION("""COMPUTED_VALUE""")," Jardim Alice (Centro)")</f>
        <v> Jardim Alice (Centro)</v>
      </c>
      <c r="O390" s="7" t="str">
        <f>IFERROR(__xludf.DUMMYFUNCTION("""COMPUTED_VALUE""")," Cabreúva")</f>
        <v> Cabreúva</v>
      </c>
      <c r="P390" s="7" t="str">
        <f>IFERROR(__xludf.DUMMYFUNCTION("""COMPUTED_VALUE"""),"SP")</f>
        <v>SP</v>
      </c>
      <c r="Q390" s="7" t="str">
        <f>IFERROR(__xludf.DUMMYFUNCTION("""COMPUTED_VALUE""")," 13315-170 ")</f>
        <v> 13315-170 </v>
      </c>
      <c r="R390" s="9">
        <f>IFERROR(__xludf.DUMMYFUNCTION("SPLIT($K390,"" "","""")"),-2.3306784E7)</f>
        <v>-23306784</v>
      </c>
      <c r="S390" s="9">
        <f>IFERROR(__xludf.DUMMYFUNCTION("""COMPUTED_VALUE"""),-4.7137634E7)</f>
        <v>-47137634</v>
      </c>
      <c r="T390" s="10">
        <v>3508405.0</v>
      </c>
      <c r="U39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13315-170 ', 'PK-20686', SYSDATE, 0, 'PK-20686', SYSDATE, 'Rua  Otoni Rodrigues da Silveira  Jardim Alice (Centro)', 'Rua Otoni Rodrigues da Silveira Jardim Alice (Centro)', ' Jardim Alice (Centro)', 'Rua', '3508405', 'Rua Otoni Rodrigues da Silveira Jardim Alice (Centro)',' Jardim Alice (Centro)', '1', 'SP', '1', '-23306784', '-47137634', ' Jardim Alice (Centro)' </v>
      </c>
    </row>
    <row r="391" ht="15.75" customHeight="1">
      <c r="A391" s="4" t="s">
        <v>1214</v>
      </c>
      <c r="B391" s="5" t="s">
        <v>658</v>
      </c>
      <c r="C391" s="4" t="s">
        <v>10</v>
      </c>
      <c r="D391" s="5" t="s">
        <v>1215</v>
      </c>
      <c r="E391" s="6">
        <v>214.0</v>
      </c>
      <c r="F391" s="6" t="s">
        <v>12</v>
      </c>
      <c r="G391" s="3" t="s">
        <v>13</v>
      </c>
      <c r="H391" s="7" t="str">
        <f>IFERROR(__xludf.DUMMYFUNCTION("SPLIT(A389,""Rua"","""")"),"       Nove")</f>
        <v>       Nove</v>
      </c>
      <c r="J391" s="3" t="s">
        <v>1216</v>
      </c>
      <c r="K391" s="8" t="str">
        <f>IFERROR(__xludf.DUMMYFUNCTION("SPLIT($J391,""   "","""")"),"-23.253074 -47.088722")</f>
        <v>-23.253074 -47.088722</v>
      </c>
      <c r="L391" s="7" t="str">
        <f>IFERROR(__xludf.DUMMYFUNCTION("""COMPUTED_VALUE"""),"Rua")</f>
        <v>Rua</v>
      </c>
      <c r="M391" s="7" t="str">
        <f>IFERROR(__xludf.DUMMYFUNCTION("""COMPUTED_VALUE""")," das Flores")</f>
        <v> das Flores</v>
      </c>
      <c r="N391" s="7" t="str">
        <f>IFERROR(__xludf.DUMMYFUNCTION("""COMPUTED_VALUE""")," Pinhal Mirim (Pinhal)")</f>
        <v> Pinhal Mirim (Pinhal)</v>
      </c>
      <c r="O391" s="7" t="str">
        <f>IFERROR(__xludf.DUMMYFUNCTION("""COMPUTED_VALUE""")," Cabreúva")</f>
        <v> Cabreúva</v>
      </c>
      <c r="P391" s="7" t="str">
        <f>IFERROR(__xludf.DUMMYFUNCTION("""COMPUTED_VALUE"""),"SP")</f>
        <v>SP</v>
      </c>
      <c r="Q391" s="7" t="str">
        <f>IFERROR(__xludf.DUMMYFUNCTION("""COMPUTED_VALUE""")," 13317-276 ")</f>
        <v> 13317-276 </v>
      </c>
      <c r="R391" s="9">
        <f>IFERROR(__xludf.DUMMYFUNCTION("SPLIT($K391,"" "","""")"),-2.3253074E7)</f>
        <v>-23253074</v>
      </c>
      <c r="S391" s="9">
        <f>IFERROR(__xludf.DUMMYFUNCTION("""COMPUTED_VALUE"""),-4.7088722E7)</f>
        <v>-47088722</v>
      </c>
      <c r="T391" s="10">
        <v>3508405.0</v>
      </c>
      <c r="U39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13317-276 ', 'PK-20686', SYSDATE, 0, 'PK-20686', SYSDATE, 'Rua  das Flores  Pinhal Mirim (Pinhal)', 'Rua das Flores Pinhal Mirim (Pinhal)', ' Pinhal Mirim (Pinhal)', 'Rua', '3508405', 'Rua das Flores Pinhal Mirim (Pinhal)',' Pinhal Mirim (Pinhal)', '1', 'SP', '1', '-23253074', '-47088722', ' Pinhal Mirim (Pinhal)' </v>
      </c>
    </row>
    <row r="392" ht="15.75" customHeight="1">
      <c r="A392" s="4" t="s">
        <v>1217</v>
      </c>
      <c r="B392" s="5" t="s">
        <v>394</v>
      </c>
      <c r="C392" s="4" t="s">
        <v>10</v>
      </c>
      <c r="D392" s="5" t="s">
        <v>1218</v>
      </c>
      <c r="E392" s="6">
        <v>214.0</v>
      </c>
      <c r="F392" s="6" t="s">
        <v>12</v>
      </c>
      <c r="G392" s="3" t="s">
        <v>13</v>
      </c>
      <c r="H392" s="7" t="str">
        <f>IFERROR(__xludf.DUMMYFUNCTION("SPLIT(A390,""Rua"","""")"),"       Oito")</f>
        <v>       Oito</v>
      </c>
      <c r="J392" s="3" t="s">
        <v>1219</v>
      </c>
      <c r="K392" s="8" t="str">
        <f>IFERROR(__xludf.DUMMYFUNCTION("SPLIT($J392,""   "","""")"),"-23.307366 -47.133678")</f>
        <v>-23.307366 -47.133678</v>
      </c>
      <c r="L392" s="7" t="str">
        <f>IFERROR(__xludf.DUMMYFUNCTION("""COMPUTED_VALUE"""),"Rua")</f>
        <v>Rua</v>
      </c>
      <c r="M392" s="7" t="str">
        <f>IFERROR(__xludf.DUMMYFUNCTION("""COMPUTED_VALUE""")," Dezoito")</f>
        <v> Dezoito</v>
      </c>
      <c r="N392" s="7" t="str">
        <f>IFERROR(__xludf.DUMMYFUNCTION("""COMPUTED_VALUE""")," Alpes do Tietê")</f>
        <v> Alpes do Tietê</v>
      </c>
      <c r="O392" s="7" t="str">
        <f>IFERROR(__xludf.DUMMYFUNCTION("""COMPUTED_VALUE""")," Cabreúva")</f>
        <v> Cabreúva</v>
      </c>
      <c r="P392" s="7" t="str">
        <f>IFERROR(__xludf.DUMMYFUNCTION("""COMPUTED_VALUE"""),"SP")</f>
        <v>SP</v>
      </c>
      <c r="Q392" s="7" t="str">
        <f>IFERROR(__xludf.DUMMYFUNCTION("""COMPUTED_VALUE""")," 13316-617 ")</f>
        <v> 13316-617 </v>
      </c>
      <c r="R392" s="9">
        <f>IFERROR(__xludf.DUMMYFUNCTION("SPLIT($K392,"" "","""")"),-2.3307366E7)</f>
        <v>-23307366</v>
      </c>
      <c r="S392" s="9">
        <f>IFERROR(__xludf.DUMMYFUNCTION("""COMPUTED_VALUE"""),-4.7133678E7)</f>
        <v>-47133678</v>
      </c>
      <c r="T392" s="10">
        <v>3508405.0</v>
      </c>
      <c r="U39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13316-617 ', 'PK-20686', SYSDATE, 0, 'PK-20686', SYSDATE, 'Rua  Dezoito  Alpes do Tietê', 'Rua Dezoito Alpes do Tietê', ' Alpes do Tietê', 'Rua', '3508405', 'Rua Dezoito Alpes do Tietê',' Alpes do Tietê', '1', 'SP', '1', '-23307366', '-47133678', ' Alpes do Tietê' </v>
      </c>
    </row>
    <row r="393" ht="15.75" hidden="1" customHeight="1">
      <c r="A393" s="4" t="s">
        <v>1220</v>
      </c>
      <c r="B393" s="5" t="s">
        <v>199</v>
      </c>
      <c r="C393" s="4" t="s">
        <v>10</v>
      </c>
      <c r="D393" s="5" t="s">
        <v>1221</v>
      </c>
      <c r="E393" s="6">
        <v>214.0</v>
      </c>
      <c r="F393" s="6" t="s">
        <v>12</v>
      </c>
      <c r="G393" s="3" t="s">
        <v>13</v>
      </c>
      <c r="H393" s="7" t="str">
        <f>IFERROR(__xludf.DUMMYFUNCTION("SPLIT(A391,""Rua"","""")"),"       Olinda Vieira")</f>
        <v>       Olinda Vieira</v>
      </c>
      <c r="J393" s="3" t="s">
        <v>1222</v>
      </c>
      <c r="K393" s="8" t="str">
        <f>IFERROR(__xludf.DUMMYFUNCTION("SPLIT($J393,""   "","""")"),"-23.260234 -47.049774")</f>
        <v>-23.260234 -47.049774</v>
      </c>
      <c r="L393" s="7" t="str">
        <f>IFERROR(__xludf.DUMMYFUNCTION("""COMPUTED_VALUE"""),"Avenida")</f>
        <v>Avenida</v>
      </c>
      <c r="M393" s="7" t="str">
        <f>IFERROR(__xludf.DUMMYFUNCTION("""COMPUTED_VALUE""")," do Parque")</f>
        <v> do Parque</v>
      </c>
      <c r="N393" s="7" t="str">
        <f>IFERROR(__xludf.DUMMYFUNCTION("""COMPUTED_VALUE""")," Jardim Colina da Serra II (Jacaré)")</f>
        <v> Jardim Colina da Serra II (Jacaré)</v>
      </c>
      <c r="O393" s="7" t="str">
        <f>IFERROR(__xludf.DUMMYFUNCTION("""COMPUTED_VALUE""")," Cabreúva")</f>
        <v> Cabreúva</v>
      </c>
      <c r="P393" s="7" t="str">
        <f>IFERROR(__xludf.DUMMYFUNCTION("""COMPUTED_VALUE"""),"SP")</f>
        <v>SP</v>
      </c>
      <c r="Q393" s="7" t="str">
        <f>IFERROR(__xludf.DUMMYFUNCTION("""COMPUTED_VALUE""")," 13318-272 ")</f>
        <v> 13318-272 </v>
      </c>
      <c r="R393" s="9">
        <f>IFERROR(__xludf.DUMMYFUNCTION("SPLIT($K393,"" "","""")"),-2.3260234E7)</f>
        <v>-23260234</v>
      </c>
      <c r="S393" s="9">
        <f>IFERROR(__xludf.DUMMYFUNCTION("""COMPUTED_VALUE"""),-4.7049774E7)</f>
        <v>-47049774</v>
      </c>
      <c r="T393" s="10">
        <v>3508405.0</v>
      </c>
      <c r="U39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13318-272 ', 'PK-20686', SYSDATE, 0, 'PK-20686', SYSDATE, 'Avenida  do Parque  Jardim Colina da Serra II (Jacaré)', 'Avenida do Parque Jardim Colina da Serra II (Jacaré)', ' Jardim Colina da Serra II (Jacaré)', 'Avenida', '3508405', 'Avenida do Parque Jardim Colina da Serra II (Jacaré)',' Jardim Colina da Serra II (Jacaré)', '1', 'SP', '1', '-23260234', '-47049774', ' Jardim Colina da Serra II (Jacaré)' </v>
      </c>
    </row>
    <row r="394" ht="15.75" hidden="1" customHeight="1">
      <c r="A394" s="4" t="s">
        <v>1223</v>
      </c>
      <c r="B394" s="5" t="s">
        <v>132</v>
      </c>
      <c r="C394" s="4" t="s">
        <v>10</v>
      </c>
      <c r="D394" s="5" t="s">
        <v>1224</v>
      </c>
      <c r="E394" s="6">
        <v>214.0</v>
      </c>
      <c r="F394" s="6" t="s">
        <v>12</v>
      </c>
      <c r="G394" s="3" t="s">
        <v>13</v>
      </c>
      <c r="H394" s="7" t="str">
        <f>IFERROR(__xludf.DUMMYFUNCTION("SPLIT(A392,""Rua"","""")"),"       Onix")</f>
        <v>       Onix</v>
      </c>
      <c r="J394" s="3" t="s">
        <v>1225</v>
      </c>
      <c r="K394" s="8" t="str">
        <f>IFERROR(__xludf.DUMMYFUNCTION("SPLIT($J394,""   "","""")"),"-23.308172 -47.131949")</f>
        <v>-23.308172 -47.131949</v>
      </c>
      <c r="L394" s="7" t="str">
        <f>IFERROR(__xludf.DUMMYFUNCTION("""COMPUTED_VALUE"""),"Estrada")</f>
        <v>Estrada</v>
      </c>
      <c r="M394" s="7" t="str">
        <f>IFERROR(__xludf.DUMMYFUNCTION("""COMPUTED_VALUE""")," Municipal Caracol")</f>
        <v> Municipal Caracol</v>
      </c>
      <c r="N394" s="7" t="str">
        <f>IFERROR(__xludf.DUMMYFUNCTION("""COMPUTED_VALUE""")," CECOM (Jacaré)")</f>
        <v> CECOM (Jacaré)</v>
      </c>
      <c r="O394" s="7" t="str">
        <f>IFERROR(__xludf.DUMMYFUNCTION("""COMPUTED_VALUE""")," Cabreúva")</f>
        <v> Cabreúva</v>
      </c>
      <c r="P394" s="7" t="str">
        <f>IFERROR(__xludf.DUMMYFUNCTION("""COMPUTED_VALUE"""),"SP")</f>
        <v>SP</v>
      </c>
      <c r="Q394" s="7" t="str">
        <f>IFERROR(__xludf.DUMMYFUNCTION("""COMPUTED_VALUE""")," 13318-340 ")</f>
        <v> 13318-340 </v>
      </c>
      <c r="R394" s="9">
        <f>IFERROR(__xludf.DUMMYFUNCTION("SPLIT($K394,"" "","""")"),-2.3308172E7)</f>
        <v>-23308172</v>
      </c>
      <c r="S394" s="9">
        <f>IFERROR(__xludf.DUMMYFUNCTION("""COMPUTED_VALUE"""),-4.7131949E7)</f>
        <v>-47131949</v>
      </c>
      <c r="T394" s="10">
        <v>3508405.0</v>
      </c>
      <c r="U39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13318-340 ', 'PK-20686', SYSDATE, 0, 'PK-20686', SYSDATE, 'Estrada  Municipal Caracol  CECOM (Jacaré)', 'Estrada Municipal Caracol CECOM (Jacaré)', ' CECOM (Jacaré)', 'Estrada', '3508405', 'Estrada Municipal Caracol CECOM (Jacaré)',' CECOM (Jacaré)', '1', 'SP', '1', '-23308172', '-47131949', ' CECOM (Jacaré)' </v>
      </c>
    </row>
    <row r="395" ht="15.75" customHeight="1">
      <c r="A395" s="4" t="s">
        <v>1226</v>
      </c>
      <c r="B395" s="5" t="s">
        <v>611</v>
      </c>
      <c r="C395" s="4" t="s">
        <v>10</v>
      </c>
      <c r="D395" s="5" t="s">
        <v>1227</v>
      </c>
      <c r="E395" s="6">
        <v>214.0</v>
      </c>
      <c r="F395" s="6" t="s">
        <v>12</v>
      </c>
      <c r="G395" s="3" t="s">
        <v>13</v>
      </c>
      <c r="H395" s="7" t="str">
        <f>IFERROR(__xludf.DUMMYFUNCTION("SPLIT(A393,""Rua"","""")"),"       Onofre Sakamoto")</f>
        <v>       Onofre Sakamoto</v>
      </c>
      <c r="J395" s="3" t="s">
        <v>1228</v>
      </c>
      <c r="K395" s="8" t="str">
        <f>IFERROR(__xludf.DUMMYFUNCTION("SPLIT($J395,""   "","""")"),"-23.25729 -47.09146")</f>
        <v>-23.25729 -47.09146</v>
      </c>
      <c r="L395" s="7" t="str">
        <f>IFERROR(__xludf.DUMMYFUNCTION("""COMPUTED_VALUE"""),"Rua")</f>
        <v>Rua</v>
      </c>
      <c r="M395" s="7" t="str">
        <f>IFERROR(__xludf.DUMMYFUNCTION("""COMPUTED_VALUE""")," das Magnólias")</f>
        <v> das Magnólias</v>
      </c>
      <c r="N395" s="7" t="str">
        <f>IFERROR(__xludf.DUMMYFUNCTION("""COMPUTED_VALUE""")," Chácaras do Pinhal (Pinhal)")</f>
        <v> Chácaras do Pinhal (Pinhal)</v>
      </c>
      <c r="O395" s="7" t="str">
        <f>IFERROR(__xludf.DUMMYFUNCTION("""COMPUTED_VALUE""")," Cabreúva")</f>
        <v> Cabreúva</v>
      </c>
      <c r="P395" s="7" t="str">
        <f>IFERROR(__xludf.DUMMYFUNCTION("""COMPUTED_VALUE"""),"SP")</f>
        <v>SP</v>
      </c>
      <c r="Q395" s="7" t="str">
        <f>IFERROR(__xludf.DUMMYFUNCTION("""COMPUTED_VALUE""")," 13317-290 ")</f>
        <v> 13317-290 </v>
      </c>
      <c r="R395" s="9">
        <f>IFERROR(__xludf.DUMMYFUNCTION("SPLIT($K395,"" "","""")"),-2325729.0)</f>
        <v>-2325729</v>
      </c>
      <c r="S395" s="9">
        <f>IFERROR(__xludf.DUMMYFUNCTION("""COMPUTED_VALUE"""),-4709146.0)</f>
        <v>-4709146</v>
      </c>
      <c r="T395" s="10">
        <v>3508405.0</v>
      </c>
      <c r="U39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13317-290 ', 'PK-20686', SYSDATE, 0, 'PK-20686', SYSDATE, 'Rua  das Magnólias  Chácaras do Pinhal (Pinhal)', 'Rua das Magnólias Chácaras do Pinhal (Pinhal)', ' Chácaras do Pinhal (Pinhal)', 'Rua', '3508405', 'Rua das Magnólias Chácaras do Pinhal (Pinhal)',' Chácaras do Pinhal (Pinhal)', '1', 'SP', '1', '-2325729', '-4709146', ' Chácaras do Pinhal (Pinhal)' </v>
      </c>
    </row>
    <row r="396" ht="15.75" customHeight="1">
      <c r="A396" s="4" t="s">
        <v>1229</v>
      </c>
      <c r="B396" s="5" t="s">
        <v>149</v>
      </c>
      <c r="C396" s="4" t="s">
        <v>10</v>
      </c>
      <c r="D396" s="5" t="s">
        <v>1230</v>
      </c>
      <c r="E396" s="6">
        <v>214.0</v>
      </c>
      <c r="F396" s="6" t="s">
        <v>12</v>
      </c>
      <c r="G396" s="3" t="s">
        <v>13</v>
      </c>
      <c r="H396" s="7" t="str">
        <f>IFERROR(__xludf.DUMMYFUNCTION("SPLIT(A394,""Rua"","""")"),"       Onofre Sakamoto    71
AGC Pinhal")</f>
        <v>       Onofre Sakamoto    71
AGC Pinhal</v>
      </c>
      <c r="J396" s="3" t="s">
        <v>1231</v>
      </c>
      <c r="K396" s="8" t="str">
        <f>IFERROR(__xludf.DUMMYFUNCTION("SPLIT($J396,""   "","""")"),"-23.256466 -47.071555")</f>
        <v>-23.256466 -47.071555</v>
      </c>
      <c r="L396" s="7" t="str">
        <f>IFERROR(__xludf.DUMMYFUNCTION("""COMPUTED_VALUE"""),"Rua")</f>
        <v>Rua</v>
      </c>
      <c r="M396" s="7" t="str">
        <f>IFERROR(__xludf.DUMMYFUNCTION("""COMPUTED_VALUE""")," Diamante")</f>
        <v> Diamante</v>
      </c>
      <c r="N396" s="7" t="str">
        <f>IFERROR(__xludf.DUMMYFUNCTION("""COMPUTED_VALUE""")," Vila Preciosa (Vilarejo)")</f>
        <v> Vila Preciosa (Vilarejo)</v>
      </c>
      <c r="O396" s="7" t="str">
        <f>IFERROR(__xludf.DUMMYFUNCTION("""COMPUTED_VALUE""")," Cabreúva")</f>
        <v> Cabreúva</v>
      </c>
      <c r="P396" s="7" t="str">
        <f>IFERROR(__xludf.DUMMYFUNCTION("""COMPUTED_VALUE"""),"SP")</f>
        <v>SP</v>
      </c>
      <c r="Q396" s="7" t="str">
        <f>IFERROR(__xludf.DUMMYFUNCTION("""COMPUTED_VALUE""")," 13317-506 ")</f>
        <v> 13317-506 </v>
      </c>
      <c r="R396" s="9">
        <f>IFERROR(__xludf.DUMMYFUNCTION("SPLIT($K396,"" "","""")"),-2.3256466E7)</f>
        <v>-23256466</v>
      </c>
      <c r="S396" s="9">
        <f>IFERROR(__xludf.DUMMYFUNCTION("""COMPUTED_VALUE"""),-4.7071555E7)</f>
        <v>-47071555</v>
      </c>
      <c r="T396" s="10">
        <v>3508405.0</v>
      </c>
      <c r="U39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13317-506 ', 'PK-20686', SYSDATE, 0, 'PK-20686', SYSDATE, 'Rua  Diamante  Vila Preciosa (Vilarejo)', 'Rua Diamante Vila Preciosa (Vilarejo)', ' Vila Preciosa (Vilarejo)', 'Rua', '3508405', 'Rua Diamante Vila Preciosa (Vilarejo)',' Vila Preciosa (Vilarejo)', '1', 'SP', '1', '-23256466', '-47071555', ' Vila Preciosa (Vilarejo)' </v>
      </c>
    </row>
    <row r="397" ht="15.75" customHeight="1">
      <c r="A397" s="12" t="s">
        <v>1232</v>
      </c>
      <c r="B397" s="13" t="s">
        <v>456</v>
      </c>
      <c r="C397" s="4" t="s">
        <v>10</v>
      </c>
      <c r="D397" s="13" t="s">
        <v>1233</v>
      </c>
      <c r="E397" s="6">
        <v>214.0</v>
      </c>
      <c r="F397" s="6" t="s">
        <v>12</v>
      </c>
      <c r="G397" s="3" t="s">
        <v>13</v>
      </c>
      <c r="H397" s="7" t="str">
        <f>IFERROR(__xludf.DUMMYFUNCTION("SPLIT(A395,""Rua"","""")"),"       Onze")</f>
        <v>       Onze</v>
      </c>
      <c r="J397" s="3" t="s">
        <v>1234</v>
      </c>
      <c r="K397" s="8" t="str">
        <f>IFERROR(__xludf.DUMMYFUNCTION("SPLIT($J397,""   "","""")"),"-23.246554 -47.063765")</f>
        <v>-23.246554 -47.063765</v>
      </c>
      <c r="L397" s="7" t="str">
        <f>IFERROR(__xludf.DUMMYFUNCTION("""COMPUTED_VALUE"""),"Rua")</f>
        <v>Rua</v>
      </c>
      <c r="M397" s="7" t="str">
        <f>IFERROR(__xludf.DUMMYFUNCTION("""COMPUTED_VALUE""")," Roraima")</f>
        <v> Roraima</v>
      </c>
      <c r="N397" s="7" t="str">
        <f>IFERROR(__xludf.DUMMYFUNCTION("""COMPUTED_VALUE""")," Jacaré")</f>
        <v> Jacaré</v>
      </c>
      <c r="O397" s="7" t="str">
        <f>IFERROR(__xludf.DUMMYFUNCTION("""COMPUTED_VALUE""")," Cabreúva")</f>
        <v> Cabreúva</v>
      </c>
      <c r="P397" s="7" t="str">
        <f>IFERROR(__xludf.DUMMYFUNCTION("""COMPUTED_VALUE"""),"SP")</f>
        <v>SP</v>
      </c>
      <c r="Q397" s="7" t="str">
        <f>IFERROR(__xludf.DUMMYFUNCTION("""COMPUTED_VALUE""")," 13318-046 ")</f>
        <v> 13318-046 </v>
      </c>
      <c r="R397" s="9">
        <f>IFERROR(__xludf.DUMMYFUNCTION("SPLIT($K397,"" "","""")"),-2.3246554E7)</f>
        <v>-23246554</v>
      </c>
      <c r="S397" s="9">
        <f>IFERROR(__xludf.DUMMYFUNCTION("""COMPUTED_VALUE"""),-4.7063765E7)</f>
        <v>-47063765</v>
      </c>
      <c r="T397" s="10">
        <v>3508405.0</v>
      </c>
      <c r="U39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13318-046 ', 'PK-20686', SYSDATE, 0, 'PK-20686', SYSDATE, 'Rua  Roraima  Jacaré', 'Rua Roraima Jacaré', ' Jacaré', 'Rua', '3508405', 'Rua Roraima Jacaré',' Jacaré', '1', 'SP', '1', '-23246554', '-47063765', ' Jacaré' </v>
      </c>
    </row>
    <row r="398" ht="15.75" customHeight="1">
      <c r="A398" s="4" t="s">
        <v>1235</v>
      </c>
      <c r="B398" s="5" t="s">
        <v>372</v>
      </c>
      <c r="C398" s="4" t="s">
        <v>10</v>
      </c>
      <c r="D398" s="5" t="s">
        <v>1236</v>
      </c>
      <c r="E398" s="6">
        <v>214.0</v>
      </c>
      <c r="F398" s="6" t="s">
        <v>12</v>
      </c>
      <c r="G398" s="3" t="s">
        <v>13</v>
      </c>
      <c r="H398" s="7" t="str">
        <f>IFERROR(__xludf.DUMMYFUNCTION("SPLIT(A396,""Rua"","""")"),"       Opala")</f>
        <v>       Opala</v>
      </c>
      <c r="J398" s="3" t="s">
        <v>1237</v>
      </c>
      <c r="K398" s="8" t="str">
        <f>IFERROR(__xludf.DUMMYFUNCTION("SPLIT($J398,""   "","""")"),"-23.307366 -47.133678")</f>
        <v>-23.307366 -47.133678</v>
      </c>
      <c r="L398" s="7" t="str">
        <f>IFERROR(__xludf.DUMMYFUNCTION("""COMPUTED_VALUE"""),"Rua")</f>
        <v>Rua</v>
      </c>
      <c r="M398" s="7" t="str">
        <f>IFERROR(__xludf.DUMMYFUNCTION("""COMPUTED_VALUE""")," Sudão")</f>
        <v> Sudão</v>
      </c>
      <c r="N398" s="7" t="str">
        <f>IFERROR(__xludf.DUMMYFUNCTION("""COMPUTED_VALUE""")," Jardim Residencial Bela Vista (Vilarejo)")</f>
        <v> Jardim Residencial Bela Vista (Vilarejo)</v>
      </c>
      <c r="O398" s="7" t="str">
        <f>IFERROR(__xludf.DUMMYFUNCTION("""COMPUTED_VALUE""")," Cabreúva")</f>
        <v> Cabreúva</v>
      </c>
      <c r="P398" s="7" t="str">
        <f>IFERROR(__xludf.DUMMYFUNCTION("""COMPUTED_VALUE"""),"SP")</f>
        <v>SP</v>
      </c>
      <c r="Q398" s="7" t="str">
        <f>IFERROR(__xludf.DUMMYFUNCTION("""COMPUTED_VALUE""")," 13317-732 ")</f>
        <v> 13317-732 </v>
      </c>
      <c r="R398" s="9">
        <f>IFERROR(__xludf.DUMMYFUNCTION("SPLIT($K398,"" "","""")"),-2.3307366E7)</f>
        <v>-23307366</v>
      </c>
      <c r="S398" s="9">
        <f>IFERROR(__xludf.DUMMYFUNCTION("""COMPUTED_VALUE"""),-4.7133678E7)</f>
        <v>-47133678</v>
      </c>
      <c r="T398" s="10">
        <v>3508405.0</v>
      </c>
      <c r="U39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13317-732 ', 'PK-20686', SYSDATE, 0, 'PK-20686', SYSDATE, 'Rua  Sudão  Jardim Residencial Bela Vista (Vilarejo)', 'Rua Sudão Jardim Residencial Bela Vista (Vilarejo)', ' Jardim Residencial Bela Vista (Vilarejo)', 'Rua', '3508405', 'Rua Sudão Jardim Residencial Bela Vista (Vilarejo)',' Jardim Residencial Bela Vista (Vilarejo)', '1', 'SP', '1', '-23307366', '-47133678', ' Jardim Residencial Bela Vista (Vilarejo)' </v>
      </c>
    </row>
    <row r="399" ht="15.75" customHeight="1">
      <c r="A399" s="4" t="s">
        <v>1238</v>
      </c>
      <c r="B399" s="5" t="s">
        <v>973</v>
      </c>
      <c r="C399" s="4" t="s">
        <v>10</v>
      </c>
      <c r="D399" s="5" t="s">
        <v>1239</v>
      </c>
      <c r="E399" s="6">
        <v>214.0</v>
      </c>
      <c r="F399" s="6" t="s">
        <v>12</v>
      </c>
      <c r="G399" s="3" t="s">
        <v>13</v>
      </c>
      <c r="H399" s="7" t="str">
        <f>IFERROR(__xludf.DUMMYFUNCTION("SPLIT(A397,""Rua"","""")"),"       Oscar Vilela")</f>
        <v>       Oscar Vilela</v>
      </c>
      <c r="J399" s="3" t="s">
        <v>1240</v>
      </c>
      <c r="K399" s="8" t="str">
        <f>IFERROR(__xludf.DUMMYFUNCTION("SPLIT($J399,""   "","""")"),"-23.797738 -46.914636")</f>
        <v>-23.797738 -46.914636</v>
      </c>
      <c r="L399" s="7" t="str">
        <f>IFERROR(__xludf.DUMMYFUNCTION("""COMPUTED_VALUE"""),"Rua")</f>
        <v>Rua</v>
      </c>
      <c r="M399" s="7" t="str">
        <f>IFERROR(__xludf.DUMMYFUNCTION("""COMPUTED_VALUE""")," Campinas")</f>
        <v> Campinas</v>
      </c>
      <c r="N399" s="7" t="str">
        <f>IFERROR(__xludf.DUMMYFUNCTION("""COMPUTED_VALUE""")," Nova Cabreúva (Centro)")</f>
        <v> Nova Cabreúva (Centro)</v>
      </c>
      <c r="O399" s="7" t="str">
        <f>IFERROR(__xludf.DUMMYFUNCTION("""COMPUTED_VALUE""")," Cabreúva")</f>
        <v> Cabreúva</v>
      </c>
      <c r="P399" s="7" t="str">
        <f>IFERROR(__xludf.DUMMYFUNCTION("""COMPUTED_VALUE"""),"SP")</f>
        <v>SP</v>
      </c>
      <c r="Q399" s="7" t="str">
        <f>IFERROR(__xludf.DUMMYFUNCTION("""COMPUTED_VALUE""")," 13315-116 ")</f>
        <v> 13315-116 </v>
      </c>
      <c r="R399" s="9">
        <f>IFERROR(__xludf.DUMMYFUNCTION("SPLIT($K399,"" "","""")"),-2.3797738E7)</f>
        <v>-23797738</v>
      </c>
      <c r="S399" s="9">
        <f>IFERROR(__xludf.DUMMYFUNCTION("""COMPUTED_VALUE"""),-4.6914636E7)</f>
        <v>-46914636</v>
      </c>
      <c r="T399" s="10">
        <v>3508405.0</v>
      </c>
      <c r="U39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13315-116 ', 'PK-20686', SYSDATE, 0, 'PK-20686', SYSDATE, 'Rua  Campinas  Nova Cabreúva (Centro)', 'Rua Campinas Nova Cabreúva (Centro)', ' Nova Cabreúva (Centro)', 'Rua', '3508405', 'Rua Campinas Nova Cabreúva (Centro)',' Nova Cabreúva (Centro)', '1', 'SP', '1', '-23797738', '-46914636', ' Nova Cabreúva (Centro)' </v>
      </c>
    </row>
    <row r="400" ht="15.75" hidden="1" customHeight="1">
      <c r="A400" s="4" t="s">
        <v>1241</v>
      </c>
      <c r="B400" s="5" t="s">
        <v>1131</v>
      </c>
      <c r="C400" s="4" t="s">
        <v>10</v>
      </c>
      <c r="D400" s="5" t="s">
        <v>1242</v>
      </c>
      <c r="E400" s="6">
        <v>214.0</v>
      </c>
      <c r="F400" s="6" t="s">
        <v>12</v>
      </c>
      <c r="G400" s="3" t="s">
        <v>13</v>
      </c>
      <c r="H400" s="7" t="str">
        <f>IFERROR(__xludf.DUMMYFUNCTION("SPLIT(A398,""Rua"","""")"),"       Otília Iansen Castaldi")</f>
        <v>       Otília Iansen Castaldi</v>
      </c>
      <c r="J400" s="3" t="s">
        <v>1243</v>
      </c>
      <c r="K400" s="8" t="str">
        <f>IFERROR(__xludf.DUMMYFUNCTION("SPLIT($J400,""   "","""")"),"-23.287013 -47.057783")</f>
        <v>-23.287013 -47.057783</v>
      </c>
      <c r="L400" s="7" t="str">
        <f>IFERROR(__xludf.DUMMYFUNCTION("""COMPUTED_VALUE"""),"Praça")</f>
        <v>Praça</v>
      </c>
      <c r="M400" s="7" t="str">
        <f>IFERROR(__xludf.DUMMYFUNCTION("""COMPUTED_VALUE""")," Guerino Malvezzi")</f>
        <v> Guerino Malvezzi</v>
      </c>
      <c r="N400" s="7" t="str">
        <f>IFERROR(__xludf.DUMMYFUNCTION("""COMPUTED_VALUE""")," Bonfim")</f>
        <v> Bonfim</v>
      </c>
      <c r="O400" s="7" t="str">
        <f>IFERROR(__xludf.DUMMYFUNCTION("""COMPUTED_VALUE""")," Cabreúva")</f>
        <v> Cabreúva</v>
      </c>
      <c r="P400" s="7" t="str">
        <f>IFERROR(__xludf.DUMMYFUNCTION("""COMPUTED_VALUE"""),"SP")</f>
        <v>SP</v>
      </c>
      <c r="Q400" s="7" t="str">
        <f>IFERROR(__xludf.DUMMYFUNCTION("""COMPUTED_VALUE""")," 13319-002 ")</f>
        <v> 13319-002 </v>
      </c>
      <c r="R400" s="9">
        <f>IFERROR(__xludf.DUMMYFUNCTION("SPLIT($K400,"" "","""")"),-2.3287013E7)</f>
        <v>-23287013</v>
      </c>
      <c r="S400" s="9">
        <f>IFERROR(__xludf.DUMMYFUNCTION("""COMPUTED_VALUE"""),-4.7057783E7)</f>
        <v>-47057783</v>
      </c>
      <c r="T400" s="10">
        <v>3508405.0</v>
      </c>
      <c r="U40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13319-002 ', 'PK-20686', SYSDATE, 0, 'PK-20686', SYSDATE, 'Praça  Guerino Malvezzi  Bonfim', 'Praça Guerino Malvezzi Bonfim', ' Bonfim', 'Praça', '3508405', 'Praça Guerino Malvezzi Bonfim',' Bonfim', '1', 'SP', '1', '-23287013', '-47057783', ' Bonfim' </v>
      </c>
    </row>
    <row r="401" ht="15.75" customHeight="1">
      <c r="A401" s="4" t="s">
        <v>1244</v>
      </c>
      <c r="B401" s="5" t="s">
        <v>24</v>
      </c>
      <c r="C401" s="4" t="s">
        <v>10</v>
      </c>
      <c r="D401" s="5" t="s">
        <v>1245</v>
      </c>
      <c r="E401" s="6">
        <v>214.0</v>
      </c>
      <c r="F401" s="6" t="s">
        <v>12</v>
      </c>
      <c r="G401" s="3" t="s">
        <v>13</v>
      </c>
      <c r="H401" s="7" t="str">
        <f>IFERROR(__xludf.DUMMYFUNCTION("SPLIT(A399,""Rua"","""")"),"       Otoni Rodrigues da Silveira")</f>
        <v>       Otoni Rodrigues da Silveira</v>
      </c>
      <c r="J401" s="3" t="s">
        <v>1246</v>
      </c>
      <c r="K401" s="8" t="str">
        <f>IFERROR(__xludf.DUMMYFUNCTION("SPLIT($J401,""   "","""")"),"-23.307352 -47.133709")</f>
        <v>-23.307352 -47.133709</v>
      </c>
      <c r="L401" s="7" t="str">
        <f>IFERROR(__xludf.DUMMYFUNCTION("""COMPUTED_VALUE"""),"Rua")</f>
        <v>Rua</v>
      </c>
      <c r="M401" s="7" t="str">
        <f>IFERROR(__xludf.DUMMYFUNCTION("""COMPUTED_VALUE""")," Floriano Peixoto")</f>
        <v> Floriano Peixoto</v>
      </c>
      <c r="N401" s="7" t="str">
        <f>IFERROR(__xludf.DUMMYFUNCTION("""COMPUTED_VALUE""")," Centro")</f>
        <v> Centro</v>
      </c>
      <c r="O401" s="7" t="str">
        <f>IFERROR(__xludf.DUMMYFUNCTION("""COMPUTED_VALUE""")," Cabreúva")</f>
        <v> Cabreúva</v>
      </c>
      <c r="P401" s="7" t="str">
        <f>IFERROR(__xludf.DUMMYFUNCTION("""COMPUTED_VALUE"""),"SP")</f>
        <v>SP</v>
      </c>
      <c r="Q401" s="7" t="str">
        <f>IFERROR(__xludf.DUMMYFUNCTION("""COMPUTED_VALUE""")," 13315-027 ")</f>
        <v> 13315-027 </v>
      </c>
      <c r="R401" s="9">
        <f>IFERROR(__xludf.DUMMYFUNCTION("SPLIT($K401,"" "","""")"),-2.3307352E7)</f>
        <v>-23307352</v>
      </c>
      <c r="S401" s="9">
        <f>IFERROR(__xludf.DUMMYFUNCTION("""COMPUTED_VALUE"""),-4.7133709E7)</f>
        <v>-47133709</v>
      </c>
      <c r="T401" s="10">
        <v>3508405.0</v>
      </c>
      <c r="U40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13315-027 ', 'PK-20686', SYSDATE, 0, 'PK-20686', SYSDATE, 'Rua  Floriano Peixoto  Centro', 'Rua Floriano Peixoto Centro', ' Centro', 'Rua', '3508405', 'Rua Floriano Peixoto Centro',' Centro', '1', 'SP', '1', '-23307352', '-47133709', ' Centro' </v>
      </c>
    </row>
    <row r="402" ht="15.75" hidden="1" customHeight="1">
      <c r="A402" s="4" t="s">
        <v>1247</v>
      </c>
      <c r="B402" s="5" t="s">
        <v>190</v>
      </c>
      <c r="C402" s="4" t="s">
        <v>10</v>
      </c>
      <c r="D402" s="5" t="s">
        <v>1248</v>
      </c>
      <c r="E402" s="6">
        <v>214.0</v>
      </c>
      <c r="F402" s="6" t="s">
        <v>12</v>
      </c>
      <c r="G402" s="3" t="s">
        <v>13</v>
      </c>
      <c r="H402" s="7" t="str">
        <f>IFERROR(__xludf.DUMMYFUNCTION("SPLIT(A400,""Rua"","""")"),"       Ouro Preto")</f>
        <v>       Ouro Preto</v>
      </c>
      <c r="J402" s="3" t="s">
        <v>1249</v>
      </c>
      <c r="K402" s="8" t="str">
        <f>IFERROR(__xludf.DUMMYFUNCTION("SPLIT($J402,""   "","""")"),"-23.257478 -47.081487")</f>
        <v>-23.257478 -47.081487</v>
      </c>
      <c r="L402" s="7" t="str">
        <f>IFERROR(__xludf.DUMMYFUNCTION("""COMPUTED_VALUE"""),"Estrada")</f>
        <v>Estrada</v>
      </c>
      <c r="M402" s="7" t="str">
        <f>IFERROR(__xludf.DUMMYFUNCTION("""COMPUTED_VALUE""")," do Quito Gordo")</f>
        <v> do Quito Gordo</v>
      </c>
      <c r="N402" s="7" t="str">
        <f>IFERROR(__xludf.DUMMYFUNCTION("""COMPUTED_VALUE""")," Pinhal")</f>
        <v> Pinhal</v>
      </c>
      <c r="O402" s="7" t="str">
        <f>IFERROR(__xludf.DUMMYFUNCTION("""COMPUTED_VALUE""")," Cabreúva")</f>
        <v> Cabreúva</v>
      </c>
      <c r="P402" s="7" t="str">
        <f>IFERROR(__xludf.DUMMYFUNCTION("""COMPUTED_VALUE"""),"SP")</f>
        <v>SP</v>
      </c>
      <c r="Q402" s="7" t="str">
        <f>IFERROR(__xludf.DUMMYFUNCTION("""COMPUTED_VALUE""")," 13317-274 ")</f>
        <v> 13317-274 </v>
      </c>
      <c r="R402" s="9">
        <f>IFERROR(__xludf.DUMMYFUNCTION("SPLIT($K402,"" "","""")"),-2.3257478E7)</f>
        <v>-23257478</v>
      </c>
      <c r="S402" s="9">
        <f>IFERROR(__xludf.DUMMYFUNCTION("""COMPUTED_VALUE"""),-4.7081487E7)</f>
        <v>-47081487</v>
      </c>
      <c r="T402" s="10">
        <v>3508405.0</v>
      </c>
      <c r="U40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13317-274 ', 'PK-20686', SYSDATE, 0, 'PK-20686', SYSDATE, 'Estrada  do Quito Gordo  Pinhal', 'Estrada do Quito Gordo Pinhal', ' Pinhal', 'Estrada', '3508405', 'Estrada do Quito Gordo Pinhal',' Pinhal', '1', 'SP', '1', '-23257478', '-47081487', ' Pinhal' </v>
      </c>
    </row>
    <row r="403" ht="15.75" customHeight="1">
      <c r="A403" s="4" t="s">
        <v>1250</v>
      </c>
      <c r="B403" s="5" t="s">
        <v>24</v>
      </c>
      <c r="C403" s="4" t="s">
        <v>10</v>
      </c>
      <c r="D403" s="5" t="s">
        <v>1251</v>
      </c>
      <c r="E403" s="6">
        <v>214.0</v>
      </c>
      <c r="F403" s="6" t="s">
        <v>12</v>
      </c>
      <c r="G403" s="3" t="s">
        <v>13</v>
      </c>
      <c r="H403" s="7" t="str">
        <f>IFERROR(__xludf.DUMMYFUNCTION("SPLIT(A401,""Rua"","""")"),"       Pará")</f>
        <v>       Pará</v>
      </c>
      <c r="J403" s="3" t="s">
        <v>1252</v>
      </c>
      <c r="K403" s="8" t="str">
        <f>IFERROR(__xludf.DUMMYFUNCTION("SPLIT($J403,""   "","""")"),"-23.306537 -47.132059")</f>
        <v>-23.306537 -47.132059</v>
      </c>
      <c r="L403" s="7" t="str">
        <f>IFERROR(__xludf.DUMMYFUNCTION("""COMPUTED_VALUE"""),"Rua")</f>
        <v>Rua</v>
      </c>
      <c r="M403" s="7" t="str">
        <f>IFERROR(__xludf.DUMMYFUNCTION("""COMPUTED_VALUE""")," Benevenuto Faccioli")</f>
        <v> Benevenuto Faccioli</v>
      </c>
      <c r="N403" s="7" t="str">
        <f>IFERROR(__xludf.DUMMYFUNCTION("""COMPUTED_VALUE""")," Centro")</f>
        <v> Centro</v>
      </c>
      <c r="O403" s="7" t="str">
        <f>IFERROR(__xludf.DUMMYFUNCTION("""COMPUTED_VALUE""")," Cabreúva")</f>
        <v> Cabreúva</v>
      </c>
      <c r="P403" s="7" t="str">
        <f>IFERROR(__xludf.DUMMYFUNCTION("""COMPUTED_VALUE"""),"SP")</f>
        <v>SP</v>
      </c>
      <c r="Q403" s="7" t="str">
        <f>IFERROR(__xludf.DUMMYFUNCTION("""COMPUTED_VALUE""")," 13315-031 ")</f>
        <v> 13315-031 </v>
      </c>
      <c r="R403" s="9">
        <f>IFERROR(__xludf.DUMMYFUNCTION("SPLIT($K403,"" "","""")"),-2.3306537E7)</f>
        <v>-23306537</v>
      </c>
      <c r="S403" s="9">
        <f>IFERROR(__xludf.DUMMYFUNCTION("""COMPUTED_VALUE"""),-4.7132059E7)</f>
        <v>-47132059</v>
      </c>
      <c r="T403" s="10">
        <v>3508405.0</v>
      </c>
      <c r="U40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13315-031 ', 'PK-20686', SYSDATE, 0, 'PK-20686', SYSDATE, 'Rua  Benevenuto Faccioli  Centro', 'Rua Benevenuto Faccioli Centro', ' Centro', 'Rua', '3508405', 'Rua Benevenuto Faccioli Centro',' Centro', '1', 'SP', '1', '-23306537', '-47132059', ' Centro' </v>
      </c>
    </row>
    <row r="404" ht="15.75" customHeight="1">
      <c r="A404" s="4" t="s">
        <v>1253</v>
      </c>
      <c r="B404" s="5" t="s">
        <v>223</v>
      </c>
      <c r="C404" s="4" t="s">
        <v>10</v>
      </c>
      <c r="D404" s="5" t="s">
        <v>1254</v>
      </c>
      <c r="E404" s="6">
        <v>214.0</v>
      </c>
      <c r="F404" s="6" t="s">
        <v>12</v>
      </c>
      <c r="G404" s="3" t="s">
        <v>13</v>
      </c>
      <c r="H404" s="7" t="str">
        <f>IFERROR(__xludf.DUMMYFUNCTION("SPLIT(A402,""Rua"","""")"),"       Paraguai")</f>
        <v>       Paraguai</v>
      </c>
      <c r="J404" s="3" t="s">
        <v>1255</v>
      </c>
      <c r="K404" s="8" t="str">
        <f>IFERROR(__xludf.DUMMYFUNCTION("SPLIT($J404,""   "","""")"),"-23.307366 -47.133678")</f>
        <v>-23.307366 -47.133678</v>
      </c>
      <c r="L404" s="7" t="str">
        <f>IFERROR(__xludf.DUMMYFUNCTION("""COMPUTED_VALUE"""),"Rua")</f>
        <v>Rua</v>
      </c>
      <c r="M404" s="7" t="str">
        <f>IFERROR(__xludf.DUMMYFUNCTION("""COMPUTED_VALUE""")," Doze")</f>
        <v> Doze</v>
      </c>
      <c r="N404" s="7" t="str">
        <f>IFERROR(__xludf.DUMMYFUNCTION("""COMPUTED_VALUE""")," Alpes do Tietê")</f>
        <v> Alpes do Tietê</v>
      </c>
      <c r="O404" s="7" t="str">
        <f>IFERROR(__xludf.DUMMYFUNCTION("""COMPUTED_VALUE""")," Cabreúva")</f>
        <v> Cabreúva</v>
      </c>
      <c r="P404" s="7" t="str">
        <f>IFERROR(__xludf.DUMMYFUNCTION("""COMPUTED_VALUE"""),"SP")</f>
        <v>SP</v>
      </c>
      <c r="Q404" s="7" t="str">
        <f>IFERROR(__xludf.DUMMYFUNCTION("""COMPUTED_VALUE""")," 13316-611 ")</f>
        <v> 13316-611 </v>
      </c>
      <c r="R404" s="9">
        <f>IFERROR(__xludf.DUMMYFUNCTION("SPLIT($K404,"" "","""")"),-2.3307366E7)</f>
        <v>-23307366</v>
      </c>
      <c r="S404" s="9">
        <f>IFERROR(__xludf.DUMMYFUNCTION("""COMPUTED_VALUE"""),-4.7133678E7)</f>
        <v>-47133678</v>
      </c>
      <c r="T404" s="10">
        <v>3508405.0</v>
      </c>
      <c r="U40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13316-611 ', 'PK-20686', SYSDATE, 0, 'PK-20686', SYSDATE, 'Rua  Doze  Alpes do Tietê', 'Rua Doze Alpes do Tietê', ' Alpes do Tietê', 'Rua', '3508405', 'Rua Doze Alpes do Tietê',' Alpes do Tietê', '1', 'SP', '1', '-23307366', '-47133678', ' Alpes do Tietê' </v>
      </c>
    </row>
    <row r="405" ht="15.75" customHeight="1">
      <c r="A405" s="4" t="s">
        <v>1256</v>
      </c>
      <c r="B405" s="5" t="s">
        <v>132</v>
      </c>
      <c r="C405" s="4" t="s">
        <v>10</v>
      </c>
      <c r="D405" s="5" t="s">
        <v>1257</v>
      </c>
      <c r="E405" s="6">
        <v>214.0</v>
      </c>
      <c r="F405" s="6" t="s">
        <v>12</v>
      </c>
      <c r="G405" s="3" t="s">
        <v>13</v>
      </c>
      <c r="H405" s="7" t="str">
        <f>IFERROR(__xludf.DUMMYFUNCTION("SPLIT(A403,""Rua"","""")"),"       Paraíba")</f>
        <v>       Paraíba</v>
      </c>
      <c r="J405" s="3" t="s">
        <v>1258</v>
      </c>
      <c r="K405" s="8" t="str">
        <f>IFERROR(__xludf.DUMMYFUNCTION("SPLIT($J405,""   "","""")"),"-23.256486 -47.057136")</f>
        <v>-23.256486 -47.057136</v>
      </c>
      <c r="L405" s="7" t="str">
        <f>IFERROR(__xludf.DUMMYFUNCTION("""COMPUTED_VALUE"""),"Rua")</f>
        <v>Rua</v>
      </c>
      <c r="M405" s="7" t="str">
        <f>IFERROR(__xludf.DUMMYFUNCTION("""COMPUTED_VALUE""")," Sabará")</f>
        <v> Sabará</v>
      </c>
      <c r="N405" s="7" t="str">
        <f>IFERROR(__xludf.DUMMYFUNCTION("""COMPUTED_VALUE""")," Parque Santo Antônio (Jacaré)")</f>
        <v> Parque Santo Antônio (Jacaré)</v>
      </c>
      <c r="O405" s="7" t="str">
        <f>IFERROR(__xludf.DUMMYFUNCTION("""COMPUTED_VALUE""")," Cabreúva")</f>
        <v> Cabreúva</v>
      </c>
      <c r="P405" s="7" t="str">
        <f>IFERROR(__xludf.DUMMYFUNCTION("""COMPUTED_VALUE"""),"SP")</f>
        <v>SP</v>
      </c>
      <c r="Q405" s="7" t="str">
        <f>IFERROR(__xludf.DUMMYFUNCTION("""COMPUTED_VALUE""")," 13318-180 ")</f>
        <v> 13318-180 </v>
      </c>
      <c r="R405" s="9">
        <f>IFERROR(__xludf.DUMMYFUNCTION("SPLIT($K405,"" "","""")"),-2.3256486E7)</f>
        <v>-23256486</v>
      </c>
      <c r="S405" s="9">
        <f>IFERROR(__xludf.DUMMYFUNCTION("""COMPUTED_VALUE"""),-4.7057136E7)</f>
        <v>-47057136</v>
      </c>
      <c r="T405" s="10">
        <v>3508405.0</v>
      </c>
      <c r="U40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13318-180 ', 'PK-20686', SYSDATE, 0, 'PK-20686', SYSDATE, 'Rua  Sabará  Parque Santo Antônio (Jacaré)', 'Rua Sabará Parque Santo Antônio (Jacaré)', ' Parque Santo Antônio (Jacaré)', 'Rua', '3508405', 'Rua Sabará Parque Santo Antônio (Jacaré)',' Parque Santo Antônio (Jacaré)', '1', 'SP', '1', '-23256486', '-47057136', ' Parque Santo Antônio (Jacaré)' </v>
      </c>
    </row>
    <row r="406" ht="15.75" customHeight="1">
      <c r="A406" s="4" t="s">
        <v>1259</v>
      </c>
      <c r="B406" s="5" t="s">
        <v>164</v>
      </c>
      <c r="C406" s="4" t="s">
        <v>10</v>
      </c>
      <c r="D406" s="5" t="s">
        <v>1260</v>
      </c>
      <c r="E406" s="6">
        <v>214.0</v>
      </c>
      <c r="F406" s="6" t="s">
        <v>12</v>
      </c>
      <c r="G406" s="3" t="s">
        <v>13</v>
      </c>
      <c r="H406" s="7" t="str">
        <f>IFERROR(__xludf.DUMMYFUNCTION("SPLIT(A404,""Rua"","""")"),"       Particular")</f>
        <v>       Particular</v>
      </c>
      <c r="J406" s="3" t="s">
        <v>1261</v>
      </c>
      <c r="K406" s="8" t="str">
        <f>IFERROR(__xludf.DUMMYFUNCTION("SPLIT($J406,""   "","""")"),"-23.245041 -47.059686")</f>
        <v>-23.245041 -47.059686</v>
      </c>
      <c r="L406" s="7" t="str">
        <f>IFERROR(__xludf.DUMMYFUNCTION("""COMPUTED_VALUE"""),"Rua")</f>
        <v>Rua</v>
      </c>
      <c r="M406" s="7" t="str">
        <f>IFERROR(__xludf.DUMMYFUNCTION("""COMPUTED_VALUE""")," Braz Lopes Filho")</f>
        <v> Braz Lopes Filho</v>
      </c>
      <c r="N406" s="7" t="str">
        <f>IFERROR(__xludf.DUMMYFUNCTION("""COMPUTED_VALUE""")," Jacaré")</f>
        <v> Jacaré</v>
      </c>
      <c r="O406" s="7" t="str">
        <f>IFERROR(__xludf.DUMMYFUNCTION("""COMPUTED_VALUE""")," Cabreúva")</f>
        <v> Cabreúva</v>
      </c>
      <c r="P406" s="7" t="str">
        <f>IFERROR(__xludf.DUMMYFUNCTION("""COMPUTED_VALUE"""),"SP")</f>
        <v>SP</v>
      </c>
      <c r="Q406" s="7" t="str">
        <f>IFERROR(__xludf.DUMMYFUNCTION("""COMPUTED_VALUE""")," 13318-078 ")</f>
        <v> 13318-078 </v>
      </c>
      <c r="R406" s="9">
        <f>IFERROR(__xludf.DUMMYFUNCTION("SPLIT($K406,"" "","""")"),-2.3245041E7)</f>
        <v>-23245041</v>
      </c>
      <c r="S406" s="9">
        <f>IFERROR(__xludf.DUMMYFUNCTION("""COMPUTED_VALUE"""),-4.7059686E7)</f>
        <v>-47059686</v>
      </c>
      <c r="T406" s="10">
        <v>3508405.0</v>
      </c>
      <c r="U40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13318-078 ', 'PK-20686', SYSDATE, 0, 'PK-20686', SYSDATE, 'Rua  Braz Lopes Filho  Jacaré', 'Rua Braz Lopes Filho Jacaré', ' Jacaré', 'Rua', '3508405', 'Rua Braz Lopes Filho Jacaré',' Jacaré', '1', 'SP', '1', '-23245041', '-47059686', ' Jacaré' </v>
      </c>
    </row>
    <row r="407" ht="15.75" hidden="1" customHeight="1">
      <c r="A407" s="4" t="s">
        <v>1262</v>
      </c>
      <c r="B407" s="5" t="s">
        <v>223</v>
      </c>
      <c r="C407" s="4" t="s">
        <v>10</v>
      </c>
      <c r="D407" s="5" t="s">
        <v>1263</v>
      </c>
      <c r="E407" s="6">
        <v>214.0</v>
      </c>
      <c r="F407" s="6" t="s">
        <v>12</v>
      </c>
      <c r="G407" s="3" t="s">
        <v>13</v>
      </c>
      <c r="H407" s="7" t="str">
        <f>IFERROR(__xludf.DUMMYFUNCTION("SPLIT(A405,""Rua"","""")"),"       Paulo Emmanoelli")</f>
        <v>       Paulo Emmanoelli</v>
      </c>
      <c r="J407" s="3" t="s">
        <v>1264</v>
      </c>
      <c r="K407" s="8" t="str">
        <f>IFERROR(__xludf.DUMMYFUNCTION("SPLIT($J407,""   "","""")"),"-23.253074 -47.088722")</f>
        <v>-23.253074 -47.088722</v>
      </c>
      <c r="L407" s="7" t="str">
        <f>IFERROR(__xludf.DUMMYFUNCTION("""COMPUTED_VALUE"""),"Avenida")</f>
        <v>Avenida</v>
      </c>
      <c r="M407" s="7" t="str">
        <f>IFERROR(__xludf.DUMMYFUNCTION("""COMPUTED_VALUE""")," Portugal")</f>
        <v> Portugal</v>
      </c>
      <c r="N407" s="7" t="str">
        <f>IFERROR(__xludf.DUMMYFUNCTION("""COMPUTED_VALUE""")," Jardim das Paineiras (Pinhal)")</f>
        <v> Jardim das Paineiras (Pinhal)</v>
      </c>
      <c r="O407" s="7" t="str">
        <f>IFERROR(__xludf.DUMMYFUNCTION("""COMPUTED_VALUE""")," Cabreúva")</f>
        <v> Cabreúva</v>
      </c>
      <c r="P407" s="7" t="str">
        <f>IFERROR(__xludf.DUMMYFUNCTION("""COMPUTED_VALUE"""),"SP")</f>
        <v>SP</v>
      </c>
      <c r="Q407" s="7" t="str">
        <f>IFERROR(__xludf.DUMMYFUNCTION("""COMPUTED_VALUE""")," 13317-216 ")</f>
        <v> 13317-216 </v>
      </c>
      <c r="R407" s="9">
        <f>IFERROR(__xludf.DUMMYFUNCTION("SPLIT($K407,"" "","""")"),-2.3253074E7)</f>
        <v>-23253074</v>
      </c>
      <c r="S407" s="9">
        <f>IFERROR(__xludf.DUMMYFUNCTION("""COMPUTED_VALUE"""),-4.7088722E7)</f>
        <v>-47088722</v>
      </c>
      <c r="T407" s="10">
        <v>3508405.0</v>
      </c>
      <c r="U40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13317-216 ', 'PK-20686', SYSDATE, 0, 'PK-20686', SYSDATE, 'Avenida  Portugal  Jardim das Paineiras (Pinhal)', 'Avenida Portugal Jardim das Paineiras (Pinhal)', ' Jardim das Paineiras (Pinhal)', 'Avenida', '3508405', 'Avenida Portugal Jardim das Paineiras (Pinhal)',' Jardim das Paineiras (Pinhal)', '1', 'SP', '1', '-23253074', '-47088722', ' Jardim das Paineiras (Pinhal)' </v>
      </c>
    </row>
    <row r="408" ht="15.75" customHeight="1">
      <c r="A408" s="4" t="s">
        <v>1265</v>
      </c>
      <c r="B408" s="5" t="s">
        <v>223</v>
      </c>
      <c r="C408" s="4" t="s">
        <v>10</v>
      </c>
      <c r="D408" s="5" t="s">
        <v>1266</v>
      </c>
      <c r="E408" s="6">
        <v>214.0</v>
      </c>
      <c r="F408" s="6" t="s">
        <v>12</v>
      </c>
      <c r="G408" s="3" t="s">
        <v>13</v>
      </c>
      <c r="H408" s="7" t="str">
        <f>IFERROR(__xludf.DUMMYFUNCTION("SPLIT(A406,""Rua"","""")"),"       Paulo Takohei Yokoyama")</f>
        <v>       Paulo Takohei Yokoyama</v>
      </c>
      <c r="J408" s="3" t="s">
        <v>1267</v>
      </c>
      <c r="K408" s="8" t="str">
        <f>IFERROR(__xludf.DUMMYFUNCTION("SPLIT($J408,""   "","""")"),"-23.245618 -47.064924")</f>
        <v>-23.245618 -47.064924</v>
      </c>
      <c r="L408" s="7" t="str">
        <f>IFERROR(__xludf.DUMMYFUNCTION("""COMPUTED_VALUE"""),"Rua")</f>
        <v>Rua</v>
      </c>
      <c r="M408" s="7" t="str">
        <f>IFERROR(__xludf.DUMMYFUNCTION("""COMPUTED_VALUE""")," Um")</f>
        <v> Um</v>
      </c>
      <c r="N408" s="7" t="str">
        <f>IFERROR(__xludf.DUMMYFUNCTION("""COMPUTED_VALUE""")," Residencial Haras Pindorama II (Jacaré)")</f>
        <v> Residencial Haras Pindorama II (Jacaré)</v>
      </c>
      <c r="O408" s="7" t="str">
        <f>IFERROR(__xludf.DUMMYFUNCTION("""COMPUTED_VALUE""")," Cabreúva")</f>
        <v> Cabreúva</v>
      </c>
      <c r="P408" s="7" t="str">
        <f>IFERROR(__xludf.DUMMYFUNCTION("""COMPUTED_VALUE"""),"SP")</f>
        <v>SP</v>
      </c>
      <c r="Q408" s="7" t="str">
        <f>IFERROR(__xludf.DUMMYFUNCTION("""COMPUTED_VALUE""")," 13318-409 ")</f>
        <v> 13318-409 </v>
      </c>
      <c r="R408" s="9">
        <f>IFERROR(__xludf.DUMMYFUNCTION("SPLIT($K408,"" "","""")"),-2.3245618E7)</f>
        <v>-23245618</v>
      </c>
      <c r="S408" s="9">
        <f>IFERROR(__xludf.DUMMYFUNCTION("""COMPUTED_VALUE"""),-4.7064924E7)</f>
        <v>-47064924</v>
      </c>
      <c r="T408" s="10">
        <v>3508405.0</v>
      </c>
      <c r="U40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13318-409 ', 'PK-20686', SYSDATE, 0, 'PK-20686', SYSDATE, 'Rua  Um  Residencial Haras Pindorama II (Jacaré)', 'Rua Um Residencial Haras Pindorama II (Jacaré)', ' Residencial Haras Pindorama II (Jacaré)', 'Rua', '3508405', 'Rua Um Residencial Haras Pindorama II (Jacaré)',' Residencial Haras Pindorama II (Jacaré)', '1', 'SP', '1', '-23245618', '-47064924', ' Residencial Haras Pindorama II (Jacaré)' </v>
      </c>
    </row>
    <row r="409" ht="15.75" hidden="1" customHeight="1">
      <c r="A409" s="4" t="s">
        <v>1268</v>
      </c>
      <c r="B409" s="5" t="s">
        <v>973</v>
      </c>
      <c r="C409" s="4" t="s">
        <v>10</v>
      </c>
      <c r="D409" s="5" t="s">
        <v>1269</v>
      </c>
      <c r="E409" s="6">
        <v>214.0</v>
      </c>
      <c r="F409" s="6" t="s">
        <v>12</v>
      </c>
      <c r="G409" s="3" t="s">
        <v>13</v>
      </c>
      <c r="H409" s="7" t="str">
        <f>IFERROR(__xludf.DUMMYFUNCTION("SPLIT(A407,""Rua"","""")"),"       Pedro Federsoni")</f>
        <v>       Pedro Federsoni</v>
      </c>
      <c r="J409" s="3" t="s">
        <v>1270</v>
      </c>
      <c r="K409" s="8" t="str">
        <f>IFERROR(__xludf.DUMMYFUNCTION("SPLIT($J409,""   "","""")"),"-23.252397 -47.051543")</f>
        <v>-23.252397 -47.051543</v>
      </c>
      <c r="L409" s="7" t="str">
        <f>IFERROR(__xludf.DUMMYFUNCTION("""COMPUTED_VALUE"""),"Alameda")</f>
        <v>Alameda</v>
      </c>
      <c r="M409" s="7" t="str">
        <f>IFERROR(__xludf.DUMMYFUNCTION("""COMPUTED_VALUE""")," das Palmeiras")</f>
        <v> das Palmeiras</v>
      </c>
      <c r="N409" s="7" t="str">
        <f>IFERROR(__xludf.DUMMYFUNCTION("""COMPUTED_VALUE""")," Portal da Concórdia (Jacaré)")</f>
        <v> Portal da Concórdia (Jacaré)</v>
      </c>
      <c r="O409" s="7" t="str">
        <f>IFERROR(__xludf.DUMMYFUNCTION("""COMPUTED_VALUE""")," Cabreúva")</f>
        <v> Cabreúva</v>
      </c>
      <c r="P409" s="7" t="str">
        <f>IFERROR(__xludf.DUMMYFUNCTION("""COMPUTED_VALUE"""),"SP")</f>
        <v>SP</v>
      </c>
      <c r="Q409" s="7" t="str">
        <f>IFERROR(__xludf.DUMMYFUNCTION("""COMPUTED_VALUE""")," 13318-330 ")</f>
        <v> 13318-330 </v>
      </c>
      <c r="R409" s="9">
        <f>IFERROR(__xludf.DUMMYFUNCTION("SPLIT($K409,"" "","""")"),-2.3252397E7)</f>
        <v>-23252397</v>
      </c>
      <c r="S409" s="9">
        <f>IFERROR(__xludf.DUMMYFUNCTION("""COMPUTED_VALUE"""),-4.7051543E7)</f>
        <v>-47051543</v>
      </c>
      <c r="T409" s="10">
        <v>3508405.0</v>
      </c>
      <c r="U40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13318-330 ', 'PK-20686', SYSDATE, 0, 'PK-20686', SYSDATE, 'Alameda  das Palmeiras  Portal da Concórdia (Jacaré)', 'Alameda das Palmeiras Portal da Concórdia (Jacaré)', ' Portal da Concórdia (Jacaré)', 'Alameda', '3508405', 'Alameda das Palmeiras Portal da Concórdia (Jacaré)',' Portal da Concórdia (Jacaré)', '1', 'SP', '1', '-23252397', '-47051543', ' Portal da Concórdia (Jacaré)' </v>
      </c>
    </row>
    <row r="410" ht="15.75" customHeight="1">
      <c r="A410" s="4" t="s">
        <v>1271</v>
      </c>
      <c r="B410" s="5" t="s">
        <v>24</v>
      </c>
      <c r="C410" s="4" t="s">
        <v>10</v>
      </c>
      <c r="D410" s="5" t="s">
        <v>1272</v>
      </c>
      <c r="E410" s="6">
        <v>214.0</v>
      </c>
      <c r="F410" s="6" t="s">
        <v>12</v>
      </c>
      <c r="G410" s="3" t="s">
        <v>13</v>
      </c>
      <c r="H410" s="7" t="str">
        <f>IFERROR(__xludf.DUMMYFUNCTION("SPLIT(A408,""Rua"","""")"),"       Pedro Federsoni    225
AGC Bonfim do Bom Jesus")</f>
        <v>       Pedro Federsoni    225
AGC Bonfim do Bom Jesus</v>
      </c>
      <c r="J410" s="3" t="s">
        <v>1273</v>
      </c>
      <c r="K410" s="8" t="str">
        <f>IFERROR(__xludf.DUMMYFUNCTION("SPLIT($J410,""   "","""")"),"-23.797738 -46.914636")</f>
        <v>-23.797738 -46.914636</v>
      </c>
      <c r="L410" s="7" t="str">
        <f>IFERROR(__xludf.DUMMYFUNCTION("""COMPUTED_VALUE"""),"Rua")</f>
        <v>Rua</v>
      </c>
      <c r="M410" s="7" t="str">
        <f>IFERROR(__xludf.DUMMYFUNCTION("""COMPUTED_VALUE""")," José Fermiano")</f>
        <v> José Fermiano</v>
      </c>
      <c r="N410" s="7" t="str">
        <f>IFERROR(__xludf.DUMMYFUNCTION("""COMPUTED_VALUE""")," Jacaré")</f>
        <v> Jacaré</v>
      </c>
      <c r="O410" s="7" t="str">
        <f>IFERROR(__xludf.DUMMYFUNCTION("""COMPUTED_VALUE""")," Cabreúva")</f>
        <v> Cabreúva</v>
      </c>
      <c r="P410" s="7" t="str">
        <f>IFERROR(__xludf.DUMMYFUNCTION("""COMPUTED_VALUE"""),"SP")</f>
        <v>SP</v>
      </c>
      <c r="Q410" s="7" t="str">
        <f>IFERROR(__xludf.DUMMYFUNCTION("""COMPUTED_VALUE""")," 13318-116 ")</f>
        <v> 13318-116 </v>
      </c>
      <c r="R410" s="9">
        <f>IFERROR(__xludf.DUMMYFUNCTION("SPLIT($K410,"" "","""")"),-2.3797738E7)</f>
        <v>-23797738</v>
      </c>
      <c r="S410" s="9">
        <f>IFERROR(__xludf.DUMMYFUNCTION("""COMPUTED_VALUE"""),-4.6914636E7)</f>
        <v>-46914636</v>
      </c>
      <c r="T410" s="10">
        <v>3508405.0</v>
      </c>
      <c r="U41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13318-116 ', 'PK-20686', SYSDATE, 0, 'PK-20686', SYSDATE, 'Rua  José Fermiano  Jacaré', 'Rua José Fermiano Jacaré', ' Jacaré', 'Rua', '3508405', 'Rua José Fermiano Jacaré',' Jacaré', '1', 'SP', '1', '-23797738', '-46914636', ' Jacaré' </v>
      </c>
    </row>
    <row r="411" ht="15.75" customHeight="1">
      <c r="A411" s="4" t="s">
        <v>1274</v>
      </c>
      <c r="B411" s="5" t="s">
        <v>212</v>
      </c>
      <c r="C411" s="4" t="s">
        <v>10</v>
      </c>
      <c r="D411" s="5" t="s">
        <v>1275</v>
      </c>
      <c r="E411" s="6">
        <v>214.0</v>
      </c>
      <c r="F411" s="6" t="s">
        <v>12</v>
      </c>
      <c r="G411" s="3" t="s">
        <v>13</v>
      </c>
      <c r="H411" s="7" t="str">
        <f>IFERROR(__xludf.DUMMYFUNCTION("SPLIT(A409,""Rua"","""")"),"       Pedro Singulani")</f>
        <v>       Pedro Singulani</v>
      </c>
      <c r="J411" s="3" t="s">
        <v>1276</v>
      </c>
      <c r="K411" s="8" t="str">
        <f>IFERROR(__xludf.DUMMYFUNCTION("SPLIT($J411,""   "","""")"),"-23.307366 -47.133678")</f>
        <v>-23.307366 -47.133678</v>
      </c>
      <c r="L411" s="7" t="str">
        <f>IFERROR(__xludf.DUMMYFUNCTION("""COMPUTED_VALUE"""),"Rua")</f>
        <v>Rua</v>
      </c>
      <c r="M411" s="7" t="str">
        <f>IFERROR(__xludf.DUMMYFUNCTION("""COMPUTED_VALUE""")," Treze")</f>
        <v> Treze</v>
      </c>
      <c r="N411" s="7" t="str">
        <f>IFERROR(__xludf.DUMMYFUNCTION("""COMPUTED_VALUE""")," Alpes do Tietê")</f>
        <v> Alpes do Tietê</v>
      </c>
      <c r="O411" s="7" t="str">
        <f>IFERROR(__xludf.DUMMYFUNCTION("""COMPUTED_VALUE""")," Cabreúva")</f>
        <v> Cabreúva</v>
      </c>
      <c r="P411" s="7" t="str">
        <f>IFERROR(__xludf.DUMMYFUNCTION("""COMPUTED_VALUE"""),"SP")</f>
        <v>SP</v>
      </c>
      <c r="Q411" s="7" t="str">
        <f>IFERROR(__xludf.DUMMYFUNCTION("""COMPUTED_VALUE""")," 13316-612 ")</f>
        <v> 13316-612 </v>
      </c>
      <c r="R411" s="9">
        <f>IFERROR(__xludf.DUMMYFUNCTION("SPLIT($K411,"" "","""")"),-2.3307366E7)</f>
        <v>-23307366</v>
      </c>
      <c r="S411" s="9">
        <f>IFERROR(__xludf.DUMMYFUNCTION("""COMPUTED_VALUE"""),-4.7133678E7)</f>
        <v>-47133678</v>
      </c>
      <c r="T411" s="10">
        <v>3508405.0</v>
      </c>
      <c r="U41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13316-612 ', 'PK-20686', SYSDATE, 0, 'PK-20686', SYSDATE, 'Rua  Treze  Alpes do Tietê', 'Rua Treze Alpes do Tietê', ' Alpes do Tietê', 'Rua', '3508405', 'Rua Treze Alpes do Tietê',' Alpes do Tietê', '1', 'SP', '1', '-23307366', '-47133678', ' Alpes do Tietê' </v>
      </c>
    </row>
    <row r="412" ht="15.75" hidden="1" customHeight="1">
      <c r="A412" s="4" t="s">
        <v>1277</v>
      </c>
      <c r="B412" s="5" t="s">
        <v>190</v>
      </c>
      <c r="C412" s="4" t="s">
        <v>10</v>
      </c>
      <c r="D412" s="5" t="s">
        <v>1278</v>
      </c>
      <c r="E412" s="6">
        <v>214.0</v>
      </c>
      <c r="F412" s="6" t="s">
        <v>12</v>
      </c>
      <c r="G412" s="3" t="s">
        <v>13</v>
      </c>
      <c r="H412" s="7" t="str">
        <f>IFERROR(__xludf.DUMMYFUNCTION("SPLIT(A410,""Rua"","""")"),"       Pernambuco")</f>
        <v>       Pernambuco</v>
      </c>
      <c r="J412" s="3" t="s">
        <v>1279</v>
      </c>
      <c r="K412" s="8" t="str">
        <f>IFERROR(__xludf.DUMMYFUNCTION("SPLIT($J412,""   "","""")"),"-23.353356 -47.082587")</f>
        <v>-23.353356 -47.082587</v>
      </c>
      <c r="L412" s="7" t="str">
        <f>IFERROR(__xludf.DUMMYFUNCTION("""COMPUTED_VALUE"""),"Avenida")</f>
        <v>Avenida</v>
      </c>
      <c r="M412" s="7" t="str">
        <f>IFERROR(__xludf.DUMMYFUNCTION("""COMPUTED_VALUE""")," Henrique Sório")</f>
        <v> Henrique Sório</v>
      </c>
      <c r="N412" s="7" t="str">
        <f>IFERROR(__xludf.DUMMYFUNCTION("""COMPUTED_VALUE""")," Bananal")</f>
        <v> Bananal</v>
      </c>
      <c r="O412" s="7" t="str">
        <f>IFERROR(__xludf.DUMMYFUNCTION("""COMPUTED_VALUE""")," Cabreúva")</f>
        <v> Cabreúva</v>
      </c>
      <c r="P412" s="7" t="str">
        <f>IFERROR(__xludf.DUMMYFUNCTION("""COMPUTED_VALUE"""),"SP")</f>
        <v>SP</v>
      </c>
      <c r="Q412" s="7" t="str">
        <f>IFERROR(__xludf.DUMMYFUNCTION("""COMPUTED_VALUE""")," 13316-801 ")</f>
        <v> 13316-801 </v>
      </c>
      <c r="R412" s="9">
        <f>IFERROR(__xludf.DUMMYFUNCTION("SPLIT($K412,"" "","""")"),-2.3353356E7)</f>
        <v>-23353356</v>
      </c>
      <c r="S412" s="9">
        <f>IFERROR(__xludf.DUMMYFUNCTION("""COMPUTED_VALUE"""),-4.7082587E7)</f>
        <v>-47082587</v>
      </c>
      <c r="T412" s="10">
        <v>3508405.0</v>
      </c>
      <c r="U41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13316-801 ', 'PK-20686', SYSDATE, 0, 'PK-20686', SYSDATE, 'Avenida  Henrique Sório  Bananal', 'Avenida Henrique Sório Bananal', ' Bananal', 'Avenida', '3508405', 'Avenida Henrique Sório Bananal',' Bananal', '1', 'SP', '1', '-23353356', '-47082587', ' Bananal' </v>
      </c>
    </row>
    <row r="413" ht="15.75" customHeight="1">
      <c r="A413" s="4" t="s">
        <v>1280</v>
      </c>
      <c r="B413" s="5" t="s">
        <v>24</v>
      </c>
      <c r="C413" s="4" t="s">
        <v>10</v>
      </c>
      <c r="D413" s="5" t="s">
        <v>1281</v>
      </c>
      <c r="E413" s="6">
        <v>214.0</v>
      </c>
      <c r="F413" s="6" t="s">
        <v>12</v>
      </c>
      <c r="G413" s="3" t="s">
        <v>13</v>
      </c>
      <c r="H413" s="7" t="str">
        <f>IFERROR(__xludf.DUMMYFUNCTION("SPLIT(A411,""Rua"","""")"),"       Peróba")</f>
        <v>       Peróba</v>
      </c>
      <c r="J413" s="3" t="s">
        <v>1282</v>
      </c>
      <c r="K413" s="8" t="str">
        <f>IFERROR(__xludf.DUMMYFUNCTION("SPLIT($J413,""   "","""")"),"-23.25729 -47.09146")</f>
        <v>-23.25729 -47.09146</v>
      </c>
      <c r="L413" s="7" t="str">
        <f>IFERROR(__xludf.DUMMYFUNCTION("""COMPUTED_VALUE"""),"Rua")</f>
        <v>Rua</v>
      </c>
      <c r="M413" s="7" t="str">
        <f>IFERROR(__xludf.DUMMYFUNCTION("""COMPUTED_VALUE""")," das Azaléias")</f>
        <v> das Azaléias</v>
      </c>
      <c r="N413" s="7" t="str">
        <f>IFERROR(__xludf.DUMMYFUNCTION("""COMPUTED_VALUE""")," Chácaras do Pinhal (Pinhal)")</f>
        <v> Chácaras do Pinhal (Pinhal)</v>
      </c>
      <c r="O413" s="7" t="str">
        <f>IFERROR(__xludf.DUMMYFUNCTION("""COMPUTED_VALUE""")," Cabreúva")</f>
        <v> Cabreúva</v>
      </c>
      <c r="P413" s="7" t="str">
        <f>IFERROR(__xludf.DUMMYFUNCTION("""COMPUTED_VALUE"""),"SP")</f>
        <v>SP</v>
      </c>
      <c r="Q413" s="7" t="str">
        <f>IFERROR(__xludf.DUMMYFUNCTION("""COMPUTED_VALUE""")," 13317-262 ")</f>
        <v> 13317-262 </v>
      </c>
      <c r="R413" s="9">
        <f>IFERROR(__xludf.DUMMYFUNCTION("SPLIT($K413,"" "","""")"),-2325729.0)</f>
        <v>-2325729</v>
      </c>
      <c r="S413" s="9">
        <f>IFERROR(__xludf.DUMMYFUNCTION("""COMPUTED_VALUE"""),-4709146.0)</f>
        <v>-4709146</v>
      </c>
      <c r="T413" s="10">
        <v>3508405.0</v>
      </c>
      <c r="U41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13317-262 ', 'PK-20686', SYSDATE, 0, 'PK-20686', SYSDATE, 'Rua  das Azaléias  Chácaras do Pinhal (Pinhal)', 'Rua das Azaléias Chácaras do Pinhal (Pinhal)', ' Chácaras do Pinhal (Pinhal)', 'Rua', '3508405', 'Rua das Azaléias Chácaras do Pinhal (Pinhal)',' Chácaras do Pinhal (Pinhal)', '1', 'SP', '1', '-2325729', '-4709146', ' Chácaras do Pinhal (Pinhal)' </v>
      </c>
    </row>
    <row r="414" ht="15.75" hidden="1" customHeight="1">
      <c r="A414" s="4" t="s">
        <v>1283</v>
      </c>
      <c r="B414" s="5" t="s">
        <v>142</v>
      </c>
      <c r="C414" s="4" t="s">
        <v>10</v>
      </c>
      <c r="D414" s="5" t="s">
        <v>1284</v>
      </c>
      <c r="E414" s="6">
        <v>214.0</v>
      </c>
      <c r="F414" s="6" t="s">
        <v>12</v>
      </c>
      <c r="G414" s="3" t="s">
        <v>13</v>
      </c>
      <c r="H414" s="7" t="str">
        <f>IFERROR(__xludf.DUMMYFUNCTION("SPLIT(A412,""Rua"","""")"),"       Peru")</f>
        <v>       Peru</v>
      </c>
      <c r="J414" s="3" t="s">
        <v>1285</v>
      </c>
      <c r="K414" s="8" t="str">
        <f>IFERROR(__xludf.DUMMYFUNCTION("SPLIT($J414,""   "","""")"),"-23.318411 -47.117333")</f>
        <v>-23.318411 -47.117333</v>
      </c>
      <c r="L414" s="7" t="str">
        <f>IFERROR(__xludf.DUMMYFUNCTION("""COMPUTED_VALUE"""),"Estrada")</f>
        <v>Estrada</v>
      </c>
      <c r="M414" s="7" t="str">
        <f>IFERROR(__xludf.DUMMYFUNCTION("""COMPUTED_VALUE""")," Rio Abaixo")</f>
        <v> Rio Abaixo</v>
      </c>
      <c r="N414" s="7" t="str">
        <f>IFERROR(__xludf.DUMMYFUNCTION("""COMPUTED_VALUE""")," Bananal")</f>
        <v> Bananal</v>
      </c>
      <c r="O414" s="7" t="str">
        <f>IFERROR(__xludf.DUMMYFUNCTION("""COMPUTED_VALUE""")," Cabreúva")</f>
        <v> Cabreúva</v>
      </c>
      <c r="P414" s="7" t="str">
        <f>IFERROR(__xludf.DUMMYFUNCTION("""COMPUTED_VALUE"""),"SP")</f>
        <v>SP</v>
      </c>
      <c r="Q414" s="7" t="str">
        <f>IFERROR(__xludf.DUMMYFUNCTION("""COMPUTED_VALUE""")," 13316-800 ")</f>
        <v> 13316-800 </v>
      </c>
      <c r="R414" s="9">
        <f>IFERROR(__xludf.DUMMYFUNCTION("SPLIT($K414,"" "","""")"),-2.3318411E7)</f>
        <v>-23318411</v>
      </c>
      <c r="S414" s="9">
        <f>IFERROR(__xludf.DUMMYFUNCTION("""COMPUTED_VALUE"""),-4.7117333E7)</f>
        <v>-47117333</v>
      </c>
      <c r="T414" s="10">
        <v>3508405.0</v>
      </c>
      <c r="U41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13316-800 ', 'PK-20686', SYSDATE, 0, 'PK-20686', SYSDATE, 'Estrada  Rio Abaixo  Bananal', 'Estrada Rio Abaixo Bananal', ' Bananal', 'Estrada', '3508405', 'Estrada Rio Abaixo Bananal',' Bananal', '1', 'SP', '1', '-23318411', '-47117333', ' Bananal' </v>
      </c>
    </row>
    <row r="415" ht="15.75" hidden="1" customHeight="1">
      <c r="A415" s="4" t="s">
        <v>1286</v>
      </c>
      <c r="B415" s="5" t="s">
        <v>142</v>
      </c>
      <c r="C415" s="4" t="s">
        <v>10</v>
      </c>
      <c r="D415" s="5" t="s">
        <v>1287</v>
      </c>
      <c r="E415" s="6">
        <v>214.0</v>
      </c>
      <c r="F415" s="6" t="s">
        <v>12</v>
      </c>
      <c r="G415" s="3" t="s">
        <v>13</v>
      </c>
      <c r="H415" s="7" t="str">
        <f>IFERROR(__xludf.DUMMYFUNCTION("SPLIT(A413,""Rua"","""")"),"       Piauí")</f>
        <v>       Piauí</v>
      </c>
      <c r="J415" s="3" t="s">
        <v>1288</v>
      </c>
      <c r="K415" s="8" t="str">
        <f>IFERROR(__xludf.DUMMYFUNCTION("SPLIT($J415,""   "","""")"),"-23.224933 -45.804546")</f>
        <v>-23.224933 -45.804546</v>
      </c>
      <c r="L415" s="7" t="str">
        <f>IFERROR(__xludf.DUMMYFUNCTION("""COMPUTED_VALUE"""),"Estrada")</f>
        <v>Estrada</v>
      </c>
      <c r="M415" s="7" t="str">
        <f>IFERROR(__xludf.DUMMYFUNCTION("""COMPUTED_VALUE""")," do Flamboian")</f>
        <v> do Flamboian</v>
      </c>
      <c r="N415" s="7" t="str">
        <f>IFERROR(__xludf.DUMMYFUNCTION("""COMPUTED_VALUE""")," Chácaras Boa Esperança (Guaxatuba)")</f>
        <v> Chácaras Boa Esperança (Guaxatuba)</v>
      </c>
      <c r="O415" s="7" t="str">
        <f>IFERROR(__xludf.DUMMYFUNCTION("""COMPUTED_VALUE""")," Cabreúva")</f>
        <v> Cabreúva</v>
      </c>
      <c r="P415" s="7" t="str">
        <f>IFERROR(__xludf.DUMMYFUNCTION("""COMPUTED_VALUE"""),"SP")</f>
        <v>SP</v>
      </c>
      <c r="Q415" s="7" t="str">
        <f>IFERROR(__xludf.DUMMYFUNCTION("""COMPUTED_VALUE""")," 13316-510 ")</f>
        <v> 13316-510 </v>
      </c>
      <c r="R415" s="9">
        <f>IFERROR(__xludf.DUMMYFUNCTION("SPLIT($K415,"" "","""")"),-2.3224933E7)</f>
        <v>-23224933</v>
      </c>
      <c r="S415" s="9">
        <f>IFERROR(__xludf.DUMMYFUNCTION("""COMPUTED_VALUE"""),-4.5804546E7)</f>
        <v>-45804546</v>
      </c>
      <c r="T415" s="10">
        <v>3508405.0</v>
      </c>
      <c r="U41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13316-510 ', 'PK-20686', SYSDATE, 0, 'PK-20686', SYSDATE, 'Estrada  do Flamboian  Chácaras Boa Esperança (Guaxatuba)', 'Estrada do Flamboian Chácaras Boa Esperança (Guaxatuba)', ' Chácaras Boa Esperança (Guaxatuba)', 'Estrada', '3508405', 'Estrada do Flamboian Chácaras Boa Esperança (Guaxatuba)',' Chácaras Boa Esperança (Guaxatuba)', '1', 'SP', '1', '-23224933', '-45804546', ' Chácaras Boa Esperança (Guaxatuba)' </v>
      </c>
    </row>
    <row r="416" ht="15.75" customHeight="1">
      <c r="A416" s="4" t="s">
        <v>1289</v>
      </c>
      <c r="B416" s="5" t="s">
        <v>212</v>
      </c>
      <c r="C416" s="4" t="s">
        <v>10</v>
      </c>
      <c r="D416" s="5" t="s">
        <v>1290</v>
      </c>
      <c r="E416" s="6">
        <v>214.0</v>
      </c>
      <c r="F416" s="6" t="s">
        <v>12</v>
      </c>
      <c r="G416" s="3" t="s">
        <v>13</v>
      </c>
      <c r="H416" s="7" t="str">
        <f>IFERROR(__xludf.DUMMYFUNCTION("SPLIT(A414,""Rua"","""")"),"       Pinot")</f>
        <v>       Pinot</v>
      </c>
      <c r="J416" s="3" t="s">
        <v>1291</v>
      </c>
      <c r="K416" s="8" t="str">
        <f>IFERROR(__xludf.DUMMYFUNCTION("SPLIT($J416,""   "","""")"),"-23.307366 -47.133678")</f>
        <v>-23.307366 -47.133678</v>
      </c>
      <c r="L416" s="7" t="str">
        <f>IFERROR(__xludf.DUMMYFUNCTION("""COMPUTED_VALUE"""),"Rua")</f>
        <v>Rua</v>
      </c>
      <c r="M416" s="7" t="str">
        <f>IFERROR(__xludf.DUMMYFUNCTION("""COMPUTED_VALUE""")," João de Campos")</f>
        <v> João de Campos</v>
      </c>
      <c r="N416" s="7" t="str">
        <f>IFERROR(__xludf.DUMMYFUNCTION("""COMPUTED_VALUE""")," Jacaré")</f>
        <v> Jacaré</v>
      </c>
      <c r="O416" s="7" t="str">
        <f>IFERROR(__xludf.DUMMYFUNCTION("""COMPUTED_VALUE""")," Cabreúva")</f>
        <v> Cabreúva</v>
      </c>
      <c r="P416" s="7" t="str">
        <f>IFERROR(__xludf.DUMMYFUNCTION("""COMPUTED_VALUE"""),"SP")</f>
        <v>SP</v>
      </c>
      <c r="Q416" s="7" t="str">
        <f>IFERROR(__xludf.DUMMYFUNCTION("""COMPUTED_VALUE""")," 13318-106 ")</f>
        <v> 13318-106 </v>
      </c>
      <c r="R416" s="9">
        <f>IFERROR(__xludf.DUMMYFUNCTION("SPLIT($K416,"" "","""")"),-2.3307366E7)</f>
        <v>-23307366</v>
      </c>
      <c r="S416" s="9">
        <f>IFERROR(__xludf.DUMMYFUNCTION("""COMPUTED_VALUE"""),-4.7133678E7)</f>
        <v>-47133678</v>
      </c>
      <c r="T416" s="10">
        <v>3508405.0</v>
      </c>
      <c r="U41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13318-106 ', 'PK-20686', SYSDATE, 0, 'PK-20686', SYSDATE, 'Rua  João de Campos  Jacaré', 'Rua João de Campos Jacaré', ' Jacaré', 'Rua', '3508405', 'Rua João de Campos Jacaré',' Jacaré', '1', 'SP', '1', '-23307366', '-47133678', ' Jacaré' </v>
      </c>
    </row>
    <row r="417" ht="15.75" hidden="1" customHeight="1">
      <c r="A417" s="4" t="s">
        <v>1292</v>
      </c>
      <c r="B417" s="5" t="s">
        <v>573</v>
      </c>
      <c r="C417" s="4" t="s">
        <v>10</v>
      </c>
      <c r="D417" s="5" t="s">
        <v>1293</v>
      </c>
      <c r="E417" s="6">
        <v>214.0</v>
      </c>
      <c r="F417" s="6" t="s">
        <v>12</v>
      </c>
      <c r="G417" s="3" t="s">
        <v>13</v>
      </c>
      <c r="H417" s="7" t="str">
        <f>IFERROR(__xludf.DUMMYFUNCTION("SPLIT(A415,""Rua"","""")"),"       Pinotage")</f>
        <v>       Pinotage</v>
      </c>
      <c r="J417" s="3" t="s">
        <v>1294</v>
      </c>
      <c r="K417" s="8" t="str">
        <f>IFERROR(__xludf.DUMMYFUNCTION("SPLIT($J417,""   "","""")"),"-23.26948 -47.097757")</f>
        <v>-23.26948 -47.097757</v>
      </c>
      <c r="L417" s="7" t="str">
        <f>IFERROR(__xludf.DUMMYFUNCTION("""COMPUTED_VALUE"""),"Via")</f>
        <v>Via</v>
      </c>
      <c r="M417" s="7" t="str">
        <f>IFERROR(__xludf.DUMMYFUNCTION("""COMPUTED_VALUE""")," das Margaridas")</f>
        <v> das Margaridas</v>
      </c>
      <c r="N417" s="7" t="str">
        <f>IFERROR(__xludf.DUMMYFUNCTION("""COMPUTED_VALUE""")," Pinhal")</f>
        <v> Pinhal</v>
      </c>
      <c r="O417" s="7" t="str">
        <f>IFERROR(__xludf.DUMMYFUNCTION("""COMPUTED_VALUE""")," Cabreúva")</f>
        <v> Cabreúva</v>
      </c>
      <c r="P417" s="7" t="str">
        <f>IFERROR(__xludf.DUMMYFUNCTION("""COMPUTED_VALUE"""),"SP")</f>
        <v>SP</v>
      </c>
      <c r="Q417" s="7" t="str">
        <f>IFERROR(__xludf.DUMMYFUNCTION("""COMPUTED_VALUE""")," 13317-266 ")</f>
        <v> 13317-266 </v>
      </c>
      <c r="R417" s="9">
        <f>IFERROR(__xludf.DUMMYFUNCTION("SPLIT($K417,"" "","""")"),-2326948.0)</f>
        <v>-2326948</v>
      </c>
      <c r="S417" s="9">
        <f>IFERROR(__xludf.DUMMYFUNCTION("""COMPUTED_VALUE"""),-4.7097757E7)</f>
        <v>-47097757</v>
      </c>
      <c r="T417" s="10">
        <v>3508405.0</v>
      </c>
      <c r="U41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13317-266 ', 'PK-20686', SYSDATE, 0, 'PK-20686', SYSDATE, 'Via  das Margaridas  Pinhal', 'Via das Margaridas Pinhal', ' Pinhal', 'Via', '3508405', 'Via das Margaridas Pinhal',' Pinhal', '1', 'SP', '1', '-2326948', '-47097757', ' Pinhal' </v>
      </c>
    </row>
    <row r="418" ht="15.75" hidden="1" customHeight="1">
      <c r="A418" s="4" t="s">
        <v>1295</v>
      </c>
      <c r="B418" s="5" t="s">
        <v>216</v>
      </c>
      <c r="C418" s="4" t="s">
        <v>10</v>
      </c>
      <c r="D418" s="5" t="s">
        <v>1296</v>
      </c>
      <c r="E418" s="6">
        <v>214.0</v>
      </c>
      <c r="F418" s="6" t="s">
        <v>12</v>
      </c>
      <c r="G418" s="3" t="s">
        <v>13</v>
      </c>
      <c r="H418" s="7" t="str">
        <f>IFERROR(__xludf.DUMMYFUNCTION("SPLIT(A416,""Rua"","""")"),"       Piqui")</f>
        <v>       Piqui</v>
      </c>
      <c r="J418" s="3" t="s">
        <v>1297</v>
      </c>
      <c r="K418" s="8" t="str">
        <f>IFERROR(__xludf.DUMMYFUNCTION("SPLIT($J418,""   "","""")"),"-23.265744 -47.10676")</f>
        <v>-23.265744 -47.10676</v>
      </c>
      <c r="L418" s="7" t="str">
        <f>IFERROR(__xludf.DUMMYFUNCTION("""COMPUTED_VALUE"""),"Via")</f>
        <v>Via</v>
      </c>
      <c r="M418" s="7" t="str">
        <f>IFERROR(__xludf.DUMMYFUNCTION("""COMPUTED_VALUE""")," dos Indaiás")</f>
        <v> dos Indaiás</v>
      </c>
      <c r="N418" s="7" t="str">
        <f>IFERROR(__xludf.DUMMYFUNCTION("""COMPUTED_VALUE""")," Chácaras do Pinhal V (Pinhal)")</f>
        <v> Chácaras do Pinhal V (Pinhal)</v>
      </c>
      <c r="O418" s="7" t="str">
        <f>IFERROR(__xludf.DUMMYFUNCTION("""COMPUTED_VALUE""")," Cabreúva")</f>
        <v> Cabreúva</v>
      </c>
      <c r="P418" s="7" t="str">
        <f>IFERROR(__xludf.DUMMYFUNCTION("""COMPUTED_VALUE"""),"SP")</f>
        <v>SP</v>
      </c>
      <c r="Q418" s="7" t="str">
        <f>IFERROR(__xludf.DUMMYFUNCTION("""COMPUTED_VALUE""")," 13317-256 ")</f>
        <v> 13317-256 </v>
      </c>
      <c r="R418" s="9">
        <f>IFERROR(__xludf.DUMMYFUNCTION("SPLIT($K418,"" "","""")"),-2.3265744E7)</f>
        <v>-23265744</v>
      </c>
      <c r="S418" s="9">
        <f>IFERROR(__xludf.DUMMYFUNCTION("""COMPUTED_VALUE"""),-4710676.0)</f>
        <v>-4710676</v>
      </c>
      <c r="T418" s="10">
        <v>3508405.0</v>
      </c>
      <c r="U41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13317-256 ', 'PK-20686', SYSDATE, 0, 'PK-20686', SYSDATE, 'Via  dos Indaiás  Chácaras do Pinhal V (Pinhal)', 'Via dos Indaiás Chácaras do Pinhal V (Pinhal)', ' Chácaras do Pinhal V (Pinhal)', 'Via', '3508405', 'Via dos Indaiás Chácaras do Pinhal V (Pinhal)',' Chácaras do Pinhal V (Pinhal)', '1', 'SP', '1', '-23265744', '-4710676', ' Chácaras do Pinhal V (Pinhal)' </v>
      </c>
    </row>
    <row r="419" ht="15.75" hidden="1" customHeight="1">
      <c r="A419" s="4" t="s">
        <v>1298</v>
      </c>
      <c r="B419" s="5" t="s">
        <v>193</v>
      </c>
      <c r="C419" s="4" t="s">
        <v>10</v>
      </c>
      <c r="D419" s="5" t="s">
        <v>1299</v>
      </c>
      <c r="E419" s="6">
        <v>214.0</v>
      </c>
      <c r="F419" s="6" t="s">
        <v>12</v>
      </c>
      <c r="G419" s="3" t="s">
        <v>13</v>
      </c>
      <c r="H419" s="7" t="str">
        <f>IFERROR(__xludf.DUMMYFUNCTION("SPLIT(A417,""Rua"","""")"),"       Pirahy")</f>
        <v>       Pirahy</v>
      </c>
      <c r="J419" s="3" t="s">
        <v>1300</v>
      </c>
      <c r="K419" s="8" t="str">
        <f>IFERROR(__xludf.DUMMYFUNCTION("SPLIT($J419,""   "","""")"),"-23.224933 -45.804546")</f>
        <v>-23.224933 -45.804546</v>
      </c>
      <c r="L419" s="7" t="str">
        <f>IFERROR(__xludf.DUMMYFUNCTION("""COMPUTED_VALUE"""),"Estrada")</f>
        <v>Estrada</v>
      </c>
      <c r="M419" s="7" t="str">
        <f>IFERROR(__xludf.DUMMYFUNCTION("""COMPUTED_VALUE""")," dos Eucaliptos")</f>
        <v> dos Eucaliptos</v>
      </c>
      <c r="N419" s="7" t="str">
        <f>IFERROR(__xludf.DUMMYFUNCTION("""COMPUTED_VALUE""")," Chácaras Boa Esperança (Guaxatuba)")</f>
        <v> Chácaras Boa Esperança (Guaxatuba)</v>
      </c>
      <c r="O419" s="7" t="str">
        <f>IFERROR(__xludf.DUMMYFUNCTION("""COMPUTED_VALUE""")," Cabreúva")</f>
        <v> Cabreúva</v>
      </c>
      <c r="P419" s="7" t="str">
        <f>IFERROR(__xludf.DUMMYFUNCTION("""COMPUTED_VALUE"""),"SP")</f>
        <v>SP</v>
      </c>
      <c r="Q419" s="7" t="str">
        <f>IFERROR(__xludf.DUMMYFUNCTION("""COMPUTED_VALUE""")," 13316-514 ")</f>
        <v> 13316-514 </v>
      </c>
      <c r="R419" s="9">
        <f>IFERROR(__xludf.DUMMYFUNCTION("SPLIT($K419,"" "","""")"),-2.3224933E7)</f>
        <v>-23224933</v>
      </c>
      <c r="S419" s="9">
        <f>IFERROR(__xludf.DUMMYFUNCTION("""COMPUTED_VALUE"""),-4.5804546E7)</f>
        <v>-45804546</v>
      </c>
      <c r="T419" s="10">
        <v>3508405.0</v>
      </c>
      <c r="U41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13316-514 ', 'PK-20686', SYSDATE, 0, 'PK-20686', SYSDATE, 'Estrada  dos Eucaliptos  Chácaras Boa Esperança (Guaxatuba)', 'Estrada dos Eucaliptos Chácaras Boa Esperança (Guaxatuba)', ' Chácaras Boa Esperança (Guaxatuba)', 'Estrada', '3508405', 'Estrada dos Eucaliptos Chácaras Boa Esperança (Guaxatuba)',' Chácaras Boa Esperança (Guaxatuba)', '1', 'SP', '1', '-23224933', '-45804546', ' Chácaras Boa Esperança (Guaxatuba)' </v>
      </c>
    </row>
    <row r="420" ht="15.75" customHeight="1">
      <c r="A420" s="4" t="s">
        <v>1301</v>
      </c>
      <c r="B420" s="5" t="s">
        <v>153</v>
      </c>
      <c r="C420" s="4" t="s">
        <v>10</v>
      </c>
      <c r="D420" s="5" t="s">
        <v>1302</v>
      </c>
      <c r="E420" s="6">
        <v>214.0</v>
      </c>
      <c r="F420" s="6" t="s">
        <v>12</v>
      </c>
      <c r="G420" s="3" t="s">
        <v>13</v>
      </c>
      <c r="H420" s="7" t="str">
        <f>IFERROR(__xludf.DUMMYFUNCTION("SPLIT(A418,""Rua"","""")"),"       Pirapóra")</f>
        <v>       Pirapóra</v>
      </c>
      <c r="J420" s="3" t="s">
        <v>1303</v>
      </c>
      <c r="K420" s="8" t="str">
        <f>IFERROR(__xludf.DUMMYFUNCTION("SPLIT($J420,""   "","""")"),"-23.245628 -47.061158")</f>
        <v>-23.245628 -47.061158</v>
      </c>
      <c r="L420" s="7" t="str">
        <f>IFERROR(__xludf.DUMMYFUNCTION("""COMPUTED_VALUE"""),"Rua")</f>
        <v>Rua</v>
      </c>
      <c r="M420" s="7" t="str">
        <f>IFERROR(__xludf.DUMMYFUNCTION("""COMPUTED_VALUE""")," Amazonas")</f>
        <v> Amazonas</v>
      </c>
      <c r="N420" s="7" t="str">
        <f>IFERROR(__xludf.DUMMYFUNCTION("""COMPUTED_VALUE""")," Jacaré")</f>
        <v> Jacaré</v>
      </c>
      <c r="O420" s="7" t="str">
        <f>IFERROR(__xludf.DUMMYFUNCTION("""COMPUTED_VALUE""")," Cabreúva")</f>
        <v> Cabreúva</v>
      </c>
      <c r="P420" s="7" t="str">
        <f>IFERROR(__xludf.DUMMYFUNCTION("""COMPUTED_VALUE"""),"SP")</f>
        <v>SP</v>
      </c>
      <c r="Q420" s="7" t="str">
        <f>IFERROR(__xludf.DUMMYFUNCTION("""COMPUTED_VALUE""")," 13318-074 ")</f>
        <v> 13318-074 </v>
      </c>
      <c r="R420" s="9">
        <f>IFERROR(__xludf.DUMMYFUNCTION("SPLIT($K420,"" "","""")"),-2.3245628E7)</f>
        <v>-23245628</v>
      </c>
      <c r="S420" s="9">
        <f>IFERROR(__xludf.DUMMYFUNCTION("""COMPUTED_VALUE"""),-4.7061158E7)</f>
        <v>-47061158</v>
      </c>
      <c r="T420" s="10">
        <v>3508405.0</v>
      </c>
      <c r="U42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13318-074 ', 'PK-20686', SYSDATE, 0, 'PK-20686', SYSDATE, 'Rua  Amazonas  Jacaré', 'Rua Amazonas Jacaré', ' Jacaré', 'Rua', '3508405', 'Rua Amazonas Jacaré',' Jacaré', '1', 'SP', '1', '-23245628', '-47061158', ' Jacaré' </v>
      </c>
    </row>
    <row r="421" ht="15.75" customHeight="1">
      <c r="A421" s="4" t="s">
        <v>1304</v>
      </c>
      <c r="B421" s="5" t="s">
        <v>24</v>
      </c>
      <c r="C421" s="4" t="s">
        <v>10</v>
      </c>
      <c r="D421" s="5" t="s">
        <v>1305</v>
      </c>
      <c r="E421" s="6">
        <v>214.0</v>
      </c>
      <c r="F421" s="6" t="s">
        <v>12</v>
      </c>
      <c r="G421" s="3" t="s">
        <v>13</v>
      </c>
      <c r="H421" s="7" t="str">
        <f>IFERROR(__xludf.DUMMYFUNCTION("SPLIT(A419,""Rua"","""")"),"       Pirassununga")</f>
        <v>       Pirassununga</v>
      </c>
      <c r="J421" s="3" t="s">
        <v>1306</v>
      </c>
      <c r="K421" s="8" t="str">
        <f>IFERROR(__xludf.DUMMYFUNCTION("SPLIT($J421,""   "","""")"),"-23.307366 -47.133678")</f>
        <v>-23.307366 -47.133678</v>
      </c>
      <c r="L421" s="7" t="str">
        <f>IFERROR(__xludf.DUMMYFUNCTION("""COMPUTED_VALUE"""),"Rua")</f>
        <v>Rua</v>
      </c>
      <c r="M421" s="7" t="str">
        <f>IFERROR(__xludf.DUMMYFUNCTION("""COMPUTED_VALUE""")," Tailândia")</f>
        <v> Tailândia</v>
      </c>
      <c r="N421" s="7" t="str">
        <f>IFERROR(__xludf.DUMMYFUNCTION("""COMPUTED_VALUE""")," Villarejo Sopé da Serra (Vilarejo)")</f>
        <v> Villarejo Sopé da Serra (Vilarejo)</v>
      </c>
      <c r="O421" s="7" t="str">
        <f>IFERROR(__xludf.DUMMYFUNCTION("""COMPUTED_VALUE""")," Cabreúva")</f>
        <v> Cabreúva</v>
      </c>
      <c r="P421" s="7" t="str">
        <f>IFERROR(__xludf.DUMMYFUNCTION("""COMPUTED_VALUE"""),"SP")</f>
        <v>SP</v>
      </c>
      <c r="Q421" s="7" t="str">
        <f>IFERROR(__xludf.DUMMYFUNCTION("""COMPUTED_VALUE""")," 13317-618 ")</f>
        <v> 13317-618 </v>
      </c>
      <c r="R421" s="9">
        <f>IFERROR(__xludf.DUMMYFUNCTION("SPLIT($K421,"" "","""")"),-2.3307366E7)</f>
        <v>-23307366</v>
      </c>
      <c r="S421" s="9">
        <f>IFERROR(__xludf.DUMMYFUNCTION("""COMPUTED_VALUE"""),-4.7133678E7)</f>
        <v>-47133678</v>
      </c>
      <c r="T421" s="10">
        <v>3508405.0</v>
      </c>
      <c r="U42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13317-618 ', 'PK-20686', SYSDATE, 0, 'PK-20686', SYSDATE, 'Rua  Tailândia  Villarejo Sopé da Serra (Vilarejo)', 'Rua Tailândia Villarejo Sopé da Serra (Vilarejo)', ' Villarejo Sopé da Serra (Vilarejo)', 'Rua', '3508405', 'Rua Tailândia Villarejo Sopé da Serra (Vilarejo)',' Villarejo Sopé da Serra (Vilarejo)', '1', 'SP', '1', '-23307366', '-47133678', ' Villarejo Sopé da Serra (Vilarejo)' </v>
      </c>
    </row>
    <row r="422" ht="15.75" customHeight="1">
      <c r="A422" s="4" t="s">
        <v>1307</v>
      </c>
      <c r="B422" s="5" t="s">
        <v>193</v>
      </c>
      <c r="C422" s="4" t="s">
        <v>10</v>
      </c>
      <c r="D422" s="5" t="s">
        <v>1308</v>
      </c>
      <c r="E422" s="6">
        <v>214.0</v>
      </c>
      <c r="F422" s="6" t="s">
        <v>12</v>
      </c>
      <c r="G422" s="3" t="s">
        <v>13</v>
      </c>
      <c r="H422" s="7" t="str">
        <f>IFERROR(__xludf.DUMMYFUNCTION("SPLIT(A420,""Rua"","""")"),"       Pirita")</f>
        <v>       Pirita</v>
      </c>
      <c r="J422" s="3" t="s">
        <v>1309</v>
      </c>
      <c r="K422" s="8" t="str">
        <f>IFERROR(__xludf.DUMMYFUNCTION("SPLIT($J422,""   "","""")"),"-23.303114 -47.138776")</f>
        <v>-23.303114 -47.138776</v>
      </c>
      <c r="L422" s="7" t="str">
        <f>IFERROR(__xludf.DUMMYFUNCTION("""COMPUTED_VALUE"""),"Rua")</f>
        <v>Rua</v>
      </c>
      <c r="M422" s="7" t="str">
        <f>IFERROR(__xludf.DUMMYFUNCTION("""COMPUTED_VALUE""")," do Carvalho")</f>
        <v> do Carvalho</v>
      </c>
      <c r="N422" s="7" t="str">
        <f>IFERROR(__xludf.DUMMYFUNCTION("""COMPUTED_VALUE""")," Vale Verde (Centro)")</f>
        <v> Vale Verde (Centro)</v>
      </c>
      <c r="O422" s="7" t="str">
        <f>IFERROR(__xludf.DUMMYFUNCTION("""COMPUTED_VALUE""")," Cabreúva")</f>
        <v> Cabreúva</v>
      </c>
      <c r="P422" s="7" t="str">
        <f>IFERROR(__xludf.DUMMYFUNCTION("""COMPUTED_VALUE"""),"SP")</f>
        <v>SP</v>
      </c>
      <c r="Q422" s="7" t="str">
        <f>IFERROR(__xludf.DUMMYFUNCTION("""COMPUTED_VALUE""")," 13315-252 ")</f>
        <v> 13315-252 </v>
      </c>
      <c r="R422" s="9">
        <f>IFERROR(__xludf.DUMMYFUNCTION("SPLIT($K422,"" "","""")"),-2.3303114E7)</f>
        <v>-23303114</v>
      </c>
      <c r="S422" s="9">
        <f>IFERROR(__xludf.DUMMYFUNCTION("""COMPUTED_VALUE"""),-4.7138776E7)</f>
        <v>-47138776</v>
      </c>
      <c r="T422" s="10">
        <v>3508405.0</v>
      </c>
      <c r="U42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13315-252 ', 'PK-20686', SYSDATE, 0, 'PK-20686', SYSDATE, 'Rua  do Carvalho  Vale Verde (Centro)', 'Rua do Carvalho Vale Verde (Centro)', ' Vale Verde (Centro)', 'Rua', '3508405', 'Rua do Carvalho Vale Verde (Centro)',' Vale Verde (Centro)', '1', 'SP', '1', '-23303114', '-47138776', ' Vale Verde (Centro)' </v>
      </c>
    </row>
    <row r="423" ht="15.75" customHeight="1">
      <c r="A423" s="4" t="s">
        <v>1310</v>
      </c>
      <c r="B423" s="5" t="s">
        <v>212</v>
      </c>
      <c r="C423" s="4" t="s">
        <v>10</v>
      </c>
      <c r="D423" s="5" t="s">
        <v>1311</v>
      </c>
      <c r="E423" s="6">
        <v>214.0</v>
      </c>
      <c r="F423" s="6" t="s">
        <v>12</v>
      </c>
      <c r="G423" s="3" t="s">
        <v>13</v>
      </c>
      <c r="H423" s="7" t="str">
        <f>IFERROR(__xludf.DUMMYFUNCTION("SPLIT(A421,""Rua"","""")"),"       Platina")</f>
        <v>       Platina</v>
      </c>
      <c r="J423" s="3" t="s">
        <v>1312</v>
      </c>
      <c r="K423" s="8" t="str">
        <f>IFERROR(__xludf.DUMMYFUNCTION("SPLIT($J423,""   "","""")"),"-23.2587 -47.05203")</f>
        <v>-23.2587 -47.05203</v>
      </c>
      <c r="L423" s="7" t="str">
        <f>IFERROR(__xludf.DUMMYFUNCTION("""COMPUTED_VALUE"""),"Rua")</f>
        <v>Rua</v>
      </c>
      <c r="M423" s="7" t="str">
        <f>IFERROR(__xludf.DUMMYFUNCTION("""COMPUTED_VALUE""")," Citrino")</f>
        <v> Citrino</v>
      </c>
      <c r="N423" s="7" t="str">
        <f>IFERROR(__xludf.DUMMYFUNCTION("""COMPUTED_VALUE""")," Jacaré")</f>
        <v> Jacaré</v>
      </c>
      <c r="O423" s="7" t="str">
        <f>IFERROR(__xludf.DUMMYFUNCTION("""COMPUTED_VALUE""")," Cabreúva")</f>
        <v> Cabreúva</v>
      </c>
      <c r="P423" s="7" t="str">
        <f>IFERROR(__xludf.DUMMYFUNCTION("""COMPUTED_VALUE"""),"SP")</f>
        <v>SP</v>
      </c>
      <c r="Q423" s="7" t="str">
        <f>IFERROR(__xludf.DUMMYFUNCTION("""COMPUTED_VALUE""")," 13318-254 ")</f>
        <v> 13318-254 </v>
      </c>
      <c r="R423" s="9">
        <f>IFERROR(__xludf.DUMMYFUNCTION("SPLIT($K423,"" "","""")"),-232587.0)</f>
        <v>-232587</v>
      </c>
      <c r="S423" s="9">
        <f>IFERROR(__xludf.DUMMYFUNCTION("""COMPUTED_VALUE"""),-4705203.0)</f>
        <v>-4705203</v>
      </c>
      <c r="T423" s="10">
        <v>3508405.0</v>
      </c>
      <c r="U42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13318-254 ', 'PK-20686', SYSDATE, 0, 'PK-20686', SYSDATE, 'Rua  Citrino  Jacaré', 'Rua Citrino Jacaré', ' Jacaré', 'Rua', '3508405', 'Rua Citrino Jacaré',' Jacaré', '1', 'SP', '1', '-232587', '-4705203', ' Jacaré' </v>
      </c>
    </row>
    <row r="424" ht="15.75" customHeight="1">
      <c r="A424" s="4" t="s">
        <v>1313</v>
      </c>
      <c r="B424" s="5" t="s">
        <v>180</v>
      </c>
      <c r="C424" s="4" t="s">
        <v>10</v>
      </c>
      <c r="D424" s="5" t="s">
        <v>1314</v>
      </c>
      <c r="E424" s="6">
        <v>214.0</v>
      </c>
      <c r="F424" s="6" t="s">
        <v>12</v>
      </c>
      <c r="G424" s="3" t="s">
        <v>13</v>
      </c>
      <c r="H424" s="7" t="str">
        <f>IFERROR(__xludf.DUMMYFUNCTION("SPLIT(A422,""Rua"","""")"),"       Pouso Alegre")</f>
        <v>       Pouso Alegre</v>
      </c>
      <c r="J424" s="3" t="s">
        <v>1315</v>
      </c>
      <c r="K424" s="8" t="str">
        <f>IFERROR(__xludf.DUMMYFUNCTION("SPLIT($J424,""   "","""")"),"-23.307366 -47.133678")</f>
        <v>-23.307366 -47.133678</v>
      </c>
      <c r="L424" s="7" t="str">
        <f>IFERROR(__xludf.DUMMYFUNCTION("""COMPUTED_VALUE"""),"Rua")</f>
        <v>Rua</v>
      </c>
      <c r="M424" s="7" t="str">
        <f>IFERROR(__xludf.DUMMYFUNCTION("""COMPUTED_VALUE""")," Israel")</f>
        <v> Israel</v>
      </c>
      <c r="N424" s="7" t="str">
        <f>IFERROR(__xludf.DUMMYFUNCTION("""COMPUTED_VALUE""")," Villarejo Sopé da Serra (Vilarejo)")</f>
        <v> Villarejo Sopé da Serra (Vilarejo)</v>
      </c>
      <c r="O424" s="7" t="str">
        <f>IFERROR(__xludf.DUMMYFUNCTION("""COMPUTED_VALUE""")," Cabreúva")</f>
        <v> Cabreúva</v>
      </c>
      <c r="P424" s="7" t="str">
        <f>IFERROR(__xludf.DUMMYFUNCTION("""COMPUTED_VALUE"""),"SP")</f>
        <v>SP</v>
      </c>
      <c r="Q424" s="7" t="str">
        <f>IFERROR(__xludf.DUMMYFUNCTION("""COMPUTED_VALUE""")," 13317-670 ")</f>
        <v> 13317-670 </v>
      </c>
      <c r="R424" s="9">
        <f>IFERROR(__xludf.DUMMYFUNCTION("SPLIT($K424,"" "","""")"),-2.3307366E7)</f>
        <v>-23307366</v>
      </c>
      <c r="S424" s="9">
        <f>IFERROR(__xludf.DUMMYFUNCTION("""COMPUTED_VALUE"""),-4.7133678E7)</f>
        <v>-47133678</v>
      </c>
      <c r="T424" s="10">
        <v>3508405.0</v>
      </c>
      <c r="U42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13317-670 ', 'PK-20686', SYSDATE, 0, 'PK-20686', SYSDATE, 'Rua  Israel  Villarejo Sopé da Serra (Vilarejo)', 'Rua Israel Villarejo Sopé da Serra (Vilarejo)', ' Villarejo Sopé da Serra (Vilarejo)', 'Rua', '3508405', 'Rua Israel Villarejo Sopé da Serra (Vilarejo)',' Villarejo Sopé da Serra (Vilarejo)', '1', 'SP', '1', '-23307366', '-47133678', ' Villarejo Sopé da Serra (Vilarejo)' </v>
      </c>
    </row>
    <row r="425" ht="15.75" customHeight="1">
      <c r="A425" s="4" t="s">
        <v>1316</v>
      </c>
      <c r="B425" s="5" t="s">
        <v>501</v>
      </c>
      <c r="C425" s="4" t="s">
        <v>10</v>
      </c>
      <c r="D425" s="5" t="s">
        <v>1317</v>
      </c>
      <c r="E425" s="6">
        <v>214.0</v>
      </c>
      <c r="F425" s="6" t="s">
        <v>12</v>
      </c>
      <c r="G425" s="3" t="s">
        <v>13</v>
      </c>
      <c r="H425" s="7" t="str">
        <f>IFERROR(__xludf.DUMMYFUNCTION("SPLIT(A423,""Rua"","""")"),"       Primavera")</f>
        <v>       Primavera</v>
      </c>
      <c r="J425" s="3" t="s">
        <v>1318</v>
      </c>
      <c r="K425" s="8" t="str">
        <f>IFERROR(__xludf.DUMMYFUNCTION("SPLIT($J425,""   "","""")"),"-23.307366 -47.133678")</f>
        <v>-23.307366 -47.133678</v>
      </c>
      <c r="L425" s="7" t="str">
        <f>IFERROR(__xludf.DUMMYFUNCTION("""COMPUTED_VALUE"""),"Rua")</f>
        <v>Rua</v>
      </c>
      <c r="M425" s="7" t="str">
        <f>IFERROR(__xludf.DUMMYFUNCTION("""COMPUTED_VALUE""")," Norberto Soares da Silva")</f>
        <v> Norberto Soares da Silva</v>
      </c>
      <c r="N425" s="7" t="str">
        <f>IFERROR(__xludf.DUMMYFUNCTION("""COMPUTED_VALUE""")," Cururú")</f>
        <v> Cururú</v>
      </c>
      <c r="O425" s="7" t="str">
        <f>IFERROR(__xludf.DUMMYFUNCTION("""COMPUTED_VALUE""")," Cabreúva")</f>
        <v> Cabreúva</v>
      </c>
      <c r="P425" s="7" t="str">
        <f>IFERROR(__xludf.DUMMYFUNCTION("""COMPUTED_VALUE"""),"SP")</f>
        <v>SP</v>
      </c>
      <c r="Q425" s="7" t="str">
        <f>IFERROR(__xludf.DUMMYFUNCTION("""COMPUTED_VALUE""")," 13317-854 ")</f>
        <v> 13317-854 </v>
      </c>
      <c r="R425" s="9">
        <f>IFERROR(__xludf.DUMMYFUNCTION("SPLIT($K425,"" "","""")"),-2.3307366E7)</f>
        <v>-23307366</v>
      </c>
      <c r="S425" s="9">
        <f>IFERROR(__xludf.DUMMYFUNCTION("""COMPUTED_VALUE"""),-4.7133678E7)</f>
        <v>-47133678</v>
      </c>
      <c r="T425" s="10">
        <v>3508405.0</v>
      </c>
      <c r="U42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13317-854 ', 'PK-20686', SYSDATE, 0, 'PK-20686', SYSDATE, 'Rua  Norberto Soares da Silva  Cururú', 'Rua Norberto Soares da Silva Cururú', ' Cururú', 'Rua', '3508405', 'Rua Norberto Soares da Silva Cururú',' Cururú', '1', 'SP', '1', '-23307366', '-47133678', ' Cururú' </v>
      </c>
    </row>
    <row r="426" ht="15.75" hidden="1" customHeight="1">
      <c r="A426" s="4" t="s">
        <v>1319</v>
      </c>
      <c r="B426" s="5" t="s">
        <v>212</v>
      </c>
      <c r="C426" s="4" t="s">
        <v>10</v>
      </c>
      <c r="D426" s="5" t="s">
        <v>1320</v>
      </c>
      <c r="E426" s="6">
        <v>214.0</v>
      </c>
      <c r="F426" s="6" t="s">
        <v>12</v>
      </c>
      <c r="G426" s="3" t="s">
        <v>13</v>
      </c>
      <c r="H426" s="7" t="str">
        <f>IFERROR(__xludf.DUMMYFUNCTION("SPLIT(A424,""Rua"","""")"),"       Primo Polo")</f>
        <v>       Primo Polo</v>
      </c>
      <c r="J426" s="3" t="s">
        <v>1321</v>
      </c>
      <c r="K426" s="8" t="str">
        <f>IFERROR(__xludf.DUMMYFUNCTION("SPLIT($J426,""   "","""")"),"-22.626989 -43.90028")</f>
        <v>-22.626989 -43.90028</v>
      </c>
      <c r="L426" s="7" t="str">
        <f>IFERROR(__xludf.DUMMYFUNCTION("""COMPUTED_VALUE"""),"Estrada")</f>
        <v>Estrada</v>
      </c>
      <c r="M426" s="7" t="str">
        <f>IFERROR(__xludf.DUMMYFUNCTION("""COMPUTED_VALUE""")," do Piraí")</f>
        <v> do Piraí</v>
      </c>
      <c r="N426" s="7" t="str">
        <f>IFERROR(__xludf.DUMMYFUNCTION("""COMPUTED_VALUE""")," Piraí")</f>
        <v> Piraí</v>
      </c>
      <c r="O426" s="7" t="str">
        <f>IFERROR(__xludf.DUMMYFUNCTION("""COMPUTED_VALUE""")," Cabreúva")</f>
        <v> Cabreúva</v>
      </c>
      <c r="P426" s="7" t="str">
        <f>IFERROR(__xludf.DUMMYFUNCTION("""COMPUTED_VALUE"""),"SP")</f>
        <v>SP</v>
      </c>
      <c r="Q426" s="7" t="str">
        <f>IFERROR(__xludf.DUMMYFUNCTION("""COMPUTED_VALUE""")," 13315-300 ")</f>
        <v> 13315-300 </v>
      </c>
      <c r="R426" s="9">
        <f>IFERROR(__xludf.DUMMYFUNCTION("SPLIT($K426,"" "","""")"),-2.2626989E7)</f>
        <v>-22626989</v>
      </c>
      <c r="S426" s="9">
        <f>IFERROR(__xludf.DUMMYFUNCTION("""COMPUTED_VALUE"""),-4390028.0)</f>
        <v>-4390028</v>
      </c>
      <c r="T426" s="10">
        <v>3508405.0</v>
      </c>
      <c r="U42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13315-300 ', 'PK-20686', SYSDATE, 0, 'PK-20686', SYSDATE, 'Estrada  do Piraí  Piraí', 'Estrada do Piraí Piraí', ' Piraí', 'Estrada', '3508405', 'Estrada do Piraí Piraí',' Piraí', '1', 'SP', '1', '-22626989', '-4390028', ' Piraí' </v>
      </c>
    </row>
    <row r="427" ht="15.75" customHeight="1">
      <c r="A427" s="4" t="s">
        <v>1322</v>
      </c>
      <c r="B427" s="5" t="s">
        <v>153</v>
      </c>
      <c r="C427" s="4" t="s">
        <v>10</v>
      </c>
      <c r="D427" s="5" t="s">
        <v>1323</v>
      </c>
      <c r="E427" s="6">
        <v>214.0</v>
      </c>
      <c r="F427" s="6" t="s">
        <v>12</v>
      </c>
      <c r="G427" s="3" t="s">
        <v>13</v>
      </c>
      <c r="H427" s="7" t="str">
        <f>IFERROR(__xludf.DUMMYFUNCTION("SPLIT(A425,""Rua"","""")"),"       Princesa Isabel")</f>
        <v>       Princesa Isabel</v>
      </c>
      <c r="J427" s="3" t="s">
        <v>1324</v>
      </c>
      <c r="K427" s="8" t="str">
        <f>IFERROR(__xludf.DUMMYFUNCTION("SPLIT($J427,""   "","""")"),"-23.255094 -47.059556")</f>
        <v>-23.255094 -47.059556</v>
      </c>
      <c r="L427" s="7" t="str">
        <f>IFERROR(__xludf.DUMMYFUNCTION("""COMPUTED_VALUE"""),"Rua")</f>
        <v>Rua</v>
      </c>
      <c r="M427" s="7" t="str">
        <f>IFERROR(__xludf.DUMMYFUNCTION("""COMPUTED_VALUE""")," Rio de Janeiro")</f>
        <v> Rio de Janeiro</v>
      </c>
      <c r="N427" s="7" t="str">
        <f>IFERROR(__xludf.DUMMYFUNCTION("""COMPUTED_VALUE""")," Jacaré")</f>
        <v> Jacaré</v>
      </c>
      <c r="O427" s="7" t="str">
        <f>IFERROR(__xludf.DUMMYFUNCTION("""COMPUTED_VALUE""")," Cabreúva")</f>
        <v> Cabreúva</v>
      </c>
      <c r="P427" s="7" t="str">
        <f>IFERROR(__xludf.DUMMYFUNCTION("""COMPUTED_VALUE"""),"SP")</f>
        <v>SP</v>
      </c>
      <c r="Q427" s="7" t="str">
        <f>IFERROR(__xludf.DUMMYFUNCTION("""COMPUTED_VALUE""")," 13318-094 ")</f>
        <v> 13318-094 </v>
      </c>
      <c r="R427" s="9">
        <f>IFERROR(__xludf.DUMMYFUNCTION("SPLIT($K427,"" "","""")"),-2.3255094E7)</f>
        <v>-23255094</v>
      </c>
      <c r="S427" s="9">
        <f>IFERROR(__xludf.DUMMYFUNCTION("""COMPUTED_VALUE"""),-4.7059556E7)</f>
        <v>-47059556</v>
      </c>
      <c r="T427" s="10">
        <v>3508405.0</v>
      </c>
      <c r="U42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13318-094 ', 'PK-20686', SYSDATE, 0, 'PK-20686', SYSDATE, 'Rua  Rio de Janeiro  Jacaré', 'Rua Rio de Janeiro Jacaré', ' Jacaré', 'Rua', '3508405', 'Rua Rio de Janeiro Jacaré',' Jacaré', '1', 'SP', '1', '-23255094', '-47059556', ' Jacaré' </v>
      </c>
    </row>
    <row r="428" ht="15.75" customHeight="1">
      <c r="A428" s="4" t="s">
        <v>1325</v>
      </c>
      <c r="B428" s="5" t="s">
        <v>611</v>
      </c>
      <c r="C428" s="4" t="s">
        <v>10</v>
      </c>
      <c r="D428" s="5" t="s">
        <v>1326</v>
      </c>
      <c r="E428" s="6">
        <v>214.0</v>
      </c>
      <c r="F428" s="6" t="s">
        <v>12</v>
      </c>
      <c r="G428" s="3" t="s">
        <v>13</v>
      </c>
      <c r="H428" s="7" t="str">
        <f>IFERROR(__xludf.DUMMYFUNCTION("SPLIT(A426,""Rua"","""")"),"       Quaresmeira")</f>
        <v>       Quaresmeira</v>
      </c>
      <c r="J428" s="3" t="s">
        <v>1327</v>
      </c>
      <c r="K428" s="8" t="str">
        <f>IFERROR(__xludf.DUMMYFUNCTION("SPLIT($J428,""   "","""")"),"-23.245618 -47.064924")</f>
        <v>-23.245618 -47.064924</v>
      </c>
      <c r="L428" s="7" t="str">
        <f>IFERROR(__xludf.DUMMYFUNCTION("""COMPUTED_VALUE"""),"Rua")</f>
        <v>Rua</v>
      </c>
      <c r="M428" s="7" t="str">
        <f>IFERROR(__xludf.DUMMYFUNCTION("""COMPUTED_VALUE""")," Pinotage")</f>
        <v> Pinotage</v>
      </c>
      <c r="N428" s="7" t="str">
        <f>IFERROR(__xludf.DUMMYFUNCTION("""COMPUTED_VALUE""")," Reserva da Quinta (Jacaré)")</f>
        <v> Reserva da Quinta (Jacaré)</v>
      </c>
      <c r="O428" s="7" t="str">
        <f>IFERROR(__xludf.DUMMYFUNCTION("""COMPUTED_VALUE""")," Cabreúva")</f>
        <v> Cabreúva</v>
      </c>
      <c r="P428" s="7" t="str">
        <f>IFERROR(__xludf.DUMMYFUNCTION("""COMPUTED_VALUE"""),"SP")</f>
        <v>SP</v>
      </c>
      <c r="Q428" s="7" t="str">
        <f>IFERROR(__xludf.DUMMYFUNCTION("""COMPUTED_VALUE""")," 13318-452 ")</f>
        <v> 13318-452 </v>
      </c>
      <c r="R428" s="9">
        <f>IFERROR(__xludf.DUMMYFUNCTION("SPLIT($K428,"" "","""")"),-2.3245618E7)</f>
        <v>-23245618</v>
      </c>
      <c r="S428" s="9">
        <f>IFERROR(__xludf.DUMMYFUNCTION("""COMPUTED_VALUE"""),-4.7064924E7)</f>
        <v>-47064924</v>
      </c>
      <c r="T428" s="10">
        <v>3508405.0</v>
      </c>
      <c r="U42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13318-452 ', 'PK-20686', SYSDATE, 0, 'PK-20686', SYSDATE, 'Rua  Pinotage  Reserva da Quinta (Jacaré)', 'Rua Pinotage Reserva da Quinta (Jacaré)', ' Reserva da Quinta (Jacaré)', 'Rua', '3508405', 'Rua Pinotage Reserva da Quinta (Jacaré)',' Reserva da Quinta (Jacaré)', '1', 'SP', '1', '-23245618', '-47064924', ' Reserva da Quinta (Jacaré)' </v>
      </c>
    </row>
    <row r="429" ht="15.75" customHeight="1">
      <c r="A429" s="4" t="s">
        <v>1328</v>
      </c>
      <c r="B429" s="5" t="s">
        <v>611</v>
      </c>
      <c r="C429" s="4" t="s">
        <v>10</v>
      </c>
      <c r="D429" s="5" t="s">
        <v>1329</v>
      </c>
      <c r="E429" s="6">
        <v>214.0</v>
      </c>
      <c r="F429" s="6" t="s">
        <v>12</v>
      </c>
      <c r="G429" s="3" t="s">
        <v>13</v>
      </c>
      <c r="H429" s="7" t="str">
        <f>IFERROR(__xludf.DUMMYFUNCTION("SPLIT(A427,""Rua"","""")"),"       Quartzo")</f>
        <v>       Quartzo</v>
      </c>
      <c r="J429" s="3" t="s">
        <v>1330</v>
      </c>
      <c r="K429" s="8" t="str">
        <f>IFERROR(__xludf.DUMMYFUNCTION("SPLIT($J429,""   "","""")"),"-23.256083 -47.056961")</f>
        <v>-23.256083 -47.056961</v>
      </c>
      <c r="L429" s="7" t="str">
        <f>IFERROR(__xludf.DUMMYFUNCTION("""COMPUTED_VALUE"""),"Rua")</f>
        <v>Rua</v>
      </c>
      <c r="M429" s="7" t="str">
        <f>IFERROR(__xludf.DUMMYFUNCTION("""COMPUTED_VALUE""")," Vila Rica")</f>
        <v> Vila Rica</v>
      </c>
      <c r="N429" s="7" t="str">
        <f>IFERROR(__xludf.DUMMYFUNCTION("""COMPUTED_VALUE""")," Parque Santo Antônio (Jacaré)")</f>
        <v> Parque Santo Antônio (Jacaré)</v>
      </c>
      <c r="O429" s="7" t="str">
        <f>IFERROR(__xludf.DUMMYFUNCTION("""COMPUTED_VALUE""")," Cabreúva")</f>
        <v> Cabreúva</v>
      </c>
      <c r="P429" s="7" t="str">
        <f>IFERROR(__xludf.DUMMYFUNCTION("""COMPUTED_VALUE"""),"SP")</f>
        <v>SP</v>
      </c>
      <c r="Q429" s="7" t="str">
        <f>IFERROR(__xludf.DUMMYFUNCTION("""COMPUTED_VALUE""")," 13318-182 ")</f>
        <v> 13318-182 </v>
      </c>
      <c r="R429" s="9">
        <f>IFERROR(__xludf.DUMMYFUNCTION("SPLIT($K429,"" "","""")"),-2.3256083E7)</f>
        <v>-23256083</v>
      </c>
      <c r="S429" s="9">
        <f>IFERROR(__xludf.DUMMYFUNCTION("""COMPUTED_VALUE"""),-4.7056961E7)</f>
        <v>-47056961</v>
      </c>
      <c r="T429" s="10">
        <v>3508405.0</v>
      </c>
      <c r="U42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13318-182 ', 'PK-20686', SYSDATE, 0, 'PK-20686', SYSDATE, 'Rua  Vila Rica  Parque Santo Antônio (Jacaré)', 'Rua Vila Rica Parque Santo Antônio (Jacaré)', ' Parque Santo Antônio (Jacaré)', 'Rua', '3508405', 'Rua Vila Rica Parque Santo Antônio (Jacaré)',' Parque Santo Antônio (Jacaré)', '1', 'SP', '1', '-23256083', '-47056961', ' Parque Santo Antônio (Jacaré)' </v>
      </c>
    </row>
    <row r="430" ht="15.75" hidden="1" customHeight="1">
      <c r="A430" s="4" t="s">
        <v>1331</v>
      </c>
      <c r="B430" s="5" t="s">
        <v>372</v>
      </c>
      <c r="C430" s="4" t="s">
        <v>10</v>
      </c>
      <c r="D430" s="5" t="s">
        <v>1332</v>
      </c>
      <c r="E430" s="6">
        <v>214.0</v>
      </c>
      <c r="F430" s="6" t="s">
        <v>12</v>
      </c>
      <c r="G430" s="3" t="s">
        <v>13</v>
      </c>
      <c r="H430" s="7" t="str">
        <f>IFERROR(__xludf.DUMMYFUNCTION("SPLIT(A428,""Rua"","""")"),"       Quatorze")</f>
        <v>       Quatorze</v>
      </c>
      <c r="J430" s="3" t="s">
        <v>1333</v>
      </c>
      <c r="K430" s="8" t="str">
        <f>IFERROR(__xludf.DUMMYFUNCTION("SPLIT($J430,""   "","""")"),"-23.256054 -47.052219")</f>
        <v>-23.256054 -47.052219</v>
      </c>
      <c r="L430" s="7" t="str">
        <f>IFERROR(__xludf.DUMMYFUNCTION("""COMPUTED_VALUE"""),"Alameda")</f>
        <v>Alameda</v>
      </c>
      <c r="M430" s="7" t="str">
        <f>IFERROR(__xludf.DUMMYFUNCTION("""COMPUTED_VALUE""")," dos Coqueiros")</f>
        <v> dos Coqueiros</v>
      </c>
      <c r="N430" s="7" t="str">
        <f>IFERROR(__xludf.DUMMYFUNCTION("""COMPUTED_VALUE""")," Portal da Concórdia (Jacaré)")</f>
        <v> Portal da Concórdia (Jacaré)</v>
      </c>
      <c r="O430" s="7" t="str">
        <f>IFERROR(__xludf.DUMMYFUNCTION("""COMPUTED_VALUE""")," Cabreúva")</f>
        <v> Cabreúva</v>
      </c>
      <c r="P430" s="7" t="str">
        <f>IFERROR(__xludf.DUMMYFUNCTION("""COMPUTED_VALUE"""),"SP")</f>
        <v>SP</v>
      </c>
      <c r="Q430" s="7" t="str">
        <f>IFERROR(__xludf.DUMMYFUNCTION("""COMPUTED_VALUE""")," 13318-324 ")</f>
        <v> 13318-324 </v>
      </c>
      <c r="R430" s="9">
        <f>IFERROR(__xludf.DUMMYFUNCTION("SPLIT($K430,"" "","""")"),-2.3256054E7)</f>
        <v>-23256054</v>
      </c>
      <c r="S430" s="9">
        <f>IFERROR(__xludf.DUMMYFUNCTION("""COMPUTED_VALUE"""),-4.7052219E7)</f>
        <v>-47052219</v>
      </c>
      <c r="T430" s="10">
        <v>3508405.0</v>
      </c>
      <c r="U43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13318-324 ', 'PK-20686', SYSDATE, 0, 'PK-20686', SYSDATE, 'Alameda  dos Coqueiros  Portal da Concórdia (Jacaré)', 'Alameda dos Coqueiros Portal da Concórdia (Jacaré)', ' Portal da Concórdia (Jacaré)', 'Alameda', '3508405', 'Alameda dos Coqueiros Portal da Concórdia (Jacaré)',' Portal da Concórdia (Jacaré)', '1', 'SP', '1', '-23256054', '-47052219', ' Portal da Concórdia (Jacaré)' </v>
      </c>
    </row>
    <row r="431" ht="15.75" customHeight="1">
      <c r="A431" s="4" t="s">
        <v>1334</v>
      </c>
      <c r="B431" s="5" t="s">
        <v>611</v>
      </c>
      <c r="C431" s="4" t="s">
        <v>10</v>
      </c>
      <c r="D431" s="5" t="s">
        <v>1335</v>
      </c>
      <c r="E431" s="6">
        <v>214.0</v>
      </c>
      <c r="F431" s="6" t="s">
        <v>12</v>
      </c>
      <c r="G431" s="3" t="s">
        <v>13</v>
      </c>
      <c r="H431" s="7" t="str">
        <f>IFERROR(__xludf.DUMMYFUNCTION("SPLIT(A429,""Rua"","""")"),"       Quatro")</f>
        <v>       Quatro</v>
      </c>
      <c r="J431" s="3" t="s">
        <v>1336</v>
      </c>
      <c r="K431" s="8" t="str">
        <f>IFERROR(__xludf.DUMMYFUNCTION("SPLIT($J431,""   "","""")"),"-23.307366 -47.133678")</f>
        <v>-23.307366 -47.133678</v>
      </c>
      <c r="L431" s="7" t="str">
        <f>IFERROR(__xludf.DUMMYFUNCTION("""COMPUTED_VALUE"""),"Rua")</f>
        <v>Rua</v>
      </c>
      <c r="M431" s="7" t="str">
        <f>IFERROR(__xludf.DUMMYFUNCTION("""COMPUTED_VALUE""")," Ernesto Gavitti")</f>
        <v> Ernesto Gavitti</v>
      </c>
      <c r="N431" s="7" t="str">
        <f>IFERROR(__xludf.DUMMYFUNCTION("""COMPUTED_VALUE""")," Bonfim")</f>
        <v> Bonfim</v>
      </c>
      <c r="O431" s="7" t="str">
        <f>IFERROR(__xludf.DUMMYFUNCTION("""COMPUTED_VALUE""")," Cabreúva")</f>
        <v> Cabreúva</v>
      </c>
      <c r="P431" s="7" t="str">
        <f>IFERROR(__xludf.DUMMYFUNCTION("""COMPUTED_VALUE"""),"SP")</f>
        <v>SP</v>
      </c>
      <c r="Q431" s="7" t="str">
        <f>IFERROR(__xludf.DUMMYFUNCTION("""COMPUTED_VALUE""")," 13319-018 ")</f>
        <v> 13319-018 </v>
      </c>
      <c r="R431" s="9">
        <f>IFERROR(__xludf.DUMMYFUNCTION("SPLIT($K431,"" "","""")"),-2.3307366E7)</f>
        <v>-23307366</v>
      </c>
      <c r="S431" s="9">
        <f>IFERROR(__xludf.DUMMYFUNCTION("""COMPUTED_VALUE"""),-4.7133678E7)</f>
        <v>-47133678</v>
      </c>
      <c r="T431" s="10">
        <v>3508405.0</v>
      </c>
      <c r="U43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13319-018 ', 'PK-20686', SYSDATE, 0, 'PK-20686', SYSDATE, 'Rua  Ernesto Gavitti  Bonfim', 'Rua Ernesto Gavitti Bonfim', ' Bonfim', 'Rua', '3508405', 'Rua Ernesto Gavitti Bonfim',' Bonfim', '1', 'SP', '1', '-23307366', '-47133678', ' Bonfim' </v>
      </c>
    </row>
    <row r="432" ht="15.75" customHeight="1">
      <c r="A432" s="4" t="s">
        <v>1337</v>
      </c>
      <c r="B432" s="5" t="s">
        <v>501</v>
      </c>
      <c r="C432" s="4" t="s">
        <v>10</v>
      </c>
      <c r="D432" s="5" t="s">
        <v>1338</v>
      </c>
      <c r="E432" s="6">
        <v>214.0</v>
      </c>
      <c r="F432" s="6" t="s">
        <v>12</v>
      </c>
      <c r="G432" s="3" t="s">
        <v>13</v>
      </c>
      <c r="H432" s="7" t="str">
        <f>IFERROR(__xludf.DUMMYFUNCTION("SPLIT(A430,""Rua"","""")"),"       Quênia")</f>
        <v>       Quênia</v>
      </c>
      <c r="J432" s="3" t="s">
        <v>1339</v>
      </c>
      <c r="K432" s="8" t="str">
        <f>IFERROR(__xludf.DUMMYFUNCTION("SPLIT($J432,""   "","""")"),"-23.307106 -47.132924")</f>
        <v>-23.307106 -47.132924</v>
      </c>
      <c r="L432" s="7" t="str">
        <f>IFERROR(__xludf.DUMMYFUNCTION("""COMPUTED_VALUE"""),"Rua")</f>
        <v>Rua</v>
      </c>
      <c r="M432" s="7" t="str">
        <f>IFERROR(__xludf.DUMMYFUNCTION("""COMPUTED_VALUE""")," Marechal Deodoro da Fonseca")</f>
        <v> Marechal Deodoro da Fonseca</v>
      </c>
      <c r="N432" s="7" t="str">
        <f>IFERROR(__xludf.DUMMYFUNCTION("""COMPUTED_VALUE""")," Centro")</f>
        <v> Centro</v>
      </c>
      <c r="O432" s="7" t="str">
        <f>IFERROR(__xludf.DUMMYFUNCTION("""COMPUTED_VALUE""")," Cabreúva")</f>
        <v> Cabreúva</v>
      </c>
      <c r="P432" s="7" t="str">
        <f>IFERROR(__xludf.DUMMYFUNCTION("""COMPUTED_VALUE"""),"SP")</f>
        <v>SP</v>
      </c>
      <c r="Q432" s="7" t="str">
        <f>IFERROR(__xludf.DUMMYFUNCTION("""COMPUTED_VALUE""")," 13315-025 ")</f>
        <v> 13315-025 </v>
      </c>
      <c r="R432" s="9">
        <f>IFERROR(__xludf.DUMMYFUNCTION("SPLIT($K432,"" "","""")"),-2.3307106E7)</f>
        <v>-23307106</v>
      </c>
      <c r="S432" s="9">
        <f>IFERROR(__xludf.DUMMYFUNCTION("""COMPUTED_VALUE"""),-4.7132924E7)</f>
        <v>-47132924</v>
      </c>
      <c r="T432" s="10">
        <v>3508405.0</v>
      </c>
      <c r="U43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13315-025 ', 'PK-20686', SYSDATE, 0, 'PK-20686', SYSDATE, 'Rua  Marechal Deodoro da Fonseca  Centro', 'Rua Marechal Deodoro da Fonseca Centro', ' Centro', 'Rua', '3508405', 'Rua Marechal Deodoro da Fonseca Centro',' Centro', '1', 'SP', '1', '-23307106', '-47132924', ' Centro' </v>
      </c>
    </row>
    <row r="433" ht="15.75" customHeight="1">
      <c r="A433" s="4" t="s">
        <v>1340</v>
      </c>
      <c r="B433" s="5" t="s">
        <v>180</v>
      </c>
      <c r="C433" s="4" t="s">
        <v>10</v>
      </c>
      <c r="D433" s="5" t="s">
        <v>1341</v>
      </c>
      <c r="E433" s="6">
        <v>214.0</v>
      </c>
      <c r="F433" s="6" t="s">
        <v>12</v>
      </c>
      <c r="G433" s="3" t="s">
        <v>13</v>
      </c>
      <c r="H433" s="7" t="str">
        <f>IFERROR(__xludf.DUMMYFUNCTION("SPLIT(A431,""Rua"","""")"),"       Quinze")</f>
        <v>       Quinze</v>
      </c>
      <c r="J433" s="3" t="s">
        <v>1342</v>
      </c>
      <c r="K433" s="8" t="str">
        <f>IFERROR(__xludf.DUMMYFUNCTION("SPLIT($J433,""   "","""")"),"-23.253695 -47.054675")</f>
        <v>-23.253695 -47.054675</v>
      </c>
      <c r="L433" s="7" t="str">
        <f>IFERROR(__xludf.DUMMYFUNCTION("""COMPUTED_VALUE"""),"Rua")</f>
        <v>Rua</v>
      </c>
      <c r="M433" s="7" t="str">
        <f>IFERROR(__xludf.DUMMYFUNCTION("""COMPUTED_VALUE""")," Caí")</f>
        <v> Caí</v>
      </c>
      <c r="N433" s="7" t="str">
        <f>IFERROR(__xludf.DUMMYFUNCTION("""COMPUTED_VALUE""")," Jardim da Serra (Jacaré)")</f>
        <v> Jardim da Serra (Jacaré)</v>
      </c>
      <c r="O433" s="7" t="str">
        <f>IFERROR(__xludf.DUMMYFUNCTION("""COMPUTED_VALUE""")," Cabreúva")</f>
        <v> Cabreúva</v>
      </c>
      <c r="P433" s="7" t="str">
        <f>IFERROR(__xludf.DUMMYFUNCTION("""COMPUTED_VALUE"""),"SP")</f>
        <v>SP</v>
      </c>
      <c r="Q433" s="7" t="str">
        <f>IFERROR(__xludf.DUMMYFUNCTION("""COMPUTED_VALUE""")," 13318-132 ")</f>
        <v> 13318-132 </v>
      </c>
      <c r="R433" s="9">
        <f>IFERROR(__xludf.DUMMYFUNCTION("SPLIT($K433,"" "","""")"),-2.3253695E7)</f>
        <v>-23253695</v>
      </c>
      <c r="S433" s="9">
        <f>IFERROR(__xludf.DUMMYFUNCTION("""COMPUTED_VALUE"""),-4.7054675E7)</f>
        <v>-47054675</v>
      </c>
      <c r="T433" s="10">
        <v>3508405.0</v>
      </c>
      <c r="U43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13318-132 ', 'PK-20686', SYSDATE, 0, 'PK-20686', SYSDATE, 'Rua  Caí  Jardim da Serra (Jacaré)', 'Rua Caí Jardim da Serra (Jacaré)', ' Jardim da Serra (Jacaré)', 'Rua', '3508405', 'Rua Caí Jardim da Serra (Jacaré)',' Jardim da Serra (Jacaré)', '1', 'SP', '1', '-23253695', '-47054675', ' Jardim da Serra (Jacaré)' </v>
      </c>
    </row>
    <row r="434" ht="15.75" customHeight="1">
      <c r="A434" s="4" t="s">
        <v>1343</v>
      </c>
      <c r="B434" s="5" t="s">
        <v>223</v>
      </c>
      <c r="C434" s="4" t="s">
        <v>10</v>
      </c>
      <c r="D434" s="5" t="s">
        <v>1344</v>
      </c>
      <c r="E434" s="6">
        <v>214.0</v>
      </c>
      <c r="F434" s="6" t="s">
        <v>12</v>
      </c>
      <c r="G434" s="3" t="s">
        <v>13</v>
      </c>
      <c r="H434" s="7" t="str">
        <f>IFERROR(__xludf.DUMMYFUNCTION("SPLIT(A432,""Rua"","""")"),"       Regente Feijó")</f>
        <v>       Regente Feijó</v>
      </c>
      <c r="J434" s="3" t="s">
        <v>1345</v>
      </c>
      <c r="K434" s="8" t="str">
        <f>IFERROR(__xludf.DUMMYFUNCTION("SPLIT($J434,""   "","""")"),"-23.245618 -47.064924")</f>
        <v>-23.245618 -47.064924</v>
      </c>
      <c r="L434" s="7" t="str">
        <f>IFERROR(__xludf.DUMMYFUNCTION("""COMPUTED_VALUE"""),"Rua")</f>
        <v>Rua</v>
      </c>
      <c r="M434" s="7" t="str">
        <f>IFERROR(__xludf.DUMMYFUNCTION("""COMPUTED_VALUE""")," Chardonnay")</f>
        <v> Chardonnay</v>
      </c>
      <c r="N434" s="7" t="str">
        <f>IFERROR(__xludf.DUMMYFUNCTION("""COMPUTED_VALUE""")," Reserva da Quinta (Jacaré)")</f>
        <v> Reserva da Quinta (Jacaré)</v>
      </c>
      <c r="O434" s="7" t="str">
        <f>IFERROR(__xludf.DUMMYFUNCTION("""COMPUTED_VALUE""")," Cabreúva")</f>
        <v> Cabreúva</v>
      </c>
      <c r="P434" s="7" t="str">
        <f>IFERROR(__xludf.DUMMYFUNCTION("""COMPUTED_VALUE"""),"SP")</f>
        <v>SP</v>
      </c>
      <c r="Q434" s="7" t="str">
        <f>IFERROR(__xludf.DUMMYFUNCTION("""COMPUTED_VALUE""")," 13318-462 ")</f>
        <v> 13318-462 </v>
      </c>
      <c r="R434" s="9">
        <f>IFERROR(__xludf.DUMMYFUNCTION("SPLIT($K434,"" "","""")"),-2.3245618E7)</f>
        <v>-23245618</v>
      </c>
      <c r="S434" s="9">
        <f>IFERROR(__xludf.DUMMYFUNCTION("""COMPUTED_VALUE"""),-4.7064924E7)</f>
        <v>-47064924</v>
      </c>
      <c r="T434" s="10">
        <v>3508405.0</v>
      </c>
      <c r="U43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13318-462 ', 'PK-20686', SYSDATE, 0, 'PK-20686', SYSDATE, 'Rua  Chardonnay  Reserva da Quinta (Jacaré)', 'Rua Chardonnay Reserva da Quinta (Jacaré)', ' Reserva da Quinta (Jacaré)', 'Rua', '3508405', 'Rua Chardonnay Reserva da Quinta (Jacaré)',' Reserva da Quinta (Jacaré)', '1', 'SP', '1', '-23245618', '-47064924', ' Reserva da Quinta (Jacaré)' </v>
      </c>
    </row>
    <row r="435" ht="15.75" customHeight="1">
      <c r="A435" s="4" t="s">
        <v>1346</v>
      </c>
      <c r="B435" s="5" t="s">
        <v>193</v>
      </c>
      <c r="C435" s="4" t="s">
        <v>10</v>
      </c>
      <c r="D435" s="5" t="s">
        <v>1347</v>
      </c>
      <c r="E435" s="6">
        <v>214.0</v>
      </c>
      <c r="F435" s="6" t="s">
        <v>12</v>
      </c>
      <c r="G435" s="3" t="s">
        <v>13</v>
      </c>
      <c r="H435" s="7" t="str">
        <f>IFERROR(__xludf.DUMMYFUNCTION("SPLIT(A433,""Rua"","""")"),"       Renato de Barros Camargo")</f>
        <v>       Renato de Barros Camargo</v>
      </c>
      <c r="J435" s="3" t="s">
        <v>1348</v>
      </c>
      <c r="K435" s="8" t="str">
        <f>IFERROR(__xludf.DUMMYFUNCTION("SPLIT($J435,""   "","""")"),"-23.364334 -47.099753")</f>
        <v>-23.364334 -47.099753</v>
      </c>
      <c r="L435" s="7" t="str">
        <f>IFERROR(__xludf.DUMMYFUNCTION("""COMPUTED_VALUE"""),"Rua")</f>
        <v>Rua</v>
      </c>
      <c r="M435" s="7" t="str">
        <f>IFERROR(__xludf.DUMMYFUNCTION("""COMPUTED_VALUE""")," E")</f>
        <v> E</v>
      </c>
      <c r="N435" s="7" t="str">
        <f>IFERROR(__xludf.DUMMYFUNCTION("""COMPUTED_VALUE""")," Fazenda Sossego (São Francisco)")</f>
        <v> Fazenda Sossego (São Francisco)</v>
      </c>
      <c r="O435" s="7" t="str">
        <f>IFERROR(__xludf.DUMMYFUNCTION("""COMPUTED_VALUE""")," Cabreúva")</f>
        <v> Cabreúva</v>
      </c>
      <c r="P435" s="7" t="str">
        <f>IFERROR(__xludf.DUMMYFUNCTION("""COMPUTED_VALUE"""),"SP")</f>
        <v>SP</v>
      </c>
      <c r="Q435" s="7" t="str">
        <f>IFERROR(__xludf.DUMMYFUNCTION("""COMPUTED_VALUE""")," 13316-704 ")</f>
        <v> 13316-704 </v>
      </c>
      <c r="R435" s="9">
        <f>IFERROR(__xludf.DUMMYFUNCTION("SPLIT($K435,"" "","""")"),-2.3364334E7)</f>
        <v>-23364334</v>
      </c>
      <c r="S435" s="9">
        <f>IFERROR(__xludf.DUMMYFUNCTION("""COMPUTED_VALUE"""),-4.7099753E7)</f>
        <v>-47099753</v>
      </c>
      <c r="T435" s="10">
        <v>3508405.0</v>
      </c>
      <c r="U43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13316-704 ', 'PK-20686', SYSDATE, 0, 'PK-20686', SYSDATE, 'Rua  E  Fazenda Sossego (São Francisco)', 'Rua E Fazenda Sossego (São Francisco)', ' Fazenda Sossego (São Francisco)', 'Rua', '3508405', 'Rua E Fazenda Sossego (São Francisco)',' Fazenda Sossego (São Francisco)', '1', 'SP', '1', '-23364334', '-47099753', ' Fazenda Sossego (São Francisco)' </v>
      </c>
    </row>
    <row r="436" ht="15.75" customHeight="1">
      <c r="A436" s="4" t="s">
        <v>1349</v>
      </c>
      <c r="B436" s="5" t="s">
        <v>24</v>
      </c>
      <c r="C436" s="4" t="s">
        <v>10</v>
      </c>
      <c r="D436" s="5" t="s">
        <v>1350</v>
      </c>
      <c r="E436" s="6">
        <v>214.0</v>
      </c>
      <c r="F436" s="6" t="s">
        <v>12</v>
      </c>
      <c r="G436" s="3" t="s">
        <v>13</v>
      </c>
      <c r="H436" s="7" t="str">
        <f>IFERROR(__xludf.DUMMYFUNCTION("SPLIT(A434,""Rua"","""")"),"       Renato Niuderauer Zanchi")</f>
        <v>       Renato Niuderauer Zanchi</v>
      </c>
      <c r="J436" s="3" t="s">
        <v>1351</v>
      </c>
      <c r="K436" s="8" t="str">
        <f>IFERROR(__xludf.DUMMYFUNCTION("SPLIT($J436,""   "","""")"),"-23.273341 -47.056922")</f>
        <v>-23.273341 -47.056922</v>
      </c>
      <c r="L436" s="7" t="str">
        <f>IFERROR(__xludf.DUMMYFUNCTION("""COMPUTED_VALUE"""),"Rua")</f>
        <v>Rua</v>
      </c>
      <c r="M436" s="7" t="str">
        <f>IFERROR(__xludf.DUMMYFUNCTION("""COMPUTED_VALUE""")," Noruega")</f>
        <v> Noruega</v>
      </c>
      <c r="N436" s="7" t="str">
        <f>IFERROR(__xludf.DUMMYFUNCTION("""COMPUTED_VALUE""")," Villarejo Sopé da Serra (Vilarejo)")</f>
        <v> Villarejo Sopé da Serra (Vilarejo)</v>
      </c>
      <c r="O436" s="7" t="str">
        <f>IFERROR(__xludf.DUMMYFUNCTION("""COMPUTED_VALUE""")," Cabreúva")</f>
        <v> Cabreúva</v>
      </c>
      <c r="P436" s="7" t="str">
        <f>IFERROR(__xludf.DUMMYFUNCTION("""COMPUTED_VALUE"""),"SP")</f>
        <v>SP</v>
      </c>
      <c r="Q436" s="7" t="str">
        <f>IFERROR(__xludf.DUMMYFUNCTION("""COMPUTED_VALUE""")," 13317-668 ")</f>
        <v> 13317-668 </v>
      </c>
      <c r="R436" s="9">
        <f>IFERROR(__xludf.DUMMYFUNCTION("SPLIT($K436,"" "","""")"),-2.3273341E7)</f>
        <v>-23273341</v>
      </c>
      <c r="S436" s="9">
        <f>IFERROR(__xludf.DUMMYFUNCTION("""COMPUTED_VALUE"""),-4.7056922E7)</f>
        <v>-47056922</v>
      </c>
      <c r="T436" s="10">
        <v>3508405.0</v>
      </c>
      <c r="U43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13317-668 ', 'PK-20686', SYSDATE, 0, 'PK-20686', SYSDATE, 'Rua  Noruega  Villarejo Sopé da Serra (Vilarejo)', 'Rua Noruega Villarejo Sopé da Serra (Vilarejo)', ' Villarejo Sopé da Serra (Vilarejo)', 'Rua', '3508405', 'Rua Noruega Villarejo Sopé da Serra (Vilarejo)',' Villarejo Sopé da Serra (Vilarejo)', '1', 'SP', '1', '-23273341', '-47056922', ' Villarejo Sopé da Serra (Vilarejo)' </v>
      </c>
    </row>
    <row r="437" ht="15.75" customHeight="1">
      <c r="A437" s="4" t="s">
        <v>1352</v>
      </c>
      <c r="B437" s="5" t="s">
        <v>24</v>
      </c>
      <c r="C437" s="4" t="s">
        <v>10</v>
      </c>
      <c r="D437" s="5" t="s">
        <v>1353</v>
      </c>
      <c r="E437" s="6">
        <v>214.0</v>
      </c>
      <c r="F437" s="6" t="s">
        <v>12</v>
      </c>
      <c r="G437" s="3" t="s">
        <v>13</v>
      </c>
      <c r="H437" s="7" t="str">
        <f>IFERROR(__xludf.DUMMYFUNCTION("SPLIT(A435,""Rua"","""")"),"       Rio Claro")</f>
        <v>       Rio Claro</v>
      </c>
      <c r="J437" s="3" t="s">
        <v>1354</v>
      </c>
      <c r="K437" s="8" t="str">
        <f>IFERROR(__xludf.DUMMYFUNCTION("SPLIT($J437,""   "","""")"),"-23.301511 -47.133399")</f>
        <v>-23.301511 -47.133399</v>
      </c>
      <c r="L437" s="7" t="str">
        <f>IFERROR(__xludf.DUMMYFUNCTION("""COMPUTED_VALUE"""),"Rua")</f>
        <v>Rua</v>
      </c>
      <c r="M437" s="7" t="str">
        <f>IFERROR(__xludf.DUMMYFUNCTION("""COMPUTED_VALUE""")," Piqui")</f>
        <v> Piqui</v>
      </c>
      <c r="N437" s="7" t="str">
        <f>IFERROR(__xludf.DUMMYFUNCTION("""COMPUTED_VALUE""")," Vale Verde (Centro)")</f>
        <v> Vale Verde (Centro)</v>
      </c>
      <c r="O437" s="7" t="str">
        <f>IFERROR(__xludf.DUMMYFUNCTION("""COMPUTED_VALUE""")," Cabreúva")</f>
        <v> Cabreúva</v>
      </c>
      <c r="P437" s="7" t="str">
        <f>IFERROR(__xludf.DUMMYFUNCTION("""COMPUTED_VALUE"""),"SP")</f>
        <v>SP</v>
      </c>
      <c r="Q437" s="7" t="str">
        <f>IFERROR(__xludf.DUMMYFUNCTION("""COMPUTED_VALUE""")," 13315-258 ")</f>
        <v> 13315-258 </v>
      </c>
      <c r="R437" s="9">
        <f>IFERROR(__xludf.DUMMYFUNCTION("SPLIT($K437,"" "","""")"),-2.3301511E7)</f>
        <v>-23301511</v>
      </c>
      <c r="S437" s="9">
        <f>IFERROR(__xludf.DUMMYFUNCTION("""COMPUTED_VALUE"""),-4.7133399E7)</f>
        <v>-47133399</v>
      </c>
      <c r="T437" s="10">
        <v>3508405.0</v>
      </c>
      <c r="U43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13315-258 ', 'PK-20686', SYSDATE, 0, 'PK-20686', SYSDATE, 'Rua  Piqui  Vale Verde (Centro)', 'Rua Piqui Vale Verde (Centro)', ' Vale Verde (Centro)', 'Rua', '3508405', 'Rua Piqui Vale Verde (Centro)',' Vale Verde (Centro)', '1', 'SP', '1', '-23301511', '-47133399', ' Vale Verde (Centro)' </v>
      </c>
    </row>
    <row r="438" ht="15.75" customHeight="1">
      <c r="A438" s="4" t="s">
        <v>1355</v>
      </c>
      <c r="B438" s="5" t="s">
        <v>372</v>
      </c>
      <c r="C438" s="4" t="s">
        <v>10</v>
      </c>
      <c r="D438" s="5" t="s">
        <v>1356</v>
      </c>
      <c r="E438" s="6">
        <v>214.0</v>
      </c>
      <c r="F438" s="6" t="s">
        <v>12</v>
      </c>
      <c r="G438" s="3" t="s">
        <v>13</v>
      </c>
      <c r="H438" s="7" t="str">
        <f>IFERROR(__xludf.DUMMYFUNCTION("SPLIT(A436,""Rua"","""")"),"       Rio de Janeiro")</f>
        <v>       Rio de Janeiro</v>
      </c>
      <c r="J438" s="3" t="s">
        <v>1357</v>
      </c>
      <c r="K438" s="8" t="str">
        <f>IFERROR(__xludf.DUMMYFUNCTION("SPLIT($J438,""   "","""")"),"-23.243196 -47.066182")</f>
        <v>-23.243196 -47.066182</v>
      </c>
      <c r="L438" s="7" t="str">
        <f>IFERROR(__xludf.DUMMYFUNCTION("""COMPUTED_VALUE"""),"Rua")</f>
        <v>Rua</v>
      </c>
      <c r="M438" s="7" t="str">
        <f>IFERROR(__xludf.DUMMYFUNCTION("""COMPUTED_VALUE""")," Carlos Silveira Franco Neto")</f>
        <v> Carlos Silveira Franco Neto</v>
      </c>
      <c r="N438" s="7" t="str">
        <f>IFERROR(__xludf.DUMMYFUNCTION("""COMPUTED_VALUE""")," Jardim Primavera (Jacaré)")</f>
        <v> Jardim Primavera (Jacaré)</v>
      </c>
      <c r="O438" s="7" t="str">
        <f>IFERROR(__xludf.DUMMYFUNCTION("""COMPUTED_VALUE""")," Cabreúva")</f>
        <v> Cabreúva</v>
      </c>
      <c r="P438" s="7" t="str">
        <f>IFERROR(__xludf.DUMMYFUNCTION("""COMPUTED_VALUE"""),"SP")</f>
        <v>SP</v>
      </c>
      <c r="Q438" s="7" t="str">
        <f>IFERROR(__xludf.DUMMYFUNCTION("""COMPUTED_VALUE""")," 13318-420 ")</f>
        <v> 13318-420 </v>
      </c>
      <c r="R438" s="9">
        <f>IFERROR(__xludf.DUMMYFUNCTION("SPLIT($K438,"" "","""")"),-2.3243196E7)</f>
        <v>-23243196</v>
      </c>
      <c r="S438" s="9">
        <f>IFERROR(__xludf.DUMMYFUNCTION("""COMPUTED_VALUE"""),-4.7066182E7)</f>
        <v>-47066182</v>
      </c>
      <c r="T438" s="10">
        <v>3508405.0</v>
      </c>
      <c r="U43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13318-420 ', 'PK-20686', SYSDATE, 0, 'PK-20686', SYSDATE, 'Rua  Carlos Silveira Franco Neto  Jardim Primavera (Jacaré)', 'Rua Carlos Silveira Franco Neto Jardim Primavera (Jacaré)', ' Jardim Primavera (Jacaré)', 'Rua', '3508405', 'Rua Carlos Silveira Franco Neto Jardim Primavera (Jacaré)',' Jardim Primavera (Jacaré)', '1', 'SP', '1', '-23243196', '-47066182', ' Jardim Primavera (Jacaré)' </v>
      </c>
    </row>
    <row r="439" ht="15.75" customHeight="1">
      <c r="A439" s="4" t="s">
        <v>1358</v>
      </c>
      <c r="B439" s="5" t="s">
        <v>153</v>
      </c>
      <c r="C439" s="4" t="s">
        <v>10</v>
      </c>
      <c r="D439" s="5" t="s">
        <v>1359</v>
      </c>
      <c r="E439" s="6">
        <v>214.0</v>
      </c>
      <c r="F439" s="6" t="s">
        <v>12</v>
      </c>
      <c r="G439" s="3" t="s">
        <v>13</v>
      </c>
      <c r="H439" s="7" t="str">
        <f>IFERROR(__xludf.DUMMYFUNCTION("SPLIT(A437,""Rua"","""")"),"       Rio Grande do Sul")</f>
        <v>       Rio Grande do Sul</v>
      </c>
      <c r="J439" s="3" t="s">
        <v>1360</v>
      </c>
      <c r="K439" s="8" t="str">
        <f>IFERROR(__xludf.DUMMYFUNCTION("SPLIT($J439,""   "","""")"),"-23.249573 -47.054442")</f>
        <v>-23.249573 -47.054442</v>
      </c>
      <c r="L439" s="7" t="str">
        <f>IFERROR(__xludf.DUMMYFUNCTION("""COMPUTED_VALUE"""),"Rua")</f>
        <v>Rua</v>
      </c>
      <c r="M439" s="7" t="str">
        <f>IFERROR(__xludf.DUMMYFUNCTION("""COMPUTED_VALUE""")," Guaxinduva")</f>
        <v> Guaxinduva</v>
      </c>
      <c r="N439" s="7" t="str">
        <f>IFERROR(__xludf.DUMMYFUNCTION("""COMPUTED_VALUE""")," Jardim da Serra (Jacaré)")</f>
        <v> Jardim da Serra (Jacaré)</v>
      </c>
      <c r="O439" s="7" t="str">
        <f>IFERROR(__xludf.DUMMYFUNCTION("""COMPUTED_VALUE""")," Cabreúva")</f>
        <v> Cabreúva</v>
      </c>
      <c r="P439" s="7" t="str">
        <f>IFERROR(__xludf.DUMMYFUNCTION("""COMPUTED_VALUE"""),"SP")</f>
        <v>SP</v>
      </c>
      <c r="Q439" s="7" t="str">
        <f>IFERROR(__xludf.DUMMYFUNCTION("""COMPUTED_VALUE""")," 13318-138 ")</f>
        <v> 13318-138 </v>
      </c>
      <c r="R439" s="9">
        <f>IFERROR(__xludf.DUMMYFUNCTION("SPLIT($K439,"" "","""")"),-2.3249573E7)</f>
        <v>-23249573</v>
      </c>
      <c r="S439" s="9">
        <f>IFERROR(__xludf.DUMMYFUNCTION("""COMPUTED_VALUE"""),-4.7054442E7)</f>
        <v>-47054442</v>
      </c>
      <c r="T439" s="10">
        <v>3508405.0</v>
      </c>
      <c r="U43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13318-138 ', 'PK-20686', SYSDATE, 0, 'PK-20686', SYSDATE, 'Rua  Guaxinduva  Jardim da Serra (Jacaré)', 'Rua Guaxinduva Jardim da Serra (Jacaré)', ' Jardim da Serra (Jacaré)', 'Rua', '3508405', 'Rua Guaxinduva Jardim da Serra (Jacaré)',' Jardim da Serra (Jacaré)', '1', 'SP', '1', '-23249573', '-47054442', ' Jardim da Serra (Jacaré)' </v>
      </c>
    </row>
    <row r="440" ht="15.75" hidden="1" customHeight="1">
      <c r="A440" s="4" t="s">
        <v>1361</v>
      </c>
      <c r="B440" s="5" t="s">
        <v>573</v>
      </c>
      <c r="C440" s="4" t="s">
        <v>10</v>
      </c>
      <c r="D440" s="5" t="s">
        <v>1362</v>
      </c>
      <c r="E440" s="6">
        <v>214.0</v>
      </c>
      <c r="F440" s="6" t="s">
        <v>12</v>
      </c>
      <c r="G440" s="3" t="s">
        <v>13</v>
      </c>
      <c r="H440" s="7" t="str">
        <f>IFERROR(__xludf.DUMMYFUNCTION("SPLIT(A438,""Rua"","""")"),"       Rodésia")</f>
        <v>       Rodésia</v>
      </c>
      <c r="J440" s="3" t="s">
        <v>1363</v>
      </c>
      <c r="K440" s="8" t="str">
        <f>IFERROR(__xludf.DUMMYFUNCTION("SPLIT($J440,""   "","""")"),"-23.308373 -47.132554")</f>
        <v>-23.308373 -47.132554</v>
      </c>
      <c r="L440" s="7" t="str">
        <f>IFERROR(__xludf.DUMMYFUNCTION("""COMPUTED_VALUE"""),"Praça")</f>
        <v>Praça</v>
      </c>
      <c r="M440" s="7" t="str">
        <f>IFERROR(__xludf.DUMMYFUNCTION("""COMPUTED_VALUE""")," Comendador Martins")</f>
        <v> Comendador Martins</v>
      </c>
      <c r="N440" s="7" t="str">
        <f>IFERROR(__xludf.DUMMYFUNCTION("""COMPUTED_VALUE""")," Centro")</f>
        <v> Centro</v>
      </c>
      <c r="O440" s="7" t="str">
        <f>IFERROR(__xludf.DUMMYFUNCTION("""COMPUTED_VALUE""")," Cabreúva")</f>
        <v> Cabreúva</v>
      </c>
      <c r="P440" s="7" t="str">
        <f>IFERROR(__xludf.DUMMYFUNCTION("""COMPUTED_VALUE"""),"SP")</f>
        <v>SP</v>
      </c>
      <c r="Q440" s="7" t="str">
        <f>IFERROR(__xludf.DUMMYFUNCTION("""COMPUTED_VALUE""")," 13315-035 ")</f>
        <v> 13315-035 </v>
      </c>
      <c r="R440" s="9">
        <f>IFERROR(__xludf.DUMMYFUNCTION("SPLIT($K440,"" "","""")"),-2.3308373E7)</f>
        <v>-23308373</v>
      </c>
      <c r="S440" s="9">
        <f>IFERROR(__xludf.DUMMYFUNCTION("""COMPUTED_VALUE"""),-4.7132554E7)</f>
        <v>-47132554</v>
      </c>
      <c r="T440" s="10">
        <v>3508405.0</v>
      </c>
      <c r="U44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13315-035 ', 'PK-20686', SYSDATE, 0, 'PK-20686', SYSDATE, 'Praça  Comendador Martins  Centro', 'Praça Comendador Martins Centro', ' Centro', 'Praça', '3508405', 'Praça Comendador Martins Centro',' Centro', '1', 'SP', '1', '-23308373', '-47132554', ' Centro' </v>
      </c>
    </row>
    <row r="441" ht="15.75" customHeight="1">
      <c r="A441" s="4" t="s">
        <v>1364</v>
      </c>
      <c r="B441" s="5" t="s">
        <v>658</v>
      </c>
      <c r="C441" s="4" t="s">
        <v>10</v>
      </c>
      <c r="D441" s="5" t="s">
        <v>1365</v>
      </c>
      <c r="E441" s="6">
        <v>214.0</v>
      </c>
      <c r="F441" s="6" t="s">
        <v>12</v>
      </c>
      <c r="G441" s="3" t="s">
        <v>13</v>
      </c>
      <c r="H441" s="7" t="str">
        <f>IFERROR(__xludf.DUMMYFUNCTION("SPLIT(A439,""Rua"","""")"),"       Rodonita")</f>
        <v>       Rodonita</v>
      </c>
      <c r="J441" s="3" t="s">
        <v>1366</v>
      </c>
      <c r="K441" s="8" t="str">
        <f>IFERROR(__xludf.DUMMYFUNCTION("SPLIT($J441,""   "","""")"),"-23.558884 -46.793")</f>
        <v>-23.558884 -46.793</v>
      </c>
      <c r="L441" s="7" t="str">
        <f>IFERROR(__xludf.DUMMYFUNCTION("""COMPUTED_VALUE"""),"Rua")</f>
        <v>Rua</v>
      </c>
      <c r="M441" s="7" t="str">
        <f>IFERROR(__xludf.DUMMYFUNCTION("""COMPUTED_VALUE""")," Anízio da Silveira")</f>
        <v> Anízio da Silveira</v>
      </c>
      <c r="N441" s="7" t="str">
        <f>IFERROR(__xludf.DUMMYFUNCTION("""COMPUTED_VALUE""")," Cururú")</f>
        <v> Cururú</v>
      </c>
      <c r="O441" s="7" t="str">
        <f>IFERROR(__xludf.DUMMYFUNCTION("""COMPUTED_VALUE""")," Cabreúva")</f>
        <v> Cabreúva</v>
      </c>
      <c r="P441" s="7" t="str">
        <f>IFERROR(__xludf.DUMMYFUNCTION("""COMPUTED_VALUE"""),"SP")</f>
        <v>SP</v>
      </c>
      <c r="Q441" s="7" t="str">
        <f>IFERROR(__xludf.DUMMYFUNCTION("""COMPUTED_VALUE""")," 13317-862 ")</f>
        <v> 13317-862 </v>
      </c>
      <c r="R441" s="9">
        <f>IFERROR(__xludf.DUMMYFUNCTION("SPLIT($K441,"" "","""")"),-2.3558884E7)</f>
        <v>-23558884</v>
      </c>
      <c r="S441" s="9">
        <f>IFERROR(__xludf.DUMMYFUNCTION("""COMPUTED_VALUE"""),-46793.0)</f>
        <v>-46793</v>
      </c>
      <c r="T441" s="10">
        <v>3508405.0</v>
      </c>
      <c r="U44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13317-862 ', 'PK-20686', SYSDATE, 0, 'PK-20686', SYSDATE, 'Rua  Anízio da Silveira  Cururú', 'Rua Anízio da Silveira Cururú', ' Cururú', 'Rua', '3508405', 'Rua Anízio da Silveira Cururú',' Cururú', '1', 'SP', '1', '-23558884', '-46793', ' Cururú' </v>
      </c>
    </row>
    <row r="442" ht="15.75" customHeight="1">
      <c r="A442" s="4" t="s">
        <v>1367</v>
      </c>
      <c r="B442" s="5" t="s">
        <v>24</v>
      </c>
      <c r="C442" s="4" t="s">
        <v>10</v>
      </c>
      <c r="D442" s="5" t="s">
        <v>1368</v>
      </c>
      <c r="E442" s="6">
        <v>214.0</v>
      </c>
      <c r="F442" s="6" t="s">
        <v>12</v>
      </c>
      <c r="G442" s="3" t="s">
        <v>13</v>
      </c>
      <c r="H442" s="7" t="str">
        <f>IFERROR(__xludf.DUMMYFUNCTION("SPLIT(A440,""Rua"","""")"),"       Rogério da Silveira Camargo")</f>
        <v>       Rogério da Silveira Camargo</v>
      </c>
      <c r="J442" s="3" t="s">
        <v>1369</v>
      </c>
      <c r="K442" s="8" t="str">
        <f>IFERROR(__xludf.DUMMYFUNCTION("SPLIT($J442,""   "","""")"),"-23.314584 -47.132441")</f>
        <v>-23.314584 -47.132441</v>
      </c>
      <c r="L442" s="7" t="str">
        <f>IFERROR(__xludf.DUMMYFUNCTION("""COMPUTED_VALUE"""),"Rua")</f>
        <v>Rua</v>
      </c>
      <c r="M442" s="7" t="str">
        <f>IFERROR(__xludf.DUMMYFUNCTION("""COMPUTED_VALUE""")," São Roque")</f>
        <v> São Roque</v>
      </c>
      <c r="N442" s="7" t="str">
        <f>IFERROR(__xludf.DUMMYFUNCTION("""COMPUTED_VALUE""")," Nova Cabreúva (Centro)")</f>
        <v> Nova Cabreúva (Centro)</v>
      </c>
      <c r="O442" s="7" t="str">
        <f>IFERROR(__xludf.DUMMYFUNCTION("""COMPUTED_VALUE""")," Cabreúva")</f>
        <v> Cabreúva</v>
      </c>
      <c r="P442" s="7" t="str">
        <f>IFERROR(__xludf.DUMMYFUNCTION("""COMPUTED_VALUE"""),"SP")</f>
        <v>SP</v>
      </c>
      <c r="Q442" s="7" t="str">
        <f>IFERROR(__xludf.DUMMYFUNCTION("""COMPUTED_VALUE""")," 13315-112 ")</f>
        <v> 13315-112 </v>
      </c>
      <c r="R442" s="9">
        <f>IFERROR(__xludf.DUMMYFUNCTION("SPLIT($K442,"" "","""")"),-2.3314584E7)</f>
        <v>-23314584</v>
      </c>
      <c r="S442" s="9">
        <f>IFERROR(__xludf.DUMMYFUNCTION("""COMPUTED_VALUE"""),-4.7132441E7)</f>
        <v>-47132441</v>
      </c>
      <c r="T442" s="10">
        <v>3508405.0</v>
      </c>
      <c r="U44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13315-112 ', 'PK-20686', SYSDATE, 0, 'PK-20686', SYSDATE, 'Rua  São Roque  Nova Cabreúva (Centro)', 'Rua São Roque Nova Cabreúva (Centro)', ' Nova Cabreúva (Centro)', 'Rua', '3508405', 'Rua São Roque Nova Cabreúva (Centro)',' Nova Cabreúva (Centro)', '1', 'SP', '1', '-23314584', '-47132441', ' Nova Cabreúva (Centro)' </v>
      </c>
    </row>
    <row r="443" ht="15.75" customHeight="1">
      <c r="A443" s="4" t="s">
        <v>1370</v>
      </c>
      <c r="B443" s="5" t="s">
        <v>515</v>
      </c>
      <c r="C443" s="4" t="s">
        <v>10</v>
      </c>
      <c r="D443" s="5" t="s">
        <v>1371</v>
      </c>
      <c r="E443" s="6">
        <v>214.0</v>
      </c>
      <c r="F443" s="6" t="s">
        <v>12</v>
      </c>
      <c r="G443" s="3" t="s">
        <v>13</v>
      </c>
      <c r="H443" s="7" t="str">
        <f>IFERROR(__xludf.DUMMYFUNCTION("SPLIT(A441,""Rua"","""")"),"       Rogério Vieira")</f>
        <v>       Rogério Vieira</v>
      </c>
      <c r="J443" s="3" t="s">
        <v>1372</v>
      </c>
      <c r="K443" s="8" t="str">
        <f>IFERROR(__xludf.DUMMYFUNCTION("SPLIT($J443,""   "","""")"),"-23.313384 -47.130981")</f>
        <v>-23.313384 -47.130981</v>
      </c>
      <c r="L443" s="7" t="str">
        <f>IFERROR(__xludf.DUMMYFUNCTION("""COMPUTED_VALUE"""),"Rua")</f>
        <v>Rua</v>
      </c>
      <c r="M443" s="7" t="str">
        <f>IFERROR(__xludf.DUMMYFUNCTION("""COMPUTED_VALUE""")," São Judas Tadeu")</f>
        <v> São Judas Tadeu</v>
      </c>
      <c r="N443" s="7" t="str">
        <f>IFERROR(__xludf.DUMMYFUNCTION("""COMPUTED_VALUE""")," Jardim SantAna (Centro)")</f>
        <v> Jardim SantAna (Centro)</v>
      </c>
      <c r="O443" s="7" t="str">
        <f>IFERROR(__xludf.DUMMYFUNCTION("""COMPUTED_VALUE""")," Cabreúva")</f>
        <v> Cabreúva</v>
      </c>
      <c r="P443" s="7" t="str">
        <f>IFERROR(__xludf.DUMMYFUNCTION("""COMPUTED_VALUE"""),"SP")</f>
        <v>SP</v>
      </c>
      <c r="Q443" s="7" t="str">
        <f>IFERROR(__xludf.DUMMYFUNCTION("""COMPUTED_VALUE""")," 13315-080 ")</f>
        <v> 13315-080 </v>
      </c>
      <c r="R443" s="9">
        <f>IFERROR(__xludf.DUMMYFUNCTION("SPLIT($K443,"" "","""")"),-2.3313384E7)</f>
        <v>-23313384</v>
      </c>
      <c r="S443" s="9">
        <f>IFERROR(__xludf.DUMMYFUNCTION("""COMPUTED_VALUE"""),-4.7130981E7)</f>
        <v>-47130981</v>
      </c>
      <c r="T443" s="10">
        <v>3508405.0</v>
      </c>
      <c r="U44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13315-080 ', 'PK-20686', SYSDATE, 0, 'PK-20686', SYSDATE, 'Rua  São Judas Tadeu  Jardim SantAna (Centro)', 'Rua São Judas Tadeu Jardim SantAna (Centro)', ' Jardim SantAna (Centro)', 'Rua', '3508405', 'Rua São Judas Tadeu Jardim SantAna (Centro)',' Jardim SantAna (Centro)', '1', 'SP', '1', '-23313384', '-47130981', ' Jardim SantAna (Centro)' </v>
      </c>
    </row>
    <row r="444" ht="15.75" customHeight="1">
      <c r="A444" s="4" t="s">
        <v>1373</v>
      </c>
      <c r="B444" s="5" t="s">
        <v>24</v>
      </c>
      <c r="C444" s="4" t="s">
        <v>10</v>
      </c>
      <c r="D444" s="5" t="s">
        <v>1374</v>
      </c>
      <c r="E444" s="6">
        <v>214.0</v>
      </c>
      <c r="F444" s="6" t="s">
        <v>12</v>
      </c>
      <c r="G444" s="3" t="s">
        <v>13</v>
      </c>
      <c r="H444" s="7" t="str">
        <f>IFERROR(__xludf.DUMMYFUNCTION("SPLIT(A442,""Rua"","""")"),"       Rondônia")</f>
        <v>       Rondônia</v>
      </c>
      <c r="J444" s="3" t="s">
        <v>1375</v>
      </c>
      <c r="K444" s="8" t="str">
        <f>IFERROR(__xludf.DUMMYFUNCTION("SPLIT($J444,""   "","""")"),"-23.307366 -47.133678")</f>
        <v>-23.307366 -47.133678</v>
      </c>
      <c r="L444" s="7" t="str">
        <f>IFERROR(__xludf.DUMMYFUNCTION("""COMPUTED_VALUE"""),"Rua")</f>
        <v>Rua</v>
      </c>
      <c r="M444" s="7" t="str">
        <f>IFERROR(__xludf.DUMMYFUNCTION("""COMPUTED_VALUE""")," Sete")</f>
        <v> Sete</v>
      </c>
      <c r="N444" s="7" t="str">
        <f>IFERROR(__xludf.DUMMYFUNCTION("""COMPUTED_VALUE""")," Alpes do Tietê")</f>
        <v> Alpes do Tietê</v>
      </c>
      <c r="O444" s="7" t="str">
        <f>IFERROR(__xludf.DUMMYFUNCTION("""COMPUTED_VALUE""")," Cabreúva")</f>
        <v> Cabreúva</v>
      </c>
      <c r="P444" s="7" t="str">
        <f>IFERROR(__xludf.DUMMYFUNCTION("""COMPUTED_VALUE"""),"SP")</f>
        <v>SP</v>
      </c>
      <c r="Q444" s="7" t="str">
        <f>IFERROR(__xludf.DUMMYFUNCTION("""COMPUTED_VALUE""")," 13316-606 ")</f>
        <v> 13316-606 </v>
      </c>
      <c r="R444" s="9">
        <f>IFERROR(__xludf.DUMMYFUNCTION("SPLIT($K444,"" "","""")"),-2.3307366E7)</f>
        <v>-23307366</v>
      </c>
      <c r="S444" s="9">
        <f>IFERROR(__xludf.DUMMYFUNCTION("""COMPUTED_VALUE"""),-4.7133678E7)</f>
        <v>-47133678</v>
      </c>
      <c r="T444" s="10">
        <v>3508405.0</v>
      </c>
      <c r="U44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13316-606 ', 'PK-20686', SYSDATE, 0, 'PK-20686', SYSDATE, 'Rua  Sete  Alpes do Tietê', 'Rua Sete Alpes do Tietê', ' Alpes do Tietê', 'Rua', '3508405', 'Rua Sete Alpes do Tietê',' Alpes do Tietê', '1', 'SP', '1', '-23307366', '-47133678', ' Alpes do Tietê' </v>
      </c>
    </row>
    <row r="445" ht="15.75" customHeight="1">
      <c r="A445" s="4" t="s">
        <v>1376</v>
      </c>
      <c r="B445" s="5" t="s">
        <v>24</v>
      </c>
      <c r="C445" s="4" t="s">
        <v>10</v>
      </c>
      <c r="D445" s="5" t="s">
        <v>1377</v>
      </c>
      <c r="E445" s="6">
        <v>214.0</v>
      </c>
      <c r="F445" s="6" t="s">
        <v>12</v>
      </c>
      <c r="G445" s="3" t="s">
        <v>13</v>
      </c>
      <c r="H445" s="7" t="str">
        <f>IFERROR(__xludf.DUMMYFUNCTION("SPLIT(A443,""Rua"","""")"),"       Roque Mesquita Camargo")</f>
        <v>       Roque Mesquita Camargo</v>
      </c>
      <c r="J445" s="3" t="s">
        <v>1378</v>
      </c>
      <c r="K445" s="8" t="str">
        <f>IFERROR(__xludf.DUMMYFUNCTION("SPLIT($J445,""   "","""")"),"-23.262058 -47.051402")</f>
        <v>-23.262058 -47.051402</v>
      </c>
      <c r="L445" s="7" t="str">
        <f>IFERROR(__xludf.DUMMYFUNCTION("""COMPUTED_VALUE"""),"Rua")</f>
        <v>Rua</v>
      </c>
      <c r="M445" s="7" t="str">
        <f>IFERROR(__xludf.DUMMYFUNCTION("""COMPUTED_VALUE""")," Rodonita")</f>
        <v> Rodonita</v>
      </c>
      <c r="N445" s="7" t="str">
        <f>IFERROR(__xludf.DUMMYFUNCTION("""COMPUTED_VALUE""")," Jardim Colina da Serra II (Jacaré)")</f>
        <v> Jardim Colina da Serra II (Jacaré)</v>
      </c>
      <c r="O445" s="7" t="str">
        <f>IFERROR(__xludf.DUMMYFUNCTION("""COMPUTED_VALUE""")," Cabreúva")</f>
        <v> Cabreúva</v>
      </c>
      <c r="P445" s="7" t="str">
        <f>IFERROR(__xludf.DUMMYFUNCTION("""COMPUTED_VALUE"""),"SP")</f>
        <v>SP</v>
      </c>
      <c r="Q445" s="7" t="str">
        <f>IFERROR(__xludf.DUMMYFUNCTION("""COMPUTED_VALUE""")," 13318-266 ")</f>
        <v> 13318-266 </v>
      </c>
      <c r="R445" s="9">
        <f>IFERROR(__xludf.DUMMYFUNCTION("SPLIT($K445,"" "","""")"),-2.3262058E7)</f>
        <v>-23262058</v>
      </c>
      <c r="S445" s="9">
        <f>IFERROR(__xludf.DUMMYFUNCTION("""COMPUTED_VALUE"""),-4.7051402E7)</f>
        <v>-47051402</v>
      </c>
      <c r="T445" s="10">
        <v>3508405.0</v>
      </c>
      <c r="U44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13318-266 ', 'PK-20686', SYSDATE, 0, 'PK-20686', SYSDATE, 'Rua  Rodonita  Jardim Colina da Serra II (Jacaré)', 'Rua Rodonita Jardim Colina da Serra II (Jacaré)', ' Jardim Colina da Serra II (Jacaré)', 'Rua', '3508405', 'Rua Rodonita Jardim Colina da Serra II (Jacaré)',' Jardim Colina da Serra II (Jacaré)', '1', 'SP', '1', '-23262058', '-47051402', ' Jardim Colina da Serra II (Jacaré)' </v>
      </c>
    </row>
    <row r="446" ht="15.75" hidden="1" customHeight="1">
      <c r="A446" s="4" t="s">
        <v>1379</v>
      </c>
      <c r="B446" s="5" t="s">
        <v>153</v>
      </c>
      <c r="C446" s="4" t="s">
        <v>10</v>
      </c>
      <c r="D446" s="5" t="s">
        <v>1380</v>
      </c>
      <c r="E446" s="6">
        <v>214.0</v>
      </c>
      <c r="F446" s="6" t="s">
        <v>12</v>
      </c>
      <c r="G446" s="3" t="s">
        <v>13</v>
      </c>
      <c r="H446" s="7" t="str">
        <f>IFERROR(__xludf.DUMMYFUNCTION("SPLIT(A444,""Rua"","""")"),"       Roraima")</f>
        <v>       Roraima</v>
      </c>
      <c r="J446" s="3" t="s">
        <v>1381</v>
      </c>
      <c r="K446" s="8" t="str">
        <f>IFERROR(__xludf.DUMMYFUNCTION("SPLIT($J446,""   "","""")"),"-23.256511 -47.051333")</f>
        <v>-23.256511 -47.051333</v>
      </c>
      <c r="L446" s="7" t="str">
        <f>IFERROR(__xludf.DUMMYFUNCTION("""COMPUTED_VALUE"""),"Alameda")</f>
        <v>Alameda</v>
      </c>
      <c r="M446" s="7" t="str">
        <f>IFERROR(__xludf.DUMMYFUNCTION("""COMPUTED_VALUE""")," das Grevileas")</f>
        <v> das Grevileas</v>
      </c>
      <c r="N446" s="7" t="str">
        <f>IFERROR(__xludf.DUMMYFUNCTION("""COMPUTED_VALUE""")," Portal da Concórdia (Jacaré)")</f>
        <v> Portal da Concórdia (Jacaré)</v>
      </c>
      <c r="O446" s="7" t="str">
        <f>IFERROR(__xludf.DUMMYFUNCTION("""COMPUTED_VALUE""")," Cabreúva")</f>
        <v> Cabreúva</v>
      </c>
      <c r="P446" s="7" t="str">
        <f>IFERROR(__xludf.DUMMYFUNCTION("""COMPUTED_VALUE"""),"SP")</f>
        <v>SP</v>
      </c>
      <c r="Q446" s="7" t="str">
        <f>IFERROR(__xludf.DUMMYFUNCTION("""COMPUTED_VALUE""")," 13318-320 ")</f>
        <v> 13318-320 </v>
      </c>
      <c r="R446" s="9">
        <f>IFERROR(__xludf.DUMMYFUNCTION("SPLIT($K446,"" "","""")"),-2.3256511E7)</f>
        <v>-23256511</v>
      </c>
      <c r="S446" s="9">
        <f>IFERROR(__xludf.DUMMYFUNCTION("""COMPUTED_VALUE"""),-4.7051333E7)</f>
        <v>-47051333</v>
      </c>
      <c r="T446" s="10">
        <v>3508405.0</v>
      </c>
      <c r="U44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13318-320 ', 'PK-20686', SYSDATE, 0, 'PK-20686', SYSDATE, 'Alameda  das Grevileas  Portal da Concórdia (Jacaré)', 'Alameda das Grevileas Portal da Concórdia (Jacaré)', ' Portal da Concórdia (Jacaré)', 'Alameda', '3508405', 'Alameda das Grevileas Portal da Concórdia (Jacaré)',' Portal da Concórdia (Jacaré)', '1', 'SP', '1', '-23256511', '-47051333', ' Portal da Concórdia (Jacaré)' </v>
      </c>
    </row>
    <row r="447" ht="15.75" hidden="1" customHeight="1">
      <c r="A447" s="12" t="s">
        <v>1382</v>
      </c>
      <c r="B447" s="13" t="s">
        <v>394</v>
      </c>
      <c r="C447" s="4" t="s">
        <v>10</v>
      </c>
      <c r="D447" s="13" t="s">
        <v>1383</v>
      </c>
      <c r="E447" s="6">
        <v>214.0</v>
      </c>
      <c r="F447" s="6" t="s">
        <v>12</v>
      </c>
      <c r="G447" s="3" t="s">
        <v>13</v>
      </c>
      <c r="H447" s="7" t="str">
        <f>IFERROR(__xludf.DUMMYFUNCTION("SPLIT(A445,""Rua"","""")"),"       Rotary")</f>
        <v>       Rotary</v>
      </c>
      <c r="J447" s="3" t="s">
        <v>1384</v>
      </c>
      <c r="K447" s="8" t="str">
        <f>IFERROR(__xludf.DUMMYFUNCTION("SPLIT($J447,""   "","""")"),"-23.261758 -47.046828")</f>
        <v>-23.261758 -47.046828</v>
      </c>
      <c r="L447" s="7" t="str">
        <f>IFERROR(__xludf.DUMMYFUNCTION("""COMPUTED_VALUE"""),"Travessa")</f>
        <v>Travessa</v>
      </c>
      <c r="M447" s="7" t="str">
        <f>IFERROR(__xludf.DUMMYFUNCTION("""COMPUTED_VALUE""")," Marina")</f>
        <v> Marina</v>
      </c>
      <c r="N447" s="7" t="str">
        <f>IFERROR(__xludf.DUMMYFUNCTION("""COMPUTED_VALUE""")," Jardim Colina da Serra II (Jacaré)")</f>
        <v> Jardim Colina da Serra II (Jacaré)</v>
      </c>
      <c r="O447" s="7" t="str">
        <f>IFERROR(__xludf.DUMMYFUNCTION("""COMPUTED_VALUE""")," Cabreúva")</f>
        <v> Cabreúva</v>
      </c>
      <c r="P447" s="7" t="str">
        <f>IFERROR(__xludf.DUMMYFUNCTION("""COMPUTED_VALUE"""),"SP")</f>
        <v>SP</v>
      </c>
      <c r="Q447" s="7" t="str">
        <f>IFERROR(__xludf.DUMMYFUNCTION("""COMPUTED_VALUE""")," 13318-288 ")</f>
        <v> 13318-288 </v>
      </c>
      <c r="R447" s="9">
        <f>IFERROR(__xludf.DUMMYFUNCTION("SPLIT($K447,"" "","""")"),-2.3261758E7)</f>
        <v>-23261758</v>
      </c>
      <c r="S447" s="9">
        <f>IFERROR(__xludf.DUMMYFUNCTION("""COMPUTED_VALUE"""),-4.7046828E7)</f>
        <v>-47046828</v>
      </c>
      <c r="T447" s="10">
        <v>3508405.0</v>
      </c>
      <c r="U44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13318-288 ', 'PK-20686', SYSDATE, 0, 'PK-20686', SYSDATE, 'Travessa  Marina  Jardim Colina da Serra II (Jacaré)', 'Travessa Marina Jardim Colina da Serra II (Jacaré)', ' Jardim Colina da Serra II (Jacaré)', 'Travessa', '3508405', 'Travessa Marina Jardim Colina da Serra II (Jacaré)',' Jardim Colina da Serra II (Jacaré)', '1', 'SP', '1', '-23261758', '-47046828', ' Jardim Colina da Serra II (Jacaré)' </v>
      </c>
    </row>
    <row r="448" ht="15.75" customHeight="1">
      <c r="A448" s="4" t="s">
        <v>1385</v>
      </c>
      <c r="B448" s="5" t="s">
        <v>160</v>
      </c>
      <c r="C448" s="4" t="s">
        <v>10</v>
      </c>
      <c r="D448" s="5" t="s">
        <v>1386</v>
      </c>
      <c r="E448" s="6">
        <v>214.0</v>
      </c>
      <c r="F448" s="6" t="s">
        <v>12</v>
      </c>
      <c r="G448" s="3" t="s">
        <v>13</v>
      </c>
      <c r="H448" s="7" t="str">
        <f>IFERROR(__xludf.DUMMYFUNCTION("SPLIT(A446,""Rua"","""")"),"       Rubelita")</f>
        <v>       Rubelita</v>
      </c>
      <c r="J448" s="3" t="s">
        <v>1387</v>
      </c>
      <c r="K448" s="8" t="str">
        <f>IFERROR(__xludf.DUMMYFUNCTION("SPLIT($J448,""   "","""")"),"-23.267882 -47.053852")</f>
        <v>-23.267882 -47.053852</v>
      </c>
      <c r="L448" s="7" t="str">
        <f>IFERROR(__xludf.DUMMYFUNCTION("""COMPUTED_VALUE"""),"Rua")</f>
        <v>Rua</v>
      </c>
      <c r="M448" s="7" t="str">
        <f>IFERROR(__xludf.DUMMYFUNCTION("""COMPUTED_VALUE""")," Líbano")</f>
        <v> Líbano</v>
      </c>
      <c r="N448" s="7" t="str">
        <f>IFERROR(__xludf.DUMMYFUNCTION("""COMPUTED_VALUE""")," Villarejo Sopé da Serra (Vilarejo)")</f>
        <v> Villarejo Sopé da Serra (Vilarejo)</v>
      </c>
      <c r="O448" s="7" t="str">
        <f>IFERROR(__xludf.DUMMYFUNCTION("""COMPUTED_VALUE""")," Cabreúva")</f>
        <v> Cabreúva</v>
      </c>
      <c r="P448" s="7" t="str">
        <f>IFERROR(__xludf.DUMMYFUNCTION("""COMPUTED_VALUE"""),"SP")</f>
        <v>SP</v>
      </c>
      <c r="Q448" s="7" t="str">
        <f>IFERROR(__xludf.DUMMYFUNCTION("""COMPUTED_VALUE""")," 13317-696 ")</f>
        <v> 13317-696 </v>
      </c>
      <c r="R448" s="9">
        <f>IFERROR(__xludf.DUMMYFUNCTION("SPLIT($K448,"" "","""")"),-2.3267882E7)</f>
        <v>-23267882</v>
      </c>
      <c r="S448" s="9">
        <f>IFERROR(__xludf.DUMMYFUNCTION("""COMPUTED_VALUE"""),-4.7053852E7)</f>
        <v>-47053852</v>
      </c>
      <c r="T448" s="10">
        <v>3508405.0</v>
      </c>
      <c r="U44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13317-696 ', 'PK-20686', SYSDATE, 0, 'PK-20686', SYSDATE, 'Rua  Líbano  Villarejo Sopé da Serra (Vilarejo)', 'Rua Líbano Villarejo Sopé da Serra (Vilarejo)', ' Villarejo Sopé da Serra (Vilarejo)', 'Rua', '3508405', 'Rua Líbano Villarejo Sopé da Serra (Vilarejo)',' Villarejo Sopé da Serra (Vilarejo)', '1', 'SP', '1', '-23267882', '-47053852', ' Villarejo Sopé da Serra (Vilarejo)' </v>
      </c>
    </row>
    <row r="449" ht="15.75" customHeight="1">
      <c r="A449" s="4" t="s">
        <v>1388</v>
      </c>
      <c r="B449" s="5" t="s">
        <v>1131</v>
      </c>
      <c r="C449" s="4" t="s">
        <v>10</v>
      </c>
      <c r="D449" s="5" t="s">
        <v>1389</v>
      </c>
      <c r="E449" s="6">
        <v>214.0</v>
      </c>
      <c r="F449" s="6" t="s">
        <v>12</v>
      </c>
      <c r="G449" s="3" t="s">
        <v>13</v>
      </c>
      <c r="H449" s="7" t="str">
        <f>IFERROR(__xludf.DUMMYFUNCTION("SPLIT(A447,""Rua"","""")"),"       Rubi")</f>
        <v>       Rubi</v>
      </c>
      <c r="J449" s="3" t="s">
        <v>1390</v>
      </c>
      <c r="K449" s="8" t="str">
        <f>IFERROR(__xludf.DUMMYFUNCTION("SPLIT($J449,""   "","""")"),"-23.255156 -47.093628")</f>
        <v>-23.255156 -47.093628</v>
      </c>
      <c r="L449" s="7" t="str">
        <f>IFERROR(__xludf.DUMMYFUNCTION("""COMPUTED_VALUE"""),"Rua")</f>
        <v>Rua</v>
      </c>
      <c r="M449" s="7" t="str">
        <f>IFERROR(__xludf.DUMMYFUNCTION("""COMPUTED_VALUE""")," Paulo Emmanoelli")</f>
        <v> Paulo Emmanoelli</v>
      </c>
      <c r="N449" s="7" t="str">
        <f>IFERROR(__xludf.DUMMYFUNCTION("""COMPUTED_VALUE""")," Pinhal")</f>
        <v> Pinhal</v>
      </c>
      <c r="O449" s="7" t="str">
        <f>IFERROR(__xludf.DUMMYFUNCTION("""COMPUTED_VALUE""")," Cabreúva")</f>
        <v> Cabreúva</v>
      </c>
      <c r="P449" s="7" t="str">
        <f>IFERROR(__xludf.DUMMYFUNCTION("""COMPUTED_VALUE"""),"SP")</f>
        <v>SP</v>
      </c>
      <c r="Q449" s="7" t="str">
        <f>IFERROR(__xludf.DUMMYFUNCTION("""COMPUTED_VALUE""")," 13317-230 ")</f>
        <v> 13317-230 </v>
      </c>
      <c r="R449" s="9">
        <f>IFERROR(__xludf.DUMMYFUNCTION("SPLIT($K449,"" "","""")"),-2.3255156E7)</f>
        <v>-23255156</v>
      </c>
      <c r="S449" s="9">
        <f>IFERROR(__xludf.DUMMYFUNCTION("""COMPUTED_VALUE"""),-4.7093628E7)</f>
        <v>-47093628</v>
      </c>
      <c r="T449" s="10">
        <v>3508405.0</v>
      </c>
      <c r="U44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13317-230 ', 'PK-20686', SYSDATE, 0, 'PK-20686', SYSDATE, 'Rua  Paulo Emmanoelli  Pinhal', 'Rua Paulo Emmanoelli Pinhal', ' Pinhal', 'Rua', '3508405', 'Rua Paulo Emmanoelli Pinhal',' Pinhal', '1', 'SP', '1', '-23255156', '-47093628', ' Pinhal' </v>
      </c>
    </row>
    <row r="450" ht="15.75" customHeight="1">
      <c r="A450" s="4" t="s">
        <v>1391</v>
      </c>
      <c r="B450" s="5" t="s">
        <v>149</v>
      </c>
      <c r="C450" s="4" t="s">
        <v>10</v>
      </c>
      <c r="D450" s="5" t="s">
        <v>1392</v>
      </c>
      <c r="E450" s="6">
        <v>214.0</v>
      </c>
      <c r="F450" s="6" t="s">
        <v>12</v>
      </c>
      <c r="G450" s="3" t="s">
        <v>13</v>
      </c>
      <c r="H450" s="7" t="str">
        <f>IFERROR(__xludf.DUMMYFUNCTION("SPLIT(A448,""Rua"","""")"),"       Rússia")</f>
        <v>       Rússia</v>
      </c>
      <c r="J450" s="3" t="s">
        <v>1393</v>
      </c>
      <c r="K450" s="8" t="str">
        <f>IFERROR(__xludf.DUMMYFUNCTION("SPLIT($J450,""   "","""")"),"-23.303315 -47.135791")</f>
        <v>-23.303315 -47.135791</v>
      </c>
      <c r="L450" s="7" t="str">
        <f>IFERROR(__xludf.DUMMYFUNCTION("""COMPUTED_VALUE"""),"Rua")</f>
        <v>Rua</v>
      </c>
      <c r="M450" s="7" t="str">
        <f>IFERROR(__xludf.DUMMYFUNCTION("""COMPUTED_VALUE""")," Jasmim")</f>
        <v> Jasmim</v>
      </c>
      <c r="N450" s="7" t="str">
        <f>IFERROR(__xludf.DUMMYFUNCTION("""COMPUTED_VALUE""")," Vale Verde (Centro)")</f>
        <v> Vale Verde (Centro)</v>
      </c>
      <c r="O450" s="7" t="str">
        <f>IFERROR(__xludf.DUMMYFUNCTION("""COMPUTED_VALUE""")," Cabreúva")</f>
        <v> Cabreúva</v>
      </c>
      <c r="P450" s="7" t="str">
        <f>IFERROR(__xludf.DUMMYFUNCTION("""COMPUTED_VALUE"""),"SP")</f>
        <v>SP</v>
      </c>
      <c r="Q450" s="7" t="str">
        <f>IFERROR(__xludf.DUMMYFUNCTION("""COMPUTED_VALUE""")," 13315-248 ")</f>
        <v> 13315-248 </v>
      </c>
      <c r="R450" s="9">
        <f>IFERROR(__xludf.DUMMYFUNCTION("SPLIT($K450,"" "","""")"),-2.3303315E7)</f>
        <v>-23303315</v>
      </c>
      <c r="S450" s="9">
        <f>IFERROR(__xludf.DUMMYFUNCTION("""COMPUTED_VALUE"""),-4.7135791E7)</f>
        <v>-47135791</v>
      </c>
      <c r="T450" s="10">
        <v>3508405.0</v>
      </c>
      <c r="U45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13315-248 ', 'PK-20686', SYSDATE, 0, 'PK-20686', SYSDATE, 'Rua  Jasmim  Vale Verde (Centro)', 'Rua Jasmim Vale Verde (Centro)', ' Vale Verde (Centro)', 'Rua', '3508405', 'Rua Jasmim Vale Verde (Centro)',' Vale Verde (Centro)', '1', 'SP', '1', '-23303315', '-47135791', ' Vale Verde (Centro)' </v>
      </c>
    </row>
    <row r="451" ht="15.75" hidden="1" customHeight="1">
      <c r="A451" s="4" t="s">
        <v>1391</v>
      </c>
      <c r="B451" s="5" t="s">
        <v>394</v>
      </c>
      <c r="C451" s="4" t="s">
        <v>10</v>
      </c>
      <c r="D451" s="5" t="s">
        <v>1394</v>
      </c>
      <c r="E451" s="6">
        <v>214.0</v>
      </c>
      <c r="F451" s="6" t="s">
        <v>12</v>
      </c>
      <c r="G451" s="3" t="s">
        <v>13</v>
      </c>
      <c r="H451" s="7" t="str">
        <f>IFERROR(__xludf.DUMMYFUNCTION("SPLIT(A449,""Rua"","""")"),"       Sabará")</f>
        <v>       Sabará</v>
      </c>
      <c r="J451" s="3" t="s">
        <v>1395</v>
      </c>
      <c r="K451" s="8" t="str">
        <f>IFERROR(__xludf.DUMMYFUNCTION("SPLIT($J451,""   "","""")"),"-23.313825 -47.131869")</f>
        <v>-23.313825 -47.131869</v>
      </c>
      <c r="L451" s="7" t="str">
        <f>IFERROR(__xludf.DUMMYFUNCTION("""COMPUTED_VALUE"""),"Avenida")</f>
        <v>Avenida</v>
      </c>
      <c r="M451" s="7" t="str">
        <f>IFERROR(__xludf.DUMMYFUNCTION("""COMPUTED_VALUE""")," Major Antonio da Silveira Camargo")</f>
        <v> Major Antonio da Silveira Camargo</v>
      </c>
      <c r="N451" s="7" t="str">
        <f>IFERROR(__xludf.DUMMYFUNCTION("""COMPUTED_VALUE""")," Centro")</f>
        <v> Centro</v>
      </c>
      <c r="O451" s="7" t="str">
        <f>IFERROR(__xludf.DUMMYFUNCTION("""COMPUTED_VALUE""")," Cabreúva")</f>
        <v> Cabreúva</v>
      </c>
      <c r="P451" s="7" t="str">
        <f>IFERROR(__xludf.DUMMYFUNCTION("""COMPUTED_VALUE"""),"SP")</f>
        <v>SP</v>
      </c>
      <c r="Q451" s="7" t="str">
        <f>IFERROR(__xludf.DUMMYFUNCTION("""COMPUTED_VALUE""")," 13315-005 ")</f>
        <v> 13315-005 </v>
      </c>
      <c r="R451" s="9">
        <f>IFERROR(__xludf.DUMMYFUNCTION("SPLIT($K451,"" "","""")"),-2.3313825E7)</f>
        <v>-23313825</v>
      </c>
      <c r="S451" s="9">
        <f>IFERROR(__xludf.DUMMYFUNCTION("""COMPUTED_VALUE"""),-4.7131869E7)</f>
        <v>-47131869</v>
      </c>
      <c r="T451" s="10">
        <v>3508405.0</v>
      </c>
      <c r="U45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13315-005 ', 'PK-20686', SYSDATE, 0, 'PK-20686', SYSDATE, 'Avenida  Major Antonio da Silveira Camargo  Centro', 'Avenida Major Antonio da Silveira Camargo Centro', ' Centro', 'Avenida', '3508405', 'Avenida Major Antonio da Silveira Camargo Centro',' Centro', '1', 'SP', '1', '-23313825', '-47131869', ' Centro' </v>
      </c>
    </row>
    <row r="452" ht="15.75" customHeight="1">
      <c r="A452" s="4" t="s">
        <v>1396</v>
      </c>
      <c r="B452" s="5" t="s">
        <v>164</v>
      </c>
      <c r="C452" s="4" t="s">
        <v>10</v>
      </c>
      <c r="D452" s="5" t="s">
        <v>1397</v>
      </c>
      <c r="E452" s="6">
        <v>214.0</v>
      </c>
      <c r="F452" s="6" t="s">
        <v>12</v>
      </c>
      <c r="G452" s="3" t="s">
        <v>13</v>
      </c>
      <c r="H452" s="7" t="str">
        <f>IFERROR(__xludf.DUMMYFUNCTION("SPLIT(A450,""Rua"","""")"),"       Safira")</f>
        <v>       Safira</v>
      </c>
      <c r="J452" s="3" t="s">
        <v>1398</v>
      </c>
      <c r="K452" s="8" t="str">
        <f>IFERROR(__xludf.DUMMYFUNCTION("SPLIT($J452,""   "","""")"),"-23.307366 -47.133678")</f>
        <v>-23.307366 -47.133678</v>
      </c>
      <c r="L452" s="7" t="str">
        <f>IFERROR(__xludf.DUMMYFUNCTION("""COMPUTED_VALUE"""),"Rua")</f>
        <v>Rua</v>
      </c>
      <c r="M452" s="7" t="str">
        <f>IFERROR(__xludf.DUMMYFUNCTION("""COMPUTED_VALUE""")," do Comércio")</f>
        <v> do Comércio</v>
      </c>
      <c r="N452" s="7" t="str">
        <f>IFERROR(__xludf.DUMMYFUNCTION("""COMPUTED_VALUE""")," Jardim Primavera (Jacaré)")</f>
        <v> Jardim Primavera (Jacaré)</v>
      </c>
      <c r="O452" s="7" t="str">
        <f>IFERROR(__xludf.DUMMYFUNCTION("""COMPUTED_VALUE""")," Cabreúva")</f>
        <v> Cabreúva</v>
      </c>
      <c r="P452" s="7" t="str">
        <f>IFERROR(__xludf.DUMMYFUNCTION("""COMPUTED_VALUE"""),"SP")</f>
        <v>SP</v>
      </c>
      <c r="Q452" s="7" t="str">
        <f>IFERROR(__xludf.DUMMYFUNCTION("""COMPUTED_VALUE""")," 13318-422 ")</f>
        <v> 13318-422 </v>
      </c>
      <c r="R452" s="9">
        <f>IFERROR(__xludf.DUMMYFUNCTION("SPLIT($K452,"" "","""")"),-2.3307366E7)</f>
        <v>-23307366</v>
      </c>
      <c r="S452" s="9">
        <f>IFERROR(__xludf.DUMMYFUNCTION("""COMPUTED_VALUE"""),-4.7133678E7)</f>
        <v>-47133678</v>
      </c>
      <c r="T452" s="10">
        <v>3508405.0</v>
      </c>
      <c r="U45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13318-422 ', 'PK-20686', SYSDATE, 0, 'PK-20686', SYSDATE, 'Rua  do Comércio  Jardim Primavera (Jacaré)', 'Rua do Comércio Jardim Primavera (Jacaré)', ' Jardim Primavera (Jacaré)', 'Rua', '3508405', 'Rua do Comércio Jardim Primavera (Jacaré)',' Jardim Primavera (Jacaré)', '1', 'SP', '1', '-23307366', '-47133678', ' Jardim Primavera (Jacaré)' </v>
      </c>
    </row>
    <row r="453" ht="15.75" customHeight="1">
      <c r="A453" s="4" t="s">
        <v>1399</v>
      </c>
      <c r="B453" s="5" t="s">
        <v>573</v>
      </c>
      <c r="C453" s="4" t="s">
        <v>10</v>
      </c>
      <c r="D453" s="5" t="s">
        <v>1400</v>
      </c>
      <c r="E453" s="6">
        <v>214.0</v>
      </c>
      <c r="F453" s="6" t="s">
        <v>12</v>
      </c>
      <c r="G453" s="3" t="s">
        <v>13</v>
      </c>
      <c r="H453" s="7" t="str">
        <f>IFERROR(__xludf.DUMMYFUNCTION("SPLIT(A451,""Rua"","""")"),"       Safira")</f>
        <v>       Safira</v>
      </c>
      <c r="J453" s="3" t="s">
        <v>1401</v>
      </c>
      <c r="K453" s="8" t="str">
        <f>IFERROR(__xludf.DUMMYFUNCTION("SPLIT($J453,""   "","""")"),"-23.307366 -47.133678")</f>
        <v>-23.307366 -47.133678</v>
      </c>
      <c r="L453" s="7" t="str">
        <f>IFERROR(__xludf.DUMMYFUNCTION("""COMPUTED_VALUE"""),"Rua")</f>
        <v>Rua</v>
      </c>
      <c r="M453" s="7" t="str">
        <f>IFERROR(__xludf.DUMMYFUNCTION("""COMPUTED_VALUE""")," Tanzânia")</f>
        <v> Tanzânia</v>
      </c>
      <c r="N453" s="7" t="str">
        <f>IFERROR(__xludf.DUMMYFUNCTION("""COMPUTED_VALUE""")," Jardim Residencial Bela Vista (Vilarejo)")</f>
        <v> Jardim Residencial Bela Vista (Vilarejo)</v>
      </c>
      <c r="O453" s="7" t="str">
        <f>IFERROR(__xludf.DUMMYFUNCTION("""COMPUTED_VALUE""")," Cabreúva")</f>
        <v> Cabreúva</v>
      </c>
      <c r="P453" s="7" t="str">
        <f>IFERROR(__xludf.DUMMYFUNCTION("""COMPUTED_VALUE"""),"SP")</f>
        <v>SP</v>
      </c>
      <c r="Q453" s="7" t="str">
        <f>IFERROR(__xludf.DUMMYFUNCTION("""COMPUTED_VALUE""")," 13317-708 ")</f>
        <v> 13317-708 </v>
      </c>
      <c r="R453" s="9">
        <f>IFERROR(__xludf.DUMMYFUNCTION("SPLIT($K453,"" "","""")"),-2.3307366E7)</f>
        <v>-23307366</v>
      </c>
      <c r="S453" s="9">
        <f>IFERROR(__xludf.DUMMYFUNCTION("""COMPUTED_VALUE"""),-4.7133678E7)</f>
        <v>-47133678</v>
      </c>
      <c r="T453" s="10">
        <v>3508405.0</v>
      </c>
      <c r="U45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13317-708 ', 'PK-20686', SYSDATE, 0, 'PK-20686', SYSDATE, 'Rua  Tanzânia  Jardim Residencial Bela Vista (Vilarejo)', 'Rua Tanzânia Jardim Residencial Bela Vista (Vilarejo)', ' Jardim Residencial Bela Vista (Vilarejo)', 'Rua', '3508405', 'Rua Tanzânia Jardim Residencial Bela Vista (Vilarejo)',' Jardim Residencial Bela Vista (Vilarejo)', '1', 'SP', '1', '-23307366', '-47133678', ' Jardim Residencial Bela Vista (Vilarejo)' </v>
      </c>
    </row>
    <row r="454" ht="15.75" customHeight="1">
      <c r="A454" s="4" t="s">
        <v>1402</v>
      </c>
      <c r="B454" s="5" t="s">
        <v>1131</v>
      </c>
      <c r="C454" s="4" t="s">
        <v>10</v>
      </c>
      <c r="D454" s="5" t="s">
        <v>1403</v>
      </c>
      <c r="E454" s="6">
        <v>214.0</v>
      </c>
      <c r="F454" s="6" t="s">
        <v>12</v>
      </c>
      <c r="G454" s="3" t="s">
        <v>13</v>
      </c>
      <c r="H454" s="7" t="str">
        <f>IFERROR(__xludf.DUMMYFUNCTION("SPLIT(A452,""Rua"","""")"),"       Salvador Pinto da Silva")</f>
        <v>       Salvador Pinto da Silva</v>
      </c>
      <c r="J454" s="3" t="s">
        <v>1404</v>
      </c>
      <c r="K454" s="8" t="str">
        <f>IFERROR(__xludf.DUMMYFUNCTION("SPLIT($J454,""   "","""")"),"-23.491599 -48.416912")</f>
        <v>-23.491599 -48.416912</v>
      </c>
      <c r="L454" s="7" t="str">
        <f>IFERROR(__xludf.DUMMYFUNCTION("""COMPUTED_VALUE"""),"Rua")</f>
        <v>Rua</v>
      </c>
      <c r="M454" s="7" t="str">
        <f>IFERROR(__xludf.DUMMYFUNCTION("""COMPUTED_VALUE""")," Áustria")</f>
        <v> Áustria</v>
      </c>
      <c r="N454" s="7" t="str">
        <f>IFERROR(__xludf.DUMMYFUNCTION("""COMPUTED_VALUE""")," Jardim Residencial Bela Vista (Vilarejo)")</f>
        <v> Jardim Residencial Bela Vista (Vilarejo)</v>
      </c>
      <c r="O454" s="7" t="str">
        <f>IFERROR(__xludf.DUMMYFUNCTION("""COMPUTED_VALUE""")," Cabreúva")</f>
        <v> Cabreúva</v>
      </c>
      <c r="P454" s="7" t="str">
        <f>IFERROR(__xludf.DUMMYFUNCTION("""COMPUTED_VALUE"""),"SP")</f>
        <v>SP</v>
      </c>
      <c r="Q454" s="7" t="str">
        <f>IFERROR(__xludf.DUMMYFUNCTION("""COMPUTED_VALUE""")," 13317-720 ")</f>
        <v> 13317-720 </v>
      </c>
      <c r="R454" s="9">
        <f>IFERROR(__xludf.DUMMYFUNCTION("SPLIT($K454,"" "","""")"),-2.3491599E7)</f>
        <v>-23491599</v>
      </c>
      <c r="S454" s="9">
        <f>IFERROR(__xludf.DUMMYFUNCTION("""COMPUTED_VALUE"""),-4.8416912E7)</f>
        <v>-48416912</v>
      </c>
      <c r="T454" s="10">
        <v>3508405.0</v>
      </c>
      <c r="U45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13317-720 ', 'PK-20686', SYSDATE, 0, 'PK-20686', SYSDATE, 'Rua  Áustria  Jardim Residencial Bela Vista (Vilarejo)', 'Rua Áustria Jardim Residencial Bela Vista (Vilarejo)', ' Jardim Residencial Bela Vista (Vilarejo)', 'Rua', '3508405', 'Rua Áustria Jardim Residencial Bela Vista (Vilarejo)',' Jardim Residencial Bela Vista (Vilarejo)', '1', 'SP', '1', '-23491599', '-48416912', ' Jardim Residencial Bela Vista (Vilarejo)' </v>
      </c>
    </row>
    <row r="455" ht="15.75" customHeight="1">
      <c r="A455" s="4" t="s">
        <v>1405</v>
      </c>
      <c r="B455" s="5" t="s">
        <v>501</v>
      </c>
      <c r="C455" s="4" t="s">
        <v>10</v>
      </c>
      <c r="D455" s="5" t="s">
        <v>1406</v>
      </c>
      <c r="E455" s="6">
        <v>214.0</v>
      </c>
      <c r="F455" s="6" t="s">
        <v>12</v>
      </c>
      <c r="G455" s="3" t="s">
        <v>13</v>
      </c>
      <c r="H455" s="7" t="str">
        <f>IFERROR(__xludf.DUMMYFUNCTION("SPLIT(A453,""Rua"","""")"),"       Santa Terezinha")</f>
        <v>       Santa Terezinha</v>
      </c>
      <c r="J455" s="3" t="s">
        <v>1407</v>
      </c>
      <c r="K455" s="8" t="str">
        <f>IFERROR(__xludf.DUMMYFUNCTION("SPLIT($J455,""   "","""")"),"-23.307366 -47.133678")</f>
        <v>-23.307366 -47.133678</v>
      </c>
      <c r="L455" s="7" t="str">
        <f>IFERROR(__xludf.DUMMYFUNCTION("""COMPUTED_VALUE"""),"Rua")</f>
        <v>Rua</v>
      </c>
      <c r="M455" s="7" t="str">
        <f>IFERROR(__xludf.DUMMYFUNCTION("""COMPUTED_VALUE""")," M")</f>
        <v> M</v>
      </c>
      <c r="N455" s="7" t="str">
        <f>IFERROR(__xludf.DUMMYFUNCTION("""COMPUTED_VALUE""")," Fazenda Sossego (São Francisco)")</f>
        <v> Fazenda Sossego (São Francisco)</v>
      </c>
      <c r="O455" s="7" t="str">
        <f>IFERROR(__xludf.DUMMYFUNCTION("""COMPUTED_VALUE""")," Cabreúva")</f>
        <v> Cabreúva</v>
      </c>
      <c r="P455" s="7" t="str">
        <f>IFERROR(__xludf.DUMMYFUNCTION("""COMPUTED_VALUE"""),"SP")</f>
        <v>SP</v>
      </c>
      <c r="Q455" s="7" t="str">
        <f>IFERROR(__xludf.DUMMYFUNCTION("""COMPUTED_VALUE""")," 13316-712 ")</f>
        <v> 13316-712 </v>
      </c>
      <c r="R455" s="9">
        <f>IFERROR(__xludf.DUMMYFUNCTION("SPLIT($K455,"" "","""")"),-2.3307366E7)</f>
        <v>-23307366</v>
      </c>
      <c r="S455" s="9">
        <f>IFERROR(__xludf.DUMMYFUNCTION("""COMPUTED_VALUE"""),-4.7133678E7)</f>
        <v>-47133678</v>
      </c>
      <c r="T455" s="10">
        <v>3508405.0</v>
      </c>
      <c r="U45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13316-712 ', 'PK-20686', SYSDATE, 0, 'PK-20686', SYSDATE, 'Rua  M  Fazenda Sossego (São Francisco)', 'Rua M Fazenda Sossego (São Francisco)', ' Fazenda Sossego (São Francisco)', 'Rua', '3508405', 'Rua M Fazenda Sossego (São Francisco)',' Fazenda Sossego (São Francisco)', '1', 'SP', '1', '-23307366', '-47133678', ' Fazenda Sossego (São Francisco)' </v>
      </c>
    </row>
    <row r="456" ht="15.75" hidden="1" customHeight="1">
      <c r="A456" s="4" t="s">
        <v>1408</v>
      </c>
      <c r="B456" s="5" t="s">
        <v>216</v>
      </c>
      <c r="C456" s="4" t="s">
        <v>10</v>
      </c>
      <c r="D456" s="5" t="s">
        <v>1409</v>
      </c>
      <c r="E456" s="6">
        <v>214.0</v>
      </c>
      <c r="F456" s="6" t="s">
        <v>12</v>
      </c>
      <c r="G456" s="3" t="s">
        <v>13</v>
      </c>
      <c r="H456" s="7" t="str">
        <f>IFERROR(__xludf.DUMMYFUNCTION("SPLIT(A454,""Rua"","""")"),"       São João Del Rey")</f>
        <v>       São João Del Rey</v>
      </c>
      <c r="J456" s="3" t="s">
        <v>1410</v>
      </c>
      <c r="K456" s="8" t="str">
        <f>IFERROR(__xludf.DUMMYFUNCTION("SPLIT($J456,""   "","""")"),"-23.271411 -47.062241")</f>
        <v>-23.271411 -47.062241</v>
      </c>
      <c r="L456" s="7" t="str">
        <f>IFERROR(__xludf.DUMMYFUNCTION("""COMPUTED_VALUE"""),"Avenida")</f>
        <v>Avenida</v>
      </c>
      <c r="M456" s="7" t="str">
        <f>IFERROR(__xludf.DUMMYFUNCTION("""COMPUTED_VALUE""")," Espanha")</f>
        <v> Espanha</v>
      </c>
      <c r="N456" s="7" t="str">
        <f>IFERROR(__xludf.DUMMYFUNCTION("""COMPUTED_VALUE""")," Villarejo Sopé da Serra (Vilarejo)")</f>
        <v> Villarejo Sopé da Serra (Vilarejo)</v>
      </c>
      <c r="O456" s="7" t="str">
        <f>IFERROR(__xludf.DUMMYFUNCTION("""COMPUTED_VALUE""")," Cabreúva")</f>
        <v> Cabreúva</v>
      </c>
      <c r="P456" s="7" t="str">
        <f>IFERROR(__xludf.DUMMYFUNCTION("""COMPUTED_VALUE"""),"SP")</f>
        <v>SP</v>
      </c>
      <c r="Q456" s="7" t="str">
        <f>IFERROR(__xludf.DUMMYFUNCTION("""COMPUTED_VALUE""")," 13317-630 ")</f>
        <v> 13317-630 </v>
      </c>
      <c r="R456" s="9">
        <f>IFERROR(__xludf.DUMMYFUNCTION("SPLIT($K456,"" "","""")"),-2.3271411E7)</f>
        <v>-23271411</v>
      </c>
      <c r="S456" s="9">
        <f>IFERROR(__xludf.DUMMYFUNCTION("""COMPUTED_VALUE"""),-4.7062241E7)</f>
        <v>-47062241</v>
      </c>
      <c r="T456" s="10">
        <v>3508405.0</v>
      </c>
      <c r="U45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13317-630 ', 'PK-20686', SYSDATE, 0, 'PK-20686', SYSDATE, 'Avenida  Espanha  Villarejo Sopé da Serra (Vilarejo)', 'Avenida Espanha Villarejo Sopé da Serra (Vilarejo)', ' Villarejo Sopé da Serra (Vilarejo)', 'Avenida', '3508405', 'Avenida Espanha Villarejo Sopé da Serra (Vilarejo)',' Villarejo Sopé da Serra (Vilarejo)', '1', 'SP', '1', '-23271411', '-47062241', ' Villarejo Sopé da Serra (Vilarejo)' </v>
      </c>
    </row>
    <row r="457" ht="15.75" customHeight="1">
      <c r="A457" s="4" t="s">
        <v>1411</v>
      </c>
      <c r="B457" s="5" t="s">
        <v>212</v>
      </c>
      <c r="C457" s="4" t="s">
        <v>10</v>
      </c>
      <c r="D457" s="5" t="s">
        <v>1412</v>
      </c>
      <c r="E457" s="6">
        <v>214.0</v>
      </c>
      <c r="F457" s="6" t="s">
        <v>12</v>
      </c>
      <c r="G457" s="3" t="s">
        <v>13</v>
      </c>
      <c r="H457" s="7" t="str">
        <f>IFERROR(__xludf.DUMMYFUNCTION("SPLIT(A455,""Rua"","""")"),"       São Judas Tadeu")</f>
        <v>       São Judas Tadeu</v>
      </c>
      <c r="J457" s="3" t="s">
        <v>1413</v>
      </c>
      <c r="K457" s="8" t="str">
        <f>IFERROR(__xludf.DUMMYFUNCTION("SPLIT($J457,""   "","""")"),"-23.242665 -47.059892")</f>
        <v>-23.242665 -47.059892</v>
      </c>
      <c r="L457" s="7" t="str">
        <f>IFERROR(__xludf.DUMMYFUNCTION("""COMPUTED_VALUE"""),"Rua")</f>
        <v>Rua</v>
      </c>
      <c r="M457" s="7" t="str">
        <f>IFERROR(__xludf.DUMMYFUNCTION("""COMPUTED_VALUE""")," Frei Galvão")</f>
        <v> Frei Galvão</v>
      </c>
      <c r="N457" s="7" t="str">
        <f>IFERROR(__xludf.DUMMYFUNCTION("""COMPUTED_VALUE""")," Jacaré")</f>
        <v> Jacaré</v>
      </c>
      <c r="O457" s="7" t="str">
        <f>IFERROR(__xludf.DUMMYFUNCTION("""COMPUTED_VALUE""")," Cabreúva")</f>
        <v> Cabreúva</v>
      </c>
      <c r="P457" s="7" t="str">
        <f>IFERROR(__xludf.DUMMYFUNCTION("""COMPUTED_VALUE"""),"SP")</f>
        <v>SP</v>
      </c>
      <c r="Q457" s="7" t="str">
        <f>IFERROR(__xludf.DUMMYFUNCTION("""COMPUTED_VALUE""")," 13318-022 ")</f>
        <v> 13318-022 </v>
      </c>
      <c r="R457" s="9">
        <f>IFERROR(__xludf.DUMMYFUNCTION("SPLIT($K457,"" "","""")"),-2.3242665E7)</f>
        <v>-23242665</v>
      </c>
      <c r="S457" s="9">
        <f>IFERROR(__xludf.DUMMYFUNCTION("""COMPUTED_VALUE"""),-4.7059892E7)</f>
        <v>-47059892</v>
      </c>
      <c r="T457" s="10">
        <v>3508405.0</v>
      </c>
      <c r="U45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13318-022 ', 'PK-20686', SYSDATE, 0, 'PK-20686', SYSDATE, 'Rua  Frei Galvão  Jacaré', 'Rua Frei Galvão Jacaré', ' Jacaré', 'Rua', '3508405', 'Rua Frei Galvão Jacaré',' Jacaré', '1', 'SP', '1', '-23242665', '-47059892', ' Jacaré' </v>
      </c>
    </row>
    <row r="458" ht="15.75" customHeight="1">
      <c r="A458" s="4" t="s">
        <v>1414</v>
      </c>
      <c r="B458" s="5" t="s">
        <v>180</v>
      </c>
      <c r="C458" s="4" t="s">
        <v>10</v>
      </c>
      <c r="D458" s="5" t="s">
        <v>1415</v>
      </c>
      <c r="E458" s="6">
        <v>214.0</v>
      </c>
      <c r="F458" s="6" t="s">
        <v>12</v>
      </c>
      <c r="G458" s="3" t="s">
        <v>13</v>
      </c>
      <c r="H458" s="7" t="str">
        <f>IFERROR(__xludf.DUMMYFUNCTION("SPLIT(A456,""Rua"","""")"),"       São Roque")</f>
        <v>       São Roque</v>
      </c>
      <c r="J458" s="3" t="s">
        <v>1416</v>
      </c>
      <c r="K458" s="8" t="str">
        <f>IFERROR(__xludf.DUMMYFUNCTION("SPLIT($J458,""   "","""")"),"-23.307366 -47.133678")</f>
        <v>-23.307366 -47.133678</v>
      </c>
      <c r="L458" s="7" t="str">
        <f>IFERROR(__xludf.DUMMYFUNCTION("""COMPUTED_VALUE"""),"Rua")</f>
        <v>Rua</v>
      </c>
      <c r="M458" s="7" t="str">
        <f>IFERROR(__xludf.DUMMYFUNCTION("""COMPUTED_VALUE""")," Nove")</f>
        <v> Nove</v>
      </c>
      <c r="N458" s="7" t="str">
        <f>IFERROR(__xludf.DUMMYFUNCTION("""COMPUTED_VALUE""")," Alpes do Tietê")</f>
        <v> Alpes do Tietê</v>
      </c>
      <c r="O458" s="7" t="str">
        <f>IFERROR(__xludf.DUMMYFUNCTION("""COMPUTED_VALUE""")," Cabreúva")</f>
        <v> Cabreúva</v>
      </c>
      <c r="P458" s="7" t="str">
        <f>IFERROR(__xludf.DUMMYFUNCTION("""COMPUTED_VALUE"""),"SP")</f>
        <v>SP</v>
      </c>
      <c r="Q458" s="7" t="str">
        <f>IFERROR(__xludf.DUMMYFUNCTION("""COMPUTED_VALUE""")," 13316-608 ")</f>
        <v> 13316-608 </v>
      </c>
      <c r="R458" s="9">
        <f>IFERROR(__xludf.DUMMYFUNCTION("SPLIT($K458,"" "","""")"),-2.3307366E7)</f>
        <v>-23307366</v>
      </c>
      <c r="S458" s="9">
        <f>IFERROR(__xludf.DUMMYFUNCTION("""COMPUTED_VALUE"""),-4.7133678E7)</f>
        <v>-47133678</v>
      </c>
      <c r="T458" s="10">
        <v>3508405.0</v>
      </c>
      <c r="U45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13316-608 ', 'PK-20686', SYSDATE, 0, 'PK-20686', SYSDATE, 'Rua  Nove  Alpes do Tietê', 'Rua Nove Alpes do Tietê', ' Alpes do Tietê', 'Rua', '3508405', 'Rua Nove Alpes do Tietê',' Alpes do Tietê', '1', 'SP', '1', '-23307366', '-47133678', ' Alpes do Tietê' </v>
      </c>
    </row>
    <row r="459" ht="15.75" customHeight="1">
      <c r="A459" s="4" t="s">
        <v>1417</v>
      </c>
      <c r="B459" s="5" t="s">
        <v>611</v>
      </c>
      <c r="C459" s="4" t="s">
        <v>10</v>
      </c>
      <c r="D459" s="5" t="s">
        <v>1418</v>
      </c>
      <c r="E459" s="6">
        <v>214.0</v>
      </c>
      <c r="F459" s="6" t="s">
        <v>12</v>
      </c>
      <c r="G459" s="3" t="s">
        <v>13</v>
      </c>
      <c r="H459" s="7" t="str">
        <f>IFERROR(__xludf.DUMMYFUNCTION("SPLIT(A457,""Rua"","""")"),"       Sapucaia")</f>
        <v>       Sapucaia</v>
      </c>
      <c r="J459" s="3" t="s">
        <v>1419</v>
      </c>
      <c r="K459" s="8" t="str">
        <f>IFERROR(__xludf.DUMMYFUNCTION("SPLIT($J459,""   "","""")"),"-23.315383 -47.132827")</f>
        <v>-23.315383 -47.132827</v>
      </c>
      <c r="L459" s="7" t="str">
        <f>IFERROR(__xludf.DUMMYFUNCTION("""COMPUTED_VALUE"""),"Rua")</f>
        <v>Rua</v>
      </c>
      <c r="M459" s="7" t="str">
        <f>IFERROR(__xludf.DUMMYFUNCTION("""COMPUTED_VALUE""")," Ituverava")</f>
        <v> Ituverava</v>
      </c>
      <c r="N459" s="7" t="str">
        <f>IFERROR(__xludf.DUMMYFUNCTION("""COMPUTED_VALUE""")," Nova Cabreúva (Centro)")</f>
        <v> Nova Cabreúva (Centro)</v>
      </c>
      <c r="O459" s="7" t="str">
        <f>IFERROR(__xludf.DUMMYFUNCTION("""COMPUTED_VALUE""")," Cabreúva")</f>
        <v> Cabreúva</v>
      </c>
      <c r="P459" s="7" t="str">
        <f>IFERROR(__xludf.DUMMYFUNCTION("""COMPUTED_VALUE"""),"SP")</f>
        <v>SP</v>
      </c>
      <c r="Q459" s="7" t="str">
        <f>IFERROR(__xludf.DUMMYFUNCTION("""COMPUTED_VALUE""")," 13315-118 ")</f>
        <v> 13315-118 </v>
      </c>
      <c r="R459" s="9">
        <f>IFERROR(__xludf.DUMMYFUNCTION("SPLIT($K459,"" "","""")"),-2.3315383E7)</f>
        <v>-23315383</v>
      </c>
      <c r="S459" s="9">
        <f>IFERROR(__xludf.DUMMYFUNCTION("""COMPUTED_VALUE"""),-4.7132827E7)</f>
        <v>-47132827</v>
      </c>
      <c r="T459" s="10">
        <v>3508405.0</v>
      </c>
      <c r="U45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13315-118 ', 'PK-20686', SYSDATE, 0, 'PK-20686', SYSDATE, 'Rua  Ituverava  Nova Cabreúva (Centro)', 'Rua Ituverava Nova Cabreúva (Centro)', ' Nova Cabreúva (Centro)', 'Rua', '3508405', 'Rua Ituverava Nova Cabreúva (Centro)',' Nova Cabreúva (Centro)', '1', 'SP', '1', '-23315383', '-47132827', ' Nova Cabreúva (Centro)' </v>
      </c>
    </row>
    <row r="460" ht="15.75" customHeight="1">
      <c r="A460" s="4" t="s">
        <v>1420</v>
      </c>
      <c r="B460" s="5" t="s">
        <v>212</v>
      </c>
      <c r="C460" s="4" t="s">
        <v>10</v>
      </c>
      <c r="D460" s="5" t="s">
        <v>1421</v>
      </c>
      <c r="E460" s="6">
        <v>214.0</v>
      </c>
      <c r="F460" s="6" t="s">
        <v>12</v>
      </c>
      <c r="G460" s="3" t="s">
        <v>13</v>
      </c>
      <c r="H460" s="7" t="str">
        <f>IFERROR(__xludf.DUMMYFUNCTION("SPLIT(A458,""Rua"","""")"),"       Sargento Antonio Santa Rosa")</f>
        <v>       Sargento Antonio Santa Rosa</v>
      </c>
      <c r="J460" s="3" t="s">
        <v>1422</v>
      </c>
      <c r="K460" s="8" t="str">
        <f>IFERROR(__xludf.DUMMYFUNCTION("SPLIT($J460,""   "","""")"),"-23.30897 -47.131949")</f>
        <v>-23.30897 -47.131949</v>
      </c>
      <c r="L460" s="7" t="str">
        <f>IFERROR(__xludf.DUMMYFUNCTION("""COMPUTED_VALUE"""),"Rua")</f>
        <v>Rua</v>
      </c>
      <c r="M460" s="7" t="str">
        <f>IFERROR(__xludf.DUMMYFUNCTION("""COMPUTED_VALUE""")," Primo Polo")</f>
        <v> Primo Polo</v>
      </c>
      <c r="N460" s="7" t="str">
        <f>IFERROR(__xludf.DUMMYFUNCTION("""COMPUTED_VALUE""")," Centro")</f>
        <v> Centro</v>
      </c>
      <c r="O460" s="7" t="str">
        <f>IFERROR(__xludf.DUMMYFUNCTION("""COMPUTED_VALUE""")," Cabreúva")</f>
        <v> Cabreúva</v>
      </c>
      <c r="P460" s="7" t="str">
        <f>IFERROR(__xludf.DUMMYFUNCTION("""COMPUTED_VALUE"""),"SP")</f>
        <v>SP</v>
      </c>
      <c r="Q460" s="7" t="str">
        <f>IFERROR(__xludf.DUMMYFUNCTION("""COMPUTED_VALUE""")," 13315-021 ")</f>
        <v> 13315-021 </v>
      </c>
      <c r="R460" s="9">
        <f>IFERROR(__xludf.DUMMYFUNCTION("SPLIT($K460,"" "","""")"),-2330897.0)</f>
        <v>-2330897</v>
      </c>
      <c r="S460" s="9">
        <f>IFERROR(__xludf.DUMMYFUNCTION("""COMPUTED_VALUE"""),-4.7131949E7)</f>
        <v>-47131949</v>
      </c>
      <c r="T460" s="10">
        <v>3508405.0</v>
      </c>
      <c r="U46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13315-021 ', 'PK-20686', SYSDATE, 0, 'PK-20686', SYSDATE, 'Rua  Primo Polo  Centro', 'Rua Primo Polo Centro', ' Centro', 'Rua', '3508405', 'Rua Primo Polo Centro',' Centro', '1', 'SP', '1', '-2330897', '-47131949', ' Centro' </v>
      </c>
    </row>
    <row r="461" ht="15.75" customHeight="1">
      <c r="A461" s="4" t="s">
        <v>1423</v>
      </c>
      <c r="B461" s="5" t="s">
        <v>611</v>
      </c>
      <c r="C461" s="4" t="s">
        <v>10</v>
      </c>
      <c r="D461" s="5" t="s">
        <v>1424</v>
      </c>
      <c r="E461" s="6">
        <v>214.0</v>
      </c>
      <c r="F461" s="6" t="s">
        <v>12</v>
      </c>
      <c r="G461" s="3" t="s">
        <v>13</v>
      </c>
      <c r="H461" s="7" t="str">
        <f>IFERROR(__xludf.DUMMYFUNCTION("SPLIT(A459,""Rua"","""")"),"       Seis")</f>
        <v>       Seis</v>
      </c>
      <c r="J461" s="3" t="s">
        <v>1425</v>
      </c>
      <c r="K461" s="8" t="str">
        <f>IFERROR(__xludf.DUMMYFUNCTION("SPLIT($J461,""   "","""")"),"-23.307366 -47.133678")</f>
        <v>-23.307366 -47.133678</v>
      </c>
      <c r="L461" s="7" t="str">
        <f>IFERROR(__xludf.DUMMYFUNCTION("""COMPUTED_VALUE"""),"Rua")</f>
        <v>Rua</v>
      </c>
      <c r="M461" s="7" t="str">
        <f>IFERROR(__xludf.DUMMYFUNCTION("""COMPUTED_VALUE""")," Belo Horizonte")</f>
        <v> Belo Horizonte</v>
      </c>
      <c r="N461" s="7" t="str">
        <f>IFERROR(__xludf.DUMMYFUNCTION("""COMPUTED_VALUE""")," Jacaré")</f>
        <v> Jacaré</v>
      </c>
      <c r="O461" s="7" t="str">
        <f>IFERROR(__xludf.DUMMYFUNCTION("""COMPUTED_VALUE""")," Cabreúva")</f>
        <v> Cabreúva</v>
      </c>
      <c r="P461" s="7" t="str">
        <f>IFERROR(__xludf.DUMMYFUNCTION("""COMPUTED_VALUE"""),"SP")</f>
        <v>SP</v>
      </c>
      <c r="Q461" s="7" t="str">
        <f>IFERROR(__xludf.DUMMYFUNCTION("""COMPUTED_VALUE""")," 13318-088 ")</f>
        <v> 13318-088 </v>
      </c>
      <c r="R461" s="9">
        <f>IFERROR(__xludf.DUMMYFUNCTION("SPLIT($K461,"" "","""")"),-2.3307366E7)</f>
        <v>-23307366</v>
      </c>
      <c r="S461" s="9">
        <f>IFERROR(__xludf.DUMMYFUNCTION("""COMPUTED_VALUE"""),-4.7133678E7)</f>
        <v>-47133678</v>
      </c>
      <c r="T461" s="10">
        <v>3508405.0</v>
      </c>
      <c r="U46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13318-088 ', 'PK-20686', SYSDATE, 0, 'PK-20686', SYSDATE, 'Rua  Belo Horizonte  Jacaré', 'Rua Belo Horizonte Jacaré', ' Jacaré', 'Rua', '3508405', 'Rua Belo Horizonte Jacaré',' Jacaré', '1', 'SP', '1', '-23307366', '-47133678', ' Jacaré' </v>
      </c>
    </row>
    <row r="462" ht="15.75" hidden="1" customHeight="1">
      <c r="A462" s="4" t="s">
        <v>1426</v>
      </c>
      <c r="B462" s="5" t="s">
        <v>20</v>
      </c>
      <c r="C462" s="4" t="s">
        <v>10</v>
      </c>
      <c r="D462" s="5" t="s">
        <v>1427</v>
      </c>
      <c r="E462" s="6">
        <v>214.0</v>
      </c>
      <c r="F462" s="6" t="s">
        <v>12</v>
      </c>
      <c r="G462" s="3" t="s">
        <v>13</v>
      </c>
      <c r="H462" s="7" t="str">
        <f>IFERROR(__xludf.DUMMYFUNCTION("SPLIT(A460,""Rua"","""")"),"       Seringueira")</f>
        <v>       Seringueira</v>
      </c>
      <c r="J462" s="3" t="s">
        <v>1428</v>
      </c>
      <c r="K462" s="8" t="str">
        <f>IFERROR(__xludf.DUMMYFUNCTION("SPLIT($J462,""   "","""")"),"-23.245618 -47.064924")</f>
        <v>-23.245618 -47.064924</v>
      </c>
      <c r="L462" s="7" t="str">
        <f>IFERROR(__xludf.DUMMYFUNCTION("""COMPUTED_VALUE"""),"Área")</f>
        <v>Área</v>
      </c>
      <c r="M462" s="7" t="str">
        <f>IFERROR(__xludf.DUMMYFUNCTION("""COMPUTED_VALUE""")," Rural")</f>
        <v> Rural</v>
      </c>
      <c r="N462" s="7" t="str">
        <f>IFERROR(__xludf.DUMMYFUNCTION("""COMPUTED_VALUE""")," Área Rural de Jacaré")</f>
        <v> Área Rural de Jacaré</v>
      </c>
      <c r="O462" s="7" t="str">
        <f>IFERROR(__xludf.DUMMYFUNCTION("""COMPUTED_VALUE""")," Cabreúva")</f>
        <v> Cabreúva</v>
      </c>
      <c r="P462" s="7" t="str">
        <f>IFERROR(__xludf.DUMMYFUNCTION("""COMPUTED_VALUE"""),"SP")</f>
        <v>SP</v>
      </c>
      <c r="Q462" s="7" t="str">
        <f>IFERROR(__xludf.DUMMYFUNCTION("""COMPUTED_VALUE""")," 13318-899 ")</f>
        <v> 13318-899 </v>
      </c>
      <c r="R462" s="9">
        <f>IFERROR(__xludf.DUMMYFUNCTION("SPLIT($K462,"" "","""")"),-2.3245618E7)</f>
        <v>-23245618</v>
      </c>
      <c r="S462" s="9">
        <f>IFERROR(__xludf.DUMMYFUNCTION("""COMPUTED_VALUE"""),-4.7064924E7)</f>
        <v>-47064924</v>
      </c>
      <c r="T462" s="10">
        <v>3508405.0</v>
      </c>
      <c r="U46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13318-899 ', 'PK-20686', SYSDATE, 0, 'PK-20686', SYSDATE, 'Área  Rural  Área Rural de Jacaré', 'Área Rural Área Rural de Jacaré', ' Área Rural de Jacaré', 'Área', '3508405', 'Área Rural Área Rural de Jacaré',' Área Rural de Jacaré', '1', 'SP', '1', '-23245618', '-47064924', ' Área Rural de Jacaré' </v>
      </c>
    </row>
    <row r="463" ht="15.75" customHeight="1">
      <c r="A463" s="4" t="s">
        <v>1429</v>
      </c>
      <c r="B463" s="5" t="s">
        <v>658</v>
      </c>
      <c r="C463" s="4" t="s">
        <v>10</v>
      </c>
      <c r="D463" s="5" t="s">
        <v>1430</v>
      </c>
      <c r="E463" s="6">
        <v>214.0</v>
      </c>
      <c r="F463" s="6" t="s">
        <v>12</v>
      </c>
      <c r="G463" s="3" t="s">
        <v>13</v>
      </c>
      <c r="H463" s="7" t="str">
        <f>IFERROR(__xludf.DUMMYFUNCTION("SPLIT(A461,""Rua"","""")"),"       Sete")</f>
        <v>       Sete</v>
      </c>
      <c r="J463" s="3" t="s">
        <v>1431</v>
      </c>
      <c r="K463" s="8" t="str">
        <f>IFERROR(__xludf.DUMMYFUNCTION("SPLIT($J463,""   "","""")"),"-23.26272 -47.051262")</f>
        <v>-23.26272 -47.051262</v>
      </c>
      <c r="L463" s="7" t="str">
        <f>IFERROR(__xludf.DUMMYFUNCTION("""COMPUTED_VALUE"""),"Rua")</f>
        <v>Rua</v>
      </c>
      <c r="M463" s="7" t="str">
        <f>IFERROR(__xludf.DUMMYFUNCTION("""COMPUTED_VALUE""")," Augelita")</f>
        <v> Augelita</v>
      </c>
      <c r="N463" s="7" t="str">
        <f>IFERROR(__xludf.DUMMYFUNCTION("""COMPUTED_VALUE""")," Jardim Colina da Serra II (Jacaré)")</f>
        <v> Jardim Colina da Serra II (Jacaré)</v>
      </c>
      <c r="O463" s="7" t="str">
        <f>IFERROR(__xludf.DUMMYFUNCTION("""COMPUTED_VALUE""")," Cabreúva")</f>
        <v> Cabreúva</v>
      </c>
      <c r="P463" s="7" t="str">
        <f>IFERROR(__xludf.DUMMYFUNCTION("""COMPUTED_VALUE"""),"SP")</f>
        <v>SP</v>
      </c>
      <c r="Q463" s="7" t="str">
        <f>IFERROR(__xludf.DUMMYFUNCTION("""COMPUTED_VALUE""")," 13318-268 ")</f>
        <v> 13318-268 </v>
      </c>
      <c r="R463" s="9">
        <f>IFERROR(__xludf.DUMMYFUNCTION("SPLIT($K463,"" "","""")"),-2326272.0)</f>
        <v>-2326272</v>
      </c>
      <c r="S463" s="9">
        <f>IFERROR(__xludf.DUMMYFUNCTION("""COMPUTED_VALUE"""),-4.7051262E7)</f>
        <v>-47051262</v>
      </c>
      <c r="T463" s="10">
        <v>3508405.0</v>
      </c>
      <c r="U46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13318-268 ', 'PK-20686', SYSDATE, 0, 'PK-20686', SYSDATE, 'Rua  Augelita  Jardim Colina da Serra II (Jacaré)', 'Rua Augelita Jardim Colina da Serra II (Jacaré)', ' Jardim Colina da Serra II (Jacaré)', 'Rua', '3508405', 'Rua Augelita Jardim Colina da Serra II (Jacaré)',' Jardim Colina da Serra II (Jacaré)', '1', 'SP', '1', '-2326272', '-47051262', ' Jardim Colina da Serra II (Jacaré)' </v>
      </c>
    </row>
    <row r="464" ht="15.75" customHeight="1">
      <c r="A464" s="4" t="s">
        <v>1432</v>
      </c>
      <c r="B464" s="5" t="s">
        <v>372</v>
      </c>
      <c r="C464" s="4" t="s">
        <v>10</v>
      </c>
      <c r="D464" s="5" t="s">
        <v>1433</v>
      </c>
      <c r="E464" s="6">
        <v>214.0</v>
      </c>
      <c r="F464" s="6" t="s">
        <v>12</v>
      </c>
      <c r="G464" s="3" t="s">
        <v>13</v>
      </c>
      <c r="H464" s="7" t="str">
        <f>IFERROR(__xludf.DUMMYFUNCTION("SPLIT(A462,""Rua"","""")"),"       Sinézio Xavier Souza")</f>
        <v>       Sinézio Xavier Souza</v>
      </c>
      <c r="J464" s="3" t="s">
        <v>1434</v>
      </c>
      <c r="K464" s="8" t="str">
        <f>IFERROR(__xludf.DUMMYFUNCTION("SPLIT($J464,""   "","""")"),"-23.262888 -47.095032")</f>
        <v>-23.262888 -47.095032</v>
      </c>
      <c r="L464" s="7" t="str">
        <f>IFERROR(__xludf.DUMMYFUNCTION("""COMPUTED_VALUE"""),"Rua")</f>
        <v>Rua</v>
      </c>
      <c r="M464" s="7" t="str">
        <f>IFERROR(__xludf.DUMMYFUNCTION("""COMPUTED_VALUE""")," das Violetas")</f>
        <v> das Violetas</v>
      </c>
      <c r="N464" s="7" t="str">
        <f>IFERROR(__xludf.DUMMYFUNCTION("""COMPUTED_VALUE""")," Chácaras do Pinhal (Pinhal)")</f>
        <v> Chácaras do Pinhal (Pinhal)</v>
      </c>
      <c r="O464" s="7" t="str">
        <f>IFERROR(__xludf.DUMMYFUNCTION("""COMPUTED_VALUE""")," Cabreúva")</f>
        <v> Cabreúva</v>
      </c>
      <c r="P464" s="7" t="str">
        <f>IFERROR(__xludf.DUMMYFUNCTION("""COMPUTED_VALUE"""),"SP")</f>
        <v>SP</v>
      </c>
      <c r="Q464" s="7" t="str">
        <f>IFERROR(__xludf.DUMMYFUNCTION("""COMPUTED_VALUE""")," 13317-246 ")</f>
        <v> 13317-246 </v>
      </c>
      <c r="R464" s="9">
        <f>IFERROR(__xludf.DUMMYFUNCTION("SPLIT($K464,"" "","""")"),-2.3262888E7)</f>
        <v>-23262888</v>
      </c>
      <c r="S464" s="9">
        <f>IFERROR(__xludf.DUMMYFUNCTION("""COMPUTED_VALUE"""),-4.7095032E7)</f>
        <v>-47095032</v>
      </c>
      <c r="T464" s="10">
        <v>3508405.0</v>
      </c>
      <c r="U46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13317-246 ', 'PK-20686', SYSDATE, 0, 'PK-20686', SYSDATE, 'Rua  das Violetas  Chácaras do Pinhal (Pinhal)', 'Rua das Violetas Chácaras do Pinhal (Pinhal)', ' Chácaras do Pinhal (Pinhal)', 'Rua', '3508405', 'Rua das Violetas Chácaras do Pinhal (Pinhal)',' Chácaras do Pinhal (Pinhal)', '1', 'SP', '1', '-23262888', '-47095032', ' Chácaras do Pinhal (Pinhal)' </v>
      </c>
    </row>
    <row r="465" ht="15.75" customHeight="1">
      <c r="A465" s="4" t="s">
        <v>1435</v>
      </c>
      <c r="B465" s="5" t="s">
        <v>372</v>
      </c>
      <c r="C465" s="4" t="s">
        <v>10</v>
      </c>
      <c r="D465" s="5" t="s">
        <v>1436</v>
      </c>
      <c r="E465" s="6">
        <v>214.0</v>
      </c>
      <c r="F465" s="6" t="s">
        <v>12</v>
      </c>
      <c r="G465" s="3" t="s">
        <v>13</v>
      </c>
      <c r="H465" s="7" t="str">
        <f>IFERROR(__xludf.DUMMYFUNCTION("SPLIT(A463,""Rua"","""")"),"       Solaris")</f>
        <v>       Solaris</v>
      </c>
      <c r="J465" s="3" t="s">
        <v>1437</v>
      </c>
      <c r="K465" s="8" t="str">
        <f>IFERROR(__xludf.DUMMYFUNCTION("SPLIT($J465,""   "","""")"),"-23.271848 -47.049551")</f>
        <v>-23.271848 -47.049551</v>
      </c>
      <c r="L465" s="7" t="str">
        <f>IFERROR(__xludf.DUMMYFUNCTION("""COMPUTED_VALUE"""),"Rua")</f>
        <v>Rua</v>
      </c>
      <c r="M465" s="7" t="str">
        <f>IFERROR(__xludf.DUMMYFUNCTION("""COMPUTED_VALUE""")," Indonésia")</f>
        <v> Indonésia</v>
      </c>
      <c r="N465" s="7" t="str">
        <f>IFERROR(__xludf.DUMMYFUNCTION("""COMPUTED_VALUE""")," Villarejo Sopé da Serra (Vilarejo)")</f>
        <v> Villarejo Sopé da Serra (Vilarejo)</v>
      </c>
      <c r="O465" s="7" t="str">
        <f>IFERROR(__xludf.DUMMYFUNCTION("""COMPUTED_VALUE""")," Cabreúva")</f>
        <v> Cabreúva</v>
      </c>
      <c r="P465" s="7" t="str">
        <f>IFERROR(__xludf.DUMMYFUNCTION("""COMPUTED_VALUE"""),"SP")</f>
        <v>SP</v>
      </c>
      <c r="Q465" s="7" t="str">
        <f>IFERROR(__xludf.DUMMYFUNCTION("""COMPUTED_VALUE""")," 13317-700 ")</f>
        <v> 13317-700 </v>
      </c>
      <c r="R465" s="9">
        <f>IFERROR(__xludf.DUMMYFUNCTION("SPLIT($K465,"" "","""")"),-2.3271848E7)</f>
        <v>-23271848</v>
      </c>
      <c r="S465" s="9">
        <f>IFERROR(__xludf.DUMMYFUNCTION("""COMPUTED_VALUE"""),-4.7049551E7)</f>
        <v>-47049551</v>
      </c>
      <c r="T465" s="10">
        <v>3508405.0</v>
      </c>
      <c r="U46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13317-700 ', 'PK-20686', SYSDATE, 0, 'PK-20686', SYSDATE, 'Rua  Indonésia  Villarejo Sopé da Serra (Vilarejo)', 'Rua Indonésia Villarejo Sopé da Serra (Vilarejo)', ' Villarejo Sopé da Serra (Vilarejo)', 'Rua', '3508405', 'Rua Indonésia Villarejo Sopé da Serra (Vilarejo)',' Villarejo Sopé da Serra (Vilarejo)', '1', 'SP', '1', '-23271848', '-47049551', ' Villarejo Sopé da Serra (Vilarejo)' </v>
      </c>
    </row>
    <row r="466" ht="15.75" hidden="1" customHeight="1">
      <c r="A466" s="4" t="s">
        <v>1438</v>
      </c>
      <c r="B466" s="5" t="s">
        <v>160</v>
      </c>
      <c r="C466" s="4" t="s">
        <v>10</v>
      </c>
      <c r="D466" s="5" t="s">
        <v>1439</v>
      </c>
      <c r="E466" s="6">
        <v>214.0</v>
      </c>
      <c r="F466" s="6" t="s">
        <v>12</v>
      </c>
      <c r="G466" s="3" t="s">
        <v>13</v>
      </c>
      <c r="H466" s="7" t="str">
        <f>IFERROR(__xludf.DUMMYFUNCTION("SPLIT(A464,""Rua"","""")"),"       Somália")</f>
        <v>       Somália</v>
      </c>
      <c r="J466" s="3" t="s">
        <v>1440</v>
      </c>
      <c r="K466" s="8" t="str">
        <f>IFERROR(__xludf.DUMMYFUNCTION("SPLIT($J466,""   "","""")"),"-23.307366 -47.133678")</f>
        <v>-23.307366 -47.133678</v>
      </c>
      <c r="L466" s="7" t="str">
        <f>IFERROR(__xludf.DUMMYFUNCTION("""COMPUTED_VALUE"""),"Estrada")</f>
        <v>Estrada</v>
      </c>
      <c r="M466" s="7" t="str">
        <f>IFERROR(__xludf.DUMMYFUNCTION("""COMPUTED_VALUE""")," Luiz Ferreira de Oliveira")</f>
        <v> Luiz Ferreira de Oliveira</v>
      </c>
      <c r="N466" s="7" t="str">
        <f>IFERROR(__xludf.DUMMYFUNCTION("""COMPUTED_VALUE""")," Cururú")</f>
        <v> Cururú</v>
      </c>
      <c r="O466" s="7" t="str">
        <f>IFERROR(__xludf.DUMMYFUNCTION("""COMPUTED_VALUE""")," Cabreúva")</f>
        <v> Cabreúva</v>
      </c>
      <c r="P466" s="7" t="str">
        <f>IFERROR(__xludf.DUMMYFUNCTION("""COMPUTED_VALUE"""),"SP")</f>
        <v>SP</v>
      </c>
      <c r="Q466" s="7" t="str">
        <f>IFERROR(__xludf.DUMMYFUNCTION("""COMPUTED_VALUE""")," 13317-864 ")</f>
        <v> 13317-864 </v>
      </c>
      <c r="R466" s="9">
        <f>IFERROR(__xludf.DUMMYFUNCTION("SPLIT($K466,"" "","""")"),-2.3307366E7)</f>
        <v>-23307366</v>
      </c>
      <c r="S466" s="9">
        <f>IFERROR(__xludf.DUMMYFUNCTION("""COMPUTED_VALUE"""),-4.7133678E7)</f>
        <v>-47133678</v>
      </c>
      <c r="T466" s="10">
        <v>3508405.0</v>
      </c>
      <c r="U46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13317-864 ', 'PK-20686', SYSDATE, 0, 'PK-20686', SYSDATE, 'Estrada  Luiz Ferreira de Oliveira  Cururú', 'Estrada Luiz Ferreira de Oliveira Cururú', ' Cururú', 'Estrada', '3508405', 'Estrada Luiz Ferreira de Oliveira Cururú',' Cururú', '1', 'SP', '1', '-23307366', '-47133678', ' Cururú' </v>
      </c>
    </row>
    <row r="467" ht="15.75" customHeight="1">
      <c r="A467" s="4" t="s">
        <v>1441</v>
      </c>
      <c r="B467" s="5" t="s">
        <v>160</v>
      </c>
      <c r="C467" s="4" t="s">
        <v>10</v>
      </c>
      <c r="D467" s="5" t="s">
        <v>1442</v>
      </c>
      <c r="E467" s="6">
        <v>214.0</v>
      </c>
      <c r="F467" s="6" t="s">
        <v>12</v>
      </c>
      <c r="G467" s="3" t="s">
        <v>13</v>
      </c>
      <c r="H467" s="7" t="str">
        <f>IFERROR(__xludf.DUMMYFUNCTION("SPLIT(A465,""Rua"","""")"),"       Sudão")</f>
        <v>       Sudão</v>
      </c>
      <c r="J467" s="3" t="s">
        <v>1443</v>
      </c>
      <c r="K467" s="8" t="str">
        <f>IFERROR(__xludf.DUMMYFUNCTION("SPLIT($J467,""   "","""")"),"-23.250857 -47.058039")</f>
        <v>-23.250857 -47.058039</v>
      </c>
      <c r="L467" s="7" t="str">
        <f>IFERROR(__xludf.DUMMYFUNCTION("""COMPUTED_VALUE"""),"Rua")</f>
        <v>Rua</v>
      </c>
      <c r="M467" s="7" t="str">
        <f>IFERROR(__xludf.DUMMYFUNCTION("""COMPUTED_VALUE""")," Minas Gerais")</f>
        <v> Minas Gerais</v>
      </c>
      <c r="N467" s="7" t="str">
        <f>IFERROR(__xludf.DUMMYFUNCTION("""COMPUTED_VALUE""")," Jacaré")</f>
        <v> Jacaré</v>
      </c>
      <c r="O467" s="7" t="str">
        <f>IFERROR(__xludf.DUMMYFUNCTION("""COMPUTED_VALUE""")," Cabreúva")</f>
        <v> Cabreúva</v>
      </c>
      <c r="P467" s="7" t="str">
        <f>IFERROR(__xludf.DUMMYFUNCTION("""COMPUTED_VALUE"""),"SP")</f>
        <v>SP</v>
      </c>
      <c r="Q467" s="7" t="str">
        <f>IFERROR(__xludf.DUMMYFUNCTION("""COMPUTED_VALUE""")," 13318-096 ")</f>
        <v> 13318-096 </v>
      </c>
      <c r="R467" s="9">
        <f>IFERROR(__xludf.DUMMYFUNCTION("SPLIT($K467,"" "","""")"),-2.3250857E7)</f>
        <v>-23250857</v>
      </c>
      <c r="S467" s="9">
        <f>IFERROR(__xludf.DUMMYFUNCTION("""COMPUTED_VALUE"""),-4.7058039E7)</f>
        <v>-47058039</v>
      </c>
      <c r="T467" s="10">
        <v>3508405.0</v>
      </c>
      <c r="U46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13318-096 ', 'PK-20686', SYSDATE, 0, 'PK-20686', SYSDATE, 'Rua  Minas Gerais  Jacaré', 'Rua Minas Gerais Jacaré', ' Jacaré', 'Rua', '3508405', 'Rua Minas Gerais Jacaré',' Jacaré', '1', 'SP', '1', '-23250857', '-47058039', ' Jacaré' </v>
      </c>
    </row>
    <row r="468" ht="15.75" customHeight="1">
      <c r="A468" s="4" t="s">
        <v>1444</v>
      </c>
      <c r="B468" s="5" t="s">
        <v>142</v>
      </c>
      <c r="C468" s="4" t="s">
        <v>10</v>
      </c>
      <c r="D468" s="5" t="s">
        <v>1445</v>
      </c>
      <c r="E468" s="6">
        <v>214.0</v>
      </c>
      <c r="F468" s="6" t="s">
        <v>12</v>
      </c>
      <c r="G468" s="3" t="s">
        <v>13</v>
      </c>
      <c r="H468" s="7" t="str">
        <f>IFERROR(__xludf.DUMMYFUNCTION("SPLIT(A466,""Rua"","""")"),"       Suécia")</f>
        <v>       Suécia</v>
      </c>
      <c r="J468" s="3" t="s">
        <v>1446</v>
      </c>
      <c r="K468" s="8" t="str">
        <f>IFERROR(__xludf.DUMMYFUNCTION("SPLIT($J468,""   "","""")"),"-23.307366 -47.133678")</f>
        <v>-23.307366 -47.133678</v>
      </c>
      <c r="L468" s="7" t="str">
        <f>IFERROR(__xludf.DUMMYFUNCTION("""COMPUTED_VALUE"""),"Rua")</f>
        <v>Rua</v>
      </c>
      <c r="M468" s="7" t="str">
        <f>IFERROR(__xludf.DUMMYFUNCTION("""COMPUTED_VALUE""")," Concórdia")</f>
        <v> Concórdia</v>
      </c>
      <c r="N468" s="7" t="str">
        <f>IFERROR(__xludf.DUMMYFUNCTION("""COMPUTED_VALUE""")," Jardim da Serra (Jacaré)")</f>
        <v> Jardim da Serra (Jacaré)</v>
      </c>
      <c r="O468" s="7" t="str">
        <f>IFERROR(__xludf.DUMMYFUNCTION("""COMPUTED_VALUE""")," Cabreúva")</f>
        <v> Cabreúva</v>
      </c>
      <c r="P468" s="7" t="str">
        <f>IFERROR(__xludf.DUMMYFUNCTION("""COMPUTED_VALUE"""),"SP")</f>
        <v>SP</v>
      </c>
      <c r="Q468" s="7" t="str">
        <f>IFERROR(__xludf.DUMMYFUNCTION("""COMPUTED_VALUE""")," 13318-140 ")</f>
        <v> 13318-140 </v>
      </c>
      <c r="R468" s="9">
        <f>IFERROR(__xludf.DUMMYFUNCTION("SPLIT($K468,"" "","""")"),-2.3307366E7)</f>
        <v>-23307366</v>
      </c>
      <c r="S468" s="9">
        <f>IFERROR(__xludf.DUMMYFUNCTION("""COMPUTED_VALUE"""),-4.7133678E7)</f>
        <v>-47133678</v>
      </c>
      <c r="T468" s="10">
        <v>3508405.0</v>
      </c>
      <c r="U46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13318-140 ', 'PK-20686', SYSDATE, 0, 'PK-20686', SYSDATE, 'Rua  Concórdia  Jardim da Serra (Jacaré)', 'Rua Concórdia Jardim da Serra (Jacaré)', ' Jardim da Serra (Jacaré)', 'Rua', '3508405', 'Rua Concórdia Jardim da Serra (Jacaré)',' Jardim da Serra (Jacaré)', '1', 'SP', '1', '-23307366', '-47133678', ' Jardim da Serra (Jacaré)' </v>
      </c>
    </row>
    <row r="469" ht="15.75" customHeight="1">
      <c r="A469" s="4" t="s">
        <v>1447</v>
      </c>
      <c r="B469" s="5" t="s">
        <v>160</v>
      </c>
      <c r="C469" s="4" t="s">
        <v>10</v>
      </c>
      <c r="D469" s="5" t="s">
        <v>1448</v>
      </c>
      <c r="E469" s="6">
        <v>214.0</v>
      </c>
      <c r="F469" s="6" t="s">
        <v>12</v>
      </c>
      <c r="G469" s="3" t="s">
        <v>13</v>
      </c>
      <c r="H469" s="7" t="str">
        <f>IFERROR(__xludf.DUMMYFUNCTION("SPLIT(A467,""Rua"","""")"),"       Suíça")</f>
        <v>       Suíça</v>
      </c>
      <c r="J469" s="3" t="s">
        <v>1449</v>
      </c>
      <c r="K469" s="8" t="str">
        <f>IFERROR(__xludf.DUMMYFUNCTION("SPLIT($J469,""   "","""")"),"-23.299611 -47.137454")</f>
        <v>-23.299611 -47.137454</v>
      </c>
      <c r="L469" s="7" t="str">
        <f>IFERROR(__xludf.DUMMYFUNCTION("""COMPUTED_VALUE"""),"Rua")</f>
        <v>Rua</v>
      </c>
      <c r="M469" s="7" t="str">
        <f>IFERROR(__xludf.DUMMYFUNCTION("""COMPUTED_VALUE""")," Primavera")</f>
        <v> Primavera</v>
      </c>
      <c r="N469" s="7" t="str">
        <f>IFERROR(__xludf.DUMMYFUNCTION("""COMPUTED_VALUE""")," Vale Verde (Centro)")</f>
        <v> Vale Verde (Centro)</v>
      </c>
      <c r="O469" s="7" t="str">
        <f>IFERROR(__xludf.DUMMYFUNCTION("""COMPUTED_VALUE""")," Cabreúva")</f>
        <v> Cabreúva</v>
      </c>
      <c r="P469" s="7" t="str">
        <f>IFERROR(__xludf.DUMMYFUNCTION("""COMPUTED_VALUE"""),"SP")</f>
        <v>SP</v>
      </c>
      <c r="Q469" s="7" t="str">
        <f>IFERROR(__xludf.DUMMYFUNCTION("""COMPUTED_VALUE""")," 13315-264 ")</f>
        <v> 13315-264 </v>
      </c>
      <c r="R469" s="9">
        <f>IFERROR(__xludf.DUMMYFUNCTION("SPLIT($K469,"" "","""")"),-2.3299611E7)</f>
        <v>-23299611</v>
      </c>
      <c r="S469" s="9">
        <f>IFERROR(__xludf.DUMMYFUNCTION("""COMPUTED_VALUE"""),-4.7137454E7)</f>
        <v>-47137454</v>
      </c>
      <c r="T469" s="10">
        <v>3508405.0</v>
      </c>
      <c r="U46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13315-264 ', 'PK-20686', SYSDATE, 0, 'PK-20686', SYSDATE, 'Rua  Primavera  Vale Verde (Centro)', 'Rua Primavera Vale Verde (Centro)', ' Vale Verde (Centro)', 'Rua', '3508405', 'Rua Primavera Vale Verde (Centro)',' Vale Verde (Centro)', '1', 'SP', '1', '-23299611', '-47137454', ' Vale Verde (Centro)' </v>
      </c>
    </row>
    <row r="470" ht="15.75" customHeight="1">
      <c r="A470" s="4" t="s">
        <v>1450</v>
      </c>
      <c r="B470" s="5" t="s">
        <v>160</v>
      </c>
      <c r="C470" s="4" t="s">
        <v>10</v>
      </c>
      <c r="D470" s="5" t="s">
        <v>1451</v>
      </c>
      <c r="E470" s="6">
        <v>214.0</v>
      </c>
      <c r="F470" s="6" t="s">
        <v>12</v>
      </c>
      <c r="G470" s="3" t="s">
        <v>13</v>
      </c>
      <c r="H470" s="7" t="str">
        <f>IFERROR(__xludf.DUMMYFUNCTION("SPLIT(A468,""Rua"","""")"),"       Syrah")</f>
        <v>       Syrah</v>
      </c>
      <c r="J470" s="3" t="s">
        <v>1452</v>
      </c>
      <c r="K470" s="8" t="str">
        <f>IFERROR(__xludf.DUMMYFUNCTION("SPLIT($J470,""   "","""")"),"-23.25729 -47.09146")</f>
        <v>-23.25729 -47.09146</v>
      </c>
      <c r="L470" s="7" t="str">
        <f>IFERROR(__xludf.DUMMYFUNCTION("""COMPUTED_VALUE"""),"Rua")</f>
        <v>Rua</v>
      </c>
      <c r="M470" s="7" t="str">
        <f>IFERROR(__xludf.DUMMYFUNCTION("""COMPUTED_VALUE""")," das Gardenias")</f>
        <v> das Gardenias</v>
      </c>
      <c r="N470" s="7" t="str">
        <f>IFERROR(__xludf.DUMMYFUNCTION("""COMPUTED_VALUE""")," Chácaras do Pinhal (Pinhal)")</f>
        <v> Chácaras do Pinhal (Pinhal)</v>
      </c>
      <c r="O470" s="7" t="str">
        <f>IFERROR(__xludf.DUMMYFUNCTION("""COMPUTED_VALUE""")," Cabreúva")</f>
        <v> Cabreúva</v>
      </c>
      <c r="P470" s="7" t="str">
        <f>IFERROR(__xludf.DUMMYFUNCTION("""COMPUTED_VALUE"""),"SP")</f>
        <v>SP</v>
      </c>
      <c r="Q470" s="7" t="str">
        <f>IFERROR(__xludf.DUMMYFUNCTION("""COMPUTED_VALUE""")," 13317-284 ")</f>
        <v> 13317-284 </v>
      </c>
      <c r="R470" s="9">
        <f>IFERROR(__xludf.DUMMYFUNCTION("SPLIT($K470,"" "","""")"),-2325729.0)</f>
        <v>-2325729</v>
      </c>
      <c r="S470" s="9">
        <f>IFERROR(__xludf.DUMMYFUNCTION("""COMPUTED_VALUE"""),-4709146.0)</f>
        <v>-4709146</v>
      </c>
      <c r="T470" s="10">
        <v>3508405.0</v>
      </c>
      <c r="U47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13317-284 ', 'PK-20686', SYSDATE, 0, 'PK-20686', SYSDATE, 'Rua  das Gardenias  Chácaras do Pinhal (Pinhal)', 'Rua das Gardenias Chácaras do Pinhal (Pinhal)', ' Chácaras do Pinhal (Pinhal)', 'Rua', '3508405', 'Rua das Gardenias Chácaras do Pinhal (Pinhal)',' Chácaras do Pinhal (Pinhal)', '1', 'SP', '1', '-2325729', '-4709146', ' Chácaras do Pinhal (Pinhal)' </v>
      </c>
    </row>
    <row r="471" ht="15.75" customHeight="1">
      <c r="A471" s="4" t="s">
        <v>1453</v>
      </c>
      <c r="B471" s="5" t="s">
        <v>142</v>
      </c>
      <c r="C471" s="4" t="s">
        <v>10</v>
      </c>
      <c r="D471" s="5" t="s">
        <v>1454</v>
      </c>
      <c r="E471" s="6">
        <v>214.0</v>
      </c>
      <c r="F471" s="6" t="s">
        <v>12</v>
      </c>
      <c r="G471" s="3" t="s">
        <v>13</v>
      </c>
      <c r="H471" s="7" t="str">
        <f>IFERROR(__xludf.DUMMYFUNCTION("SPLIT(A469,""Rua"","""")"),"       Tailândia")</f>
        <v>       Tailândia</v>
      </c>
      <c r="J471" s="3" t="s">
        <v>1455</v>
      </c>
      <c r="K471" s="8" t="str">
        <f>IFERROR(__xludf.DUMMYFUNCTION("SPLIT($J471,""   "","""")"),"-23.256466 -47.071555")</f>
        <v>-23.256466 -47.071555</v>
      </c>
      <c r="L471" s="7" t="str">
        <f>IFERROR(__xludf.DUMMYFUNCTION("""COMPUTED_VALUE"""),"Rua")</f>
        <v>Rua</v>
      </c>
      <c r="M471" s="7" t="str">
        <f>IFERROR(__xludf.DUMMYFUNCTION("""COMPUTED_VALUE""")," Granada")</f>
        <v> Granada</v>
      </c>
      <c r="N471" s="7" t="str">
        <f>IFERROR(__xludf.DUMMYFUNCTION("""COMPUTED_VALUE""")," Vila Preciosa (Vilarejo)")</f>
        <v> Vila Preciosa (Vilarejo)</v>
      </c>
      <c r="O471" s="7" t="str">
        <f>IFERROR(__xludf.DUMMYFUNCTION("""COMPUTED_VALUE""")," Cabreúva")</f>
        <v> Cabreúva</v>
      </c>
      <c r="P471" s="7" t="str">
        <f>IFERROR(__xludf.DUMMYFUNCTION("""COMPUTED_VALUE"""),"SP")</f>
        <v>SP</v>
      </c>
      <c r="Q471" s="7" t="str">
        <f>IFERROR(__xludf.DUMMYFUNCTION("""COMPUTED_VALUE""")," 13317-508 ")</f>
        <v> 13317-508 </v>
      </c>
      <c r="R471" s="9">
        <f>IFERROR(__xludf.DUMMYFUNCTION("SPLIT($K471,"" "","""")"),-2.3256466E7)</f>
        <v>-23256466</v>
      </c>
      <c r="S471" s="9">
        <f>IFERROR(__xludf.DUMMYFUNCTION("""COMPUTED_VALUE"""),-4.7071555E7)</f>
        <v>-47071555</v>
      </c>
      <c r="T471" s="10">
        <v>3508405.0</v>
      </c>
      <c r="U47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13317-508 ', 'PK-20686', SYSDATE, 0, 'PK-20686', SYSDATE, 'Rua  Granada  Vila Preciosa (Vilarejo)', 'Rua Granada Vila Preciosa (Vilarejo)', ' Vila Preciosa (Vilarejo)', 'Rua', '3508405', 'Rua Granada Vila Preciosa (Vilarejo)',' Vila Preciosa (Vilarejo)', '1', 'SP', '1', '-23256466', '-47071555', ' Vila Preciosa (Vilarejo)' </v>
      </c>
    </row>
    <row r="472" ht="15.75" customHeight="1">
      <c r="A472" s="4" t="s">
        <v>1456</v>
      </c>
      <c r="B472" s="5" t="s">
        <v>372</v>
      </c>
      <c r="C472" s="4" t="s">
        <v>10</v>
      </c>
      <c r="D472" s="5" t="s">
        <v>1457</v>
      </c>
      <c r="E472" s="6">
        <v>214.0</v>
      </c>
      <c r="F472" s="6" t="s">
        <v>12</v>
      </c>
      <c r="G472" s="3" t="s">
        <v>13</v>
      </c>
      <c r="H472" s="7" t="str">
        <f>IFERROR(__xludf.DUMMYFUNCTION("SPLIT(A470,""Rua"","""")"),"       Taiti")</f>
        <v>       Taiti</v>
      </c>
      <c r="J472" s="3" t="s">
        <v>1458</v>
      </c>
      <c r="K472" s="8" t="str">
        <f>IFERROR(__xludf.DUMMYFUNCTION("SPLIT($J472,""   "","""")"),"-23.245618 -47.064924")</f>
        <v>-23.245618 -47.064924</v>
      </c>
      <c r="L472" s="7" t="str">
        <f>IFERROR(__xludf.DUMMYFUNCTION("""COMPUTED_VALUE"""),"Rua")</f>
        <v>Rua</v>
      </c>
      <c r="M472" s="7" t="str">
        <f>IFERROR(__xludf.DUMMYFUNCTION("""COMPUTED_VALUE""")," Syrah")</f>
        <v> Syrah</v>
      </c>
      <c r="N472" s="7" t="str">
        <f>IFERROR(__xludf.DUMMYFUNCTION("""COMPUTED_VALUE""")," Reserva da Quinta (Jacaré)")</f>
        <v> Reserva da Quinta (Jacaré)</v>
      </c>
      <c r="O472" s="7" t="str">
        <f>IFERROR(__xludf.DUMMYFUNCTION("""COMPUTED_VALUE""")," Cabreúva")</f>
        <v> Cabreúva</v>
      </c>
      <c r="P472" s="7" t="str">
        <f>IFERROR(__xludf.DUMMYFUNCTION("""COMPUTED_VALUE"""),"SP")</f>
        <v>SP</v>
      </c>
      <c r="Q472" s="7" t="str">
        <f>IFERROR(__xludf.DUMMYFUNCTION("""COMPUTED_VALUE""")," 13318-448 ")</f>
        <v> 13318-448 </v>
      </c>
      <c r="R472" s="9">
        <f>IFERROR(__xludf.DUMMYFUNCTION("SPLIT($K472,"" "","""")"),-2.3245618E7)</f>
        <v>-23245618</v>
      </c>
      <c r="S472" s="9">
        <f>IFERROR(__xludf.DUMMYFUNCTION("""COMPUTED_VALUE"""),-4.7064924E7)</f>
        <v>-47064924</v>
      </c>
      <c r="T472" s="10">
        <v>3508405.0</v>
      </c>
      <c r="U47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13318-448 ', 'PK-20686', SYSDATE, 0, 'PK-20686', SYSDATE, 'Rua  Syrah  Reserva da Quinta (Jacaré)', 'Rua Syrah Reserva da Quinta (Jacaré)', ' Reserva da Quinta (Jacaré)', 'Rua', '3508405', 'Rua Syrah Reserva da Quinta (Jacaré)',' Reserva da Quinta (Jacaré)', '1', 'SP', '1', '-23245618', '-47064924', ' Reserva da Quinta (Jacaré)' </v>
      </c>
    </row>
    <row r="473" ht="15.75" customHeight="1">
      <c r="A473" s="4" t="s">
        <v>1459</v>
      </c>
      <c r="B473" s="5" t="s">
        <v>160</v>
      </c>
      <c r="C473" s="4" t="s">
        <v>10</v>
      </c>
      <c r="D473" s="5" t="s">
        <v>1460</v>
      </c>
      <c r="E473" s="6">
        <v>214.0</v>
      </c>
      <c r="F473" s="6" t="s">
        <v>12</v>
      </c>
      <c r="G473" s="3" t="s">
        <v>13</v>
      </c>
      <c r="H473" s="7" t="str">
        <f>IFERROR(__xludf.DUMMYFUNCTION("SPLIT(A471,""Rua"","""")"),"       Tannat")</f>
        <v>       Tannat</v>
      </c>
      <c r="J473" s="3" t="s">
        <v>1461</v>
      </c>
      <c r="K473" s="8" t="str">
        <f>IFERROR(__xludf.DUMMYFUNCTION("SPLIT($J473,""   "","""")"),"-23.261365 -47.049968")</f>
        <v>-23.261365 -47.049968</v>
      </c>
      <c r="L473" s="7" t="str">
        <f>IFERROR(__xludf.DUMMYFUNCTION("""COMPUTED_VALUE"""),"Rua")</f>
        <v>Rua</v>
      </c>
      <c r="M473" s="7" t="str">
        <f>IFERROR(__xludf.DUMMYFUNCTION("""COMPUTED_VALUE""")," Amazonita")</f>
        <v> Amazonita</v>
      </c>
      <c r="N473" s="7" t="str">
        <f>IFERROR(__xludf.DUMMYFUNCTION("""COMPUTED_VALUE""")," Jardim Colina da Serra II (Jacaré)")</f>
        <v> Jardim Colina da Serra II (Jacaré)</v>
      </c>
      <c r="O473" s="7" t="str">
        <f>IFERROR(__xludf.DUMMYFUNCTION("""COMPUTED_VALUE""")," Cabreúva")</f>
        <v> Cabreúva</v>
      </c>
      <c r="P473" s="7" t="str">
        <f>IFERROR(__xludf.DUMMYFUNCTION("""COMPUTED_VALUE"""),"SP")</f>
        <v>SP</v>
      </c>
      <c r="Q473" s="7" t="str">
        <f>IFERROR(__xludf.DUMMYFUNCTION("""COMPUTED_VALUE""")," 13318-270 ")</f>
        <v> 13318-270 </v>
      </c>
      <c r="R473" s="9">
        <f>IFERROR(__xludf.DUMMYFUNCTION("SPLIT($K473,"" "","""")"),-2.3261365E7)</f>
        <v>-23261365</v>
      </c>
      <c r="S473" s="9">
        <f>IFERROR(__xludf.DUMMYFUNCTION("""COMPUTED_VALUE"""),-4.7049968E7)</f>
        <v>-47049968</v>
      </c>
      <c r="T473" s="10">
        <v>3508405.0</v>
      </c>
      <c r="U47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13318-270 ', 'PK-20686', SYSDATE, 0, 'PK-20686', SYSDATE, 'Rua  Amazonita  Jardim Colina da Serra II (Jacaré)', 'Rua Amazonita Jardim Colina da Serra II (Jacaré)', ' Jardim Colina da Serra II (Jacaré)', 'Rua', '3508405', 'Rua Amazonita Jardim Colina da Serra II (Jacaré)',' Jardim Colina da Serra II (Jacaré)', '1', 'SP', '1', '-23261365', '-47049968', ' Jardim Colina da Serra II (Jacaré)' </v>
      </c>
    </row>
    <row r="474" ht="15.75" customHeight="1">
      <c r="A474" s="4" t="s">
        <v>1462</v>
      </c>
      <c r="B474" s="5" t="s">
        <v>1131</v>
      </c>
      <c r="C474" s="4" t="s">
        <v>10</v>
      </c>
      <c r="D474" s="5" t="s">
        <v>1463</v>
      </c>
      <c r="E474" s="6">
        <v>214.0</v>
      </c>
      <c r="F474" s="6" t="s">
        <v>12</v>
      </c>
      <c r="G474" s="3" t="s">
        <v>13</v>
      </c>
      <c r="H474" s="7" t="str">
        <f>IFERROR(__xludf.DUMMYFUNCTION("SPLIT(A472,""Rua"","""")"),"       Tanzânia")</f>
        <v>       Tanzânia</v>
      </c>
      <c r="J474" s="3" t="s">
        <v>1464</v>
      </c>
      <c r="K474" s="8" t="str">
        <f>IFERROR(__xludf.DUMMYFUNCTION("SPLIT($J474,""   "","""")"),"-23.307366 -47.133678")</f>
        <v>-23.307366 -47.133678</v>
      </c>
      <c r="L474" s="7" t="str">
        <f>IFERROR(__xludf.DUMMYFUNCTION("""COMPUTED_VALUE"""),"Rua")</f>
        <v>Rua</v>
      </c>
      <c r="M474" s="7" t="str">
        <f>IFERROR(__xludf.DUMMYFUNCTION("""COMPUTED_VALUE""")," Filipinas")</f>
        <v> Filipinas</v>
      </c>
      <c r="N474" s="7" t="str">
        <f>IFERROR(__xludf.DUMMYFUNCTION("""COMPUTED_VALUE""")," Jardim Residencial Bela Vista (Vilarejo)")</f>
        <v> Jardim Residencial Bela Vista (Vilarejo)</v>
      </c>
      <c r="O474" s="7" t="str">
        <f>IFERROR(__xludf.DUMMYFUNCTION("""COMPUTED_VALUE""")," Cabreúva")</f>
        <v> Cabreúva</v>
      </c>
      <c r="P474" s="7" t="str">
        <f>IFERROR(__xludf.DUMMYFUNCTION("""COMPUTED_VALUE"""),"SP")</f>
        <v>SP</v>
      </c>
      <c r="Q474" s="7" t="str">
        <f>IFERROR(__xludf.DUMMYFUNCTION("""COMPUTED_VALUE""")," 13317-740 ")</f>
        <v> 13317-740 </v>
      </c>
      <c r="R474" s="9">
        <f>IFERROR(__xludf.DUMMYFUNCTION("SPLIT($K474,"" "","""")"),-2.3307366E7)</f>
        <v>-23307366</v>
      </c>
      <c r="S474" s="9">
        <f>IFERROR(__xludf.DUMMYFUNCTION("""COMPUTED_VALUE"""),-4.7133678E7)</f>
        <v>-47133678</v>
      </c>
      <c r="T474" s="10">
        <v>3508405.0</v>
      </c>
      <c r="U47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13317-740 ', 'PK-20686', SYSDATE, 0, 'PK-20686', SYSDATE, 'Rua  Filipinas  Jardim Residencial Bela Vista (Vilarejo)', 'Rua Filipinas Jardim Residencial Bela Vista (Vilarejo)', ' Jardim Residencial Bela Vista (Vilarejo)', 'Rua', '3508405', 'Rua Filipinas Jardim Residencial Bela Vista (Vilarejo)',' Jardim Residencial Bela Vista (Vilarejo)', '1', 'SP', '1', '-23307366', '-47133678', ' Jardim Residencial Bela Vista (Vilarejo)' </v>
      </c>
    </row>
    <row r="475" ht="15.75" hidden="1" customHeight="1">
      <c r="A475" s="4" t="s">
        <v>1465</v>
      </c>
      <c r="B475" s="5" t="s">
        <v>463</v>
      </c>
      <c r="C475" s="4" t="s">
        <v>10</v>
      </c>
      <c r="D475" s="5" t="s">
        <v>1466</v>
      </c>
      <c r="E475" s="6">
        <v>214.0</v>
      </c>
      <c r="F475" s="6" t="s">
        <v>12</v>
      </c>
      <c r="G475" s="3" t="s">
        <v>13</v>
      </c>
      <c r="H475" s="7" t="str">
        <f>IFERROR(__xludf.DUMMYFUNCTION("SPLIT(A473,""Rua"","""")"),"       Tchecoeslováquia")</f>
        <v>       Tchecoeslováquia</v>
      </c>
      <c r="J475" s="3" t="s">
        <v>1467</v>
      </c>
      <c r="K475" s="8" t="str">
        <f>IFERROR(__xludf.DUMMYFUNCTION("SPLIT($J475,""   "","""")"),"-23.253074 -47.088722")</f>
        <v>-23.253074 -47.088722</v>
      </c>
      <c r="L475" s="7" t="str">
        <f>IFERROR(__xludf.DUMMYFUNCTION("""COMPUTED_VALUE"""),"Avenida")</f>
        <v>Avenida</v>
      </c>
      <c r="M475" s="7" t="str">
        <f>IFERROR(__xludf.DUMMYFUNCTION("""COMPUTED_VALUE""")," Vereador Ermelindo Zacchi")</f>
        <v> Vereador Ermelindo Zacchi</v>
      </c>
      <c r="N475" s="7" t="str">
        <f>IFERROR(__xludf.DUMMYFUNCTION("""COMPUTED_VALUE""")," Jardim das Paineiras (Pinhal)")</f>
        <v> Jardim das Paineiras (Pinhal)</v>
      </c>
      <c r="O475" s="7" t="str">
        <f>IFERROR(__xludf.DUMMYFUNCTION("""COMPUTED_VALUE""")," Cabreúva")</f>
        <v> Cabreúva</v>
      </c>
      <c r="P475" s="7" t="str">
        <f>IFERROR(__xludf.DUMMYFUNCTION("""COMPUTED_VALUE"""),"SP")</f>
        <v>SP</v>
      </c>
      <c r="Q475" s="7" t="str">
        <f>IFERROR(__xludf.DUMMYFUNCTION("""COMPUTED_VALUE""")," 13317-228 ")</f>
        <v> 13317-228 </v>
      </c>
      <c r="R475" s="9">
        <f>IFERROR(__xludf.DUMMYFUNCTION("SPLIT($K475,"" "","""")"),-2.3253074E7)</f>
        <v>-23253074</v>
      </c>
      <c r="S475" s="9">
        <f>IFERROR(__xludf.DUMMYFUNCTION("""COMPUTED_VALUE"""),-4.7088722E7)</f>
        <v>-47088722</v>
      </c>
      <c r="T475" s="10">
        <v>3508405.0</v>
      </c>
      <c r="U47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13317-228 ', 'PK-20686', SYSDATE, 0, 'PK-20686', SYSDATE, 'Avenida  Vereador Ermelindo Zacchi  Jardim das Paineiras (Pinhal)', 'Avenida Vereador Ermelindo Zacchi Jardim das Paineiras (Pinhal)', ' Jardim das Paineiras (Pinhal)', 'Avenida', '3508405', 'Avenida Vereador Ermelindo Zacchi Jardim das Paineiras (Pinhal)',' Jardim das Paineiras (Pinhal)', '1', 'SP', '1', '-23253074', '-47088722', ' Jardim das Paineiras (Pinhal)' </v>
      </c>
    </row>
    <row r="476" ht="15.75" customHeight="1">
      <c r="A476" s="4" t="s">
        <v>1468</v>
      </c>
      <c r="B476" s="5" t="s">
        <v>394</v>
      </c>
      <c r="C476" s="4" t="s">
        <v>10</v>
      </c>
      <c r="D476" s="5" t="s">
        <v>1469</v>
      </c>
      <c r="E476" s="6">
        <v>214.0</v>
      </c>
      <c r="F476" s="6" t="s">
        <v>12</v>
      </c>
      <c r="G476" s="3" t="s">
        <v>13</v>
      </c>
      <c r="H476" s="7" t="str">
        <f>IFERROR(__xludf.DUMMYFUNCTION("SPLIT(A474,""Rua"","""")"),"       Tiradentes")</f>
        <v>       Tiradentes</v>
      </c>
      <c r="J476" s="3" t="s">
        <v>1470</v>
      </c>
      <c r="K476" s="8" t="str">
        <f>IFERROR(__xludf.DUMMYFUNCTION("SPLIT($J476,""   "","""")"),"-23.243433 -47.061307")</f>
        <v>-23.243433 -47.061307</v>
      </c>
      <c r="L476" s="7" t="str">
        <f>IFERROR(__xludf.DUMMYFUNCTION("""COMPUTED_VALUE"""),"Rua")</f>
        <v>Rua</v>
      </c>
      <c r="M476" s="7" t="str">
        <f>IFERROR(__xludf.DUMMYFUNCTION("""COMPUTED_VALUE""")," Campo Grande")</f>
        <v> Campo Grande</v>
      </c>
      <c r="N476" s="7" t="str">
        <f>IFERROR(__xludf.DUMMYFUNCTION("""COMPUTED_VALUE""")," Jacaré")</f>
        <v> Jacaré</v>
      </c>
      <c r="O476" s="7" t="str">
        <f>IFERROR(__xludf.DUMMYFUNCTION("""COMPUTED_VALUE""")," Cabreúva")</f>
        <v> Cabreúva</v>
      </c>
      <c r="P476" s="7" t="str">
        <f>IFERROR(__xludf.DUMMYFUNCTION("""COMPUTED_VALUE"""),"SP")</f>
        <v>SP</v>
      </c>
      <c r="Q476" s="7" t="str">
        <f>IFERROR(__xludf.DUMMYFUNCTION("""COMPUTED_VALUE""")," 13318-018 ")</f>
        <v> 13318-018 </v>
      </c>
      <c r="R476" s="9">
        <f>IFERROR(__xludf.DUMMYFUNCTION("SPLIT($K476,"" "","""")"),-2.3243433E7)</f>
        <v>-23243433</v>
      </c>
      <c r="S476" s="9">
        <f>IFERROR(__xludf.DUMMYFUNCTION("""COMPUTED_VALUE"""),-4.7061307E7)</f>
        <v>-47061307</v>
      </c>
      <c r="T476" s="10">
        <v>3508405.0</v>
      </c>
      <c r="U47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13318-018 ', 'PK-20686', SYSDATE, 0, 'PK-20686', SYSDATE, 'Rua  Campo Grande  Jacaré', 'Rua Campo Grande Jacaré', ' Jacaré', 'Rua', '3508405', 'Rua Campo Grande Jacaré',' Jacaré', '1', 'SP', '1', '-23243433', '-47061307', ' Jacaré' </v>
      </c>
    </row>
    <row r="477" ht="15.75" hidden="1" customHeight="1">
      <c r="A477" s="4" t="s">
        <v>1471</v>
      </c>
      <c r="B477" s="5" t="s">
        <v>24</v>
      </c>
      <c r="C477" s="4" t="s">
        <v>10</v>
      </c>
      <c r="D477" s="5" t="s">
        <v>1472</v>
      </c>
      <c r="E477" s="6">
        <v>214.0</v>
      </c>
      <c r="F477" s="6" t="s">
        <v>12</v>
      </c>
      <c r="G477" s="3" t="s">
        <v>13</v>
      </c>
      <c r="H477" s="7" t="str">
        <f>IFERROR(__xludf.DUMMYFUNCTION("SPLIT(A475,""Rua"","""")"),"       Tocantins")</f>
        <v>       Tocantins</v>
      </c>
      <c r="J477" s="3" t="s">
        <v>1473</v>
      </c>
      <c r="K477" s="8" t="str">
        <f>IFERROR(__xludf.DUMMYFUNCTION("SPLIT($J477,""   "","""")"),"-23.253074 -47.088722")</f>
        <v>-23.253074 -47.088722</v>
      </c>
      <c r="L477" s="7" t="str">
        <f>IFERROR(__xludf.DUMMYFUNCTION("""COMPUTED_VALUE"""),"Via")</f>
        <v>Via</v>
      </c>
      <c r="M477" s="7" t="str">
        <f>IFERROR(__xludf.DUMMYFUNCTION("""COMPUTED_VALUE""")," Antonio Arnaldo de Queiroz e Silva")</f>
        <v> Antonio Arnaldo de Queiroz e Silva</v>
      </c>
      <c r="N477" s="7" t="str">
        <f>IFERROR(__xludf.DUMMYFUNCTION("""COMPUTED_VALUE""")," Pinhal")</f>
        <v> Pinhal</v>
      </c>
      <c r="O477" s="7" t="str">
        <f>IFERROR(__xludf.DUMMYFUNCTION("""COMPUTED_VALUE""")," Cabreúva")</f>
        <v> Cabreúva</v>
      </c>
      <c r="P477" s="7" t="str">
        <f>IFERROR(__xludf.DUMMYFUNCTION("""COMPUTED_VALUE"""),"SP")</f>
        <v>SP</v>
      </c>
      <c r="Q477" s="7" t="str">
        <f>IFERROR(__xludf.DUMMYFUNCTION("""COMPUTED_VALUE""")," 13317-288 ")</f>
        <v> 13317-288 </v>
      </c>
      <c r="R477" s="9">
        <f>IFERROR(__xludf.DUMMYFUNCTION("SPLIT($K477,"" "","""")"),-2.3253074E7)</f>
        <v>-23253074</v>
      </c>
      <c r="S477" s="9">
        <f>IFERROR(__xludf.DUMMYFUNCTION("""COMPUTED_VALUE"""),-4.7088722E7)</f>
        <v>-47088722</v>
      </c>
      <c r="T477" s="10">
        <v>3508405.0</v>
      </c>
      <c r="U47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13317-288 ', 'PK-20686', SYSDATE, 0, 'PK-20686', SYSDATE, 'Via  Antonio Arnaldo de Queiroz e Silva  Pinhal', 'Via Antonio Arnaldo de Queiroz e Silva Pinhal', ' Pinhal', 'Via', '3508405', 'Via Antonio Arnaldo de Queiroz e Silva Pinhal',' Pinhal', '1', 'SP', '1', '-23253074', '-47088722', ' Pinhal' </v>
      </c>
    </row>
    <row r="478" ht="15.75" customHeight="1">
      <c r="A478" s="4" t="s">
        <v>1474</v>
      </c>
      <c r="B478" s="5" t="s">
        <v>142</v>
      </c>
      <c r="C478" s="4" t="s">
        <v>10</v>
      </c>
      <c r="D478" s="5" t="s">
        <v>1475</v>
      </c>
      <c r="E478" s="6">
        <v>214.0</v>
      </c>
      <c r="F478" s="6" t="s">
        <v>12</v>
      </c>
      <c r="G478" s="3" t="s">
        <v>13</v>
      </c>
      <c r="H478" s="7" t="str">
        <f>IFERROR(__xludf.DUMMYFUNCTION("SPLIT(A476,""Rua"","""")"),"       Topázio")</f>
        <v>       Topázio</v>
      </c>
      <c r="J478" s="3" t="s">
        <v>1476</v>
      </c>
      <c r="K478" s="8" t="str">
        <f>IFERROR(__xludf.DUMMYFUNCTION("SPLIT($J478,""   "","""")"),"-23.25729 -47.09146")</f>
        <v>-23.25729 -47.09146</v>
      </c>
      <c r="L478" s="7" t="str">
        <f>IFERROR(__xludf.DUMMYFUNCTION("""COMPUTED_VALUE"""),"Rua")</f>
        <v>Rua</v>
      </c>
      <c r="M478" s="7" t="str">
        <f>IFERROR(__xludf.DUMMYFUNCTION("""COMPUTED_VALUE""")," Olinda Vieira")</f>
        <v> Olinda Vieira</v>
      </c>
      <c r="N478" s="7" t="str">
        <f>IFERROR(__xludf.DUMMYFUNCTION("""COMPUTED_VALUE""")," Chácaras do Pinhal (Pinhal)")</f>
        <v> Chácaras do Pinhal (Pinhal)</v>
      </c>
      <c r="O478" s="7" t="str">
        <f>IFERROR(__xludf.DUMMYFUNCTION("""COMPUTED_VALUE""")," Cabreúva")</f>
        <v> Cabreúva</v>
      </c>
      <c r="P478" s="7" t="str">
        <f>IFERROR(__xludf.DUMMYFUNCTION("""COMPUTED_VALUE"""),"SP")</f>
        <v>SP</v>
      </c>
      <c r="Q478" s="7" t="str">
        <f>IFERROR(__xludf.DUMMYFUNCTION("""COMPUTED_VALUE""")," 13317-235 ")</f>
        <v> 13317-235 </v>
      </c>
      <c r="R478" s="9">
        <f>IFERROR(__xludf.DUMMYFUNCTION("SPLIT($K478,"" "","""")"),-2325729.0)</f>
        <v>-2325729</v>
      </c>
      <c r="S478" s="9">
        <f>IFERROR(__xludf.DUMMYFUNCTION("""COMPUTED_VALUE"""),-4709146.0)</f>
        <v>-4709146</v>
      </c>
      <c r="T478" s="10">
        <v>3508405.0</v>
      </c>
      <c r="U47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13317-235 ', 'PK-20686', SYSDATE, 0, 'PK-20686', SYSDATE, 'Rua  Olinda Vieira  Chácaras do Pinhal (Pinhal)', 'Rua Olinda Vieira Chácaras do Pinhal (Pinhal)', ' Chácaras do Pinhal (Pinhal)', 'Rua', '3508405', 'Rua Olinda Vieira Chácaras do Pinhal (Pinhal)',' Chácaras do Pinhal (Pinhal)', '1', 'SP', '1', '-2325729', '-4709146', ' Chácaras do Pinhal (Pinhal)' </v>
      </c>
    </row>
    <row r="479" ht="15.75" customHeight="1">
      <c r="A479" s="4" t="s">
        <v>1477</v>
      </c>
      <c r="B479" s="5" t="s">
        <v>611</v>
      </c>
      <c r="C479" s="4" t="s">
        <v>10</v>
      </c>
      <c r="D479" s="5" t="s">
        <v>1478</v>
      </c>
      <c r="E479" s="6">
        <v>214.0</v>
      </c>
      <c r="F479" s="6" t="s">
        <v>12</v>
      </c>
      <c r="G479" s="3" t="s">
        <v>13</v>
      </c>
      <c r="H479" s="7" t="str">
        <f>IFERROR(__xludf.DUMMYFUNCTION("SPLIT(A477,""Rua"","""")"),"       Topázio Imperial")</f>
        <v>       Topázio Imperial</v>
      </c>
      <c r="J479" s="3" t="s">
        <v>1479</v>
      </c>
      <c r="K479" s="8" t="str">
        <f>IFERROR(__xludf.DUMMYFUNCTION("SPLIT($J479,""   "","""")"),"-23.287089 -47.05739")</f>
        <v>-23.287089 -47.05739</v>
      </c>
      <c r="L479" s="7" t="str">
        <f>IFERROR(__xludf.DUMMYFUNCTION("""COMPUTED_VALUE"""),"Rua")</f>
        <v>Rua</v>
      </c>
      <c r="M479" s="7" t="str">
        <f>IFERROR(__xludf.DUMMYFUNCTION("""COMPUTED_VALUE""")," Particular")</f>
        <v> Particular</v>
      </c>
      <c r="N479" s="7" t="str">
        <f>IFERROR(__xludf.DUMMYFUNCTION("""COMPUTED_VALUE""")," Bonfim")</f>
        <v> Bonfim</v>
      </c>
      <c r="O479" s="7" t="str">
        <f>IFERROR(__xludf.DUMMYFUNCTION("""COMPUTED_VALUE""")," Cabreúva")</f>
        <v> Cabreúva</v>
      </c>
      <c r="P479" s="7" t="str">
        <f>IFERROR(__xludf.DUMMYFUNCTION("""COMPUTED_VALUE"""),"SP")</f>
        <v>SP</v>
      </c>
      <c r="Q479" s="7" t="str">
        <f>IFERROR(__xludf.DUMMYFUNCTION("""COMPUTED_VALUE""")," 13319-026 ")</f>
        <v> 13319-026 </v>
      </c>
      <c r="R479" s="9">
        <f>IFERROR(__xludf.DUMMYFUNCTION("SPLIT($K479,"" "","""")"),-2.3287089E7)</f>
        <v>-23287089</v>
      </c>
      <c r="S479" s="9">
        <f>IFERROR(__xludf.DUMMYFUNCTION("""COMPUTED_VALUE"""),-4705739.0)</f>
        <v>-4705739</v>
      </c>
      <c r="T479" s="10">
        <v>3508405.0</v>
      </c>
      <c r="U47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13319-026 ', 'PK-20686', SYSDATE, 0, 'PK-20686', SYSDATE, 'Rua  Particular  Bonfim', 'Rua Particular Bonfim', ' Bonfim', 'Rua', '3508405', 'Rua Particular Bonfim',' Bonfim', '1', 'SP', '1', '-23287089', '-4705739', ' Bonfim' </v>
      </c>
    </row>
    <row r="480" ht="15.75" customHeight="1">
      <c r="A480" s="4" t="s">
        <v>1480</v>
      </c>
      <c r="B480" s="5" t="s">
        <v>611</v>
      </c>
      <c r="C480" s="4" t="s">
        <v>10</v>
      </c>
      <c r="D480" s="5" t="s">
        <v>1481</v>
      </c>
      <c r="E480" s="6">
        <v>214.0</v>
      </c>
      <c r="F480" s="6" t="s">
        <v>12</v>
      </c>
      <c r="G480" s="3" t="s">
        <v>13</v>
      </c>
      <c r="H480" s="7" t="str">
        <f>IFERROR(__xludf.DUMMYFUNCTION("SPLIT(A478,""Rua"","""")"),"       Touriga")</f>
        <v>       Touriga</v>
      </c>
      <c r="J480" s="3" t="s">
        <v>1482</v>
      </c>
      <c r="K480" s="8" t="str">
        <f>IFERROR(__xludf.DUMMYFUNCTION("SPLIT($J480,""   "","""")"),"-23.307366 -47.133678")</f>
        <v>-23.307366 -47.133678</v>
      </c>
      <c r="L480" s="7" t="str">
        <f>IFERROR(__xludf.DUMMYFUNCTION("""COMPUTED_VALUE"""),"Rua")</f>
        <v>Rua</v>
      </c>
      <c r="M480" s="7" t="str">
        <f>IFERROR(__xludf.DUMMYFUNCTION("""COMPUTED_VALUE""")," IugosláVia")</f>
        <v> IugosláVia</v>
      </c>
      <c r="N480" s="7" t="str">
        <f>IFERROR(__xludf.DUMMYFUNCTION("""COMPUTED_VALUE""")," Villarejo Sopé da Serra (Vilarejo)")</f>
        <v> Villarejo Sopé da Serra (Vilarejo)</v>
      </c>
      <c r="O480" s="7" t="str">
        <f>IFERROR(__xludf.DUMMYFUNCTION("""COMPUTED_VALUE""")," Cabreúva")</f>
        <v> Cabreúva</v>
      </c>
      <c r="P480" s="7" t="str">
        <f>IFERROR(__xludf.DUMMYFUNCTION("""COMPUTED_VALUE"""),"SP")</f>
        <v>SP</v>
      </c>
      <c r="Q480" s="7" t="str">
        <f>IFERROR(__xludf.DUMMYFUNCTION("""COMPUTED_VALUE""")," 13317-652 ")</f>
        <v> 13317-652 </v>
      </c>
      <c r="R480" s="9">
        <f>IFERROR(__xludf.DUMMYFUNCTION("SPLIT($K480,"" "","""")"),-2.3307366E7)</f>
        <v>-23307366</v>
      </c>
      <c r="S480" s="9">
        <f>IFERROR(__xludf.DUMMYFUNCTION("""COMPUTED_VALUE"""),-4.7133678E7)</f>
        <v>-47133678</v>
      </c>
      <c r="T480" s="10">
        <v>3508405.0</v>
      </c>
      <c r="U48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13317-652 ', 'PK-20686', SYSDATE, 0, 'PK-20686', SYSDATE, 'Rua  IugosláVia  Villarejo Sopé da Serra (Vilarejo)', 'Rua IugosláVia Villarejo Sopé da Serra (Vilarejo)', ' Villarejo Sopé da Serra (Vilarejo)', 'Rua', '3508405', 'Rua IugosláVia Villarejo Sopé da Serra (Vilarejo)',' Villarejo Sopé da Serra (Vilarejo)', '1', 'SP', '1', '-23307366', '-47133678', ' Villarejo Sopé da Serra (Vilarejo)' </v>
      </c>
    </row>
    <row r="481" ht="15.75" customHeight="1">
      <c r="A481" s="4" t="s">
        <v>1483</v>
      </c>
      <c r="B481" s="5" t="s">
        <v>372</v>
      </c>
      <c r="C481" s="4" t="s">
        <v>10</v>
      </c>
      <c r="D481" s="5" t="s">
        <v>1484</v>
      </c>
      <c r="E481" s="6">
        <v>214.0</v>
      </c>
      <c r="F481" s="6" t="s">
        <v>12</v>
      </c>
      <c r="G481" s="3" t="s">
        <v>13</v>
      </c>
      <c r="H481" s="7" t="str">
        <f>IFERROR(__xludf.DUMMYFUNCTION("SPLIT(A479,""Rua"","""")"),"       Três")</f>
        <v>       Três</v>
      </c>
      <c r="J481" s="3" t="s">
        <v>1485</v>
      </c>
      <c r="K481" s="8" t="str">
        <f>IFERROR(__xludf.DUMMYFUNCTION("SPLIT($J481,""   "","""")"),"-23.263171 -47.064347")</f>
        <v>-23.263171 -47.064347</v>
      </c>
      <c r="L481" s="7" t="str">
        <f>IFERROR(__xludf.DUMMYFUNCTION("""COMPUTED_VALUE"""),"Rua")</f>
        <v>Rua</v>
      </c>
      <c r="M481" s="7" t="str">
        <f>IFERROR(__xludf.DUMMYFUNCTION("""COMPUTED_VALUE""")," Namíbia")</f>
        <v> Namíbia</v>
      </c>
      <c r="N481" s="7" t="str">
        <f>IFERROR(__xludf.DUMMYFUNCTION("""COMPUTED_VALUE""")," Villarejo Sopé da Serra (Vilarejo)")</f>
        <v> Villarejo Sopé da Serra (Vilarejo)</v>
      </c>
      <c r="O481" s="7" t="str">
        <f>IFERROR(__xludf.DUMMYFUNCTION("""COMPUTED_VALUE""")," Cabreúva")</f>
        <v> Cabreúva</v>
      </c>
      <c r="P481" s="7" t="str">
        <f>IFERROR(__xludf.DUMMYFUNCTION("""COMPUTED_VALUE"""),"SP")</f>
        <v>SP</v>
      </c>
      <c r="Q481" s="7" t="str">
        <f>IFERROR(__xludf.DUMMYFUNCTION("""COMPUTED_VALUE""")," 13317-610 ")</f>
        <v> 13317-610 </v>
      </c>
      <c r="R481" s="9">
        <f>IFERROR(__xludf.DUMMYFUNCTION("SPLIT($K481,"" "","""")"),-2.3263171E7)</f>
        <v>-23263171</v>
      </c>
      <c r="S481" s="9">
        <f>IFERROR(__xludf.DUMMYFUNCTION("""COMPUTED_VALUE"""),-4.7064347E7)</f>
        <v>-47064347</v>
      </c>
      <c r="T481" s="10">
        <v>3508405.0</v>
      </c>
      <c r="U48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13317-610 ', 'PK-20686', SYSDATE, 0, 'PK-20686', SYSDATE, 'Rua  Namíbia  Villarejo Sopé da Serra (Vilarejo)', 'Rua Namíbia Villarejo Sopé da Serra (Vilarejo)', ' Villarejo Sopé da Serra (Vilarejo)', 'Rua', '3508405', 'Rua Namíbia Villarejo Sopé da Serra (Vilarejo)',' Villarejo Sopé da Serra (Vilarejo)', '1', 'SP', '1', '-23263171', '-47064347', ' Villarejo Sopé da Serra (Vilarejo)' </v>
      </c>
    </row>
    <row r="482" ht="15.75" customHeight="1">
      <c r="A482" s="4" t="s">
        <v>1486</v>
      </c>
      <c r="B482" s="5" t="s">
        <v>149</v>
      </c>
      <c r="C482" s="4" t="s">
        <v>10</v>
      </c>
      <c r="D482" s="5" t="s">
        <v>1487</v>
      </c>
      <c r="E482" s="6">
        <v>214.0</v>
      </c>
      <c r="F482" s="6" t="s">
        <v>12</v>
      </c>
      <c r="G482" s="3" t="s">
        <v>13</v>
      </c>
      <c r="H482" s="7" t="str">
        <f>IFERROR(__xludf.DUMMYFUNCTION("SPLIT(A480,""Rua"","""")"),"       Treze")</f>
        <v>       Treze</v>
      </c>
      <c r="J482" s="3" t="s">
        <v>1488</v>
      </c>
      <c r="K482" s="8" t="str">
        <f>IFERROR(__xludf.DUMMYFUNCTION("SPLIT($J482,""   "","""")"),"-23.256466 -47.071555")</f>
        <v>-23.256466 -47.071555</v>
      </c>
      <c r="L482" s="7" t="str">
        <f>IFERROR(__xludf.DUMMYFUNCTION("""COMPUTED_VALUE"""),"Rua")</f>
        <v>Rua</v>
      </c>
      <c r="M482" s="7" t="str">
        <f>IFERROR(__xludf.DUMMYFUNCTION("""COMPUTED_VALUE""")," Onix")</f>
        <v> Onix</v>
      </c>
      <c r="N482" s="7" t="str">
        <f>IFERROR(__xludf.DUMMYFUNCTION("""COMPUTED_VALUE""")," Vila Preciosa (Vilarejo)")</f>
        <v> Vila Preciosa (Vilarejo)</v>
      </c>
      <c r="O482" s="7" t="str">
        <f>IFERROR(__xludf.DUMMYFUNCTION("""COMPUTED_VALUE""")," Cabreúva")</f>
        <v> Cabreúva</v>
      </c>
      <c r="P482" s="7" t="str">
        <f>IFERROR(__xludf.DUMMYFUNCTION("""COMPUTED_VALUE"""),"SP")</f>
        <v>SP</v>
      </c>
      <c r="Q482" s="7" t="str">
        <f>IFERROR(__xludf.DUMMYFUNCTION("""COMPUTED_VALUE""")," 13317-522 ")</f>
        <v> 13317-522 </v>
      </c>
      <c r="R482" s="9">
        <f>IFERROR(__xludf.DUMMYFUNCTION("SPLIT($K482,"" "","""")"),-2.3256466E7)</f>
        <v>-23256466</v>
      </c>
      <c r="S482" s="9">
        <f>IFERROR(__xludf.DUMMYFUNCTION("""COMPUTED_VALUE"""),-4.7071555E7)</f>
        <v>-47071555</v>
      </c>
      <c r="T482" s="10">
        <v>3508405.0</v>
      </c>
      <c r="U48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13317-522 ', 'PK-20686', SYSDATE, 0, 'PK-20686', SYSDATE, 'Rua  Onix  Vila Preciosa (Vilarejo)', 'Rua Onix Vila Preciosa (Vilarejo)', ' Vila Preciosa (Vilarejo)', 'Rua', '3508405', 'Rua Onix Vila Preciosa (Vilarejo)',' Vila Preciosa (Vilarejo)', '1', 'SP', '1', '-23256466', '-47071555', ' Vila Preciosa (Vilarejo)' </v>
      </c>
    </row>
    <row r="483" ht="15.75" customHeight="1">
      <c r="A483" s="4" t="s">
        <v>1486</v>
      </c>
      <c r="B483" s="5" t="s">
        <v>394</v>
      </c>
      <c r="C483" s="4" t="s">
        <v>10</v>
      </c>
      <c r="D483" s="5" t="s">
        <v>1489</v>
      </c>
      <c r="E483" s="6">
        <v>214.0</v>
      </c>
      <c r="F483" s="6" t="s">
        <v>12</v>
      </c>
      <c r="G483" s="3" t="s">
        <v>13</v>
      </c>
      <c r="H483" s="7" t="str">
        <f>IFERROR(__xludf.DUMMYFUNCTION("SPLIT(A481,""Rua"","""")"),"       Tunísia")</f>
        <v>       Tunísia</v>
      </c>
      <c r="J483" s="3" t="s">
        <v>1490</v>
      </c>
      <c r="K483" s="8" t="str">
        <f>IFERROR(__xludf.DUMMYFUNCTION("SPLIT($J483,""   "","""")"),"-23.245618 -47.064924")</f>
        <v>-23.245618 -47.064924</v>
      </c>
      <c r="L483" s="7" t="str">
        <f>IFERROR(__xludf.DUMMYFUNCTION("""COMPUTED_VALUE"""),"Rua")</f>
        <v>Rua</v>
      </c>
      <c r="M483" s="7" t="str">
        <f>IFERROR(__xludf.DUMMYFUNCTION("""COMPUTED_VALUE""")," Malvasia")</f>
        <v> Malvasia</v>
      </c>
      <c r="N483" s="7" t="str">
        <f>IFERROR(__xludf.DUMMYFUNCTION("""COMPUTED_VALUE""")," Reserva da Quinta (Jacaré)")</f>
        <v> Reserva da Quinta (Jacaré)</v>
      </c>
      <c r="O483" s="7" t="str">
        <f>IFERROR(__xludf.DUMMYFUNCTION("""COMPUTED_VALUE""")," Cabreúva")</f>
        <v> Cabreúva</v>
      </c>
      <c r="P483" s="7" t="str">
        <f>IFERROR(__xludf.DUMMYFUNCTION("""COMPUTED_VALUE"""),"SP")</f>
        <v>SP</v>
      </c>
      <c r="Q483" s="7" t="str">
        <f>IFERROR(__xludf.DUMMYFUNCTION("""COMPUTED_VALUE""")," 13318-464 ")</f>
        <v> 13318-464 </v>
      </c>
      <c r="R483" s="9">
        <f>IFERROR(__xludf.DUMMYFUNCTION("SPLIT($K483,"" "","""")"),-2.3245618E7)</f>
        <v>-23245618</v>
      </c>
      <c r="S483" s="9">
        <f>IFERROR(__xludf.DUMMYFUNCTION("""COMPUTED_VALUE"""),-4.7064924E7)</f>
        <v>-47064924</v>
      </c>
      <c r="T483" s="10">
        <v>3508405.0</v>
      </c>
      <c r="U48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13318-464 ', 'PK-20686', SYSDATE, 0, 'PK-20686', SYSDATE, 'Rua  Malvasia  Reserva da Quinta (Jacaré)', 'Rua Malvasia Reserva da Quinta (Jacaré)', ' Reserva da Quinta (Jacaré)', 'Rua', '3508405', 'Rua Malvasia Reserva da Quinta (Jacaré)',' Reserva da Quinta (Jacaré)', '1', 'SP', '1', '-23245618', '-47064924', ' Reserva da Quinta (Jacaré)' </v>
      </c>
    </row>
    <row r="484" ht="15.75" hidden="1" customHeight="1">
      <c r="A484" s="4" t="s">
        <v>1491</v>
      </c>
      <c r="B484" s="5" t="s">
        <v>1094</v>
      </c>
      <c r="C484" s="4" t="s">
        <v>10</v>
      </c>
      <c r="D484" s="5" t="s">
        <v>1492</v>
      </c>
      <c r="E484" s="6">
        <v>214.0</v>
      </c>
      <c r="F484" s="6" t="s">
        <v>12</v>
      </c>
      <c r="G484" s="3" t="s">
        <v>13</v>
      </c>
      <c r="H484" s="7" t="str">
        <f>IFERROR(__xludf.DUMMYFUNCTION("SPLIT(A482,""Rua"","""")"),"       Turmalina")</f>
        <v>       Turmalina</v>
      </c>
      <c r="J484" s="3" t="s">
        <v>1493</v>
      </c>
      <c r="K484" s="8" t="str">
        <f>IFERROR(__xludf.DUMMYFUNCTION("SPLIT($J484,""   "","""")"),"-23.305108 -47.130414")</f>
        <v>-23.305108 -47.130414</v>
      </c>
      <c r="L484" s="7" t="str">
        <f>IFERROR(__xludf.DUMMYFUNCTION("""COMPUTED_VALUE"""),"Via")</f>
        <v>Via</v>
      </c>
      <c r="M484" s="7" t="str">
        <f>IFERROR(__xludf.DUMMYFUNCTION("""COMPUTED_VALUE""")," de Acesso Vereador José de Moraes")</f>
        <v> de Acesso Vereador José de Moraes</v>
      </c>
      <c r="N484" s="7" t="str">
        <f>IFERROR(__xludf.DUMMYFUNCTION("""COMPUTED_VALUE""")," Centro")</f>
        <v> Centro</v>
      </c>
      <c r="O484" s="7" t="str">
        <f>IFERROR(__xludf.DUMMYFUNCTION("""COMPUTED_VALUE""")," Cabreúva")</f>
        <v> Cabreúva</v>
      </c>
      <c r="P484" s="7" t="str">
        <f>IFERROR(__xludf.DUMMYFUNCTION("""COMPUTED_VALUE"""),"SP")</f>
        <v>SP</v>
      </c>
      <c r="Q484" s="7" t="str">
        <f>IFERROR(__xludf.DUMMYFUNCTION("""COMPUTED_VALUE""")," 13315-002 ")</f>
        <v> 13315-002 </v>
      </c>
      <c r="R484" s="9">
        <f>IFERROR(__xludf.DUMMYFUNCTION("SPLIT($K484,"" "","""")"),-2.3305108E7)</f>
        <v>-23305108</v>
      </c>
      <c r="S484" s="9">
        <f>IFERROR(__xludf.DUMMYFUNCTION("""COMPUTED_VALUE"""),-4.7130414E7)</f>
        <v>-47130414</v>
      </c>
      <c r="T484" s="10">
        <v>3508405.0</v>
      </c>
      <c r="U48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13315-002 ', 'PK-20686', SYSDATE, 0, 'PK-20686', SYSDATE, 'Via  de Acesso Vereador José de Moraes  Centro', 'Via de Acesso Vereador José de Moraes Centro', ' Centro', 'Via', '3508405', 'Via de Acesso Vereador José de Moraes Centro',' Centro', '1', 'SP', '1', '-23305108', '-47130414', ' Centro' </v>
      </c>
    </row>
    <row r="485" ht="15.75" customHeight="1">
      <c r="A485" s="4" t="s">
        <v>1491</v>
      </c>
      <c r="B485" s="5" t="s">
        <v>394</v>
      </c>
      <c r="C485" s="4" t="s">
        <v>10</v>
      </c>
      <c r="D485" s="5" t="s">
        <v>1494</v>
      </c>
      <c r="E485" s="6">
        <v>214.0</v>
      </c>
      <c r="F485" s="6" t="s">
        <v>12</v>
      </c>
      <c r="G485" s="3" t="s">
        <v>13</v>
      </c>
      <c r="H485" s="7" t="str">
        <f>IFERROR(__xludf.DUMMYFUNCTION("SPLIT(A483,""Rua"","""")"),"       Turmalina")</f>
        <v>       Turmalina</v>
      </c>
      <c r="J485" s="3" t="s">
        <v>1495</v>
      </c>
      <c r="K485" s="8" t="str">
        <f>IFERROR(__xludf.DUMMYFUNCTION("SPLIT($J485,""   "","""")"),"-23.253074 -47.088722")</f>
        <v>-23.253074 -47.088722</v>
      </c>
      <c r="L485" s="7" t="str">
        <f>IFERROR(__xludf.DUMMYFUNCTION("""COMPUTED_VALUE"""),"Rua")</f>
        <v>Rua</v>
      </c>
      <c r="M485" s="7" t="str">
        <f>IFERROR(__xludf.DUMMYFUNCTION("""COMPUTED_VALUE""")," das Avencas")</f>
        <v> das Avencas</v>
      </c>
      <c r="N485" s="7" t="str">
        <f>IFERROR(__xludf.DUMMYFUNCTION("""COMPUTED_VALUE""")," Pinhal Mirim (Pinhal)")</f>
        <v> Pinhal Mirim (Pinhal)</v>
      </c>
      <c r="O485" s="7" t="str">
        <f>IFERROR(__xludf.DUMMYFUNCTION("""COMPUTED_VALUE""")," Cabreúva")</f>
        <v> Cabreúva</v>
      </c>
      <c r="P485" s="7" t="str">
        <f>IFERROR(__xludf.DUMMYFUNCTION("""COMPUTED_VALUE"""),"SP")</f>
        <v>SP</v>
      </c>
      <c r="Q485" s="7" t="str">
        <f>IFERROR(__xludf.DUMMYFUNCTION("""COMPUTED_VALUE""")," 13317-280 ")</f>
        <v> 13317-280 </v>
      </c>
      <c r="R485" s="9">
        <f>IFERROR(__xludf.DUMMYFUNCTION("SPLIT($K485,"" "","""")"),-2.3253074E7)</f>
        <v>-23253074</v>
      </c>
      <c r="S485" s="9">
        <f>IFERROR(__xludf.DUMMYFUNCTION("""COMPUTED_VALUE"""),-4.7088722E7)</f>
        <v>-47088722</v>
      </c>
      <c r="T485" s="10">
        <v>3508405.0</v>
      </c>
      <c r="U48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13317-280 ', 'PK-20686', SYSDATE, 0, 'PK-20686', SYSDATE, 'Rua  das Avencas  Pinhal Mirim (Pinhal)', 'Rua das Avencas Pinhal Mirim (Pinhal)', ' Pinhal Mirim (Pinhal)', 'Rua', '3508405', 'Rua das Avencas Pinhal Mirim (Pinhal)',' Pinhal Mirim (Pinhal)', '1', 'SP', '1', '-23253074', '-47088722', ' Pinhal Mirim (Pinhal)' </v>
      </c>
    </row>
    <row r="486" ht="15.75" customHeight="1">
      <c r="A486" s="4" t="s">
        <v>1496</v>
      </c>
      <c r="B486" s="5" t="s">
        <v>160</v>
      </c>
      <c r="C486" s="4" t="s">
        <v>10</v>
      </c>
      <c r="D486" s="5" t="s">
        <v>1497</v>
      </c>
      <c r="E486" s="6">
        <v>214.0</v>
      </c>
      <c r="F486" s="6" t="s">
        <v>12</v>
      </c>
      <c r="G486" s="3" t="s">
        <v>13</v>
      </c>
      <c r="H486" s="7" t="str">
        <f>IFERROR(__xludf.DUMMYFUNCTION("SPLIT(A484,""Rua"","""")"),"       Turquesa")</f>
        <v>       Turquesa</v>
      </c>
      <c r="J486" s="3" t="s">
        <v>1498</v>
      </c>
      <c r="K486" s="8" t="str">
        <f>IFERROR(__xludf.DUMMYFUNCTION("SPLIT($J486,""   "","""")"),"-23.30897 -47.131949")</f>
        <v>-23.30897 -47.131949</v>
      </c>
      <c r="L486" s="7" t="str">
        <f>IFERROR(__xludf.DUMMYFUNCTION("""COMPUTED_VALUE"""),"Rua")</f>
        <v>Rua</v>
      </c>
      <c r="M486" s="7" t="str">
        <f>IFERROR(__xludf.DUMMYFUNCTION("""COMPUTED_VALUE""")," Everaldo Martins de Mello")</f>
        <v> Everaldo Martins de Mello</v>
      </c>
      <c r="N486" s="7" t="str">
        <f>IFERROR(__xludf.DUMMYFUNCTION("""COMPUTED_VALUE""")," Centro")</f>
        <v> Centro</v>
      </c>
      <c r="O486" s="7" t="str">
        <f>IFERROR(__xludf.DUMMYFUNCTION("""COMPUTED_VALUE""")," Cabreúva")</f>
        <v> Cabreúva</v>
      </c>
      <c r="P486" s="7" t="str">
        <f>IFERROR(__xludf.DUMMYFUNCTION("""COMPUTED_VALUE"""),"SP")</f>
        <v>SP</v>
      </c>
      <c r="Q486" s="7" t="str">
        <f>IFERROR(__xludf.DUMMYFUNCTION("""COMPUTED_VALUE""")," 13315-043 ")</f>
        <v> 13315-043 </v>
      </c>
      <c r="R486" s="9">
        <f>IFERROR(__xludf.DUMMYFUNCTION("SPLIT($K486,"" "","""")"),-2330897.0)</f>
        <v>-2330897</v>
      </c>
      <c r="S486" s="9">
        <f>IFERROR(__xludf.DUMMYFUNCTION("""COMPUTED_VALUE"""),-4.7131949E7)</f>
        <v>-47131949</v>
      </c>
      <c r="T486" s="10">
        <v>3508405.0</v>
      </c>
      <c r="U48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13315-043 ', 'PK-20686', SYSDATE, 0, 'PK-20686', SYSDATE, 'Rua  Everaldo Martins de Mello  Centro', 'Rua Everaldo Martins de Mello Centro', ' Centro', 'Rua', '3508405', 'Rua Everaldo Martins de Mello Centro',' Centro', '1', 'SP', '1', '-2330897', '-47131949', ' Centro' </v>
      </c>
    </row>
    <row r="487" ht="15.75" customHeight="1">
      <c r="A487" s="4" t="s">
        <v>1499</v>
      </c>
      <c r="B487" s="5" t="s">
        <v>193</v>
      </c>
      <c r="C487" s="4" t="s">
        <v>10</v>
      </c>
      <c r="D487" s="5" t="s">
        <v>1500</v>
      </c>
      <c r="E487" s="6">
        <v>214.0</v>
      </c>
      <c r="F487" s="6" t="s">
        <v>12</v>
      </c>
      <c r="G487" s="3" t="s">
        <v>13</v>
      </c>
      <c r="H487" s="7" t="str">
        <f>IFERROR(__xludf.DUMMYFUNCTION("SPLIT(A485,""Rua"","""")"),"       Turquesa")</f>
        <v>       Turquesa</v>
      </c>
      <c r="J487" s="3" t="s">
        <v>1501</v>
      </c>
      <c r="K487" s="8" t="str">
        <f>IFERROR(__xludf.DUMMYFUNCTION("SPLIT($J487,""   "","""")"),"-23.245618 -47.064924")</f>
        <v>-23.245618 -47.064924</v>
      </c>
      <c r="L487" s="7" t="str">
        <f>IFERROR(__xludf.DUMMYFUNCTION("""COMPUTED_VALUE"""),"Rua")</f>
        <v>Rua</v>
      </c>
      <c r="M487" s="7" t="str">
        <f>IFERROR(__xludf.DUMMYFUNCTION("""COMPUTED_VALUE""")," Existente")</f>
        <v> Existente</v>
      </c>
      <c r="N487" s="7" t="str">
        <f>IFERROR(__xludf.DUMMYFUNCTION("""COMPUTED_VALUE""")," Jacaré")</f>
        <v> Jacaré</v>
      </c>
      <c r="O487" s="7" t="str">
        <f>IFERROR(__xludf.DUMMYFUNCTION("""COMPUTED_VALUE""")," Cabreúva")</f>
        <v> Cabreúva</v>
      </c>
      <c r="P487" s="7" t="str">
        <f>IFERROR(__xludf.DUMMYFUNCTION("""COMPUTED_VALUE"""),"SP")</f>
        <v>SP</v>
      </c>
      <c r="Q487" s="7" t="str">
        <f>IFERROR(__xludf.DUMMYFUNCTION("""COMPUTED_VALUE""")," 13318-115 ")</f>
        <v> 13318-115 </v>
      </c>
      <c r="R487" s="9">
        <f>IFERROR(__xludf.DUMMYFUNCTION("SPLIT($K487,"" "","""")"),-2.3245618E7)</f>
        <v>-23245618</v>
      </c>
      <c r="S487" s="9">
        <f>IFERROR(__xludf.DUMMYFUNCTION("""COMPUTED_VALUE"""),-4.7064924E7)</f>
        <v>-47064924</v>
      </c>
      <c r="T487" s="10">
        <v>3508405.0</v>
      </c>
      <c r="U48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13318-115 ', 'PK-20686', SYSDATE, 0, 'PK-20686', SYSDATE, 'Rua  Existente  Jacaré', 'Rua Existente Jacaré', ' Jacaré', 'Rua', '3508405', 'Rua Existente Jacaré',' Jacaré', '1', 'SP', '1', '-23245618', '-47064924', ' Jacaré' </v>
      </c>
    </row>
    <row r="488" ht="15.75" customHeight="1">
      <c r="A488" s="4" t="s">
        <v>1502</v>
      </c>
      <c r="B488" s="5" t="s">
        <v>160</v>
      </c>
      <c r="C488" s="4" t="s">
        <v>10</v>
      </c>
      <c r="D488" s="5" t="s">
        <v>1503</v>
      </c>
      <c r="E488" s="6">
        <v>214.0</v>
      </c>
      <c r="F488" s="6" t="s">
        <v>12</v>
      </c>
      <c r="G488" s="3" t="s">
        <v>13</v>
      </c>
      <c r="H488" s="7" t="str">
        <f>IFERROR(__xludf.DUMMYFUNCTION("SPLIT(A486,""Rua"","""")"),"       Turquia")</f>
        <v>       Turquia</v>
      </c>
      <c r="J488" s="3" t="s">
        <v>1504</v>
      </c>
      <c r="K488" s="8" t="str">
        <f>IFERROR(__xludf.DUMMYFUNCTION("SPLIT($J488,""   "","""")"),"-23.273444 -47.058329")</f>
        <v>-23.273444 -47.058329</v>
      </c>
      <c r="L488" s="7" t="str">
        <f>IFERROR(__xludf.DUMMYFUNCTION("""COMPUTED_VALUE"""),"Rua")</f>
        <v>Rua</v>
      </c>
      <c r="M488" s="7" t="str">
        <f>IFERROR(__xludf.DUMMYFUNCTION("""COMPUTED_VALUE""")," Lituânia")</f>
        <v> Lituânia</v>
      </c>
      <c r="N488" s="7" t="str">
        <f>IFERROR(__xludf.DUMMYFUNCTION("""COMPUTED_VALUE""")," Villarejo Sopé da Serra (Vilarejo)")</f>
        <v> Villarejo Sopé da Serra (Vilarejo)</v>
      </c>
      <c r="O488" s="7" t="str">
        <f>IFERROR(__xludf.DUMMYFUNCTION("""COMPUTED_VALUE""")," Cabreúva")</f>
        <v> Cabreúva</v>
      </c>
      <c r="P488" s="7" t="str">
        <f>IFERROR(__xludf.DUMMYFUNCTION("""COMPUTED_VALUE"""),"SP")</f>
        <v>SP</v>
      </c>
      <c r="Q488" s="7" t="str">
        <f>IFERROR(__xludf.DUMMYFUNCTION("""COMPUTED_VALUE""")," 13317-666 ")</f>
        <v> 13317-666 </v>
      </c>
      <c r="R488" s="9">
        <f>IFERROR(__xludf.DUMMYFUNCTION("SPLIT($K488,"" "","""")"),-2.3273444E7)</f>
        <v>-23273444</v>
      </c>
      <c r="S488" s="9">
        <f>IFERROR(__xludf.DUMMYFUNCTION("""COMPUTED_VALUE"""),-4.7058329E7)</f>
        <v>-47058329</v>
      </c>
      <c r="T488" s="10">
        <v>3508405.0</v>
      </c>
      <c r="U48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13317-666 ', 'PK-20686', SYSDATE, 0, 'PK-20686', SYSDATE, 'Rua  Lituânia  Villarejo Sopé da Serra (Vilarejo)', 'Rua Lituânia Villarejo Sopé da Serra (Vilarejo)', ' Villarejo Sopé da Serra (Vilarejo)', 'Rua', '3508405', 'Rua Lituânia Villarejo Sopé da Serra (Vilarejo)',' Villarejo Sopé da Serra (Vilarejo)', '1', 'SP', '1', '-23273444', '-47058329', ' Villarejo Sopé da Serra (Vilarejo)' </v>
      </c>
    </row>
    <row r="489" ht="15.75" customHeight="1">
      <c r="A489" s="4" t="s">
        <v>1505</v>
      </c>
      <c r="B489" s="5" t="s">
        <v>611</v>
      </c>
      <c r="C489" s="4" t="s">
        <v>10</v>
      </c>
      <c r="D489" s="5" t="s">
        <v>1506</v>
      </c>
      <c r="E489" s="6">
        <v>214.0</v>
      </c>
      <c r="F489" s="6" t="s">
        <v>12</v>
      </c>
      <c r="G489" s="3" t="s">
        <v>13</v>
      </c>
      <c r="H489" s="7" t="str">
        <f>IFERROR(__xludf.DUMMYFUNCTION("SPLIT(A487,""Rua"","""")"),"       Uberlândia")</f>
        <v>       Uberlândia</v>
      </c>
      <c r="J489" s="3" t="s">
        <v>1507</v>
      </c>
      <c r="K489" s="8" t="str">
        <f>IFERROR(__xludf.DUMMYFUNCTION("SPLIT($J489,""   "","""")"),"-23.296336 -47.137115")</f>
        <v>-23.296336 -47.137115</v>
      </c>
      <c r="L489" s="7" t="str">
        <f>IFERROR(__xludf.DUMMYFUNCTION("""COMPUTED_VALUE"""),"Rua")</f>
        <v>Rua</v>
      </c>
      <c r="M489" s="7" t="str">
        <f>IFERROR(__xludf.DUMMYFUNCTION("""COMPUTED_VALUE""")," Cambará")</f>
        <v> Cambará</v>
      </c>
      <c r="N489" s="7" t="str">
        <f>IFERROR(__xludf.DUMMYFUNCTION("""COMPUTED_VALUE""")," Vale Verde (Centro)")</f>
        <v> Vale Verde (Centro)</v>
      </c>
      <c r="O489" s="7" t="str">
        <f>IFERROR(__xludf.DUMMYFUNCTION("""COMPUTED_VALUE""")," Cabreúva")</f>
        <v> Cabreúva</v>
      </c>
      <c r="P489" s="7" t="str">
        <f>IFERROR(__xludf.DUMMYFUNCTION("""COMPUTED_VALUE"""),"SP")</f>
        <v>SP</v>
      </c>
      <c r="Q489" s="7" t="str">
        <f>IFERROR(__xludf.DUMMYFUNCTION("""COMPUTED_VALUE""")," 13315-286 ")</f>
        <v> 13315-286 </v>
      </c>
      <c r="R489" s="9">
        <f>IFERROR(__xludf.DUMMYFUNCTION("SPLIT($K489,"" "","""")"),-2.3296336E7)</f>
        <v>-23296336</v>
      </c>
      <c r="S489" s="9">
        <f>IFERROR(__xludf.DUMMYFUNCTION("""COMPUTED_VALUE"""),-4.7137115E7)</f>
        <v>-47137115</v>
      </c>
      <c r="T489" s="10">
        <v>3508405.0</v>
      </c>
      <c r="U48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13315-286 ', 'PK-20686', SYSDATE, 0, 'PK-20686', SYSDATE, 'Rua  Cambará  Vale Verde (Centro)', 'Rua Cambará Vale Verde (Centro)', ' Vale Verde (Centro)', 'Rua', '3508405', 'Rua Cambará Vale Verde (Centro)',' Vale Verde (Centro)', '1', 'SP', '1', '-23296336', '-47137115', ' Vale Verde (Centro)' </v>
      </c>
    </row>
    <row r="490" ht="15.75" customHeight="1">
      <c r="A490" s="4" t="s">
        <v>1505</v>
      </c>
      <c r="B490" s="5" t="s">
        <v>1508</v>
      </c>
      <c r="C490" s="4" t="s">
        <v>10</v>
      </c>
      <c r="D490" s="5" t="s">
        <v>1509</v>
      </c>
      <c r="E490" s="6">
        <v>214.0</v>
      </c>
      <c r="F490" s="6" t="s">
        <v>12</v>
      </c>
      <c r="G490" s="3" t="s">
        <v>13</v>
      </c>
      <c r="H490" s="7" t="str">
        <f>IFERROR(__xludf.DUMMYFUNCTION("SPLIT(A488,""Rua"","""")"),"       Uganda")</f>
        <v>       Uganda</v>
      </c>
      <c r="J490" s="3" t="s">
        <v>1510</v>
      </c>
      <c r="K490" s="8" t="str">
        <f>IFERROR(__xludf.DUMMYFUNCTION("SPLIT($J490,""   "","""")"),"-23.251319 -47.060245")</f>
        <v>-23.251319 -47.060245</v>
      </c>
      <c r="L490" s="7" t="str">
        <f>IFERROR(__xludf.DUMMYFUNCTION("""COMPUTED_VALUE"""),"Rua")</f>
        <v>Rua</v>
      </c>
      <c r="M490" s="7" t="str">
        <f>IFERROR(__xludf.DUMMYFUNCTION("""COMPUTED_VALUE""")," Rondônia")</f>
        <v> Rondônia</v>
      </c>
      <c r="N490" s="7" t="str">
        <f>IFERROR(__xludf.DUMMYFUNCTION("""COMPUTED_VALUE""")," Jacaré")</f>
        <v> Jacaré</v>
      </c>
      <c r="O490" s="7" t="str">
        <f>IFERROR(__xludf.DUMMYFUNCTION("""COMPUTED_VALUE""")," Cabreúva")</f>
        <v> Cabreúva</v>
      </c>
      <c r="P490" s="7" t="str">
        <f>IFERROR(__xludf.DUMMYFUNCTION("""COMPUTED_VALUE"""),"SP")</f>
        <v>SP</v>
      </c>
      <c r="Q490" s="7" t="str">
        <f>IFERROR(__xludf.DUMMYFUNCTION("""COMPUTED_VALUE""")," 13318-066 ")</f>
        <v> 13318-066 </v>
      </c>
      <c r="R490" s="9">
        <f>IFERROR(__xludf.DUMMYFUNCTION("SPLIT($K490,"" "","""")"),-2.3251319E7)</f>
        <v>-23251319</v>
      </c>
      <c r="S490" s="9">
        <f>IFERROR(__xludf.DUMMYFUNCTION("""COMPUTED_VALUE"""),-4.7060245E7)</f>
        <v>-47060245</v>
      </c>
      <c r="T490" s="10">
        <v>3508405.0</v>
      </c>
      <c r="U49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13318-066 ', 'PK-20686', SYSDATE, 0, 'PK-20686', SYSDATE, 'Rua  Rondônia  Jacaré', 'Rua Rondônia Jacaré', ' Jacaré', 'Rua', '3508405', 'Rua Rondônia Jacaré',' Jacaré', '1', 'SP', '1', '-23251319', '-47060245', ' Jacaré' </v>
      </c>
    </row>
    <row r="491" ht="15.75" hidden="1" customHeight="1">
      <c r="A491" s="4" t="s">
        <v>1511</v>
      </c>
      <c r="B491" s="5" t="s">
        <v>190</v>
      </c>
      <c r="C491" s="4" t="s">
        <v>10</v>
      </c>
      <c r="D491" s="5" t="s">
        <v>1512</v>
      </c>
      <c r="E491" s="6">
        <v>214.0</v>
      </c>
      <c r="F491" s="6" t="s">
        <v>12</v>
      </c>
      <c r="G491" s="3" t="s">
        <v>13</v>
      </c>
      <c r="H491" s="7" t="str">
        <f>IFERROR(__xludf.DUMMYFUNCTION("SPLIT(A489,""Rua"","""")"),"       Um")</f>
        <v>       Um</v>
      </c>
      <c r="J491" s="3" t="s">
        <v>1513</v>
      </c>
      <c r="K491" s="8" t="str">
        <f>IFERROR(__xludf.DUMMYFUNCTION("SPLIT($J491,""   "","""")"),"-23.307366 -47.133678")</f>
        <v>-23.307366 -47.133678</v>
      </c>
      <c r="L491" s="7" t="str">
        <f>IFERROR(__xludf.DUMMYFUNCTION("""COMPUTED_VALUE"""),"Avenida")</f>
        <v>Avenida</v>
      </c>
      <c r="M491" s="7" t="str">
        <f>IFERROR(__xludf.DUMMYFUNCTION("""COMPUTED_VALUE""")," Antonio Ortega")</f>
        <v> Antonio Ortega</v>
      </c>
      <c r="N491" s="7" t="str">
        <f>IFERROR(__xludf.DUMMYFUNCTION("""COMPUTED_VALUE""")," Pinhal")</f>
        <v> Pinhal</v>
      </c>
      <c r="O491" s="7" t="str">
        <f>IFERROR(__xludf.DUMMYFUNCTION("""COMPUTED_VALUE""")," Cabreúva")</f>
        <v> Cabreúva</v>
      </c>
      <c r="P491" s="7" t="str">
        <f>IFERROR(__xludf.DUMMYFUNCTION("""COMPUTED_VALUE"""),"SP")</f>
        <v>SP</v>
      </c>
      <c r="Q491" s="7" t="str">
        <f>IFERROR(__xludf.DUMMYFUNCTION("""COMPUTED_VALUE""")," 13317-212 ")</f>
        <v> 13317-212 </v>
      </c>
      <c r="R491" s="9">
        <f>IFERROR(__xludf.DUMMYFUNCTION("SPLIT($K491,"" "","""")"),-2.3307366E7)</f>
        <v>-23307366</v>
      </c>
      <c r="S491" s="9">
        <f>IFERROR(__xludf.DUMMYFUNCTION("""COMPUTED_VALUE"""),-4.7133678E7)</f>
        <v>-47133678</v>
      </c>
      <c r="T491" s="10">
        <v>3508405.0</v>
      </c>
      <c r="U49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13317-212 ', 'PK-20686', SYSDATE, 0, 'PK-20686', SYSDATE, 'Avenida  Antonio Ortega  Pinhal', 'Avenida Antonio Ortega Pinhal', ' Pinhal', 'Avenida', '3508405', 'Avenida Antonio Ortega Pinhal',' Pinhal', '1', 'SP', '1', '-23307366', '-47133678', ' Pinhal' </v>
      </c>
    </row>
    <row r="492" ht="15.75" customHeight="1">
      <c r="A492" s="4" t="s">
        <v>1514</v>
      </c>
      <c r="B492" s="5" t="s">
        <v>216</v>
      </c>
      <c r="C492" s="4" t="s">
        <v>10</v>
      </c>
      <c r="D492" s="5" t="s">
        <v>1515</v>
      </c>
      <c r="E492" s="6">
        <v>214.0</v>
      </c>
      <c r="F492" s="6" t="s">
        <v>12</v>
      </c>
      <c r="G492" s="3" t="s">
        <v>13</v>
      </c>
      <c r="H492" s="7" t="str">
        <f>IFERROR(__xludf.DUMMYFUNCTION("SPLIT(A490,""Rua"","""")"),"       Um")</f>
        <v>       Um</v>
      </c>
      <c r="J492" s="3" t="s">
        <v>1516</v>
      </c>
      <c r="K492" s="8" t="str">
        <f>IFERROR(__xludf.DUMMYFUNCTION("SPLIT($J492,""   "","""")"),"-23.24596 -47.067752")</f>
        <v>-23.24596 -47.067752</v>
      </c>
      <c r="L492" s="7" t="str">
        <f>IFERROR(__xludf.DUMMYFUNCTION("""COMPUTED_VALUE"""),"Rua")</f>
        <v>Rua</v>
      </c>
      <c r="M492" s="7" t="str">
        <f>IFERROR(__xludf.DUMMYFUNCTION("""COMPUTED_VALUE""")," Gláucio Silvio Cardoso")</f>
        <v> Gláucio Silvio Cardoso</v>
      </c>
      <c r="N492" s="7" t="str">
        <f>IFERROR(__xludf.DUMMYFUNCTION("""COMPUTED_VALUE""")," Flor de Ipê (Jacaré)")</f>
        <v> Flor de Ipê (Jacaré)</v>
      </c>
      <c r="O492" s="7" t="str">
        <f>IFERROR(__xludf.DUMMYFUNCTION("""COMPUTED_VALUE""")," Cabreúva")</f>
        <v> Cabreúva</v>
      </c>
      <c r="P492" s="7" t="str">
        <f>IFERROR(__xludf.DUMMYFUNCTION("""COMPUTED_VALUE"""),"SP")</f>
        <v>SP</v>
      </c>
      <c r="Q492" s="7" t="str">
        <f>IFERROR(__xludf.DUMMYFUNCTION("""COMPUTED_VALUE""")," 13318-410 ")</f>
        <v> 13318-410 </v>
      </c>
      <c r="R492" s="9">
        <f>IFERROR(__xludf.DUMMYFUNCTION("SPLIT($K492,"" "","""")"),-2324596.0)</f>
        <v>-2324596</v>
      </c>
      <c r="S492" s="9">
        <f>IFERROR(__xludf.DUMMYFUNCTION("""COMPUTED_VALUE"""),-4.7067752E7)</f>
        <v>-47067752</v>
      </c>
      <c r="T492" s="10">
        <v>3508405.0</v>
      </c>
      <c r="U49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13318-410 ', 'PK-20686', SYSDATE, 0, 'PK-20686', SYSDATE, 'Rua  Gláucio Silvio Cardoso  Flor de Ipê (Jacaré)', 'Rua Gláucio Silvio Cardoso Flor de Ipê (Jacaré)', ' Flor de Ipê (Jacaré)', 'Rua', '3508405', 'Rua Gláucio Silvio Cardoso Flor de Ipê (Jacaré)',' Flor de Ipê (Jacaré)', '1', 'SP', '1', '-2324596', '-47067752', ' Flor de Ipê (Jacaré)' </v>
      </c>
    </row>
    <row r="493" ht="15.75" customHeight="1">
      <c r="A493" s="4" t="s">
        <v>1517</v>
      </c>
      <c r="B493" s="5" t="s">
        <v>190</v>
      </c>
      <c r="C493" s="4" t="s">
        <v>10</v>
      </c>
      <c r="D493" s="5" t="s">
        <v>1518</v>
      </c>
      <c r="E493" s="6">
        <v>214.0</v>
      </c>
      <c r="F493" s="6" t="s">
        <v>12</v>
      </c>
      <c r="G493" s="3" t="s">
        <v>13</v>
      </c>
      <c r="H493" s="7" t="str">
        <f>IFERROR(__xludf.DUMMYFUNCTION("SPLIT(A491,""Rua"","""")"),"       Uruguai")</f>
        <v>       Uruguai</v>
      </c>
      <c r="J493" s="3" t="s">
        <v>1519</v>
      </c>
      <c r="K493" s="8" t="str">
        <f>IFERROR(__xludf.DUMMYFUNCTION("SPLIT($J493,""   "","""")"),"-23.254934 -47.095128")</f>
        <v>-23.254934 -47.095128</v>
      </c>
      <c r="L493" s="7" t="str">
        <f>IFERROR(__xludf.DUMMYFUNCTION("""COMPUTED_VALUE"""),"Rua")</f>
        <v>Rua</v>
      </c>
      <c r="M493" s="7" t="str">
        <f>IFERROR(__xludf.DUMMYFUNCTION("""COMPUTED_VALUE""")," Onofre Sakamoto")</f>
        <v> Onofre Sakamoto</v>
      </c>
      <c r="N493" s="7" t="str">
        <f>IFERROR(__xludf.DUMMYFUNCTION("""COMPUTED_VALUE""")," Jardim das Paineiras (Pinhal)")</f>
        <v> Jardim das Paineiras (Pinhal)</v>
      </c>
      <c r="O493" s="7" t="str">
        <f>IFERROR(__xludf.DUMMYFUNCTION("""COMPUTED_VALUE""")," Cabreúva")</f>
        <v> Cabreúva</v>
      </c>
      <c r="P493" s="7" t="str">
        <f>IFERROR(__xludf.DUMMYFUNCTION("""COMPUTED_VALUE"""),"SP")</f>
        <v>SP</v>
      </c>
      <c r="Q493" s="7" t="str">
        <f>IFERROR(__xludf.DUMMYFUNCTION("""COMPUTED_VALUE""")," 13317-220 ")</f>
        <v> 13317-220 </v>
      </c>
      <c r="R493" s="9">
        <f>IFERROR(__xludf.DUMMYFUNCTION("SPLIT($K493,"" "","""")"),-2.3254934E7)</f>
        <v>-23254934</v>
      </c>
      <c r="S493" s="9">
        <f>IFERROR(__xludf.DUMMYFUNCTION("""COMPUTED_VALUE"""),-4.7095128E7)</f>
        <v>-47095128</v>
      </c>
      <c r="T493" s="10">
        <v>3508405.0</v>
      </c>
      <c r="U49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13317-220 ', 'PK-20686', SYSDATE, 0, 'PK-20686', SYSDATE, 'Rua  Onofre Sakamoto  Jardim das Paineiras (Pinhal)', 'Rua Onofre Sakamoto Jardim das Paineiras (Pinhal)', ' Jardim das Paineiras (Pinhal)', 'Rua', '3508405', 'Rua Onofre Sakamoto Jardim das Paineiras (Pinhal)',' Jardim das Paineiras (Pinhal)', '1', 'SP', '1', '-23254934', '-47095128', ' Jardim das Paineiras (Pinhal)' </v>
      </c>
    </row>
    <row r="494" ht="15.75" customHeight="1">
      <c r="A494" s="4" t="s">
        <v>1520</v>
      </c>
      <c r="B494" s="5" t="s">
        <v>132</v>
      </c>
      <c r="C494" s="4" t="s">
        <v>10</v>
      </c>
      <c r="D494" s="5" t="s">
        <v>1521</v>
      </c>
      <c r="E494" s="6">
        <v>214.0</v>
      </c>
      <c r="F494" s="6" t="s">
        <v>12</v>
      </c>
      <c r="G494" s="3" t="s">
        <v>13</v>
      </c>
      <c r="H494" s="7" t="str">
        <f>IFERROR(__xludf.DUMMYFUNCTION("SPLIT(A492,""Rua"","""")"),"       Valinhos")</f>
        <v>       Valinhos</v>
      </c>
      <c r="J494" s="3" t="s">
        <v>1522</v>
      </c>
      <c r="K494" s="8" t="str">
        <f>IFERROR(__xludf.DUMMYFUNCTION("SPLIT($J494,""   "","""")"),"-23.245618 -47.064924")</f>
        <v>-23.245618 -47.064924</v>
      </c>
      <c r="L494" s="7" t="str">
        <f>IFERROR(__xludf.DUMMYFUNCTION("""COMPUTED_VALUE"""),"Rua")</f>
        <v>Rua</v>
      </c>
      <c r="M494" s="7" t="str">
        <f>IFERROR(__xludf.DUMMYFUNCTION("""COMPUTED_VALUE""")," Malbec")</f>
        <v> Malbec</v>
      </c>
      <c r="N494" s="7" t="str">
        <f>IFERROR(__xludf.DUMMYFUNCTION("""COMPUTED_VALUE""")," Reserva da Quinta (Jacaré)")</f>
        <v> Reserva da Quinta (Jacaré)</v>
      </c>
      <c r="O494" s="7" t="str">
        <f>IFERROR(__xludf.DUMMYFUNCTION("""COMPUTED_VALUE""")," Cabreúva")</f>
        <v> Cabreúva</v>
      </c>
      <c r="P494" s="7" t="str">
        <f>IFERROR(__xludf.DUMMYFUNCTION("""COMPUTED_VALUE"""),"SP")</f>
        <v>SP</v>
      </c>
      <c r="Q494" s="7" t="str">
        <f>IFERROR(__xludf.DUMMYFUNCTION("""COMPUTED_VALUE""")," 13318-442 ")</f>
        <v> 13318-442 </v>
      </c>
      <c r="R494" s="9">
        <f>IFERROR(__xludf.DUMMYFUNCTION("SPLIT($K494,"" "","""")"),-2.3245618E7)</f>
        <v>-23245618</v>
      </c>
      <c r="S494" s="9">
        <f>IFERROR(__xludf.DUMMYFUNCTION("""COMPUTED_VALUE"""),-4.7064924E7)</f>
        <v>-47064924</v>
      </c>
      <c r="T494" s="10">
        <v>3508405.0</v>
      </c>
      <c r="U49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13318-442 ', 'PK-20686', SYSDATE, 0, 'PK-20686', SYSDATE, 'Rua  Malbec  Reserva da Quinta (Jacaré)', 'Rua Malbec Reserva da Quinta (Jacaré)', ' Reserva da Quinta (Jacaré)', 'Rua', '3508405', 'Rua Malbec Reserva da Quinta (Jacaré)',' Reserva da Quinta (Jacaré)', '1', 'SP', '1', '-23245618', '-47064924', ' Reserva da Quinta (Jacaré)' </v>
      </c>
    </row>
    <row r="495" ht="15.75" customHeight="1">
      <c r="A495" s="4" t="s">
        <v>1523</v>
      </c>
      <c r="B495" s="5" t="s">
        <v>24</v>
      </c>
      <c r="C495" s="4" t="s">
        <v>10</v>
      </c>
      <c r="D495" s="5" t="s">
        <v>1524</v>
      </c>
      <c r="E495" s="6">
        <v>214.0</v>
      </c>
      <c r="F495" s="6" t="s">
        <v>12</v>
      </c>
      <c r="G495" s="3" t="s">
        <v>13</v>
      </c>
      <c r="H495" s="7" t="str">
        <f>IFERROR(__xludf.DUMMYFUNCTION("SPLIT(A493,""Rua"","""")"),"       Venezuela")</f>
        <v>       Venezuela</v>
      </c>
      <c r="J495" s="3" t="s">
        <v>1525</v>
      </c>
      <c r="K495" s="8" t="str">
        <f>IFERROR(__xludf.DUMMYFUNCTION("SPLIT($J495,""   "","""")"),"-23.305637 -47.127893")</f>
        <v>-23.305637 -47.127893</v>
      </c>
      <c r="L495" s="7" t="str">
        <f>IFERROR(__xludf.DUMMYFUNCTION("""COMPUTED_VALUE"""),"Rua")</f>
        <v>Rua</v>
      </c>
      <c r="M495" s="7" t="str">
        <f>IFERROR(__xludf.DUMMYFUNCTION("""COMPUTED_VALUE""")," Egydio Mori")</f>
        <v> Egydio Mori</v>
      </c>
      <c r="N495" s="7" t="str">
        <f>IFERROR(__xludf.DUMMYFUNCTION("""COMPUTED_VALUE""")," Jardim Zicatti (Centro)")</f>
        <v> Jardim Zicatti (Centro)</v>
      </c>
      <c r="O495" s="7" t="str">
        <f>IFERROR(__xludf.DUMMYFUNCTION("""COMPUTED_VALUE""")," Cabreúva")</f>
        <v> Cabreúva</v>
      </c>
      <c r="P495" s="7" t="str">
        <f>IFERROR(__xludf.DUMMYFUNCTION("""COMPUTED_VALUE"""),"SP")</f>
        <v>SP</v>
      </c>
      <c r="Q495" s="7" t="str">
        <f>IFERROR(__xludf.DUMMYFUNCTION("""COMPUTED_VALUE""")," 13315-186 ")</f>
        <v> 13315-186 </v>
      </c>
      <c r="R495" s="9">
        <f>IFERROR(__xludf.DUMMYFUNCTION("SPLIT($K495,"" "","""")"),-2.3305637E7)</f>
        <v>-23305637</v>
      </c>
      <c r="S495" s="9">
        <f>IFERROR(__xludf.DUMMYFUNCTION("""COMPUTED_VALUE"""),-4.7127893E7)</f>
        <v>-47127893</v>
      </c>
      <c r="T495" s="10">
        <v>3508405.0</v>
      </c>
      <c r="U49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13315-186 ', 'PK-20686', SYSDATE, 0, 'PK-20686', SYSDATE, 'Rua  Egydio Mori  Jardim Zicatti (Centro)', 'Rua Egydio Mori Jardim Zicatti (Centro)', ' Jardim Zicatti (Centro)', 'Rua', '3508405', 'Rua Egydio Mori Jardim Zicatti (Centro)',' Jardim Zicatti (Centro)', '1', 'SP', '1', '-23305637', '-47127893', ' Jardim Zicatti (Centro)' </v>
      </c>
    </row>
    <row r="496" ht="15.75" customHeight="1">
      <c r="A496" s="4" t="s">
        <v>1526</v>
      </c>
      <c r="B496" s="5" t="s">
        <v>825</v>
      </c>
      <c r="C496" s="4" t="s">
        <v>10</v>
      </c>
      <c r="D496" s="5" t="s">
        <v>1527</v>
      </c>
      <c r="E496" s="6">
        <v>214.0</v>
      </c>
      <c r="F496" s="6" t="s">
        <v>12</v>
      </c>
      <c r="G496" s="3" t="s">
        <v>13</v>
      </c>
      <c r="H496" s="7" t="str">
        <f>IFERROR(__xludf.DUMMYFUNCTION("SPLIT(A494,""Rua"","""")"),"       Vereador Alexandre Barbosa Nogueira")</f>
        <v>       Vereador Alexandre Barbosa Nogueira</v>
      </c>
      <c r="J496" s="3" t="s">
        <v>1528</v>
      </c>
      <c r="K496" s="8" t="str">
        <f>IFERROR(__xludf.DUMMYFUNCTION("SPLIT($J496,""   "","""")"),"-23.25729 -47.09146")</f>
        <v>-23.25729 -47.09146</v>
      </c>
      <c r="L496" s="7" t="str">
        <f>IFERROR(__xludf.DUMMYFUNCTION("""COMPUTED_VALUE"""),"Rua")</f>
        <v>Rua</v>
      </c>
      <c r="M496" s="7" t="str">
        <f>IFERROR(__xludf.DUMMYFUNCTION("""COMPUTED_VALUE""")," Rogério Vieira")</f>
        <v> Rogério Vieira</v>
      </c>
      <c r="N496" s="7" t="str">
        <f>IFERROR(__xludf.DUMMYFUNCTION("""COMPUTED_VALUE""")," Chácaras do Pinhal (Pinhal)")</f>
        <v> Chácaras do Pinhal (Pinhal)</v>
      </c>
      <c r="O496" s="7" t="str">
        <f>IFERROR(__xludf.DUMMYFUNCTION("""COMPUTED_VALUE""")," Cabreúva")</f>
        <v> Cabreúva</v>
      </c>
      <c r="P496" s="7" t="str">
        <f>IFERROR(__xludf.DUMMYFUNCTION("""COMPUTED_VALUE"""),"SP")</f>
        <v>SP</v>
      </c>
      <c r="Q496" s="7" t="str">
        <f>IFERROR(__xludf.DUMMYFUNCTION("""COMPUTED_VALUE""")," 13317-237 ")</f>
        <v> 13317-237 </v>
      </c>
      <c r="R496" s="9">
        <f>IFERROR(__xludf.DUMMYFUNCTION("SPLIT($K496,"" "","""")"),-2325729.0)</f>
        <v>-2325729</v>
      </c>
      <c r="S496" s="9">
        <f>IFERROR(__xludf.DUMMYFUNCTION("""COMPUTED_VALUE"""),-4709146.0)</f>
        <v>-4709146</v>
      </c>
      <c r="T496" s="10">
        <v>3508405.0</v>
      </c>
      <c r="U49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13317-237 ', 'PK-20686', SYSDATE, 0, 'PK-20686', SYSDATE, 'Rua  Rogério Vieira  Chácaras do Pinhal (Pinhal)', 'Rua Rogério Vieira Chácaras do Pinhal (Pinhal)', ' Chácaras do Pinhal (Pinhal)', 'Rua', '3508405', 'Rua Rogério Vieira Chácaras do Pinhal (Pinhal)',' Chácaras do Pinhal (Pinhal)', '1', 'SP', '1', '-2325729', '-4709146', ' Chácaras do Pinhal (Pinhal)' </v>
      </c>
    </row>
    <row r="497" ht="15.75" customHeight="1">
      <c r="A497" s="12" t="s">
        <v>1529</v>
      </c>
      <c r="B497" s="13" t="s">
        <v>24</v>
      </c>
      <c r="C497" s="4" t="s">
        <v>10</v>
      </c>
      <c r="D497" s="13" t="s">
        <v>1530</v>
      </c>
      <c r="E497" s="6">
        <v>214.0</v>
      </c>
      <c r="F497" s="6" t="s">
        <v>12</v>
      </c>
      <c r="G497" s="3" t="s">
        <v>13</v>
      </c>
      <c r="H497" s="7" t="str">
        <f>IFERROR(__xludf.DUMMYFUNCTION("SPLIT(A495,""Rua"","""")"),"       Vereador João Pedro da Silva")</f>
        <v>       Vereador João Pedro da Silva</v>
      </c>
      <c r="J497" s="3" t="s">
        <v>1531</v>
      </c>
      <c r="K497" s="8" t="str">
        <f>IFERROR(__xludf.DUMMYFUNCTION("SPLIT($J497,""   "","""")"),"-23.272921 -47.060228")</f>
        <v>-23.272921 -47.060228</v>
      </c>
      <c r="L497" s="7" t="str">
        <f>IFERROR(__xludf.DUMMYFUNCTION("""COMPUTED_VALUE"""),"Rua")</f>
        <v>Rua</v>
      </c>
      <c r="M497" s="7" t="str">
        <f>IFERROR(__xludf.DUMMYFUNCTION("""COMPUTED_VALUE""")," Rússia")</f>
        <v> Rússia</v>
      </c>
      <c r="N497" s="7" t="str">
        <f>IFERROR(__xludf.DUMMYFUNCTION("""COMPUTED_VALUE""")," Villarejo Sopé da Serra (Vilarejo)")</f>
        <v> Villarejo Sopé da Serra (Vilarejo)</v>
      </c>
      <c r="O497" s="7" t="str">
        <f>IFERROR(__xludf.DUMMYFUNCTION("""COMPUTED_VALUE""")," Cabreúva")</f>
        <v> Cabreúva</v>
      </c>
      <c r="P497" s="7" t="str">
        <f>IFERROR(__xludf.DUMMYFUNCTION("""COMPUTED_VALUE"""),"SP")</f>
        <v>SP</v>
      </c>
      <c r="Q497" s="7" t="str">
        <f>IFERROR(__xludf.DUMMYFUNCTION("""COMPUTED_VALUE""")," 13317-658 ")</f>
        <v> 13317-658 </v>
      </c>
      <c r="R497" s="9">
        <f>IFERROR(__xludf.DUMMYFUNCTION("SPLIT($K497,"" "","""")"),-2.3272921E7)</f>
        <v>-23272921</v>
      </c>
      <c r="S497" s="9">
        <f>IFERROR(__xludf.DUMMYFUNCTION("""COMPUTED_VALUE"""),-4.7060228E7)</f>
        <v>-47060228</v>
      </c>
      <c r="T497" s="10">
        <v>3508405.0</v>
      </c>
      <c r="U49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13317-658 ', 'PK-20686', SYSDATE, 0, 'PK-20686', SYSDATE, 'Rua  Rússia  Villarejo Sopé da Serra (Vilarejo)', 'Rua Rússia Villarejo Sopé da Serra (Vilarejo)', ' Villarejo Sopé da Serra (Vilarejo)', 'Rua', '3508405', 'Rua Rússia Villarejo Sopé da Serra (Vilarejo)',' Villarejo Sopé da Serra (Vilarejo)', '1', 'SP', '1', '-23272921', '-47060228', ' Villarejo Sopé da Serra (Vilarejo)' </v>
      </c>
    </row>
    <row r="498" ht="15.75" hidden="1" customHeight="1">
      <c r="A498" s="4" t="s">
        <v>1532</v>
      </c>
      <c r="B498" s="5" t="s">
        <v>476</v>
      </c>
      <c r="C498" s="4" t="s">
        <v>10</v>
      </c>
      <c r="D498" s="5" t="s">
        <v>1533</v>
      </c>
      <c r="E498" s="6">
        <v>214.0</v>
      </c>
      <c r="F498" s="6" t="s">
        <v>12</v>
      </c>
      <c r="G498" s="3" t="s">
        <v>13</v>
      </c>
      <c r="H498" s="7" t="str">
        <f>IFERROR(__xludf.DUMMYFUNCTION("SPLIT(A496,""Rua"","""")"),"       Vereador Renardi Peratello")</f>
        <v>       Vereador Renardi Peratello</v>
      </c>
      <c r="J498" s="3" t="s">
        <v>1534</v>
      </c>
      <c r="K498" s="8" t="str">
        <f>IFERROR(__xludf.DUMMYFUNCTION("SPLIT($J498,""   "","""")"),"-23.245618 -47.064924")</f>
        <v>-23.245618 -47.064924</v>
      </c>
      <c r="L498" s="7" t="str">
        <f>IFERROR(__xludf.DUMMYFUNCTION("""COMPUTED_VALUE"""),"Alameda")</f>
        <v>Alameda</v>
      </c>
      <c r="M498" s="7" t="str">
        <f>IFERROR(__xludf.DUMMYFUNCTION("""COMPUTED_VALUE""")," Um")</f>
        <v> Um</v>
      </c>
      <c r="N498" s="7" t="str">
        <f>IFERROR(__xludf.DUMMYFUNCTION("""COMPUTED_VALUE""")," CECOM (Jacaré)")</f>
        <v> CECOM (Jacaré)</v>
      </c>
      <c r="O498" s="7" t="str">
        <f>IFERROR(__xludf.DUMMYFUNCTION("""COMPUTED_VALUE""")," Cabreúva")</f>
        <v> Cabreúva</v>
      </c>
      <c r="P498" s="7" t="str">
        <f>IFERROR(__xludf.DUMMYFUNCTION("""COMPUTED_VALUE"""),"SP")</f>
        <v>SP</v>
      </c>
      <c r="Q498" s="7" t="str">
        <f>IFERROR(__xludf.DUMMYFUNCTION("""COMPUTED_VALUE""")," 13318-356 ")</f>
        <v> 13318-356 </v>
      </c>
      <c r="R498" s="9">
        <f>IFERROR(__xludf.DUMMYFUNCTION("SPLIT($K498,"" "","""")"),-2.3245618E7)</f>
        <v>-23245618</v>
      </c>
      <c r="S498" s="9">
        <f>IFERROR(__xludf.DUMMYFUNCTION("""COMPUTED_VALUE"""),-4.7064924E7)</f>
        <v>-47064924</v>
      </c>
      <c r="T498" s="10">
        <v>3508405.0</v>
      </c>
      <c r="U49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13318-356 ', 'PK-20686', SYSDATE, 0, 'PK-20686', SYSDATE, 'Alameda  Um  CECOM (Jacaré)', 'Alameda Um CECOM (Jacaré)', ' CECOM (Jacaré)', 'Alameda', '3508405', 'Alameda Um CECOM (Jacaré)',' CECOM (Jacaré)', '1', 'SP', '1', '-23245618', '-47064924', ' CECOM (Jacaré)' </v>
      </c>
    </row>
    <row r="499" ht="15.75" customHeight="1">
      <c r="A499" s="4" t="s">
        <v>1535</v>
      </c>
      <c r="B499" s="5" t="s">
        <v>1131</v>
      </c>
      <c r="C499" s="4" t="s">
        <v>10</v>
      </c>
      <c r="D499" s="5" t="s">
        <v>1536</v>
      </c>
      <c r="E499" s="6">
        <v>214.0</v>
      </c>
      <c r="F499" s="6" t="s">
        <v>12</v>
      </c>
      <c r="G499" s="3" t="s">
        <v>13</v>
      </c>
      <c r="H499" s="7" t="str">
        <f>IFERROR(__xludf.DUMMYFUNCTION("SPLIT(A497,""Rua"","""")"),"       Vereador Yassuo Hirano")</f>
        <v>       Vereador Yassuo Hirano</v>
      </c>
      <c r="J499" s="3" t="s">
        <v>1537</v>
      </c>
      <c r="K499" s="8" t="str">
        <f>IFERROR(__xludf.DUMMYFUNCTION("SPLIT($J499,""   "","""")"),"-23.238444 -47.05743")</f>
        <v>-23.238444 -47.05743</v>
      </c>
      <c r="L499" s="7" t="str">
        <f>IFERROR(__xludf.DUMMYFUNCTION("""COMPUTED_VALUE"""),"Rua")</f>
        <v>Rua</v>
      </c>
      <c r="M499" s="7" t="str">
        <f>IFERROR(__xludf.DUMMYFUNCTION("""COMPUTED_VALUE""")," dos Estudantes")</f>
        <v> dos Estudantes</v>
      </c>
      <c r="N499" s="7" t="str">
        <f>IFERROR(__xludf.DUMMYFUNCTION("""COMPUTED_VALUE""")," Jacaré")</f>
        <v> Jacaré</v>
      </c>
      <c r="O499" s="7" t="str">
        <f>IFERROR(__xludf.DUMMYFUNCTION("""COMPUTED_VALUE""")," Cabreúva")</f>
        <v> Cabreúva</v>
      </c>
      <c r="P499" s="7" t="str">
        <f>IFERROR(__xludf.DUMMYFUNCTION("""COMPUTED_VALUE"""),"SP")</f>
        <v>SP</v>
      </c>
      <c r="Q499" s="7" t="str">
        <f>IFERROR(__xludf.DUMMYFUNCTION("""COMPUTED_VALUE""")," 13318-014 ")</f>
        <v> 13318-014 </v>
      </c>
      <c r="R499" s="9">
        <f>IFERROR(__xludf.DUMMYFUNCTION("SPLIT($K499,"" "","""")"),-2.3238444E7)</f>
        <v>-23238444</v>
      </c>
      <c r="S499" s="9">
        <f>IFERROR(__xludf.DUMMYFUNCTION("""COMPUTED_VALUE"""),-4705743.0)</f>
        <v>-4705743</v>
      </c>
      <c r="T499" s="10">
        <v>3508405.0</v>
      </c>
      <c r="U49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13318-014 ', 'PK-20686', SYSDATE, 0, 'PK-20686', SYSDATE, 'Rua  dos Estudantes  Jacaré', 'Rua dos Estudantes Jacaré', ' Jacaré', 'Rua', '3508405', 'Rua dos Estudantes Jacaré',' Jacaré', '1', 'SP', '1', '-23238444', '-4705743', ' Jacaré' </v>
      </c>
    </row>
    <row r="500" ht="15.75" hidden="1" customHeight="1">
      <c r="A500" s="4" t="s">
        <v>1538</v>
      </c>
      <c r="B500" s="5" t="s">
        <v>223</v>
      </c>
      <c r="C500" s="4" t="s">
        <v>10</v>
      </c>
      <c r="D500" s="5" t="s">
        <v>1539</v>
      </c>
      <c r="E500" s="6">
        <v>214.0</v>
      </c>
      <c r="F500" s="6" t="s">
        <v>12</v>
      </c>
      <c r="G500" s="3" t="s">
        <v>13</v>
      </c>
      <c r="H500" s="7" t="str">
        <f>IFERROR(__xludf.DUMMYFUNCTION("SPLIT(A498,""Rua"","""")"),"       Victório Mori")</f>
        <v>       Victório Mori</v>
      </c>
      <c r="J500" s="3" t="s">
        <v>1540</v>
      </c>
      <c r="K500" s="8" t="str">
        <f>IFERROR(__xludf.DUMMYFUNCTION("SPLIT($J500,""   "","""")"),"-23.254402 -47.093563")</f>
        <v>-23.254402 -47.093563</v>
      </c>
      <c r="L500" s="7" t="str">
        <f>IFERROR(__xludf.DUMMYFUNCTION("""COMPUTED_VALUE"""),"Via")</f>
        <v>Via</v>
      </c>
      <c r="M500" s="7" t="str">
        <f>IFERROR(__xludf.DUMMYFUNCTION("""COMPUTED_VALUE""")," Francisco Botti")</f>
        <v> Francisco Botti</v>
      </c>
      <c r="N500" s="7" t="str">
        <f>IFERROR(__xludf.DUMMYFUNCTION("""COMPUTED_VALUE""")," Chácaras do Pinhal (Pinhal)")</f>
        <v> Chácaras do Pinhal (Pinhal)</v>
      </c>
      <c r="O500" s="7" t="str">
        <f>IFERROR(__xludf.DUMMYFUNCTION("""COMPUTED_VALUE""")," Cabreúva")</f>
        <v> Cabreúva</v>
      </c>
      <c r="P500" s="7" t="str">
        <f>IFERROR(__xludf.DUMMYFUNCTION("""COMPUTED_VALUE"""),"SP")</f>
        <v>SP</v>
      </c>
      <c r="Q500" s="7" t="str">
        <f>IFERROR(__xludf.DUMMYFUNCTION("""COMPUTED_VALUE""")," 13317-286 ")</f>
        <v> 13317-286 </v>
      </c>
      <c r="R500" s="9">
        <f>IFERROR(__xludf.DUMMYFUNCTION("SPLIT($K500,"" "","""")"),-2.3254402E7)</f>
        <v>-23254402</v>
      </c>
      <c r="S500" s="9">
        <f>IFERROR(__xludf.DUMMYFUNCTION("""COMPUTED_VALUE"""),-4.7093563E7)</f>
        <v>-47093563</v>
      </c>
      <c r="T500" s="10">
        <v>3508405.0</v>
      </c>
      <c r="U50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13317-286 ', 'PK-20686', SYSDATE, 0, 'PK-20686', SYSDATE, 'Via  Francisco Botti  Chácaras do Pinhal (Pinhal)', 'Via Francisco Botti Chácaras do Pinhal (Pinhal)', ' Chácaras do Pinhal (Pinhal)', 'Via', '3508405', 'Via Francisco Botti Chácaras do Pinhal (Pinhal)',' Chácaras do Pinhal (Pinhal)', '1', 'SP', '1', '-23254402', '-47093563', ' Chácaras do Pinhal (Pinhal)' </v>
      </c>
    </row>
    <row r="501" ht="15.75" customHeight="1">
      <c r="A501" s="4" t="s">
        <v>1541</v>
      </c>
      <c r="B501" s="5" t="s">
        <v>24</v>
      </c>
      <c r="C501" s="4" t="s">
        <v>10</v>
      </c>
      <c r="D501" s="5" t="s">
        <v>1542</v>
      </c>
      <c r="E501" s="6">
        <v>214.0</v>
      </c>
      <c r="F501" s="6" t="s">
        <v>12</v>
      </c>
      <c r="G501" s="3" t="s">
        <v>13</v>
      </c>
      <c r="H501" s="7" t="str">
        <f>IFERROR(__xludf.DUMMYFUNCTION("SPLIT(A499,""Rua"","""")"),"       Vila Rica")</f>
        <v>       Vila Rica</v>
      </c>
      <c r="J501" s="3" t="s">
        <v>1543</v>
      </c>
      <c r="K501" s="8" t="str">
        <f>IFERROR(__xludf.DUMMYFUNCTION("SPLIT($J501,""   "","""")"),"-23.299714 -47.139848")</f>
        <v>-23.299714 -47.139848</v>
      </c>
      <c r="L501" s="7" t="str">
        <f>IFERROR(__xludf.DUMMYFUNCTION("""COMPUTED_VALUE"""),"Rua")</f>
        <v>Rua</v>
      </c>
      <c r="M501" s="7" t="str">
        <f>IFERROR(__xludf.DUMMYFUNCTION("""COMPUTED_VALUE""")," das Palmeiras")</f>
        <v> das Palmeiras</v>
      </c>
      <c r="N501" s="7" t="str">
        <f>IFERROR(__xludf.DUMMYFUNCTION("""COMPUTED_VALUE""")," Vale Verde (Centro)")</f>
        <v> Vale Verde (Centro)</v>
      </c>
      <c r="O501" s="7" t="str">
        <f>IFERROR(__xludf.DUMMYFUNCTION("""COMPUTED_VALUE""")," Cabreúva")</f>
        <v> Cabreúva</v>
      </c>
      <c r="P501" s="7" t="str">
        <f>IFERROR(__xludf.DUMMYFUNCTION("""COMPUTED_VALUE"""),"SP")</f>
        <v>SP</v>
      </c>
      <c r="Q501" s="7" t="str">
        <f>IFERROR(__xludf.DUMMYFUNCTION("""COMPUTED_VALUE""")," 13315-270 ")</f>
        <v> 13315-270 </v>
      </c>
      <c r="R501" s="9">
        <f>IFERROR(__xludf.DUMMYFUNCTION("SPLIT($K501,"" "","""")"),-2.3299714E7)</f>
        <v>-23299714</v>
      </c>
      <c r="S501" s="9">
        <f>IFERROR(__xludf.DUMMYFUNCTION("""COMPUTED_VALUE"""),-4.7139848E7)</f>
        <v>-47139848</v>
      </c>
      <c r="T501" s="10">
        <v>3508405.0</v>
      </c>
      <c r="U50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13315-270 ', 'PK-20686', SYSDATE, 0, 'PK-20686', SYSDATE, 'Rua  das Palmeiras  Vale Verde (Centro)', 'Rua das Palmeiras Vale Verde (Centro)', ' Vale Verde (Centro)', 'Rua', '3508405', 'Rua das Palmeiras Vale Verde (Centro)',' Vale Verde (Centro)', '1', 'SP', '1', '-23299714', '-47139848', ' Vale Verde (Centro)' </v>
      </c>
    </row>
    <row r="502" ht="15.75" customHeight="1">
      <c r="A502" s="4" t="s">
        <v>1544</v>
      </c>
      <c r="B502" s="5" t="s">
        <v>153</v>
      </c>
      <c r="C502" s="4" t="s">
        <v>10</v>
      </c>
      <c r="D502" s="5" t="s">
        <v>1545</v>
      </c>
      <c r="E502" s="6">
        <v>214.0</v>
      </c>
      <c r="F502" s="6" t="s">
        <v>12</v>
      </c>
      <c r="G502" s="3" t="s">
        <v>13</v>
      </c>
      <c r="H502" s="7" t="str">
        <f>IFERROR(__xludf.DUMMYFUNCTION("SPLIT(A500,""Rua"","""")"),"       Virgínia")</f>
        <v>       Virgínia</v>
      </c>
      <c r="J502" s="3" t="s">
        <v>1546</v>
      </c>
      <c r="K502" s="8" t="str">
        <f>IFERROR(__xludf.DUMMYFUNCTION("SPLIT($J502,""   "","""")"),"-23.259693 -47.049596")</f>
        <v>-23.259693 -47.049596</v>
      </c>
      <c r="L502" s="7" t="str">
        <f>IFERROR(__xludf.DUMMYFUNCTION("""COMPUTED_VALUE"""),"Rua")</f>
        <v>Rua</v>
      </c>
      <c r="M502" s="7" t="str">
        <f>IFERROR(__xludf.DUMMYFUNCTION("""COMPUTED_VALUE""")," Rubelita")</f>
        <v> Rubelita</v>
      </c>
      <c r="N502" s="7" t="str">
        <f>IFERROR(__xludf.DUMMYFUNCTION("""COMPUTED_VALUE""")," Jardim Colina da Serra II (Jacaré)")</f>
        <v> Jardim Colina da Serra II (Jacaré)</v>
      </c>
      <c r="O502" s="7" t="str">
        <f>IFERROR(__xludf.DUMMYFUNCTION("""COMPUTED_VALUE""")," Cabreúva")</f>
        <v> Cabreúva</v>
      </c>
      <c r="P502" s="7" t="str">
        <f>IFERROR(__xludf.DUMMYFUNCTION("""COMPUTED_VALUE"""),"SP")</f>
        <v>SP</v>
      </c>
      <c r="Q502" s="7" t="str">
        <f>IFERROR(__xludf.DUMMYFUNCTION("""COMPUTED_VALUE""")," 13318-278 ")</f>
        <v> 13318-278 </v>
      </c>
      <c r="R502" s="9">
        <f>IFERROR(__xludf.DUMMYFUNCTION("SPLIT($K502,"" "","""")"),-2.3259693E7)</f>
        <v>-23259693</v>
      </c>
      <c r="S502" s="9">
        <f>IFERROR(__xludf.DUMMYFUNCTION("""COMPUTED_VALUE"""),-4.7049596E7)</f>
        <v>-47049596</v>
      </c>
      <c r="T502" s="10">
        <v>3508405.0</v>
      </c>
      <c r="U50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13318-278 ', 'PK-20686', SYSDATE, 0, 'PK-20686', SYSDATE, 'Rua  Rubelita  Jardim Colina da Serra II (Jacaré)', 'Rua Rubelita Jardim Colina da Serra II (Jacaré)', ' Jardim Colina da Serra II (Jacaré)', 'Rua', '3508405', 'Rua Rubelita Jardim Colina da Serra II (Jacaré)',' Jardim Colina da Serra II (Jacaré)', '1', 'SP', '1', '-23259693', '-47049596', ' Jardim Colina da Serra II (Jacaré)' </v>
      </c>
    </row>
    <row r="503" ht="15.75" customHeight="1">
      <c r="A503" s="4" t="s">
        <v>1547</v>
      </c>
      <c r="B503" s="5" t="s">
        <v>973</v>
      </c>
      <c r="C503" s="4" t="s">
        <v>10</v>
      </c>
      <c r="D503" s="5" t="s">
        <v>1548</v>
      </c>
      <c r="E503" s="6">
        <v>214.0</v>
      </c>
      <c r="F503" s="6" t="s">
        <v>12</v>
      </c>
      <c r="G503" s="3" t="s">
        <v>13</v>
      </c>
      <c r="H503" s="7" t="str">
        <f>IFERROR(__xludf.DUMMYFUNCTION("SPLIT(A501,""Rua"","""")"),"       Vitória")</f>
        <v>       Vitória</v>
      </c>
      <c r="J503" s="3" t="s">
        <v>1549</v>
      </c>
      <c r="K503" s="8" t="str">
        <f>IFERROR(__xludf.DUMMYFUNCTION("SPLIT($J503,""   "","""")"),"-23.259514 -47.050952")</f>
        <v>-23.259514 -47.050952</v>
      </c>
      <c r="L503" s="7" t="str">
        <f>IFERROR(__xludf.DUMMYFUNCTION("""COMPUTED_VALUE"""),"Rua")</f>
        <v>Rua</v>
      </c>
      <c r="M503" s="7" t="str">
        <f>IFERROR(__xludf.DUMMYFUNCTION("""COMPUTED_VALUE""")," Alexandrita")</f>
        <v> Alexandrita</v>
      </c>
      <c r="N503" s="7" t="str">
        <f>IFERROR(__xludf.DUMMYFUNCTION("""COMPUTED_VALUE""")," Jardim Colina da Serra II (Jacaré)")</f>
        <v> Jardim Colina da Serra II (Jacaré)</v>
      </c>
      <c r="O503" s="7" t="str">
        <f>IFERROR(__xludf.DUMMYFUNCTION("""COMPUTED_VALUE""")," Cabreúva")</f>
        <v> Cabreúva</v>
      </c>
      <c r="P503" s="7" t="str">
        <f>IFERROR(__xludf.DUMMYFUNCTION("""COMPUTED_VALUE"""),"SP")</f>
        <v>SP</v>
      </c>
      <c r="Q503" s="7" t="str">
        <f>IFERROR(__xludf.DUMMYFUNCTION("""COMPUTED_VALUE""")," 13318-274 ")</f>
        <v> 13318-274 </v>
      </c>
      <c r="R503" s="9">
        <f>IFERROR(__xludf.DUMMYFUNCTION("SPLIT($K503,"" "","""")"),-2.3259514E7)</f>
        <v>-23259514</v>
      </c>
      <c r="S503" s="9">
        <f>IFERROR(__xludf.DUMMYFUNCTION("""COMPUTED_VALUE"""),-4.7050952E7)</f>
        <v>-47050952</v>
      </c>
      <c r="T503" s="10">
        <v>3508405.0</v>
      </c>
      <c r="U50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13318-274 ', 'PK-20686', SYSDATE, 0, 'PK-20686', SYSDATE, 'Rua  Alexandrita  Jardim Colina da Serra II (Jacaré)', 'Rua Alexandrita Jardim Colina da Serra II (Jacaré)', ' Jardim Colina da Serra II (Jacaré)', 'Rua', '3508405', 'Rua Alexandrita Jardim Colina da Serra II (Jacaré)',' Jardim Colina da Serra II (Jacaré)', '1', 'SP', '1', '-23259514', '-47050952', ' Jardim Colina da Serra II (Jacaré)' </v>
      </c>
    </row>
    <row r="504" ht="15.75" hidden="1" customHeight="1">
      <c r="A504" s="4" t="s">
        <v>1550</v>
      </c>
      <c r="B504" s="5" t="s">
        <v>24</v>
      </c>
      <c r="C504" s="4" t="s">
        <v>10</v>
      </c>
      <c r="D504" s="5" t="s">
        <v>1551</v>
      </c>
      <c r="E504" s="6">
        <v>214.0</v>
      </c>
      <c r="F504" s="6" t="s">
        <v>12</v>
      </c>
      <c r="G504" s="3" t="s">
        <v>13</v>
      </c>
      <c r="H504" s="7" t="str">
        <f>IFERROR(__xludf.DUMMYFUNCTION("SPLIT(A2,""Travessa"","""")"),"Alameda    das Spathodeas")</f>
        <v>Alameda    das Spathodeas</v>
      </c>
      <c r="J504" s="3" t="s">
        <v>1552</v>
      </c>
      <c r="K504" s="8" t="str">
        <f>IFERROR(__xludf.DUMMYFUNCTION("SPLIT($J504,""   "","""")"),"-23.257909 -47.051612")</f>
        <v>-23.257909 -47.051612</v>
      </c>
      <c r="L504" s="7" t="str">
        <f>IFERROR(__xludf.DUMMYFUNCTION("""COMPUTED_VALUE"""),"Alameda")</f>
        <v>Alameda</v>
      </c>
      <c r="M504" s="7" t="str">
        <f>IFERROR(__xludf.DUMMYFUNCTION("""COMPUTED_VALUE""")," San Isidro")</f>
        <v> San Isidro</v>
      </c>
      <c r="N504" s="7" t="str">
        <f>IFERROR(__xludf.DUMMYFUNCTION("""COMPUTED_VALUE""")," Portal da Concórdia II (Jacaré)")</f>
        <v> Portal da Concórdia II (Jacaré)</v>
      </c>
      <c r="O504" s="7" t="str">
        <f>IFERROR(__xludf.DUMMYFUNCTION("""COMPUTED_VALUE""")," Cabreúva")</f>
        <v> Cabreúva</v>
      </c>
      <c r="P504" s="7" t="str">
        <f>IFERROR(__xludf.DUMMYFUNCTION("""COMPUTED_VALUE"""),"SP")</f>
        <v>SP</v>
      </c>
      <c r="Q504" s="7" t="str">
        <f>IFERROR(__xludf.DUMMYFUNCTION("""COMPUTED_VALUE""")," 13318-290 ")</f>
        <v> 13318-290 </v>
      </c>
      <c r="R504" s="9">
        <f>IFERROR(__xludf.DUMMYFUNCTION("SPLIT($K504,"" "","""")"),-2.3257909E7)</f>
        <v>-23257909</v>
      </c>
      <c r="S504" s="9">
        <f>IFERROR(__xludf.DUMMYFUNCTION("""COMPUTED_VALUE"""),-4.7051612E7)</f>
        <v>-47051612</v>
      </c>
      <c r="T504" s="10">
        <v>3508405.0</v>
      </c>
      <c r="U50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13318-290 ', 'PK-20686', SYSDATE, 0, 'PK-20686', SYSDATE, 'Alameda  San Isidro  Portal da Concórdia II (Jacaré)', 'Alameda San Isidro Portal da Concórdia II (Jacaré)', ' Portal da Concórdia II (Jacaré)', 'Alameda', '3508405', 'Alameda San Isidro Portal da Concórdia II (Jacaré)',' Portal da Concórdia II (Jacaré)', '1', 'SP', '1', '-23257909', '-47051612', ' Portal da Concórdia II (Jacaré)' </v>
      </c>
    </row>
    <row r="505" ht="15.75" hidden="1" customHeight="1">
      <c r="A505" s="4" t="s">
        <v>1553</v>
      </c>
      <c r="B505" s="5" t="s">
        <v>394</v>
      </c>
      <c r="C505" s="4" t="s">
        <v>10</v>
      </c>
      <c r="D505" s="5" t="s">
        <v>1554</v>
      </c>
      <c r="E505" s="6">
        <v>214.0</v>
      </c>
      <c r="F505" s="6" t="s">
        <v>12</v>
      </c>
      <c r="G505" s="3" t="s">
        <v>13</v>
      </c>
      <c r="H505" s="7" t="str">
        <f>IFERROR(__xludf.DUMMYFUNCTION("SPLIT(A3,""Travessa"","""")"),"Estrada    Antonio Spina")</f>
        <v>Estrada    Antonio Spina</v>
      </c>
      <c r="J505" s="3" t="s">
        <v>1555</v>
      </c>
      <c r="K505" s="8" t="str">
        <f>IFERROR(__xludf.DUMMYFUNCTION("SPLIT($J505,""   "","""")"),"-23.251611 -47.053156")</f>
        <v>-23.251611 -47.053156</v>
      </c>
      <c r="L505" s="7" t="str">
        <f>IFERROR(__xludf.DUMMYFUNCTION("""COMPUTED_VALUE"""),"Avenida")</f>
        <v>Avenida</v>
      </c>
      <c r="M505" s="7" t="str">
        <f>IFERROR(__xludf.DUMMYFUNCTION("""COMPUTED_VALUE""")," Vereador José Donato")</f>
        <v> Vereador José Donato</v>
      </c>
      <c r="N505" s="7" t="str">
        <f>IFERROR(__xludf.DUMMYFUNCTION("""COMPUTED_VALUE""")," Cururú")</f>
        <v> Cururú</v>
      </c>
      <c r="O505" s="7" t="str">
        <f>IFERROR(__xludf.DUMMYFUNCTION("""COMPUTED_VALUE""")," Cabreúva")</f>
        <v> Cabreúva</v>
      </c>
      <c r="P505" s="7" t="str">
        <f>IFERROR(__xludf.DUMMYFUNCTION("""COMPUTED_VALUE"""),"SP")</f>
        <v>SP</v>
      </c>
      <c r="Q505" s="7" t="str">
        <f>IFERROR(__xludf.DUMMYFUNCTION("""COMPUTED_VALUE""")," 13317-850 ")</f>
        <v> 13317-850 </v>
      </c>
      <c r="R505" s="9">
        <f>IFERROR(__xludf.DUMMYFUNCTION("SPLIT($K505,"" "","""")"),-2.3251611E7)</f>
        <v>-23251611</v>
      </c>
      <c r="S505" s="9">
        <f>IFERROR(__xludf.DUMMYFUNCTION("""COMPUTED_VALUE"""),-4.7053156E7)</f>
        <v>-47053156</v>
      </c>
      <c r="T505" s="10">
        <v>3508405.0</v>
      </c>
      <c r="U50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13317-850 ', 'PK-20686', SYSDATE, 0, 'PK-20686', SYSDATE, 'Avenida  Vereador José Donato  Cururú', 'Avenida Vereador José Donato Cururú', ' Cururú', 'Avenida', '3508405', 'Avenida Vereador José Donato Cururú',' Cururú', '1', 'SP', '1', '-23251611', '-47053156', ' Cururú' </v>
      </c>
    </row>
    <row r="506" ht="15.75" hidden="1" customHeight="1">
      <c r="A506" s="4" t="s">
        <v>1556</v>
      </c>
      <c r="B506" s="5" t="s">
        <v>658</v>
      </c>
      <c r="C506" s="4" t="s">
        <v>10</v>
      </c>
      <c r="D506" s="5" t="s">
        <v>1557</v>
      </c>
      <c r="E506" s="6">
        <v>214.0</v>
      </c>
      <c r="F506" s="6" t="s">
        <v>12</v>
      </c>
      <c r="G506" s="3" t="s">
        <v>13</v>
      </c>
      <c r="H506" s="7" t="str">
        <f>IFERROR(__xludf.DUMMYFUNCTION("SPLIT(A4,""Travessa"","""")"),"Rua       Alberto Spina")</f>
        <v>Rua       Alberto Spina</v>
      </c>
      <c r="J506" s="3" t="s">
        <v>1558</v>
      </c>
      <c r="K506" s="8" t="str">
        <f>IFERROR(__xludf.DUMMYFUNCTION("SPLIT($J506,""   "","""")"),"-23.245618 -47.064924")</f>
        <v>-23.245618 -47.064924</v>
      </c>
      <c r="L506" s="7" t="str">
        <f>IFERROR(__xludf.DUMMYFUNCTION("""COMPUTED_VALUE"""),"Travessa")</f>
        <v>Travessa</v>
      </c>
      <c r="M506" s="7" t="str">
        <f>IFERROR(__xludf.DUMMYFUNCTION("""COMPUTED_VALUE""")," Capitão Vitório Togni")</f>
        <v> Capitão Vitório Togni</v>
      </c>
      <c r="N506" s="7" t="str">
        <f>IFERROR(__xludf.DUMMYFUNCTION("""COMPUTED_VALUE""")," Jacaré")</f>
        <v> Jacaré</v>
      </c>
      <c r="O506" s="7" t="str">
        <f>IFERROR(__xludf.DUMMYFUNCTION("""COMPUTED_VALUE""")," Cabreúva")</f>
        <v> Cabreúva</v>
      </c>
      <c r="P506" s="7" t="str">
        <f>IFERROR(__xludf.DUMMYFUNCTION("""COMPUTED_VALUE"""),"SP")</f>
        <v>SP</v>
      </c>
      <c r="Q506" s="7" t="str">
        <f>IFERROR(__xludf.DUMMYFUNCTION("""COMPUTED_VALUE""")," 13318-012 ")</f>
        <v> 13318-012 </v>
      </c>
      <c r="R506" s="9">
        <f>IFERROR(__xludf.DUMMYFUNCTION("SPLIT($K506,"" "","""")"),-2.3245618E7)</f>
        <v>-23245618</v>
      </c>
      <c r="S506" s="9">
        <f>IFERROR(__xludf.DUMMYFUNCTION("""COMPUTED_VALUE"""),-4.7064924E7)</f>
        <v>-47064924</v>
      </c>
      <c r="T506" s="10">
        <v>3508405.0</v>
      </c>
      <c r="U50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13318-012 ', 'PK-20686', SYSDATE, 0, 'PK-20686', SYSDATE, 'Travessa  Capitão Vitório Togni  Jacaré', 'Travessa Capitão Vitório Togni Jacaré', ' Jacaré', 'Travessa', '3508405', 'Travessa Capitão Vitório Togni Jacaré',' Jacaré', '1', 'SP', '1', '-23245618', '-47064924', ' Jacaré' </v>
      </c>
    </row>
    <row r="507" ht="15.75" customHeight="1">
      <c r="A507" s="4" t="s">
        <v>1559</v>
      </c>
      <c r="B507" s="5" t="s">
        <v>180</v>
      </c>
      <c r="C507" s="4" t="s">
        <v>10</v>
      </c>
      <c r="D507" s="5" t="s">
        <v>1560</v>
      </c>
      <c r="E507" s="6">
        <v>214.0</v>
      </c>
      <c r="F507" s="6" t="s">
        <v>12</v>
      </c>
      <c r="G507" s="3" t="s">
        <v>13</v>
      </c>
      <c r="H507" s="7" t="str">
        <f>IFERROR(__xludf.DUMMYFUNCTION("SPLIT(A5,""Travessa"","""")"),"Rua       Andrelino Spina")</f>
        <v>Rua       Andrelino Spina</v>
      </c>
      <c r="J507" s="3" t="s">
        <v>1561</v>
      </c>
      <c r="K507" s="8" t="str">
        <f>IFERROR(__xludf.DUMMYFUNCTION("SPLIT($J507,""   "","""")"),"-23.571188 -46.66818")</f>
        <v>-23.571188 -46.66818</v>
      </c>
      <c r="L507" s="7" t="str">
        <f>IFERROR(__xludf.DUMMYFUNCTION("""COMPUTED_VALUE"""),"Rua")</f>
        <v>Rua</v>
      </c>
      <c r="M507" s="7" t="str">
        <f>IFERROR(__xludf.DUMMYFUNCTION("""COMPUTED_VALUE""")," BolíVia")</f>
        <v> BolíVia</v>
      </c>
      <c r="N507" s="7" t="str">
        <f>IFERROR(__xludf.DUMMYFUNCTION("""COMPUTED_VALUE""")," Jardim Fazendinha Real (Vilarejo)")</f>
        <v> Jardim Fazendinha Real (Vilarejo)</v>
      </c>
      <c r="O507" s="7" t="str">
        <f>IFERROR(__xludf.DUMMYFUNCTION("""COMPUTED_VALUE""")," Cabreúva")</f>
        <v> Cabreúva</v>
      </c>
      <c r="P507" s="7" t="str">
        <f>IFERROR(__xludf.DUMMYFUNCTION("""COMPUTED_VALUE"""),"SP")</f>
        <v>SP</v>
      </c>
      <c r="Q507" s="7" t="str">
        <f>IFERROR(__xludf.DUMMYFUNCTION("""COMPUTED_VALUE""")," 13317-762 ")</f>
        <v> 13317-762 </v>
      </c>
      <c r="R507" s="9">
        <f>IFERROR(__xludf.DUMMYFUNCTION("SPLIT($K507,"" "","""")"),-2.3571188E7)</f>
        <v>-23571188</v>
      </c>
      <c r="S507" s="9">
        <f>IFERROR(__xludf.DUMMYFUNCTION("""COMPUTED_VALUE"""),-4666818.0)</f>
        <v>-4666818</v>
      </c>
      <c r="T507" s="10">
        <v>3508405.0</v>
      </c>
      <c r="U50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13317-762 ', 'PK-20686', SYSDATE, 0, 'PK-20686', SYSDATE, 'Rua  BolíVia  Jardim Fazendinha Real (Vilarejo)', 'Rua BolíVia Jardim Fazendinha Real (Vilarejo)', ' Jardim Fazendinha Real (Vilarejo)', 'Rua', '3508405', 'Rua BolíVia Jardim Fazendinha Real (Vilarejo)',' Jardim Fazendinha Real (Vilarejo)', '1', 'SP', '1', '-23571188', '-4666818', ' Jardim Fazendinha Real (Vilarejo)' </v>
      </c>
    </row>
    <row r="508" ht="15.75" hidden="1" customHeight="1">
      <c r="A508" s="4" t="s">
        <v>1562</v>
      </c>
      <c r="B508" s="5" t="s">
        <v>9</v>
      </c>
      <c r="C508" s="4" t="s">
        <v>10</v>
      </c>
      <c r="D508" s="5" t="s">
        <v>1563</v>
      </c>
      <c r="E508" s="6">
        <v>214.0</v>
      </c>
      <c r="F508" s="6" t="s">
        <v>12</v>
      </c>
      <c r="G508" s="3" t="s">
        <v>13</v>
      </c>
      <c r="H508" s="7" t="str">
        <f>IFERROR(__xludf.DUMMYFUNCTION("SPLIT(A6,""Travessa"","""")"),"Rua       Armando Spina")</f>
        <v>Rua       Armando Spina</v>
      </c>
      <c r="J508" s="3" t="s">
        <v>1564</v>
      </c>
      <c r="K508" s="8" t="str">
        <f>IFERROR(__xludf.DUMMYFUNCTION("SPLIT($J508,""   "","""")"),"-23.25005 -47.06124")</f>
        <v>-23.25005 -47.06124</v>
      </c>
      <c r="L508" s="7" t="str">
        <f>IFERROR(__xludf.DUMMYFUNCTION("""COMPUTED_VALUE"""),"Avenida")</f>
        <v>Avenida</v>
      </c>
      <c r="M508" s="7" t="str">
        <f>IFERROR(__xludf.DUMMYFUNCTION("""COMPUTED_VALUE""")," Cabreúva")</f>
        <v> Cabreúva</v>
      </c>
      <c r="N508" s="7" t="str">
        <f>IFERROR(__xludf.DUMMYFUNCTION("""COMPUTED_VALUE""")," Jacaré")</f>
        <v> Jacaré</v>
      </c>
      <c r="O508" s="7" t="str">
        <f>IFERROR(__xludf.DUMMYFUNCTION("""COMPUTED_VALUE""")," Cabreúva")</f>
        <v> Cabreúva</v>
      </c>
      <c r="P508" s="7" t="str">
        <f>IFERROR(__xludf.DUMMYFUNCTION("""COMPUTED_VALUE"""),"SP")</f>
        <v>SP</v>
      </c>
      <c r="Q508" s="7" t="str">
        <f>IFERROR(__xludf.DUMMYFUNCTION("""COMPUTED_VALUE""")," 13318-060 ")</f>
        <v> 13318-060 </v>
      </c>
      <c r="R508" s="9">
        <f>IFERROR(__xludf.DUMMYFUNCTION("SPLIT($K508,"" "","""")"),-2325005.0)</f>
        <v>-2325005</v>
      </c>
      <c r="S508" s="9">
        <f>IFERROR(__xludf.DUMMYFUNCTION("""COMPUTED_VALUE"""),-4706124.0)</f>
        <v>-4706124</v>
      </c>
      <c r="T508" s="10">
        <v>3508405.0</v>
      </c>
      <c r="U50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13318-060 ', 'PK-20686', SYSDATE, 0, 'PK-20686', SYSDATE, 'Avenida  Cabreúva  Jacaré', 'Avenida Cabreúva Jacaré', ' Jacaré', 'Avenida', '3508405', 'Avenida Cabreúva Jacaré',' Jacaré', '1', 'SP', '1', '-2325005', '-4706124', ' Jacaré' </v>
      </c>
    </row>
    <row r="509" ht="15.75" hidden="1" customHeight="1">
      <c r="A509" s="4" t="s">
        <v>1565</v>
      </c>
      <c r="B509" s="5" t="s">
        <v>226</v>
      </c>
      <c r="C509" s="4" t="s">
        <v>10</v>
      </c>
      <c r="D509" s="5" t="s">
        <v>1566</v>
      </c>
      <c r="E509" s="6">
        <v>214.0</v>
      </c>
      <c r="F509" s="6" t="s">
        <v>12</v>
      </c>
      <c r="G509" s="3" t="s">
        <v>13</v>
      </c>
      <c r="H509" s="7" t="str">
        <f>IFERROR(__xludf.DUMMYFUNCTION("SPLIT(A7,""Travessa"","""")"),"Via    André Spina")</f>
        <v>Via    André Spina</v>
      </c>
      <c r="J509" s="3" t="s">
        <v>1567</v>
      </c>
      <c r="K509" s="8" t="str">
        <f>IFERROR(__xludf.DUMMYFUNCTION("SPLIT($J509,""   "","""")"),"-23.287089 -47.05739")</f>
        <v>-23.287089 -47.05739</v>
      </c>
      <c r="L509" s="7" t="str">
        <f>IFERROR(__xludf.DUMMYFUNCTION("""COMPUTED_VALUE"""),"Estrada")</f>
        <v>Estrada</v>
      </c>
      <c r="M509" s="7" t="str">
        <f>IFERROR(__xludf.DUMMYFUNCTION("""COMPUTED_VALUE""")," do Gavitti")</f>
        <v> do Gavitti</v>
      </c>
      <c r="N509" s="7" t="str">
        <f>IFERROR(__xludf.DUMMYFUNCTION("""COMPUTED_VALUE""")," Bonfim")</f>
        <v> Bonfim</v>
      </c>
      <c r="O509" s="7" t="str">
        <f>IFERROR(__xludf.DUMMYFUNCTION("""COMPUTED_VALUE""")," Cabreúva")</f>
        <v> Cabreúva</v>
      </c>
      <c r="P509" s="7" t="str">
        <f>IFERROR(__xludf.DUMMYFUNCTION("""COMPUTED_VALUE"""),"SP")</f>
        <v>SP</v>
      </c>
      <c r="Q509" s="7" t="str">
        <f>IFERROR(__xludf.DUMMYFUNCTION("""COMPUTED_VALUE""")," 13319-038 ")</f>
        <v> 13319-038 </v>
      </c>
      <c r="R509" s="9">
        <f>IFERROR(__xludf.DUMMYFUNCTION("SPLIT($K509,"" "","""")"),-2.3287089E7)</f>
        <v>-23287089</v>
      </c>
      <c r="S509" s="9">
        <f>IFERROR(__xludf.DUMMYFUNCTION("""COMPUTED_VALUE"""),-4705739.0)</f>
        <v>-4705739</v>
      </c>
      <c r="T509" s="10">
        <v>3508405.0</v>
      </c>
      <c r="U50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13319-038 ', 'PK-20686', SYSDATE, 0, 'PK-20686', SYSDATE, 'Estrada  do Gavitti  Bonfim', 'Estrada do Gavitti Bonfim', ' Bonfim', 'Estrada', '3508405', 'Estrada do Gavitti Bonfim',' Bonfim', '1', 'SP', '1', '-23287089', '-4705739', ' Bonfim' </v>
      </c>
    </row>
    <row r="510" ht="15.75" customHeight="1">
      <c r="A510" s="4" t="s">
        <v>1568</v>
      </c>
      <c r="B510" s="5" t="s">
        <v>180</v>
      </c>
      <c r="C510" s="4" t="s">
        <v>10</v>
      </c>
      <c r="D510" s="5" t="s">
        <v>1569</v>
      </c>
      <c r="E510" s="6">
        <v>214.0</v>
      </c>
      <c r="F510" s="6" t="s">
        <v>12</v>
      </c>
      <c r="G510" s="3" t="s">
        <v>13</v>
      </c>
      <c r="H510" s="7" t="str">
        <f>IFERROR(__xludf.DUMMYFUNCTION("SPLIT(A8,""Travessa"","""")"),"Alameda    Algarve")</f>
        <v>Alameda    Algarve</v>
      </c>
      <c r="J510" s="3" t="s">
        <v>1570</v>
      </c>
      <c r="K510" s="8" t="str">
        <f>IFERROR(__xludf.DUMMYFUNCTION("SPLIT($J510,""   "","""")"),"-23.307366 -47.133678")</f>
        <v>-23.307366 -47.133678</v>
      </c>
      <c r="L510" s="7" t="str">
        <f>IFERROR(__xludf.DUMMYFUNCTION("""COMPUTED_VALUE"""),"Rua")</f>
        <v>Rua</v>
      </c>
      <c r="M510" s="7" t="str">
        <f>IFERROR(__xludf.DUMMYFUNCTION("""COMPUTED_VALUE""")," Marrocos")</f>
        <v> Marrocos</v>
      </c>
      <c r="N510" s="7" t="str">
        <f>IFERROR(__xludf.DUMMYFUNCTION("""COMPUTED_VALUE""")," Jardim Residencial Bela Vista (Vilarejo)")</f>
        <v> Jardim Residencial Bela Vista (Vilarejo)</v>
      </c>
      <c r="O510" s="7" t="str">
        <f>IFERROR(__xludf.DUMMYFUNCTION("""COMPUTED_VALUE""")," Cabreúva")</f>
        <v> Cabreúva</v>
      </c>
      <c r="P510" s="7" t="str">
        <f>IFERROR(__xludf.DUMMYFUNCTION("""COMPUTED_VALUE"""),"SP")</f>
        <v>SP</v>
      </c>
      <c r="Q510" s="7" t="str">
        <f>IFERROR(__xludf.DUMMYFUNCTION("""COMPUTED_VALUE""")," 13317-726 ")</f>
        <v> 13317-726 </v>
      </c>
      <c r="R510" s="9">
        <f>IFERROR(__xludf.DUMMYFUNCTION("SPLIT($K510,"" "","""")"),-2.3307366E7)</f>
        <v>-23307366</v>
      </c>
      <c r="S510" s="9">
        <f>IFERROR(__xludf.DUMMYFUNCTION("""COMPUTED_VALUE"""),-4.7133678E7)</f>
        <v>-47133678</v>
      </c>
      <c r="T510" s="10">
        <v>3508405.0</v>
      </c>
      <c r="U51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13317-726 ', 'PK-20686', SYSDATE, 0, 'PK-20686', SYSDATE, 'Rua  Marrocos  Jardim Residencial Bela Vista (Vilarejo)', 'Rua Marrocos Jardim Residencial Bela Vista (Vilarejo)', ' Jardim Residencial Bela Vista (Vilarejo)', 'Rua', '3508405', 'Rua Marrocos Jardim Residencial Bela Vista (Vilarejo)',' Jardim Residencial Bela Vista (Vilarejo)', '1', 'SP', '1', '-23307366', '-47133678', ' Jardim Residencial Bela Vista (Vilarejo)' </v>
      </c>
    </row>
    <row r="511" ht="15.75" customHeight="1">
      <c r="A511" s="4" t="s">
        <v>1571</v>
      </c>
      <c r="B511" s="5" t="s">
        <v>180</v>
      </c>
      <c r="C511" s="4" t="s">
        <v>10</v>
      </c>
      <c r="D511" s="5" t="s">
        <v>1572</v>
      </c>
      <c r="E511" s="6">
        <v>214.0</v>
      </c>
      <c r="F511" s="6" t="s">
        <v>12</v>
      </c>
      <c r="G511" s="3" t="s">
        <v>13</v>
      </c>
      <c r="H511" s="7" t="str">
        <f>IFERROR(__xludf.DUMMYFUNCTION("SPLIT(A9,""Travessa"","""")"),"Alameda    Aníbal Geraldo")</f>
        <v>Alameda    Aníbal Geraldo</v>
      </c>
      <c r="J511" s="3" t="s">
        <v>1573</v>
      </c>
      <c r="K511" s="8" t="str">
        <f>IFERROR(__xludf.DUMMYFUNCTION("SPLIT($J511,""   "","""")"),"-23.297702 -47.139528")</f>
        <v>-23.297702 -47.139528</v>
      </c>
      <c r="L511" s="7" t="str">
        <f>IFERROR(__xludf.DUMMYFUNCTION("""COMPUTED_VALUE"""),"Rua")</f>
        <v>Rua</v>
      </c>
      <c r="M511" s="7" t="str">
        <f>IFERROR(__xludf.DUMMYFUNCTION("""COMPUTED_VALUE""")," Flamboiã")</f>
        <v> Flamboiã</v>
      </c>
      <c r="N511" s="7" t="str">
        <f>IFERROR(__xludf.DUMMYFUNCTION("""COMPUTED_VALUE""")," Vale Verde (Centro)")</f>
        <v> Vale Verde (Centro)</v>
      </c>
      <c r="O511" s="7" t="str">
        <f>IFERROR(__xludf.DUMMYFUNCTION("""COMPUTED_VALUE""")," Cabreúva")</f>
        <v> Cabreúva</v>
      </c>
      <c r="P511" s="7" t="str">
        <f>IFERROR(__xludf.DUMMYFUNCTION("""COMPUTED_VALUE"""),"SP")</f>
        <v>SP</v>
      </c>
      <c r="Q511" s="7" t="str">
        <f>IFERROR(__xludf.DUMMYFUNCTION("""COMPUTED_VALUE""")," 13315-274 ")</f>
        <v> 13315-274 </v>
      </c>
      <c r="R511" s="9">
        <f>IFERROR(__xludf.DUMMYFUNCTION("SPLIT($K511,"" "","""")"),-2.3297702E7)</f>
        <v>-23297702</v>
      </c>
      <c r="S511" s="9">
        <f>IFERROR(__xludf.DUMMYFUNCTION("""COMPUTED_VALUE"""),-4.7139528E7)</f>
        <v>-47139528</v>
      </c>
      <c r="T511" s="10">
        <v>3508405.0</v>
      </c>
      <c r="U51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13315-274 ', 'PK-20686', SYSDATE, 0, 'PK-20686', SYSDATE, 'Rua  Flamboiã  Vale Verde (Centro)', 'Rua Flamboiã Vale Verde (Centro)', ' Vale Verde (Centro)', 'Rua', '3508405', 'Rua Flamboiã Vale Verde (Centro)',' Vale Verde (Centro)', '1', 'SP', '1', '-23297702', '-47139528', ' Vale Verde (Centro)' </v>
      </c>
    </row>
    <row r="512" ht="15.75" customHeight="1">
      <c r="A512" s="4" t="s">
        <v>1574</v>
      </c>
      <c r="B512" s="5" t="s">
        <v>24</v>
      </c>
      <c r="C512" s="4" t="s">
        <v>10</v>
      </c>
      <c r="D512" s="5" t="s">
        <v>1575</v>
      </c>
      <c r="E512" s="6">
        <v>214.0</v>
      </c>
      <c r="F512" s="6" t="s">
        <v>12</v>
      </c>
      <c r="G512" s="3" t="s">
        <v>13</v>
      </c>
      <c r="H512" s="7" t="str">
        <f>IFERROR(__xludf.DUMMYFUNCTION("SPLIT(A10,""Travessa"","""")"),"Alameda    Cinco")</f>
        <v>Alameda    Cinco</v>
      </c>
      <c r="J512" s="3" t="s">
        <v>1576</v>
      </c>
      <c r="K512" s="8" t="str">
        <f>IFERROR(__xludf.DUMMYFUNCTION("SPLIT($J512,""   "","""")"),"-23.240266 -47.053585")</f>
        <v>-23.240266 -47.053585</v>
      </c>
      <c r="L512" s="7" t="str">
        <f>IFERROR(__xludf.DUMMYFUNCTION("""COMPUTED_VALUE"""),"Rua")</f>
        <v>Rua</v>
      </c>
      <c r="M512" s="7" t="str">
        <f>IFERROR(__xludf.DUMMYFUNCTION("""COMPUTED_VALUE""")," Amanari")</f>
        <v> Amanari</v>
      </c>
      <c r="N512" s="7" t="str">
        <f>IFERROR(__xludf.DUMMYFUNCTION("""COMPUTED_VALUE""")," Residencial Haras Pindorama I (Jacaré)")</f>
        <v> Residencial Haras Pindorama I (Jacaré)</v>
      </c>
      <c r="O512" s="7" t="str">
        <f>IFERROR(__xludf.DUMMYFUNCTION("""COMPUTED_VALUE""")," Cabreúva")</f>
        <v> Cabreúva</v>
      </c>
      <c r="P512" s="7" t="str">
        <f>IFERROR(__xludf.DUMMYFUNCTION("""COMPUTED_VALUE"""),"SP")</f>
        <v>SP</v>
      </c>
      <c r="Q512" s="7" t="str">
        <f>IFERROR(__xludf.DUMMYFUNCTION("""COMPUTED_VALUE""")," 13318-402 ")</f>
        <v> 13318-402 </v>
      </c>
      <c r="R512" s="9">
        <f>IFERROR(__xludf.DUMMYFUNCTION("SPLIT($K512,"" "","""")"),-2.3240266E7)</f>
        <v>-23240266</v>
      </c>
      <c r="S512" s="9">
        <f>IFERROR(__xludf.DUMMYFUNCTION("""COMPUTED_VALUE"""),-4.7053585E7)</f>
        <v>-47053585</v>
      </c>
      <c r="T512" s="10">
        <v>3508405.0</v>
      </c>
      <c r="U51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13318-402 ', 'PK-20686', SYSDATE, 0, 'PK-20686', SYSDATE, 'Rua  Amanari  Residencial Haras Pindorama I (Jacaré)', 'Rua Amanari Residencial Haras Pindorama I (Jacaré)', ' Residencial Haras Pindorama I (Jacaré)', 'Rua', '3508405', 'Rua Amanari Residencial Haras Pindorama I (Jacaré)',' Residencial Haras Pindorama I (Jacaré)', '1', 'SP', '1', '-23240266', '-47053585', ' Residencial Haras Pindorama I (Jacaré)' </v>
      </c>
    </row>
    <row r="513" ht="15.75" customHeight="1">
      <c r="A513" s="4" t="s">
        <v>1577</v>
      </c>
      <c r="B513" s="5" t="s">
        <v>153</v>
      </c>
      <c r="C513" s="4" t="s">
        <v>10</v>
      </c>
      <c r="D513" s="5" t="s">
        <v>1578</v>
      </c>
      <c r="E513" s="6">
        <v>214.0</v>
      </c>
      <c r="F513" s="6" t="s">
        <v>12</v>
      </c>
      <c r="G513" s="3" t="s">
        <v>13</v>
      </c>
      <c r="H513" s="7" t="str">
        <f>IFERROR(__xludf.DUMMYFUNCTION("SPLIT(A11,""Travessa"","""")"),"Alameda    das Andorinhas")</f>
        <v>Alameda    das Andorinhas</v>
      </c>
      <c r="J513" s="3" t="s">
        <v>1579</v>
      </c>
      <c r="K513" s="8" t="str">
        <f>IFERROR(__xludf.DUMMYFUNCTION("SPLIT($J513,""   "","""")"),"-23.261446 -47.053993")</f>
        <v>-23.261446 -47.053993</v>
      </c>
      <c r="L513" s="7" t="str">
        <f>IFERROR(__xludf.DUMMYFUNCTION("""COMPUTED_VALUE"""),"Rua")</f>
        <v>Rua</v>
      </c>
      <c r="M513" s="7" t="str">
        <f>IFERROR(__xludf.DUMMYFUNCTION("""COMPUTED_VALUE""")," Magnetita")</f>
        <v> Magnetita</v>
      </c>
      <c r="N513" s="7" t="str">
        <f>IFERROR(__xludf.DUMMYFUNCTION("""COMPUTED_VALUE""")," Jardim Paraíso (Jacaré)")</f>
        <v> Jardim Paraíso (Jacaré)</v>
      </c>
      <c r="O513" s="7" t="str">
        <f>IFERROR(__xludf.DUMMYFUNCTION("""COMPUTED_VALUE""")," Cabreúva")</f>
        <v> Cabreúva</v>
      </c>
      <c r="P513" s="7" t="str">
        <f>IFERROR(__xludf.DUMMYFUNCTION("""COMPUTED_VALUE"""),"SP")</f>
        <v>SP</v>
      </c>
      <c r="Q513" s="7" t="str">
        <f>IFERROR(__xludf.DUMMYFUNCTION("""COMPUTED_VALUE""")," 13318-236 ")</f>
        <v> 13318-236 </v>
      </c>
      <c r="R513" s="9">
        <f>IFERROR(__xludf.DUMMYFUNCTION("SPLIT($K513,"" "","""")"),-2.3261446E7)</f>
        <v>-23261446</v>
      </c>
      <c r="S513" s="9">
        <f>IFERROR(__xludf.DUMMYFUNCTION("""COMPUTED_VALUE"""),-4.7053993E7)</f>
        <v>-47053993</v>
      </c>
      <c r="T513" s="10">
        <v>3508405.0</v>
      </c>
      <c r="U51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13318-236 ', 'PK-20686', SYSDATE, 0, 'PK-20686', SYSDATE, 'Rua  Magnetita  Jardim Paraíso (Jacaré)', 'Rua Magnetita Jardim Paraíso (Jacaré)', ' Jardim Paraíso (Jacaré)', 'Rua', '3508405', 'Rua Magnetita Jardim Paraíso (Jacaré)',' Jardim Paraíso (Jacaré)', '1', 'SP', '1', '-23261446', '-47053993', ' Jardim Paraíso (Jacaré)' </v>
      </c>
    </row>
    <row r="514" ht="15.75" hidden="1" customHeight="1">
      <c r="A514" s="4" t="s">
        <v>1580</v>
      </c>
      <c r="B514" s="5" t="s">
        <v>24</v>
      </c>
      <c r="C514" s="4" t="s">
        <v>10</v>
      </c>
      <c r="D514" s="5" t="s">
        <v>1581</v>
      </c>
      <c r="E514" s="6">
        <v>214.0</v>
      </c>
      <c r="F514" s="6" t="s">
        <v>12</v>
      </c>
      <c r="G514" s="3" t="s">
        <v>13</v>
      </c>
      <c r="H514" s="7" t="str">
        <f>IFERROR(__xludf.DUMMYFUNCTION("SPLIT(A12,""Travessa"","""")"),"Alameda    das Grevileas")</f>
        <v>Alameda    das Grevileas</v>
      </c>
      <c r="J514" s="3" t="s">
        <v>1582</v>
      </c>
      <c r="K514" s="8" t="str">
        <f>IFERROR(__xludf.DUMMYFUNCTION("SPLIT($J514,""   "","""")"),"-23.254402 -47.093563")</f>
        <v>-23.254402 -47.093563</v>
      </c>
      <c r="L514" s="7" t="str">
        <f>IFERROR(__xludf.DUMMYFUNCTION("""COMPUTED_VALUE"""),"Avenida")</f>
        <v>Avenida</v>
      </c>
      <c r="M514" s="7" t="str">
        <f>IFERROR(__xludf.DUMMYFUNCTION("""COMPUTED_VALUE""")," Engenheiro Afonso Botti")</f>
        <v> Engenheiro Afonso Botti</v>
      </c>
      <c r="N514" s="7" t="str">
        <f>IFERROR(__xludf.DUMMYFUNCTION("""COMPUTED_VALUE""")," Pinhal")</f>
        <v> Pinhal</v>
      </c>
      <c r="O514" s="7" t="str">
        <f>IFERROR(__xludf.DUMMYFUNCTION("""COMPUTED_VALUE""")," Cabreúva")</f>
        <v> Cabreúva</v>
      </c>
      <c r="P514" s="7" t="str">
        <f>IFERROR(__xludf.DUMMYFUNCTION("""COMPUTED_VALUE"""),"SP")</f>
        <v>SP</v>
      </c>
      <c r="Q514" s="7" t="str">
        <f>IFERROR(__xludf.DUMMYFUNCTION("""COMPUTED_VALUE""")," 13317-208 ")</f>
        <v> 13317-208 </v>
      </c>
      <c r="R514" s="9">
        <f>IFERROR(__xludf.DUMMYFUNCTION("SPLIT($K514,"" "","""")"),-2.3254402E7)</f>
        <v>-23254402</v>
      </c>
      <c r="S514" s="9">
        <f>IFERROR(__xludf.DUMMYFUNCTION("""COMPUTED_VALUE"""),-4.7093563E7)</f>
        <v>-47093563</v>
      </c>
      <c r="T514" s="10">
        <v>3508405.0</v>
      </c>
      <c r="U51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13317-208 ', 'PK-20686', SYSDATE, 0, 'PK-20686', SYSDATE, 'Avenida  Engenheiro Afonso Botti  Pinhal', 'Avenida Engenheiro Afonso Botti Pinhal', ' Pinhal', 'Avenida', '3508405', 'Avenida Engenheiro Afonso Botti Pinhal',' Pinhal', '1', 'SP', '1', '-23254402', '-47093563', ' Pinhal' </v>
      </c>
    </row>
    <row r="515" ht="15.75" customHeight="1">
      <c r="A515" s="4" t="s">
        <v>1583</v>
      </c>
      <c r="B515" s="5" t="s">
        <v>132</v>
      </c>
      <c r="C515" s="4" t="s">
        <v>10</v>
      </c>
      <c r="D515" s="5" t="s">
        <v>1584</v>
      </c>
      <c r="E515" s="6">
        <v>214.0</v>
      </c>
      <c r="F515" s="6" t="s">
        <v>12</v>
      </c>
      <c r="G515" s="3" t="s">
        <v>13</v>
      </c>
      <c r="H515" s="7" t="str">
        <f>IFERROR(__xludf.DUMMYFUNCTION("SPLIT(A510,""Via"","""")"),"Travessa    Independência")</f>
        <v>Travessa    Independência</v>
      </c>
      <c r="J515" s="3" t="s">
        <v>1585</v>
      </c>
      <c r="K515" s="8" t="str">
        <f>IFERROR(__xludf.DUMMYFUNCTION("SPLIT($J515,""   "","""")"),"-23.286144 -47.058258")</f>
        <v>-23.286144 -47.058258</v>
      </c>
      <c r="L515" s="7" t="str">
        <f>IFERROR(__xludf.DUMMYFUNCTION("""COMPUTED_VALUE"""),"Rua")</f>
        <v>Rua</v>
      </c>
      <c r="M515" s="7" t="str">
        <f>IFERROR(__xludf.DUMMYFUNCTION("""COMPUTED_VALUE""")," Renato Niuderauer Zanchi")</f>
        <v> Renato Niuderauer Zanchi</v>
      </c>
      <c r="N515" s="7" t="str">
        <f>IFERROR(__xludf.DUMMYFUNCTION("""COMPUTED_VALUE""")," Bonfim")</f>
        <v> Bonfim</v>
      </c>
      <c r="O515" s="7" t="str">
        <f>IFERROR(__xludf.DUMMYFUNCTION("""COMPUTED_VALUE""")," Cabreúva")</f>
        <v> Cabreúva</v>
      </c>
      <c r="P515" s="7" t="str">
        <f>IFERROR(__xludf.DUMMYFUNCTION("""COMPUTED_VALUE"""),"SP")</f>
        <v>SP</v>
      </c>
      <c r="Q515" s="7" t="str">
        <f>IFERROR(__xludf.DUMMYFUNCTION("""COMPUTED_VALUE""")," 13319-001 ")</f>
        <v> 13319-001 </v>
      </c>
      <c r="R515" s="9">
        <f>IFERROR(__xludf.DUMMYFUNCTION("SPLIT($K515,"" "","""")"),-2.3286144E7)</f>
        <v>-23286144</v>
      </c>
      <c r="S515" s="9">
        <f>IFERROR(__xludf.DUMMYFUNCTION("""COMPUTED_VALUE"""),-4.7058258E7)</f>
        <v>-47058258</v>
      </c>
      <c r="T515" s="10">
        <v>3508405.0</v>
      </c>
      <c r="U51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13319-001 ', 'PK-20686', SYSDATE, 0, 'PK-20686', SYSDATE, 'Rua  Renato Niuderauer Zanchi  Bonfim', 'Rua Renato Niuderauer Zanchi Bonfim', ' Bonfim', 'Rua', '3508405', 'Rua Renato Niuderauer Zanchi Bonfim',' Bonfim', '1', 'SP', '1', '-23286144', '-47058258', ' Bonfim' </v>
      </c>
    </row>
    <row r="516" ht="15.75" customHeight="1">
      <c r="A516" s="4" t="s">
        <v>1586</v>
      </c>
      <c r="B516" s="5" t="s">
        <v>24</v>
      </c>
      <c r="C516" s="4" t="s">
        <v>10</v>
      </c>
      <c r="D516" s="5" t="s">
        <v>1587</v>
      </c>
      <c r="E516" s="6">
        <v>214.0</v>
      </c>
      <c r="F516" s="6" t="s">
        <v>12</v>
      </c>
      <c r="G516" s="3" t="s">
        <v>13</v>
      </c>
      <c r="H516" s="7" t="str">
        <f>IFERROR(__xludf.DUMMYFUNCTION("SPLIT(A511,""Via"","""")"),"Travessa    Ivo Facioli")</f>
        <v>Travessa    Ivo Facioli</v>
      </c>
      <c r="J516" s="3" t="s">
        <v>1588</v>
      </c>
      <c r="K516" s="8" t="str">
        <f>IFERROR(__xludf.DUMMYFUNCTION("SPLIT($J516,""   "","""")"),"-23.246868 -47.061006")</f>
        <v>-23.246868 -47.061006</v>
      </c>
      <c r="L516" s="7" t="str">
        <f>IFERROR(__xludf.DUMMYFUNCTION("""COMPUTED_VALUE"""),"Rua")</f>
        <v>Rua</v>
      </c>
      <c r="M516" s="7" t="str">
        <f>IFERROR(__xludf.DUMMYFUNCTION("""COMPUTED_VALUE""")," Piauí")</f>
        <v> Piauí</v>
      </c>
      <c r="N516" s="7" t="str">
        <f>IFERROR(__xludf.DUMMYFUNCTION("""COMPUTED_VALUE""")," Jacaré")</f>
        <v> Jacaré</v>
      </c>
      <c r="O516" s="7" t="str">
        <f>IFERROR(__xludf.DUMMYFUNCTION("""COMPUTED_VALUE""")," Cabreúva")</f>
        <v> Cabreúva</v>
      </c>
      <c r="P516" s="7" t="str">
        <f>IFERROR(__xludf.DUMMYFUNCTION("""COMPUTED_VALUE"""),"SP")</f>
        <v>SP</v>
      </c>
      <c r="Q516" s="7" t="str">
        <f>IFERROR(__xludf.DUMMYFUNCTION("""COMPUTED_VALUE""")," 13318-070 ")</f>
        <v> 13318-070 </v>
      </c>
      <c r="R516" s="9">
        <f>IFERROR(__xludf.DUMMYFUNCTION("SPLIT($K516,"" "","""")"),-2.3246868E7)</f>
        <v>-23246868</v>
      </c>
      <c r="S516" s="9">
        <f>IFERROR(__xludf.DUMMYFUNCTION("""COMPUTED_VALUE"""),-4.7061006E7)</f>
        <v>-47061006</v>
      </c>
      <c r="T516" s="10">
        <v>3508405.0</v>
      </c>
      <c r="U51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13318-070 ', 'PK-20686', SYSDATE, 0, 'PK-20686', SYSDATE, 'Rua  Piauí  Jacaré', 'Rua Piauí Jacaré', ' Jacaré', 'Rua', '3508405', 'Rua Piauí Jacaré',' Jacaré', '1', 'SP', '1', '-23246868', '-47061006', ' Jacaré' </v>
      </c>
    </row>
    <row r="517" ht="15.75" customHeight="1">
      <c r="A517" s="4" t="s">
        <v>1589</v>
      </c>
      <c r="B517" s="5" t="s">
        <v>132</v>
      </c>
      <c r="C517" s="4" t="s">
        <v>10</v>
      </c>
      <c r="D517" s="5" t="s">
        <v>1590</v>
      </c>
      <c r="E517" s="6">
        <v>214.0</v>
      </c>
      <c r="F517" s="6" t="s">
        <v>12</v>
      </c>
      <c r="G517" s="3" t="s">
        <v>13</v>
      </c>
      <c r="H517" s="7" t="str">
        <f>IFERROR(__xludf.DUMMYFUNCTION("SPLIT(A512,""Via"","""")"),"Travessa    Manaus")</f>
        <v>Travessa    Manaus</v>
      </c>
      <c r="J517" s="3" t="s">
        <v>1591</v>
      </c>
      <c r="K517" s="8" t="str">
        <f>IFERROR(__xludf.DUMMYFUNCTION("SPLIT($J517,""   "","""")"),"-23.244009 -47.062536")</f>
        <v>-23.244009 -47.062536</v>
      </c>
      <c r="L517" s="7" t="str">
        <f>IFERROR(__xludf.DUMMYFUNCTION("""COMPUTED_VALUE"""),"Rua")</f>
        <v>Rua</v>
      </c>
      <c r="M517" s="7" t="str">
        <f>IFERROR(__xludf.DUMMYFUNCTION("""COMPUTED_VALUE""")," Felicita Manzoli Peratello")</f>
        <v> Felicita Manzoli Peratello</v>
      </c>
      <c r="N517" s="7" t="str">
        <f>IFERROR(__xludf.DUMMYFUNCTION("""COMPUTED_VALUE""")," Flor de Ipê (Jacaré)")</f>
        <v> Flor de Ipê (Jacaré)</v>
      </c>
      <c r="O517" s="7" t="str">
        <f>IFERROR(__xludf.DUMMYFUNCTION("""COMPUTED_VALUE""")," Cabreúva")</f>
        <v> Cabreúva</v>
      </c>
      <c r="P517" s="7" t="str">
        <f>IFERROR(__xludf.DUMMYFUNCTION("""COMPUTED_VALUE"""),"SP")</f>
        <v>SP</v>
      </c>
      <c r="Q517" s="7" t="str">
        <f>IFERROR(__xludf.DUMMYFUNCTION("""COMPUTED_VALUE""")," 13318-416 ")</f>
        <v> 13318-416 </v>
      </c>
      <c r="R517" s="9">
        <f>IFERROR(__xludf.DUMMYFUNCTION("SPLIT($K517,"" "","""")"),-2.3244009E7)</f>
        <v>-23244009</v>
      </c>
      <c r="S517" s="9">
        <f>IFERROR(__xludf.DUMMYFUNCTION("""COMPUTED_VALUE"""),-4.7062536E7)</f>
        <v>-47062536</v>
      </c>
      <c r="T517" s="10">
        <v>3508405.0</v>
      </c>
      <c r="U51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13318-416 ', 'PK-20686', SYSDATE, 0, 'PK-20686', SYSDATE, 'Rua  Felicita Manzoli Peratello  Flor de Ipê (Jacaré)', 'Rua Felicita Manzoli Peratello Flor de Ipê (Jacaré)', ' Flor de Ipê (Jacaré)', 'Rua', '3508405', 'Rua Felicita Manzoli Peratello Flor de Ipê (Jacaré)',' Flor de Ipê (Jacaré)', '1', 'SP', '1', '-23244009', '-47062536', ' Flor de Ipê (Jacaré)' </v>
      </c>
    </row>
    <row r="518" ht="15.75" hidden="1" customHeight="1">
      <c r="A518" s="4" t="s">
        <v>1592</v>
      </c>
      <c r="B518" s="5" t="s">
        <v>658</v>
      </c>
      <c r="C518" s="4" t="s">
        <v>10</v>
      </c>
      <c r="D518" s="5" t="s">
        <v>1593</v>
      </c>
      <c r="E518" s="6">
        <v>214.0</v>
      </c>
      <c r="F518" s="6" t="s">
        <v>12</v>
      </c>
      <c r="G518" s="3" t="s">
        <v>13</v>
      </c>
      <c r="H518" s="7" t="str">
        <f>IFERROR(__xludf.DUMMYFUNCTION("SPLIT(A513,""Via"","""")"),"Travessa    Marina")</f>
        <v>Travessa    Marina</v>
      </c>
      <c r="J518" s="3" t="s">
        <v>1594</v>
      </c>
      <c r="K518" s="8" t="str">
        <f>IFERROR(__xludf.DUMMYFUNCTION("SPLIT($J518,""   "","""")"),"-23.299679 -48.055094")</f>
        <v>-23.299679 -48.055094</v>
      </c>
      <c r="L518" s="7" t="str">
        <f>IFERROR(__xludf.DUMMYFUNCTION("""COMPUTED_VALUE"""),"RodoVia")</f>
        <v>RodoVia</v>
      </c>
      <c r="M518" s="7" t="str">
        <f>IFERROR(__xludf.DUMMYFUNCTION("""COMPUTED_VALUE""")," Dom Gabriel Paulino Bueno Couto  Km 80")</f>
        <v> Dom Gabriel Paulino Bueno Couto  Km 80</v>
      </c>
      <c r="N518" s="7" t="str">
        <f>IFERROR(__xludf.DUMMYFUNCTION("""COMPUTED_VALUE"""),"Área C Quadra GL ENJOEI PRO  Pinhal")</f>
        <v>Área C Quadra GL ENJOEI PRO  Pinhal</v>
      </c>
      <c r="O518" s="7" t="str">
        <f>IFERROR(__xludf.DUMMYFUNCTION("""COMPUTED_VALUE""")," Cabreúva")</f>
        <v> Cabreúva</v>
      </c>
      <c r="P518" s="7" t="str">
        <f>IFERROR(__xludf.DUMMYFUNCTION("""COMPUTED_VALUE"""),"SP")</f>
        <v>SP</v>
      </c>
      <c r="Q518" s="7" t="str">
        <f>IFERROR(__xludf.DUMMYFUNCTION("""COMPUTED_VALUE""")," 13315-900 ")</f>
        <v> 13315-900 </v>
      </c>
      <c r="R518" s="9">
        <f>IFERROR(__xludf.DUMMYFUNCTION("SPLIT($K518,"" "","""")"),-2.3299679E7)</f>
        <v>-23299679</v>
      </c>
      <c r="S518" s="9">
        <f>IFERROR(__xludf.DUMMYFUNCTION("""COMPUTED_VALUE"""),-4.8055094E7)</f>
        <v>-48055094</v>
      </c>
      <c r="T518" s="10">
        <v>3508405.0</v>
      </c>
      <c r="U518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13315-900 ', 'PK-20686', SYSDATE, 0, 'PK-20686', SYSDATE, 'RodoVia  Dom Gabriel Paulino Bueno Couto  Km 80 Área C Quadra GL ENJOEI PRO  Pinhal', 'RodoVia Dom Gabriel Paulino Bueno Couto  Km 80Área C Quadra GL ENJOEI PRO  Pinhal', 'Área C Quadra GL ENJOEI PRO  Pinhal', 'RodoVia', '3508405', 'RodoVia Dom Gabriel Paulino Bueno Couto  Km 80Área C Quadra GL ENJOEI PRO  Pinhal','Área C Quadra GL ENJOEI PRO  Pinhal', '1', 'SP', '1', '-23299679', '-48055094', 'Área C Quadra GL ENJOEI PRO  Pinhal' </v>
      </c>
    </row>
    <row r="519" ht="15.75" customHeight="1">
      <c r="A519" s="4" t="s">
        <v>1595</v>
      </c>
      <c r="B519" s="5" t="s">
        <v>1596</v>
      </c>
      <c r="C519" s="4" t="s">
        <v>10</v>
      </c>
      <c r="D519" s="5" t="s">
        <v>1597</v>
      </c>
      <c r="E519" s="6">
        <v>214.0</v>
      </c>
      <c r="F519" s="6" t="s">
        <v>12</v>
      </c>
      <c r="G519" s="3" t="s">
        <v>13</v>
      </c>
      <c r="H519" s="7" t="str">
        <f>IFERROR(__xludf.DUMMYFUNCTION("SPLIT(A514,""Via"","""")"),"Travessa    Natal")</f>
        <v>Travessa    Natal</v>
      </c>
      <c r="J519" s="3" t="s">
        <v>1598</v>
      </c>
      <c r="K519" s="8" t="str">
        <f>IFERROR(__xludf.DUMMYFUNCTION("SPLIT($J519,""   "","""")"),"-23.268788 -47.062056")</f>
        <v>-23.268788 -47.062056</v>
      </c>
      <c r="L519" s="7" t="str">
        <f>IFERROR(__xludf.DUMMYFUNCTION("""COMPUTED_VALUE"""),"Rua")</f>
        <v>Rua</v>
      </c>
      <c r="M519" s="7" t="str">
        <f>IFERROR(__xludf.DUMMYFUNCTION("""COMPUTED_VALUE""")," Cabo Verde")</f>
        <v> Cabo Verde</v>
      </c>
      <c r="N519" s="7" t="str">
        <f>IFERROR(__xludf.DUMMYFUNCTION("""COMPUTED_VALUE""")," Villarejo Sopé da Serra (Vilarejo)")</f>
        <v> Villarejo Sopé da Serra (Vilarejo)</v>
      </c>
      <c r="O519" s="7" t="str">
        <f>IFERROR(__xludf.DUMMYFUNCTION("""COMPUTED_VALUE""")," Cabreúva")</f>
        <v> Cabreúva</v>
      </c>
      <c r="P519" s="7" t="str">
        <f>IFERROR(__xludf.DUMMYFUNCTION("""COMPUTED_VALUE"""),"SP")</f>
        <v>SP</v>
      </c>
      <c r="Q519" s="7" t="str">
        <f>IFERROR(__xludf.DUMMYFUNCTION("""COMPUTED_VALUE""")," 13317-642 ")</f>
        <v> 13317-642 </v>
      </c>
      <c r="R519" s="9">
        <f>IFERROR(__xludf.DUMMYFUNCTION("SPLIT($K519,"" "","""")"),-2.3268788E7)</f>
        <v>-23268788</v>
      </c>
      <c r="S519" s="9">
        <f>IFERROR(__xludf.DUMMYFUNCTION("""COMPUTED_VALUE"""),-4.7062056E7)</f>
        <v>-47062056</v>
      </c>
      <c r="T519" s="10">
        <v>3508405.0</v>
      </c>
      <c r="U519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13317-642 ', 'PK-20686', SYSDATE, 0, 'PK-20686', SYSDATE, 'Rua  Cabo Verde  Villarejo Sopé da Serra (Vilarejo)', 'Rua Cabo Verde Villarejo Sopé da Serra (Vilarejo)', ' Villarejo Sopé da Serra (Vilarejo)', 'Rua', '3508405', 'Rua Cabo Verde Villarejo Sopé da Serra (Vilarejo)',' Villarejo Sopé da Serra (Vilarejo)', '1', 'SP', '1', '-23268788', '-47062056', ' Villarejo Sopé da Serra (Vilarejo)' </v>
      </c>
    </row>
    <row r="520" ht="15.75" customHeight="1">
      <c r="A520" s="4" t="s">
        <v>1599</v>
      </c>
      <c r="B520" s="5" t="s">
        <v>180</v>
      </c>
      <c r="C520" s="4" t="s">
        <v>10</v>
      </c>
      <c r="D520" s="5" t="s">
        <v>1600</v>
      </c>
      <c r="E520" s="6">
        <v>214.0</v>
      </c>
      <c r="F520" s="6" t="s">
        <v>12</v>
      </c>
      <c r="G520" s="3" t="s">
        <v>13</v>
      </c>
      <c r="H520" s="7" t="str">
        <f>IFERROR(__xludf.DUMMYFUNCTION("SPLIT(A515,""Via"","""")"),"    Antonio Arnaldo de Queiroz e Silva")</f>
        <v>    Antonio Arnaldo de Queiroz e Silva</v>
      </c>
      <c r="J520" s="3" t="s">
        <v>1601</v>
      </c>
      <c r="K520" s="8" t="str">
        <f>IFERROR(__xludf.DUMMYFUNCTION("SPLIT($J520,""   "","""")"),"-23.250609 -47.055049")</f>
        <v>-23.250609 -47.055049</v>
      </c>
      <c r="L520" s="7" t="str">
        <f>IFERROR(__xludf.DUMMYFUNCTION("""COMPUTED_VALUE"""),"Rua")</f>
        <v>Rua</v>
      </c>
      <c r="M520" s="7" t="str">
        <f>IFERROR(__xludf.DUMMYFUNCTION("""COMPUTED_VALUE""")," Ademar Clemente Nunes")</f>
        <v> Ademar Clemente Nunes</v>
      </c>
      <c r="N520" s="7" t="str">
        <f>IFERROR(__xludf.DUMMYFUNCTION("""COMPUTED_VALUE""")," Jardim da Serra (Jacaré)")</f>
        <v> Jardim da Serra (Jacaré)</v>
      </c>
      <c r="O520" s="7" t="str">
        <f>IFERROR(__xludf.DUMMYFUNCTION("""COMPUTED_VALUE""")," Cabreúva")</f>
        <v> Cabreúva</v>
      </c>
      <c r="P520" s="7" t="str">
        <f>IFERROR(__xludf.DUMMYFUNCTION("""COMPUTED_VALUE"""),"SP")</f>
        <v>SP</v>
      </c>
      <c r="Q520" s="7" t="str">
        <f>IFERROR(__xludf.DUMMYFUNCTION("""COMPUTED_VALUE""")," 13318-136 ")</f>
        <v> 13318-136 </v>
      </c>
      <c r="R520" s="9">
        <f>IFERROR(__xludf.DUMMYFUNCTION("SPLIT($K520,"" "","""")"),-2.3250609E7)</f>
        <v>-23250609</v>
      </c>
      <c r="S520" s="9">
        <f>IFERROR(__xludf.DUMMYFUNCTION("""COMPUTED_VALUE"""),-4.7055049E7)</f>
        <v>-47055049</v>
      </c>
      <c r="T520" s="10">
        <v>3508405.0</v>
      </c>
      <c r="U520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13318-136 ', 'PK-20686', SYSDATE, 0, 'PK-20686', SYSDATE, 'Rua  Ademar Clemente Nunes  Jardim da Serra (Jacaré)', 'Rua Ademar Clemente Nunes Jardim da Serra (Jacaré)', ' Jardim da Serra (Jacaré)', 'Rua', '3508405', 'Rua Ademar Clemente Nunes Jardim da Serra (Jacaré)',' Jardim da Serra (Jacaré)', '1', 'SP', '1', '-23250609', '-47055049', ' Jardim da Serra (Jacaré)' </v>
      </c>
    </row>
    <row r="521" ht="15.75" customHeight="1">
      <c r="A521" s="4" t="s">
        <v>1599</v>
      </c>
      <c r="B521" s="5" t="s">
        <v>132</v>
      </c>
      <c r="C521" s="4" t="s">
        <v>10</v>
      </c>
      <c r="D521" s="5" t="s">
        <v>1602</v>
      </c>
      <c r="E521" s="6">
        <v>214.0</v>
      </c>
      <c r="F521" s="6" t="s">
        <v>12</v>
      </c>
      <c r="G521" s="3" t="s">
        <v>13</v>
      </c>
      <c r="H521" s="7" t="str">
        <f>IFERROR(__xludf.DUMMYFUNCTION("SPLIT(A516,""Via"","""")"),"    Antonio Mesquita Togni")</f>
        <v>    Antonio Mesquita Togni</v>
      </c>
      <c r="J521" s="3" t="s">
        <v>1603</v>
      </c>
      <c r="K521" s="8" t="str">
        <f>IFERROR(__xludf.DUMMYFUNCTION("SPLIT($J521,""   "","""")"),"-23.250328 -47.059325")</f>
        <v>-23.250328 -47.059325</v>
      </c>
      <c r="L521" s="7" t="str">
        <f>IFERROR(__xludf.DUMMYFUNCTION("""COMPUTED_VALUE"""),"Rua")</f>
        <v>Rua</v>
      </c>
      <c r="M521" s="7" t="str">
        <f>IFERROR(__xludf.DUMMYFUNCTION("""COMPUTED_VALUE""")," Florianópolis")</f>
        <v> Florianópolis</v>
      </c>
      <c r="N521" s="7" t="str">
        <f>IFERROR(__xludf.DUMMYFUNCTION("""COMPUTED_VALUE""")," Jacaré")</f>
        <v> Jacaré</v>
      </c>
      <c r="O521" s="7" t="str">
        <f>IFERROR(__xludf.DUMMYFUNCTION("""COMPUTED_VALUE""")," Cabreúva")</f>
        <v> Cabreúva</v>
      </c>
      <c r="P521" s="7" t="str">
        <f>IFERROR(__xludf.DUMMYFUNCTION("""COMPUTED_VALUE"""),"SP")</f>
        <v>SP</v>
      </c>
      <c r="Q521" s="7" t="str">
        <f>IFERROR(__xludf.DUMMYFUNCTION("""COMPUTED_VALUE""")," 13318-084 ")</f>
        <v> 13318-084 </v>
      </c>
      <c r="R521" s="9">
        <f>IFERROR(__xludf.DUMMYFUNCTION("SPLIT($K521,"" "","""")"),-2.3250328E7)</f>
        <v>-23250328</v>
      </c>
      <c r="S521" s="9">
        <f>IFERROR(__xludf.DUMMYFUNCTION("""COMPUTED_VALUE"""),-4.7059325E7)</f>
        <v>-47059325</v>
      </c>
      <c r="T521" s="10">
        <v>3508405.0</v>
      </c>
      <c r="U521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13318-084 ', 'PK-20686', SYSDATE, 0, 'PK-20686', SYSDATE, 'Rua  Florianópolis  Jacaré', 'Rua Florianópolis Jacaré', ' Jacaré', 'Rua', '3508405', 'Rua Florianópolis Jacaré',' Jacaré', '1', 'SP', '1', '-23250328', '-47059325', ' Jacaré' </v>
      </c>
    </row>
    <row r="522" ht="15.75" customHeight="1">
      <c r="A522" s="4" t="s">
        <v>1604</v>
      </c>
      <c r="B522" s="5" t="s">
        <v>132</v>
      </c>
      <c r="C522" s="4" t="s">
        <v>10</v>
      </c>
      <c r="D522" s="5" t="s">
        <v>1605</v>
      </c>
      <c r="E522" s="6">
        <v>214.0</v>
      </c>
      <c r="F522" s="6" t="s">
        <v>12</v>
      </c>
      <c r="G522" s="3" t="s">
        <v>13</v>
      </c>
      <c r="H522" s="7" t="str">
        <f>IFERROR(__xludf.DUMMYFUNCTION("SPLIT(A517,""Via"","""")"),"    das Margaridas")</f>
        <v>    das Margaridas</v>
      </c>
      <c r="J522" s="3" t="s">
        <v>1606</v>
      </c>
      <c r="K522" s="8" t="str">
        <f>IFERROR(__xludf.DUMMYFUNCTION("SPLIT($J522,""   "","""")"),"-23.097247 -47.714462")</f>
        <v>-23.097247 -47.714462</v>
      </c>
      <c r="L522" s="7" t="str">
        <f>IFERROR(__xludf.DUMMYFUNCTION("""COMPUTED_VALUE"""),"Rua")</f>
        <v>Rua</v>
      </c>
      <c r="M522" s="7" t="str">
        <f>IFERROR(__xludf.DUMMYFUNCTION("""COMPUTED_VALUE""")," Quatro")</f>
        <v> Quatro</v>
      </c>
      <c r="N522" s="7" t="str">
        <f>IFERROR(__xludf.DUMMYFUNCTION("""COMPUTED_VALUE""")," Alpes do Tietê")</f>
        <v> Alpes do Tietê</v>
      </c>
      <c r="O522" s="7" t="str">
        <f>IFERROR(__xludf.DUMMYFUNCTION("""COMPUTED_VALUE""")," Cabreúva")</f>
        <v> Cabreúva</v>
      </c>
      <c r="P522" s="7" t="str">
        <f>IFERROR(__xludf.DUMMYFUNCTION("""COMPUTED_VALUE"""),"SP")</f>
        <v>SP</v>
      </c>
      <c r="Q522" s="7" t="str">
        <f>IFERROR(__xludf.DUMMYFUNCTION("""COMPUTED_VALUE""")," 13316-603 ")</f>
        <v> 13316-603 </v>
      </c>
      <c r="R522" s="9">
        <f>IFERROR(__xludf.DUMMYFUNCTION("SPLIT($K522,"" "","""")"),-2.3097247E7)</f>
        <v>-23097247</v>
      </c>
      <c r="S522" s="9">
        <f>IFERROR(__xludf.DUMMYFUNCTION("""COMPUTED_VALUE"""),-4.7714462E7)</f>
        <v>-47714462</v>
      </c>
      <c r="T522" s="10">
        <v>3508405.0</v>
      </c>
      <c r="U522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13316-603 ', 'PK-20686', SYSDATE, 0, 'PK-20686', SYSDATE, 'Rua  Quatro  Alpes do Tietê', 'Rua Quatro Alpes do Tietê', ' Alpes do Tietê', 'Rua', '3508405', 'Rua Quatro Alpes do Tietê',' Alpes do Tietê', '1', 'SP', '1', '-23097247', '-47714462', ' Alpes do Tietê' </v>
      </c>
    </row>
    <row r="523" ht="15.75" customHeight="1">
      <c r="A523" s="4" t="s">
        <v>1607</v>
      </c>
      <c r="B523" s="5" t="s">
        <v>658</v>
      </c>
      <c r="C523" s="4" t="s">
        <v>10</v>
      </c>
      <c r="D523" s="5" t="s">
        <v>1608</v>
      </c>
      <c r="E523" s="6">
        <v>214.0</v>
      </c>
      <c r="F523" s="6" t="s">
        <v>12</v>
      </c>
      <c r="G523" s="3" t="s">
        <v>13</v>
      </c>
      <c r="H523" s="7" t="str">
        <f>IFERROR(__xludf.DUMMYFUNCTION("SPLIT(A518,""Via"","""")"),"    das Tulipas")</f>
        <v>    das Tulipas</v>
      </c>
      <c r="J523" s="3" t="s">
        <v>1609</v>
      </c>
      <c r="K523" s="8" t="str">
        <f>IFERROR(__xludf.DUMMYFUNCTION("SPLIT($J523,""   "","""")"),"-23.287089 -47.05739")</f>
        <v>-23.287089 -47.05739</v>
      </c>
      <c r="L523" s="7" t="str">
        <f>IFERROR(__xludf.DUMMYFUNCTION("""COMPUTED_VALUE"""),"Rua")</f>
        <v>Rua</v>
      </c>
      <c r="M523" s="7" t="str">
        <f>IFERROR(__xludf.DUMMYFUNCTION("""COMPUTED_VALUE""")," do Vale")</f>
        <v> do Vale</v>
      </c>
      <c r="N523" s="7" t="str">
        <f>IFERROR(__xludf.DUMMYFUNCTION("""COMPUTED_VALUE""")," Bonfim")</f>
        <v> Bonfim</v>
      </c>
      <c r="O523" s="7" t="str">
        <f>IFERROR(__xludf.DUMMYFUNCTION("""COMPUTED_VALUE""")," Cabreúva")</f>
        <v> Cabreúva</v>
      </c>
      <c r="P523" s="7" t="str">
        <f>IFERROR(__xludf.DUMMYFUNCTION("""COMPUTED_VALUE"""),"SP")</f>
        <v>SP</v>
      </c>
      <c r="Q523" s="7" t="str">
        <f>IFERROR(__xludf.DUMMYFUNCTION("""COMPUTED_VALUE""")," 13319-032 ")</f>
        <v> 13319-032 </v>
      </c>
      <c r="R523" s="9">
        <f>IFERROR(__xludf.DUMMYFUNCTION("SPLIT($K523,"" "","""")"),-2.3287089E7)</f>
        <v>-23287089</v>
      </c>
      <c r="S523" s="9">
        <f>IFERROR(__xludf.DUMMYFUNCTION("""COMPUTED_VALUE"""),-4705739.0)</f>
        <v>-4705739</v>
      </c>
      <c r="T523" s="10">
        <v>3508405.0</v>
      </c>
      <c r="U52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13319-032 ', 'PK-20686', SYSDATE, 0, 'PK-20686', SYSDATE, 'Rua  do Vale  Bonfim', 'Rua do Vale Bonfim', ' Bonfim', 'Rua', '3508405', 'Rua do Vale Bonfim',' Bonfim', '1', 'SP', '1', '-23287089', '-4705739', ' Bonfim' </v>
      </c>
    </row>
    <row r="524" ht="15.75" customHeight="1">
      <c r="A524" s="4" t="s">
        <v>1610</v>
      </c>
      <c r="B524" s="5" t="s">
        <v>1596</v>
      </c>
      <c r="C524" s="4" t="s">
        <v>10</v>
      </c>
      <c r="D524" s="5" t="s">
        <v>1611</v>
      </c>
      <c r="E524" s="6">
        <v>214.0</v>
      </c>
      <c r="F524" s="6" t="s">
        <v>12</v>
      </c>
      <c r="G524" s="3" t="s">
        <v>13</v>
      </c>
      <c r="H524" s="7" t="str">
        <f>IFERROR(__xludf.DUMMYFUNCTION("SPLIT(A519,""Via"","""")"),"    das Vitórias-Régia")</f>
        <v>    das Vitórias-Régia</v>
      </c>
      <c r="J524" s="3" t="s">
        <v>1612</v>
      </c>
      <c r="K524" s="8" t="str">
        <f>IFERROR(__xludf.DUMMYFUNCTION("SPLIT($J524,""   "","""")"),"-23.272222 -47.057234")</f>
        <v>-23.272222 -47.057234</v>
      </c>
      <c r="L524" s="7" t="str">
        <f>IFERROR(__xludf.DUMMYFUNCTION("""COMPUTED_VALUE"""),"Rua")</f>
        <v>Rua</v>
      </c>
      <c r="M524" s="7" t="str">
        <f>IFERROR(__xludf.DUMMYFUNCTION("""COMPUTED_VALUE""")," Finlândia")</f>
        <v> Finlândia</v>
      </c>
      <c r="N524" s="7" t="str">
        <f>IFERROR(__xludf.DUMMYFUNCTION("""COMPUTED_VALUE""")," Villarejo Sopé da Serra (Vilarejo)")</f>
        <v> Villarejo Sopé da Serra (Vilarejo)</v>
      </c>
      <c r="O524" s="7" t="str">
        <f>IFERROR(__xludf.DUMMYFUNCTION("""COMPUTED_VALUE""")," Cabreúva")</f>
        <v> Cabreúva</v>
      </c>
      <c r="P524" s="7" t="str">
        <f>IFERROR(__xludf.DUMMYFUNCTION("""COMPUTED_VALUE"""),"SP")</f>
        <v>SP</v>
      </c>
      <c r="Q524" s="7" t="str">
        <f>IFERROR(__xludf.DUMMYFUNCTION("""COMPUTED_VALUE""")," 13317-672 ")</f>
        <v> 13317-672 </v>
      </c>
      <c r="R524" s="9">
        <f>IFERROR(__xludf.DUMMYFUNCTION("SPLIT($K524,"" "","""")"),-2.3272222E7)</f>
        <v>-23272222</v>
      </c>
      <c r="S524" s="9">
        <f>IFERROR(__xludf.DUMMYFUNCTION("""COMPUTED_VALUE"""),-4.7057234E7)</f>
        <v>-47057234</v>
      </c>
      <c r="T524" s="10">
        <v>3508405.0</v>
      </c>
      <c r="U524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13317-672 ', 'PK-20686', SYSDATE, 0, 'PK-20686', SYSDATE, 'Rua  Finlândia  Villarejo Sopé da Serra (Vilarejo)', 'Rua Finlândia Villarejo Sopé da Serra (Vilarejo)', ' Villarejo Sopé da Serra (Vilarejo)', 'Rua', '3508405', 'Rua Finlândia Villarejo Sopé da Serra (Vilarejo)',' Villarejo Sopé da Serra (Vilarejo)', '1', 'SP', '1', '-23272222', '-47057234', ' Villarejo Sopé da Serra (Vilarejo)' </v>
      </c>
    </row>
    <row r="525" ht="15.75" customHeight="1">
      <c r="A525" s="4" t="s">
        <v>1613</v>
      </c>
      <c r="B525" s="5" t="s">
        <v>658</v>
      </c>
      <c r="C525" s="4" t="s">
        <v>10</v>
      </c>
      <c r="D525" s="5" t="s">
        <v>1614</v>
      </c>
      <c r="E525" s="6">
        <v>214.0</v>
      </c>
      <c r="F525" s="6" t="s">
        <v>12</v>
      </c>
      <c r="G525" s="3" t="s">
        <v>13</v>
      </c>
      <c r="H525" s="7" t="str">
        <f>IFERROR(__xludf.DUMMYFUNCTION("SPLIT(A520,""Via"","""")"),"    de Acesso Vereador José de Moraes")</f>
        <v>    de Acesso Vereador José de Moraes</v>
      </c>
      <c r="J525" s="3" t="s">
        <v>1615</v>
      </c>
      <c r="K525" s="8" t="str">
        <f>IFERROR(__xludf.DUMMYFUNCTION("SPLIT($J525,""   "","""")"),"-23.307366 -47.133678")</f>
        <v>-23.307366 -47.133678</v>
      </c>
      <c r="L525" s="7" t="str">
        <f>IFERROR(__xludf.DUMMYFUNCTION("""COMPUTED_VALUE"""),"Rua")</f>
        <v>Rua</v>
      </c>
      <c r="M525" s="7" t="str">
        <f>IFERROR(__xludf.DUMMYFUNCTION("""COMPUTED_VALUE""")," AlbertoSPina")</f>
        <v> AlbertoSPina</v>
      </c>
      <c r="N525" s="7" t="str">
        <f>IFERROR(__xludf.DUMMYFUNCTION("""COMPUTED_VALUE""")," Vila dos Mineiros")</f>
        <v> Vila dos Mineiros</v>
      </c>
      <c r="O525" s="7" t="str">
        <f>IFERROR(__xludf.DUMMYFUNCTION("""COMPUTED_VALUE""")," Cabreúva")</f>
        <v> Cabreúva</v>
      </c>
      <c r="P525" s="7" t="str">
        <f>IFERROR(__xludf.DUMMYFUNCTION("""COMPUTED_VALUE"""),"SP")</f>
        <v>SP</v>
      </c>
      <c r="Q525" s="7" t="str">
        <f>IFERROR(__xludf.DUMMYFUNCTION("""COMPUTED_VALUE""")," 13317-102 ")</f>
        <v> 13317-102 </v>
      </c>
      <c r="R525" s="9">
        <f>IFERROR(__xludf.DUMMYFUNCTION("SPLIT($K525,"" "","""")"),-2.3307366E7)</f>
        <v>-23307366</v>
      </c>
      <c r="S525" s="9">
        <f>IFERROR(__xludf.DUMMYFUNCTION("""COMPUTED_VALUE"""),-4.7133678E7)</f>
        <v>-47133678</v>
      </c>
      <c r="T525" s="10">
        <v>3508405.0</v>
      </c>
      <c r="U525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13317-102 ', 'PK-20686', SYSDATE, 0, 'PK-20686', SYSDATE, 'Rua  AlbertoSPina  Vila dos Mineiros', 'Rua AlbertoSPina Vila dos Mineiros', ' Vila dos Mineiros', 'Rua', '3508405', 'Rua AlbertoSPina Vila dos Mineiros',' Vila dos Mineiros', '1', 'SP', '1', '-23307366', '-47133678', ' Vila dos Mineiros' </v>
      </c>
    </row>
    <row r="526" ht="15.75" customHeight="1">
      <c r="A526" s="4" t="s">
        <v>1616</v>
      </c>
      <c r="B526" s="5" t="s">
        <v>132</v>
      </c>
      <c r="C526" s="4" t="s">
        <v>10</v>
      </c>
      <c r="D526" s="5" t="s">
        <v>1617</v>
      </c>
      <c r="E526" s="6">
        <v>214.0</v>
      </c>
      <c r="F526" s="6" t="s">
        <v>12</v>
      </c>
      <c r="G526" s="3" t="s">
        <v>13</v>
      </c>
      <c r="H526" s="7" t="str">
        <f>IFERROR(__xludf.DUMMYFUNCTION("SPLIT(A521,""Via"","""")"),"    de Acesso Vereador José de Moraes")</f>
        <v>    de Acesso Vereador José de Moraes</v>
      </c>
      <c r="J526" s="3" t="s">
        <v>1618</v>
      </c>
      <c r="K526" s="8" t="str">
        <f>IFERROR(__xludf.DUMMYFUNCTION("SPLIT($J526,""   "","""")"),"-23.264522 -47.062123")</f>
        <v>-23.264522 -47.062123</v>
      </c>
      <c r="L526" s="7" t="str">
        <f>IFERROR(__xludf.DUMMYFUNCTION("""COMPUTED_VALUE"""),"Rua")</f>
        <v>Rua</v>
      </c>
      <c r="M526" s="7" t="str">
        <f>IFERROR(__xludf.DUMMYFUNCTION("""COMPUTED_VALUE""")," Suíça")</f>
        <v> Suíça</v>
      </c>
      <c r="N526" s="7" t="str">
        <f>IFERROR(__xludf.DUMMYFUNCTION("""COMPUTED_VALUE""")," Villarejo Sopé da Serra (Vilarejo)")</f>
        <v> Villarejo Sopé da Serra (Vilarejo)</v>
      </c>
      <c r="O526" s="7" t="str">
        <f>IFERROR(__xludf.DUMMYFUNCTION("""COMPUTED_VALUE""")," Cabreúva")</f>
        <v> Cabreúva</v>
      </c>
      <c r="P526" s="7" t="str">
        <f>IFERROR(__xludf.DUMMYFUNCTION("""COMPUTED_VALUE"""),"SP")</f>
        <v>SP</v>
      </c>
      <c r="Q526" s="7" t="str">
        <f>IFERROR(__xludf.DUMMYFUNCTION("""COMPUTED_VALUE""")," 13317-624 ")</f>
        <v> 13317-624 </v>
      </c>
      <c r="R526" s="9">
        <f>IFERROR(__xludf.DUMMYFUNCTION("SPLIT($K526,"" "","""")"),-2.3264522E7)</f>
        <v>-23264522</v>
      </c>
      <c r="S526" s="9">
        <f>IFERROR(__xludf.DUMMYFUNCTION("""COMPUTED_VALUE"""),-4.7062123E7)</f>
        <v>-47062123</v>
      </c>
      <c r="T526" s="10">
        <v>3508405.0</v>
      </c>
      <c r="U526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13317-624 ', 'PK-20686', SYSDATE, 0, 'PK-20686', SYSDATE, 'Rua  Suíça  Villarejo Sopé da Serra (Vilarejo)', 'Rua Suíça Villarejo Sopé da Serra (Vilarejo)', ' Villarejo Sopé da Serra (Vilarejo)', 'Rua', '3508405', 'Rua Suíça Villarejo Sopé da Serra (Vilarejo)',' Villarejo Sopé da Serra (Vilarejo)', '1', 'SP', '1', '-23264522', '-47062123', ' Villarejo Sopé da Serra (Vilarejo)' </v>
      </c>
    </row>
    <row r="527" ht="15.75" hidden="1" customHeight="1">
      <c r="A527" s="4" t="s">
        <v>1619</v>
      </c>
      <c r="B527" s="5" t="s">
        <v>658</v>
      </c>
      <c r="C527" s="4" t="s">
        <v>10</v>
      </c>
      <c r="D527" s="5" t="s">
        <v>1620</v>
      </c>
      <c r="E527" s="6">
        <v>214.0</v>
      </c>
      <c r="F527" s="6" t="s">
        <v>12</v>
      </c>
      <c r="G527" s="3" t="s">
        <v>13</v>
      </c>
      <c r="H527" s="7" t="str">
        <f>IFERROR(__xludf.DUMMYFUNCTION("SPLIT(A522,""Via"","""")"),"    Desembargador Luiz Carlos de Araújo")</f>
        <v>    Desembargador Luiz Carlos de Araújo</v>
      </c>
      <c r="J527" s="3" t="s">
        <v>1621</v>
      </c>
      <c r="K527" s="8" t="str">
        <f>IFERROR(__xludf.DUMMYFUNCTION("SPLIT($J527,""   "","""")"),"-23.259724 -47.071429")</f>
        <v>-23.259724 -47.071429</v>
      </c>
      <c r="L527" s="7" t="str">
        <f>IFERROR(__xludf.DUMMYFUNCTION("""COMPUTED_VALUE"""),"Estrada")</f>
        <v>Estrada</v>
      </c>
      <c r="M527" s="7" t="str">
        <f>IFERROR(__xludf.DUMMYFUNCTION("""COMPUTED_VALUE""")," do Bonfim")</f>
        <v> do Bonfim</v>
      </c>
      <c r="N527" s="7" t="str">
        <f>IFERROR(__xludf.DUMMYFUNCTION("""COMPUTED_VALUE""")," Pinhal")</f>
        <v> Pinhal</v>
      </c>
      <c r="O527" s="7" t="str">
        <f>IFERROR(__xludf.DUMMYFUNCTION("""COMPUTED_VALUE""")," Cabreúva")</f>
        <v> Cabreúva</v>
      </c>
      <c r="P527" s="7" t="str">
        <f>IFERROR(__xludf.DUMMYFUNCTION("""COMPUTED_VALUE"""),"SP")</f>
        <v>SP</v>
      </c>
      <c r="Q527" s="7" t="str">
        <f>IFERROR(__xludf.DUMMYFUNCTION("""COMPUTED_VALUE""")," 13317-296 ")</f>
        <v> 13317-296 </v>
      </c>
      <c r="R527" s="9">
        <f>IFERROR(__xludf.DUMMYFUNCTION("SPLIT($K527,"" "","""")"),-2.3259724E7)</f>
        <v>-23259724</v>
      </c>
      <c r="S527" s="9">
        <f>IFERROR(__xludf.DUMMYFUNCTION("""COMPUTED_VALUE"""),-4.7071429E7)</f>
        <v>-47071429</v>
      </c>
      <c r="T527" s="10">
        <v>3508405.0</v>
      </c>
      <c r="U527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SELECT SEQ_CEPS.NEXTVAL,' 13317-296 ', 'PK-20686', SYSDATE, 0, 'PK-20686', SYSDATE, 'Estrada  do Bonfim  Pinhal', 'Estrada do Bonfim Pinhal', ' Pinhal', 'Estrada', '3508405', 'Estrada do Bonfim Pinhal',' Pinhal', '1', 'SP', '1', '-23259724', '-47071429', ' Pinhal' </v>
      </c>
    </row>
  </sheetData>
  <autoFilter ref="$L$1:$L$527">
    <filterColumn colId="0">
      <filters>
        <filter val="Rua"/>
      </filters>
    </filterColumn>
  </autoFilter>
  <customSheetViews>
    <customSheetView guid="{6A32D83D-904B-4837-9596-43D94869AF50}" filter="1" showAutoFilter="1">
      <autoFilter ref="$J$1:$J$527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3.75"/>
    <col customWidth="1" min="2" max="2" width="20.25"/>
    <col customWidth="1" min="3" max="3" width="34.75"/>
    <col customWidth="1" min="4" max="4" width="20.38"/>
    <col customWidth="1" min="5" max="5" width="30.25"/>
    <col customWidth="1" min="6" max="6" width="28.75"/>
  </cols>
  <sheetData>
    <row r="1">
      <c r="A1" s="3" t="s">
        <v>1622</v>
      </c>
      <c r="B1" s="3" t="s">
        <v>1623</v>
      </c>
      <c r="C1" s="3" t="s">
        <v>1624</v>
      </c>
      <c r="D1" s="3" t="s">
        <v>1625</v>
      </c>
      <c r="E1" s="3" t="s">
        <v>1626</v>
      </c>
      <c r="F1" s="3" t="s">
        <v>1627</v>
      </c>
    </row>
    <row r="2">
      <c r="A2" s="3" t="s">
        <v>1628</v>
      </c>
      <c r="B2" s="3">
        <v>1.3316708E7</v>
      </c>
      <c r="C2" s="3" t="s">
        <v>368</v>
      </c>
      <c r="D2" s="7" t="s">
        <v>1629</v>
      </c>
      <c r="E2" s="14" t="s">
        <v>1630</v>
      </c>
      <c r="F2" s="7" t="s">
        <v>1631</v>
      </c>
    </row>
    <row r="3">
      <c r="A3" s="3" t="s">
        <v>1632</v>
      </c>
      <c r="B3" s="3">
        <v>1.3317294E7</v>
      </c>
      <c r="C3" s="3" t="s">
        <v>658</v>
      </c>
      <c r="D3" s="7" t="s">
        <v>1633</v>
      </c>
      <c r="E3" s="14" t="s">
        <v>1634</v>
      </c>
      <c r="F3" s="7" t="s">
        <v>1635</v>
      </c>
    </row>
    <row r="4">
      <c r="A4" s="3" t="s">
        <v>1636</v>
      </c>
      <c r="B4" s="3">
        <v>1.3318092E7</v>
      </c>
      <c r="C4" s="3" t="s">
        <v>24</v>
      </c>
      <c r="D4" s="7" t="s">
        <v>1637</v>
      </c>
      <c r="E4" s="14" t="s">
        <v>1638</v>
      </c>
      <c r="F4" s="7" t="s">
        <v>1639</v>
      </c>
    </row>
    <row r="5">
      <c r="A5" s="3" t="s">
        <v>1640</v>
      </c>
      <c r="B5" s="3">
        <v>1.33171E7</v>
      </c>
      <c r="C5" s="3" t="s">
        <v>20</v>
      </c>
      <c r="D5" s="7" t="s">
        <v>1641</v>
      </c>
      <c r="E5" s="14" t="s">
        <v>1642</v>
      </c>
      <c r="F5" s="7" t="s">
        <v>1643</v>
      </c>
    </row>
    <row r="6">
      <c r="A6" s="3" t="s">
        <v>1644</v>
      </c>
      <c r="B6" s="3">
        <v>1.3318043E7</v>
      </c>
      <c r="C6" s="3" t="s">
        <v>24</v>
      </c>
      <c r="D6" s="7" t="s">
        <v>1645</v>
      </c>
      <c r="E6" s="14" t="s">
        <v>1646</v>
      </c>
      <c r="F6" s="7" t="s">
        <v>1639</v>
      </c>
    </row>
    <row r="7">
      <c r="A7" s="3" t="s">
        <v>1647</v>
      </c>
      <c r="B7" s="3">
        <v>1.3315182E7</v>
      </c>
      <c r="C7" s="3" t="s">
        <v>476</v>
      </c>
      <c r="D7" s="7" t="s">
        <v>1648</v>
      </c>
      <c r="E7" s="14" t="s">
        <v>1649</v>
      </c>
      <c r="F7" s="7" t="s">
        <v>1650</v>
      </c>
    </row>
    <row r="8">
      <c r="A8" s="3" t="s">
        <v>1651</v>
      </c>
      <c r="B8" s="3">
        <v>1.3315256E7</v>
      </c>
      <c r="C8" s="3" t="s">
        <v>212</v>
      </c>
      <c r="D8" s="7" t="s">
        <v>1652</v>
      </c>
      <c r="E8" s="14" t="s">
        <v>1653</v>
      </c>
      <c r="F8" s="7" t="s">
        <v>1654</v>
      </c>
    </row>
    <row r="9">
      <c r="A9" s="3" t="s">
        <v>1655</v>
      </c>
      <c r="B9" s="3">
        <v>1.3316709E7</v>
      </c>
      <c r="C9" s="3" t="s">
        <v>368</v>
      </c>
      <c r="D9" s="7" t="s">
        <v>1656</v>
      </c>
      <c r="E9" s="14" t="s">
        <v>1657</v>
      </c>
      <c r="F9" s="7" t="s">
        <v>1631</v>
      </c>
    </row>
    <row r="10">
      <c r="A10" s="3" t="s">
        <v>1658</v>
      </c>
      <c r="B10" s="3">
        <v>1.3318082E7</v>
      </c>
      <c r="C10" s="3" t="s">
        <v>24</v>
      </c>
      <c r="D10" s="7" t="s">
        <v>1659</v>
      </c>
      <c r="E10" s="14" t="s">
        <v>1660</v>
      </c>
      <c r="F10" s="7" t="s">
        <v>1639</v>
      </c>
    </row>
    <row r="11">
      <c r="A11" s="3" t="s">
        <v>1661</v>
      </c>
      <c r="B11" s="3">
        <v>1.3318172E7</v>
      </c>
      <c r="C11" s="3" t="s">
        <v>1131</v>
      </c>
      <c r="D11" s="7" t="s">
        <v>1662</v>
      </c>
      <c r="E11" s="14" t="s">
        <v>1663</v>
      </c>
      <c r="F11" s="7" t="s">
        <v>1664</v>
      </c>
    </row>
    <row r="12">
      <c r="A12" s="3" t="s">
        <v>1665</v>
      </c>
      <c r="B12" s="3">
        <v>1.3318134E7</v>
      </c>
      <c r="C12" s="3" t="s">
        <v>231</v>
      </c>
      <c r="D12" s="7" t="s">
        <v>1666</v>
      </c>
      <c r="E12" s="14" t="s">
        <v>1667</v>
      </c>
      <c r="F12" s="7" t="s">
        <v>1668</v>
      </c>
    </row>
    <row r="13">
      <c r="A13" s="3" t="s">
        <v>1669</v>
      </c>
      <c r="B13" s="3">
        <v>1.3315254E7</v>
      </c>
      <c r="C13" s="3" t="s">
        <v>212</v>
      </c>
      <c r="D13" s="7" t="s">
        <v>1670</v>
      </c>
      <c r="E13" s="14" t="s">
        <v>1671</v>
      </c>
      <c r="F13" s="7" t="s">
        <v>1654</v>
      </c>
    </row>
    <row r="14">
      <c r="A14" s="3" t="s">
        <v>1672</v>
      </c>
      <c r="B14" s="3">
        <v>1.3318048E7</v>
      </c>
      <c r="C14" s="3" t="s">
        <v>24</v>
      </c>
      <c r="D14" s="7" t="s">
        <v>1673</v>
      </c>
      <c r="E14" s="14" t="s">
        <v>1674</v>
      </c>
      <c r="F14" s="7" t="s">
        <v>1639</v>
      </c>
    </row>
    <row r="15">
      <c r="A15" s="3" t="s">
        <v>1675</v>
      </c>
      <c r="B15" s="3">
        <v>1.3317734E7</v>
      </c>
      <c r="C15" s="3" t="s">
        <v>372</v>
      </c>
      <c r="D15" s="7" t="s">
        <v>1676</v>
      </c>
      <c r="E15" s="14" t="s">
        <v>1677</v>
      </c>
      <c r="F15" s="7" t="s">
        <v>1678</v>
      </c>
    </row>
    <row r="16">
      <c r="A16" s="3" t="s">
        <v>1679</v>
      </c>
      <c r="B16" s="3">
        <v>1.3317636E7</v>
      </c>
      <c r="C16" s="3" t="s">
        <v>160</v>
      </c>
      <c r="D16" s="7" t="s">
        <v>1680</v>
      </c>
      <c r="E16" s="14" t="s">
        <v>1681</v>
      </c>
      <c r="F16" s="7" t="s">
        <v>1682</v>
      </c>
    </row>
    <row r="17">
      <c r="A17" s="3" t="s">
        <v>1683</v>
      </c>
      <c r="B17" s="3">
        <v>1.3316605E7</v>
      </c>
      <c r="C17" s="3" t="s">
        <v>611</v>
      </c>
      <c r="D17" s="7" t="s">
        <v>1684</v>
      </c>
      <c r="E17" s="14" t="s">
        <v>1685</v>
      </c>
      <c r="F17" s="7" t="s">
        <v>1686</v>
      </c>
    </row>
    <row r="18">
      <c r="A18" s="3" t="s">
        <v>1687</v>
      </c>
      <c r="B18" s="3">
        <v>1.3317278E7</v>
      </c>
      <c r="C18" s="3" t="s">
        <v>654</v>
      </c>
      <c r="D18" s="7" t="s">
        <v>1688</v>
      </c>
      <c r="E18" s="14" t="s">
        <v>1689</v>
      </c>
      <c r="F18" s="7" t="s">
        <v>1690</v>
      </c>
    </row>
    <row r="19">
      <c r="A19" s="3" t="s">
        <v>1691</v>
      </c>
      <c r="B19" s="3">
        <v>1.3318122E7</v>
      </c>
      <c r="C19" s="3" t="s">
        <v>24</v>
      </c>
      <c r="D19" s="7" t="s">
        <v>1692</v>
      </c>
      <c r="E19" s="14" t="s">
        <v>1693</v>
      </c>
      <c r="F19" s="7" t="s">
        <v>1639</v>
      </c>
    </row>
    <row r="20">
      <c r="A20" s="3" t="s">
        <v>1694</v>
      </c>
      <c r="B20" s="3">
        <v>1.3317224E7</v>
      </c>
      <c r="C20" s="3" t="s">
        <v>199</v>
      </c>
      <c r="D20" s="7" t="s">
        <v>1695</v>
      </c>
      <c r="E20" s="14" t="s">
        <v>1696</v>
      </c>
      <c r="F20" s="7" t="s">
        <v>1697</v>
      </c>
    </row>
    <row r="21">
      <c r="A21" s="3" t="s">
        <v>1698</v>
      </c>
      <c r="B21" s="3">
        <v>1.3317638E7</v>
      </c>
      <c r="C21" s="3" t="s">
        <v>160</v>
      </c>
      <c r="D21" s="7" t="s">
        <v>1699</v>
      </c>
      <c r="E21" s="14" t="s">
        <v>1700</v>
      </c>
      <c r="F21" s="7" t="s">
        <v>1682</v>
      </c>
    </row>
    <row r="22">
      <c r="A22" s="3" t="s">
        <v>1701</v>
      </c>
      <c r="B22" s="3">
        <v>1.3315015E7</v>
      </c>
      <c r="C22" s="3" t="s">
        <v>180</v>
      </c>
      <c r="D22" s="7" t="s">
        <v>1702</v>
      </c>
      <c r="E22" s="14" t="s">
        <v>1703</v>
      </c>
      <c r="F22" s="7" t="s">
        <v>1704</v>
      </c>
    </row>
    <row r="23">
      <c r="A23" s="3" t="s">
        <v>1705</v>
      </c>
      <c r="B23" s="3">
        <v>1.3317738E7</v>
      </c>
      <c r="C23" s="3" t="s">
        <v>372</v>
      </c>
      <c r="D23" s="7" t="s">
        <v>1706</v>
      </c>
      <c r="E23" s="14" t="s">
        <v>1707</v>
      </c>
      <c r="F23" s="7" t="s">
        <v>1678</v>
      </c>
    </row>
    <row r="24">
      <c r="A24" s="3" t="s">
        <v>1708</v>
      </c>
      <c r="B24" s="3">
        <v>1.331661E7</v>
      </c>
      <c r="C24" s="3" t="s">
        <v>611</v>
      </c>
      <c r="D24" s="7" t="s">
        <v>1709</v>
      </c>
      <c r="E24" s="14" t="s">
        <v>1710</v>
      </c>
      <c r="F24" s="7" t="s">
        <v>1686</v>
      </c>
    </row>
    <row r="25">
      <c r="A25" s="3" t="s">
        <v>1711</v>
      </c>
      <c r="B25" s="3">
        <v>1.331512E7</v>
      </c>
      <c r="C25" s="3" t="s">
        <v>216</v>
      </c>
      <c r="D25" s="7" t="s">
        <v>1712</v>
      </c>
      <c r="E25" s="14" t="s">
        <v>1713</v>
      </c>
      <c r="F25" s="7" t="s">
        <v>1714</v>
      </c>
    </row>
    <row r="26">
      <c r="A26" s="3" t="s">
        <v>1715</v>
      </c>
      <c r="B26" s="3">
        <v>1.3318466E7</v>
      </c>
      <c r="C26" s="3" t="s">
        <v>142</v>
      </c>
      <c r="D26" s="7" t="s">
        <v>1716</v>
      </c>
      <c r="E26" s="14" t="s">
        <v>1717</v>
      </c>
      <c r="F26" s="7" t="s">
        <v>1718</v>
      </c>
    </row>
    <row r="27">
      <c r="A27" s="3" t="s">
        <v>1719</v>
      </c>
      <c r="B27" s="3">
        <v>1.3318123E7</v>
      </c>
      <c r="C27" s="3" t="s">
        <v>24</v>
      </c>
      <c r="D27" s="7" t="s">
        <v>1720</v>
      </c>
      <c r="E27" s="14" t="s">
        <v>1721</v>
      </c>
      <c r="F27" s="7" t="s">
        <v>1639</v>
      </c>
    </row>
    <row r="28">
      <c r="A28" s="3" t="s">
        <v>1722</v>
      </c>
      <c r="B28" s="3">
        <v>1.331902E7</v>
      </c>
      <c r="C28" s="3" t="s">
        <v>223</v>
      </c>
      <c r="D28" s="7" t="s">
        <v>1723</v>
      </c>
      <c r="E28" s="14" t="s">
        <v>1724</v>
      </c>
      <c r="F28" s="7" t="s">
        <v>1725</v>
      </c>
    </row>
    <row r="29">
      <c r="A29" s="3" t="s">
        <v>1726</v>
      </c>
      <c r="B29" s="3">
        <v>1.3316614E7</v>
      </c>
      <c r="C29" s="3" t="s">
        <v>611</v>
      </c>
      <c r="D29" s="7" t="s">
        <v>1727</v>
      </c>
      <c r="E29" s="14" t="s">
        <v>1728</v>
      </c>
      <c r="F29" s="7" t="s">
        <v>1686</v>
      </c>
    </row>
    <row r="30">
      <c r="A30" s="3" t="s">
        <v>1729</v>
      </c>
      <c r="B30" s="3">
        <v>1.331817E7</v>
      </c>
      <c r="C30" s="3" t="s">
        <v>1131</v>
      </c>
      <c r="D30" s="7" t="s">
        <v>1730</v>
      </c>
      <c r="E30" s="14" t="s">
        <v>1731</v>
      </c>
      <c r="F30" s="7" t="s">
        <v>1664</v>
      </c>
    </row>
    <row r="31">
      <c r="A31" s="3" t="s">
        <v>1732</v>
      </c>
      <c r="B31" s="3">
        <v>1.3318406E7</v>
      </c>
      <c r="C31" s="3" t="s">
        <v>413</v>
      </c>
      <c r="D31" s="7" t="s">
        <v>1733</v>
      </c>
      <c r="E31" s="14" t="s">
        <v>1734</v>
      </c>
      <c r="F31" s="7" t="s">
        <v>1735</v>
      </c>
    </row>
    <row r="32">
      <c r="A32" s="3" t="s">
        <v>1736</v>
      </c>
      <c r="B32" s="3">
        <v>1.3318127E7</v>
      </c>
      <c r="C32" s="3" t="s">
        <v>24</v>
      </c>
      <c r="D32" s="7" t="s">
        <v>1737</v>
      </c>
      <c r="E32" s="14" t="s">
        <v>1738</v>
      </c>
      <c r="F32" s="7" t="s">
        <v>1639</v>
      </c>
    </row>
    <row r="33">
      <c r="A33" s="3" t="s">
        <v>1739</v>
      </c>
      <c r="B33" s="3">
        <v>1.33181E7</v>
      </c>
      <c r="C33" s="3" t="s">
        <v>24</v>
      </c>
      <c r="D33" s="7" t="s">
        <v>1740</v>
      </c>
      <c r="E33" s="14" t="s">
        <v>1741</v>
      </c>
      <c r="F33" s="7" t="s">
        <v>1639</v>
      </c>
    </row>
    <row r="34">
      <c r="A34" s="3" t="s">
        <v>1742</v>
      </c>
      <c r="B34" s="3">
        <v>1.331812E7</v>
      </c>
      <c r="C34" s="3" t="s">
        <v>24</v>
      </c>
      <c r="D34" s="7" t="s">
        <v>1743</v>
      </c>
      <c r="E34" s="14" t="s">
        <v>1744</v>
      </c>
      <c r="F34" s="7" t="s">
        <v>1639</v>
      </c>
    </row>
    <row r="35">
      <c r="A35" s="3" t="s">
        <v>1745</v>
      </c>
      <c r="B35" s="3">
        <v>1.3315176E7</v>
      </c>
      <c r="C35" s="3" t="s">
        <v>973</v>
      </c>
      <c r="D35" s="7" t="s">
        <v>1746</v>
      </c>
      <c r="E35" s="14" t="s">
        <v>1747</v>
      </c>
      <c r="F35" s="7" t="s">
        <v>1748</v>
      </c>
    </row>
    <row r="36">
      <c r="A36" s="3" t="s">
        <v>1749</v>
      </c>
      <c r="B36" s="3">
        <v>1.33167E7</v>
      </c>
      <c r="C36" s="3" t="s">
        <v>368</v>
      </c>
      <c r="D36" s="7" t="s">
        <v>1750</v>
      </c>
      <c r="E36" s="14" t="s">
        <v>1751</v>
      </c>
      <c r="F36" s="7" t="s">
        <v>1631</v>
      </c>
    </row>
    <row r="37">
      <c r="A37" s="3" t="s">
        <v>1752</v>
      </c>
      <c r="B37" s="3">
        <v>1.3315188E7</v>
      </c>
      <c r="C37" s="3" t="s">
        <v>476</v>
      </c>
      <c r="D37" s="7" t="s">
        <v>1753</v>
      </c>
      <c r="E37" s="14" t="s">
        <v>1754</v>
      </c>
      <c r="F37" s="7" t="s">
        <v>1650</v>
      </c>
    </row>
    <row r="38">
      <c r="A38" s="3" t="s">
        <v>1755</v>
      </c>
      <c r="B38" s="3">
        <v>1.331778E7</v>
      </c>
      <c r="C38" s="3" t="s">
        <v>193</v>
      </c>
      <c r="D38" s="7" t="s">
        <v>1756</v>
      </c>
      <c r="E38" s="14" t="s">
        <v>1757</v>
      </c>
      <c r="F38" s="7" t="s">
        <v>1758</v>
      </c>
    </row>
    <row r="39">
      <c r="A39" s="3" t="s">
        <v>1759</v>
      </c>
      <c r="B39" s="3">
        <v>1.3315102E7</v>
      </c>
      <c r="C39" s="3" t="s">
        <v>216</v>
      </c>
      <c r="D39" s="7" t="s">
        <v>1760</v>
      </c>
      <c r="E39" s="14" t="s">
        <v>1761</v>
      </c>
      <c r="F39" s="7" t="s">
        <v>1714</v>
      </c>
    </row>
    <row r="40">
      <c r="A40" s="3" t="s">
        <v>1762</v>
      </c>
      <c r="B40" s="3">
        <v>1.3317728E7</v>
      </c>
      <c r="C40" s="3" t="s">
        <v>372</v>
      </c>
      <c r="D40" s="7" t="s">
        <v>1763</v>
      </c>
      <c r="E40" s="14" t="s">
        <v>1764</v>
      </c>
      <c r="F40" s="7" t="s">
        <v>1678</v>
      </c>
    </row>
    <row r="41">
      <c r="A41" s="3" t="s">
        <v>1765</v>
      </c>
      <c r="B41" s="3">
        <v>1.3315088E7</v>
      </c>
      <c r="C41" s="3" t="s">
        <v>1766</v>
      </c>
      <c r="D41" s="7" t="s">
        <v>1767</v>
      </c>
      <c r="E41" s="14" t="s">
        <v>1768</v>
      </c>
      <c r="F41" s="7" t="s">
        <v>1769</v>
      </c>
    </row>
    <row r="42">
      <c r="A42" s="3" t="s">
        <v>1770</v>
      </c>
      <c r="B42" s="3">
        <v>1.33176E7</v>
      </c>
      <c r="C42" s="3" t="s">
        <v>505</v>
      </c>
      <c r="D42" s="7" t="s">
        <v>1771</v>
      </c>
      <c r="E42" s="14" t="s">
        <v>1772</v>
      </c>
      <c r="F42" s="7" t="s">
        <v>1773</v>
      </c>
    </row>
    <row r="43">
      <c r="A43" s="3" t="s">
        <v>1774</v>
      </c>
      <c r="B43" s="3">
        <v>1.3318244E7</v>
      </c>
      <c r="C43" s="3" t="s">
        <v>149</v>
      </c>
      <c r="D43" s="7" t="s">
        <v>1775</v>
      </c>
      <c r="E43" s="14" t="s">
        <v>1776</v>
      </c>
      <c r="F43" s="7" t="s">
        <v>1777</v>
      </c>
    </row>
    <row r="44">
      <c r="A44" s="3" t="s">
        <v>1778</v>
      </c>
      <c r="B44" s="3">
        <v>1.3315007E7</v>
      </c>
      <c r="C44" s="3" t="s">
        <v>180</v>
      </c>
      <c r="D44" s="7" t="s">
        <v>1779</v>
      </c>
      <c r="E44" s="14" t="s">
        <v>1780</v>
      </c>
      <c r="F44" s="7" t="s">
        <v>1704</v>
      </c>
    </row>
    <row r="45">
      <c r="A45" s="3" t="s">
        <v>1781</v>
      </c>
      <c r="B45" s="3">
        <v>1.3317712E7</v>
      </c>
      <c r="C45" s="3" t="s">
        <v>372</v>
      </c>
      <c r="D45" s="7" t="s">
        <v>1782</v>
      </c>
      <c r="E45" s="14" t="s">
        <v>1783</v>
      </c>
      <c r="F45" s="7" t="s">
        <v>1678</v>
      </c>
    </row>
    <row r="46">
      <c r="A46" s="3" t="s">
        <v>1784</v>
      </c>
      <c r="B46" s="3">
        <v>1.3317622E7</v>
      </c>
      <c r="C46" s="3" t="s">
        <v>160</v>
      </c>
      <c r="D46" s="7" t="s">
        <v>1785</v>
      </c>
      <c r="E46" s="14" t="s">
        <v>1786</v>
      </c>
      <c r="F46" s="7" t="s">
        <v>1682</v>
      </c>
    </row>
    <row r="47">
      <c r="A47" s="3" t="s">
        <v>1787</v>
      </c>
      <c r="B47" s="3">
        <v>1.3317716E7</v>
      </c>
      <c r="C47" s="3" t="s">
        <v>372</v>
      </c>
      <c r="D47" s="7" t="s">
        <v>1788</v>
      </c>
      <c r="E47" s="14" t="s">
        <v>1789</v>
      </c>
      <c r="F47" s="7" t="s">
        <v>1678</v>
      </c>
    </row>
    <row r="48">
      <c r="A48" s="3" t="s">
        <v>1790</v>
      </c>
      <c r="B48" s="3">
        <v>1.3319034E7</v>
      </c>
      <c r="C48" s="3" t="s">
        <v>223</v>
      </c>
      <c r="D48" s="7" t="s">
        <v>1791</v>
      </c>
      <c r="E48" s="14" t="s">
        <v>1792</v>
      </c>
      <c r="F48" s="7" t="s">
        <v>1725</v>
      </c>
    </row>
    <row r="49">
      <c r="A49" s="3" t="s">
        <v>1793</v>
      </c>
      <c r="B49" s="3">
        <v>1.3318258E7</v>
      </c>
      <c r="C49" s="3" t="s">
        <v>153</v>
      </c>
      <c r="D49" s="7" t="s">
        <v>1794</v>
      </c>
      <c r="E49" s="14" t="s">
        <v>1795</v>
      </c>
      <c r="F49" s="7" t="s">
        <v>1796</v>
      </c>
    </row>
    <row r="50">
      <c r="A50" s="3" t="s">
        <v>1797</v>
      </c>
      <c r="B50" s="3">
        <v>1.3317674E7</v>
      </c>
      <c r="C50" s="3" t="s">
        <v>160</v>
      </c>
      <c r="D50" s="7" t="s">
        <v>1798</v>
      </c>
      <c r="E50" s="14" t="s">
        <v>1799</v>
      </c>
      <c r="F50" s="7" t="s">
        <v>1682</v>
      </c>
    </row>
    <row r="51">
      <c r="A51" s="3" t="s">
        <v>1800</v>
      </c>
      <c r="B51" s="3">
        <v>1.3315114E7</v>
      </c>
      <c r="C51" s="3" t="s">
        <v>216</v>
      </c>
      <c r="D51" s="7" t="s">
        <v>1801</v>
      </c>
      <c r="E51" s="14" t="s">
        <v>1802</v>
      </c>
      <c r="F51" s="7" t="s">
        <v>1714</v>
      </c>
    </row>
    <row r="52">
      <c r="A52" s="3" t="s">
        <v>1803</v>
      </c>
      <c r="B52" s="3">
        <v>1.3317698E7</v>
      </c>
      <c r="C52" s="3" t="s">
        <v>160</v>
      </c>
      <c r="D52" s="7" t="s">
        <v>1804</v>
      </c>
      <c r="E52" s="14" t="s">
        <v>1805</v>
      </c>
      <c r="F52" s="7" t="s">
        <v>1682</v>
      </c>
    </row>
    <row r="53">
      <c r="A53" s="3" t="s">
        <v>1806</v>
      </c>
      <c r="B53" s="3">
        <v>1.3318125E7</v>
      </c>
      <c r="C53" s="3" t="s">
        <v>24</v>
      </c>
      <c r="D53" s="7" t="s">
        <v>1807</v>
      </c>
      <c r="E53" s="14" t="s">
        <v>1808</v>
      </c>
      <c r="F53" s="7" t="s">
        <v>1639</v>
      </c>
    </row>
    <row r="54">
      <c r="A54" s="3" t="s">
        <v>1809</v>
      </c>
      <c r="B54" s="3">
        <v>1.3316602E7</v>
      </c>
      <c r="C54" s="3" t="s">
        <v>611</v>
      </c>
      <c r="D54" s="7" t="s">
        <v>1810</v>
      </c>
      <c r="E54" s="14" t="s">
        <v>1811</v>
      </c>
      <c r="F54" s="7" t="s">
        <v>1686</v>
      </c>
    </row>
    <row r="55">
      <c r="A55" s="3" t="s">
        <v>1812</v>
      </c>
      <c r="B55" s="3">
        <v>1.3316711E7</v>
      </c>
      <c r="C55" s="3" t="s">
        <v>368</v>
      </c>
      <c r="D55" s="7" t="s">
        <v>1813</v>
      </c>
      <c r="E55" s="14" t="s">
        <v>1814</v>
      </c>
      <c r="F55" s="7" t="s">
        <v>1631</v>
      </c>
    </row>
    <row r="56">
      <c r="A56" s="3" t="s">
        <v>1815</v>
      </c>
      <c r="B56" s="3">
        <v>1.331764E7</v>
      </c>
      <c r="C56" s="3" t="s">
        <v>160</v>
      </c>
      <c r="D56" s="7" t="s">
        <v>1816</v>
      </c>
      <c r="E56" s="14" t="s">
        <v>1817</v>
      </c>
      <c r="F56" s="7" t="s">
        <v>1682</v>
      </c>
    </row>
    <row r="57">
      <c r="A57" s="3" t="s">
        <v>1818</v>
      </c>
      <c r="B57" s="3">
        <v>1.331526E7</v>
      </c>
      <c r="C57" s="3" t="s">
        <v>212</v>
      </c>
      <c r="D57" s="7" t="s">
        <v>1819</v>
      </c>
      <c r="E57" s="14" t="s">
        <v>1820</v>
      </c>
      <c r="F57" s="7" t="s">
        <v>1654</v>
      </c>
    </row>
    <row r="58">
      <c r="A58" s="3" t="s">
        <v>1821</v>
      </c>
      <c r="B58" s="3">
        <v>1.3316706E7</v>
      </c>
      <c r="C58" s="3" t="s">
        <v>368</v>
      </c>
      <c r="D58" s="7" t="s">
        <v>1822</v>
      </c>
      <c r="E58" s="14" t="s">
        <v>1823</v>
      </c>
      <c r="F58" s="7" t="s">
        <v>1631</v>
      </c>
    </row>
    <row r="59">
      <c r="A59" s="3" t="s">
        <v>1824</v>
      </c>
      <c r="B59" s="3">
        <v>1.3315033E7</v>
      </c>
      <c r="C59" s="3" t="s">
        <v>180</v>
      </c>
      <c r="D59" s="7" t="s">
        <v>1825</v>
      </c>
      <c r="E59" s="14" t="s">
        <v>1826</v>
      </c>
      <c r="F59" s="7" t="s">
        <v>1704</v>
      </c>
    </row>
    <row r="60">
      <c r="A60" s="3" t="s">
        <v>1827</v>
      </c>
      <c r="B60" s="3">
        <v>1.3318086E7</v>
      </c>
      <c r="C60" s="3" t="s">
        <v>24</v>
      </c>
      <c r="D60" s="7" t="s">
        <v>1828</v>
      </c>
      <c r="E60" s="14" t="s">
        <v>1829</v>
      </c>
      <c r="F60" s="7" t="s">
        <v>1639</v>
      </c>
    </row>
    <row r="61">
      <c r="A61" s="3" t="s">
        <v>1830</v>
      </c>
      <c r="B61" s="3">
        <v>1.3315086E7</v>
      </c>
      <c r="C61" s="3" t="s">
        <v>1831</v>
      </c>
      <c r="D61" s="7" t="s">
        <v>1832</v>
      </c>
      <c r="E61" s="14" t="s">
        <v>1833</v>
      </c>
      <c r="F61" s="7" t="s">
        <v>1834</v>
      </c>
    </row>
    <row r="62">
      <c r="A62" s="3" t="s">
        <v>1835</v>
      </c>
      <c r="B62" s="3">
        <v>1.331515E7</v>
      </c>
      <c r="C62" s="3" t="s">
        <v>456</v>
      </c>
      <c r="D62" s="7" t="s">
        <v>1836</v>
      </c>
      <c r="E62" s="14" t="s">
        <v>1837</v>
      </c>
      <c r="F62" s="7" t="s">
        <v>1838</v>
      </c>
    </row>
    <row r="63">
      <c r="A63" s="3" t="s">
        <v>1839</v>
      </c>
      <c r="B63" s="3">
        <v>1.3317661E7</v>
      </c>
      <c r="C63" s="3" t="s">
        <v>160</v>
      </c>
      <c r="D63" s="7" t="s">
        <v>1840</v>
      </c>
      <c r="E63" s="14" t="s">
        <v>1841</v>
      </c>
      <c r="F63" s="7" t="s">
        <v>1682</v>
      </c>
    </row>
    <row r="64">
      <c r="A64" s="3" t="s">
        <v>1842</v>
      </c>
      <c r="B64" s="3">
        <v>1.3318408E7</v>
      </c>
      <c r="C64" s="3" t="s">
        <v>413</v>
      </c>
      <c r="D64" s="7" t="s">
        <v>1843</v>
      </c>
      <c r="E64" s="14" t="s">
        <v>1844</v>
      </c>
      <c r="F64" s="7" t="s">
        <v>1735</v>
      </c>
    </row>
    <row r="65">
      <c r="A65" s="3" t="s">
        <v>1845</v>
      </c>
      <c r="B65" s="3">
        <v>1.3318444E7</v>
      </c>
      <c r="C65" s="3" t="s">
        <v>142</v>
      </c>
      <c r="D65" s="7" t="s">
        <v>1846</v>
      </c>
      <c r="E65" s="14" t="s">
        <v>1847</v>
      </c>
      <c r="F65" s="7" t="s">
        <v>1718</v>
      </c>
    </row>
    <row r="66">
      <c r="A66" s="3" t="s">
        <v>1848</v>
      </c>
      <c r="B66" s="3">
        <v>1.331813E7</v>
      </c>
      <c r="C66" s="3" t="s">
        <v>231</v>
      </c>
      <c r="D66" s="7" t="s">
        <v>1849</v>
      </c>
      <c r="E66" s="14" t="s">
        <v>1850</v>
      </c>
      <c r="F66" s="7" t="s">
        <v>1668</v>
      </c>
    </row>
    <row r="67">
      <c r="A67" s="3" t="s">
        <v>1851</v>
      </c>
      <c r="B67" s="3">
        <v>1.3318072E7</v>
      </c>
      <c r="C67" s="3" t="s">
        <v>24</v>
      </c>
      <c r="D67" s="7" t="s">
        <v>1852</v>
      </c>
      <c r="E67" s="14" t="s">
        <v>1853</v>
      </c>
      <c r="F67" s="7" t="s">
        <v>1639</v>
      </c>
    </row>
    <row r="68">
      <c r="A68" s="3" t="s">
        <v>1854</v>
      </c>
      <c r="B68" s="3">
        <v>1.3315152E7</v>
      </c>
      <c r="C68" s="3" t="s">
        <v>456</v>
      </c>
      <c r="D68" s="7" t="s">
        <v>1855</v>
      </c>
      <c r="E68" s="14" t="s">
        <v>1856</v>
      </c>
      <c r="F68" s="7" t="s">
        <v>1838</v>
      </c>
    </row>
    <row r="69">
      <c r="A69" s="3" t="s">
        <v>1857</v>
      </c>
      <c r="B69" s="3">
        <v>1.3316703E7</v>
      </c>
      <c r="C69" s="3" t="s">
        <v>368</v>
      </c>
      <c r="D69" s="7" t="s">
        <v>1858</v>
      </c>
      <c r="E69" s="14" t="s">
        <v>1859</v>
      </c>
      <c r="F69" s="7" t="s">
        <v>1631</v>
      </c>
    </row>
    <row r="70">
      <c r="A70" s="3" t="s">
        <v>1860</v>
      </c>
      <c r="B70" s="3">
        <v>1.3317664E7</v>
      </c>
      <c r="C70" s="3" t="s">
        <v>160</v>
      </c>
      <c r="D70" s="7" t="s">
        <v>1861</v>
      </c>
      <c r="E70" s="14" t="s">
        <v>1862</v>
      </c>
      <c r="F70" s="7" t="s">
        <v>1682</v>
      </c>
    </row>
    <row r="71">
      <c r="A71" s="3" t="s">
        <v>1863</v>
      </c>
      <c r="B71" s="3">
        <v>1.3316804E7</v>
      </c>
      <c r="C71" s="3" t="s">
        <v>164</v>
      </c>
      <c r="D71" s="7" t="s">
        <v>1864</v>
      </c>
      <c r="E71" s="14" t="s">
        <v>1865</v>
      </c>
      <c r="F71" s="7" t="s">
        <v>1866</v>
      </c>
    </row>
    <row r="72">
      <c r="A72" s="3" t="s">
        <v>1867</v>
      </c>
      <c r="B72" s="3">
        <v>1.3315268E7</v>
      </c>
      <c r="C72" s="3" t="s">
        <v>212</v>
      </c>
      <c r="D72" s="7" t="s">
        <v>1868</v>
      </c>
      <c r="E72" s="14" t="s">
        <v>1869</v>
      </c>
      <c r="F72" s="7" t="s">
        <v>1654</v>
      </c>
    </row>
    <row r="73">
      <c r="A73" s="3" t="s">
        <v>1870</v>
      </c>
      <c r="B73" s="3">
        <v>1.331752E7</v>
      </c>
      <c r="C73" s="3" t="s">
        <v>394</v>
      </c>
      <c r="D73" s="7" t="s">
        <v>1871</v>
      </c>
      <c r="E73" s="14" t="s">
        <v>1872</v>
      </c>
      <c r="F73" s="7" t="s">
        <v>1873</v>
      </c>
    </row>
    <row r="74">
      <c r="A74" s="3" t="s">
        <v>1874</v>
      </c>
      <c r="B74" s="3">
        <v>1.3318264E7</v>
      </c>
      <c r="C74" s="3" t="s">
        <v>153</v>
      </c>
      <c r="D74" s="7" t="s">
        <v>1875</v>
      </c>
      <c r="E74" s="14" t="s">
        <v>1876</v>
      </c>
      <c r="F74" s="7" t="s">
        <v>1796</v>
      </c>
    </row>
    <row r="75">
      <c r="A75" s="3" t="s">
        <v>1877</v>
      </c>
      <c r="B75" s="3">
        <v>1.3318176E7</v>
      </c>
      <c r="C75" s="3" t="s">
        <v>1131</v>
      </c>
      <c r="D75" s="7" t="s">
        <v>1878</v>
      </c>
      <c r="E75" s="14" t="s">
        <v>1879</v>
      </c>
      <c r="F75" s="7" t="s">
        <v>1664</v>
      </c>
    </row>
    <row r="76">
      <c r="A76" s="3" t="s">
        <v>1880</v>
      </c>
      <c r="B76" s="3">
        <v>1.3315013E7</v>
      </c>
      <c r="C76" s="3" t="s">
        <v>180</v>
      </c>
      <c r="D76" s="7" t="s">
        <v>1881</v>
      </c>
      <c r="E76" s="14" t="s">
        <v>1882</v>
      </c>
      <c r="F76" s="7" t="s">
        <v>1704</v>
      </c>
    </row>
    <row r="77">
      <c r="A77" s="3" t="s">
        <v>1883</v>
      </c>
      <c r="B77" s="3">
        <v>1.331825E7</v>
      </c>
      <c r="C77" s="3" t="s">
        <v>24</v>
      </c>
      <c r="D77" s="7" t="s">
        <v>1884</v>
      </c>
      <c r="E77" s="14" t="s">
        <v>1885</v>
      </c>
      <c r="F77" s="7" t="s">
        <v>1639</v>
      </c>
    </row>
    <row r="78">
      <c r="A78" s="3" t="s">
        <v>1886</v>
      </c>
      <c r="B78" s="3">
        <v>1.3317736E7</v>
      </c>
      <c r="C78" s="3" t="s">
        <v>372</v>
      </c>
      <c r="D78" s="7" t="s">
        <v>1887</v>
      </c>
      <c r="E78" s="14" t="s">
        <v>1888</v>
      </c>
      <c r="F78" s="7" t="s">
        <v>1678</v>
      </c>
    </row>
    <row r="79">
      <c r="A79" s="3" t="s">
        <v>1889</v>
      </c>
      <c r="B79" s="3">
        <v>1.3315017E7</v>
      </c>
      <c r="C79" s="3" t="s">
        <v>180</v>
      </c>
      <c r="D79" s="7" t="s">
        <v>1890</v>
      </c>
      <c r="E79" s="14" t="s">
        <v>1891</v>
      </c>
      <c r="F79" s="7" t="s">
        <v>1704</v>
      </c>
    </row>
    <row r="80">
      <c r="A80" s="3" t="s">
        <v>1892</v>
      </c>
      <c r="B80" s="3">
        <v>1.3317722E7</v>
      </c>
      <c r="C80" s="3" t="s">
        <v>372</v>
      </c>
      <c r="D80" s="7" t="s">
        <v>1893</v>
      </c>
      <c r="E80" s="14" t="s">
        <v>1894</v>
      </c>
      <c r="F80" s="7" t="s">
        <v>1678</v>
      </c>
    </row>
    <row r="81">
      <c r="A81" s="3" t="s">
        <v>1895</v>
      </c>
      <c r="B81" s="3">
        <v>1.3317764E7</v>
      </c>
      <c r="C81" s="3" t="s">
        <v>190</v>
      </c>
      <c r="D81" s="7" t="s">
        <v>1896</v>
      </c>
      <c r="E81" s="14" t="s">
        <v>1897</v>
      </c>
      <c r="F81" s="7" t="s">
        <v>1898</v>
      </c>
    </row>
    <row r="82">
      <c r="A82" s="3" t="s">
        <v>1899</v>
      </c>
      <c r="B82" s="3">
        <v>1.3318148E7</v>
      </c>
      <c r="C82" s="3" t="s">
        <v>573</v>
      </c>
      <c r="D82" s="7" t="s">
        <v>1900</v>
      </c>
      <c r="E82" s="14" t="s">
        <v>1901</v>
      </c>
      <c r="F82" s="7" t="s">
        <v>1902</v>
      </c>
    </row>
    <row r="83">
      <c r="A83" s="3" t="s">
        <v>1903</v>
      </c>
      <c r="B83" s="3">
        <v>1.33184E7</v>
      </c>
      <c r="C83" s="3" t="s">
        <v>413</v>
      </c>
      <c r="D83" s="7" t="s">
        <v>1904</v>
      </c>
      <c r="E83" s="14" t="s">
        <v>1905</v>
      </c>
      <c r="F83" s="7" t="s">
        <v>1735</v>
      </c>
    </row>
    <row r="84">
      <c r="A84" s="3" t="s">
        <v>1906</v>
      </c>
      <c r="B84" s="3">
        <v>1.3319008E7</v>
      </c>
      <c r="C84" s="3" t="s">
        <v>223</v>
      </c>
      <c r="D84" s="7" t="s">
        <v>1907</v>
      </c>
      <c r="E84" s="14" t="s">
        <v>1908</v>
      </c>
      <c r="F84" s="7" t="s">
        <v>1725</v>
      </c>
    </row>
    <row r="85">
      <c r="A85" s="3" t="s">
        <v>1909</v>
      </c>
      <c r="B85" s="3">
        <v>1.3318064E7</v>
      </c>
      <c r="C85" s="3" t="s">
        <v>24</v>
      </c>
      <c r="D85" s="7" t="s">
        <v>1910</v>
      </c>
      <c r="E85" s="14" t="s">
        <v>1911</v>
      </c>
      <c r="F85" s="7" t="s">
        <v>1639</v>
      </c>
    </row>
    <row r="86">
      <c r="A86" s="3" t="s">
        <v>1912</v>
      </c>
      <c r="B86" s="3">
        <v>1.3317104E7</v>
      </c>
      <c r="C86" s="3" t="s">
        <v>20</v>
      </c>
      <c r="D86" s="7" t="s">
        <v>1913</v>
      </c>
      <c r="E86" s="14" t="s">
        <v>1914</v>
      </c>
      <c r="F86" s="7" t="s">
        <v>1643</v>
      </c>
    </row>
    <row r="87">
      <c r="A87" s="3" t="s">
        <v>1915</v>
      </c>
      <c r="B87" s="3">
        <v>1.3315266E7</v>
      </c>
      <c r="C87" s="3" t="s">
        <v>212</v>
      </c>
      <c r="D87" s="7" t="s">
        <v>1916</v>
      </c>
      <c r="E87" s="14" t="s">
        <v>1917</v>
      </c>
      <c r="F87" s="7" t="s">
        <v>1654</v>
      </c>
    </row>
    <row r="88">
      <c r="A88" s="3" t="s">
        <v>1918</v>
      </c>
      <c r="B88" s="3">
        <v>1.331671E7</v>
      </c>
      <c r="C88" s="3" t="s">
        <v>368</v>
      </c>
      <c r="D88" s="7" t="s">
        <v>1919</v>
      </c>
      <c r="E88" s="14" t="s">
        <v>1920</v>
      </c>
      <c r="F88" s="7" t="s">
        <v>1631</v>
      </c>
    </row>
    <row r="89">
      <c r="A89" s="3" t="s">
        <v>1921</v>
      </c>
      <c r="B89" s="3">
        <v>1.331846E7</v>
      </c>
      <c r="C89" s="3" t="s">
        <v>142</v>
      </c>
      <c r="D89" s="7" t="s">
        <v>1922</v>
      </c>
      <c r="E89" s="14" t="s">
        <v>1923</v>
      </c>
      <c r="F89" s="7" t="s">
        <v>1718</v>
      </c>
    </row>
    <row r="90">
      <c r="A90" s="3" t="s">
        <v>1924</v>
      </c>
      <c r="B90" s="3">
        <v>1.3315282E7</v>
      </c>
      <c r="C90" s="3" t="s">
        <v>212</v>
      </c>
      <c r="D90" s="7" t="s">
        <v>1925</v>
      </c>
      <c r="E90" s="14" t="s">
        <v>1926</v>
      </c>
      <c r="F90" s="7" t="s">
        <v>1654</v>
      </c>
    </row>
    <row r="91">
      <c r="A91" s="3" t="s">
        <v>1927</v>
      </c>
      <c r="B91" s="3">
        <v>1.3317756E7</v>
      </c>
      <c r="C91" s="3" t="s">
        <v>190</v>
      </c>
      <c r="D91" s="7" t="s">
        <v>1928</v>
      </c>
      <c r="E91" s="14" t="s">
        <v>1929</v>
      </c>
      <c r="F91" s="7" t="s">
        <v>1898</v>
      </c>
    </row>
    <row r="92">
      <c r="A92" s="3" t="s">
        <v>1930</v>
      </c>
      <c r="B92" s="3">
        <v>1.3317678E7</v>
      </c>
      <c r="C92" s="3" t="s">
        <v>160</v>
      </c>
      <c r="D92" s="7" t="s">
        <v>1931</v>
      </c>
      <c r="E92" s="14" t="s">
        <v>1932</v>
      </c>
      <c r="F92" s="7" t="s">
        <v>1682</v>
      </c>
    </row>
    <row r="93">
      <c r="A93" s="3" t="s">
        <v>1933</v>
      </c>
      <c r="B93" s="3">
        <v>1.3316609E7</v>
      </c>
      <c r="C93" s="3" t="s">
        <v>611</v>
      </c>
      <c r="D93" s="7" t="s">
        <v>1934</v>
      </c>
      <c r="E93" s="14" t="s">
        <v>1935</v>
      </c>
      <c r="F93" s="7" t="s">
        <v>1686</v>
      </c>
    </row>
    <row r="94">
      <c r="A94" s="3" t="s">
        <v>1936</v>
      </c>
      <c r="B94" s="3">
        <v>1.331509E7</v>
      </c>
      <c r="C94" s="3" t="s">
        <v>1766</v>
      </c>
      <c r="D94" s="7" t="s">
        <v>1937</v>
      </c>
      <c r="E94" s="14" t="s">
        <v>1938</v>
      </c>
      <c r="F94" s="7" t="s">
        <v>1769</v>
      </c>
    </row>
    <row r="95">
      <c r="A95" s="3" t="s">
        <v>1939</v>
      </c>
      <c r="B95" s="3">
        <v>1.3317694E7</v>
      </c>
      <c r="C95" s="3" t="s">
        <v>160</v>
      </c>
      <c r="D95" s="7" t="s">
        <v>1940</v>
      </c>
      <c r="E95" s="14" t="s">
        <v>1941</v>
      </c>
      <c r="F95" s="7" t="s">
        <v>1682</v>
      </c>
    </row>
    <row r="96">
      <c r="A96" s="3" t="s">
        <v>1942</v>
      </c>
      <c r="B96" s="3">
        <v>1.3317214E7</v>
      </c>
      <c r="C96" s="3" t="s">
        <v>132</v>
      </c>
      <c r="D96" s="7" t="s">
        <v>1943</v>
      </c>
      <c r="E96" s="14" t="s">
        <v>1944</v>
      </c>
      <c r="F96" s="7" t="s">
        <v>1945</v>
      </c>
    </row>
    <row r="97">
      <c r="A97" s="3" t="s">
        <v>1946</v>
      </c>
      <c r="B97" s="3">
        <v>1.3317516E7</v>
      </c>
      <c r="C97" s="3" t="s">
        <v>394</v>
      </c>
      <c r="D97" s="7" t="s">
        <v>1947</v>
      </c>
      <c r="E97" s="14" t="s">
        <v>1948</v>
      </c>
      <c r="F97" s="7" t="s">
        <v>1873</v>
      </c>
    </row>
    <row r="98">
      <c r="A98" s="3" t="s">
        <v>1949</v>
      </c>
      <c r="B98" s="3">
        <v>1.3318098E7</v>
      </c>
      <c r="C98" s="3" t="s">
        <v>24</v>
      </c>
      <c r="D98" s="7" t="s">
        <v>1950</v>
      </c>
      <c r="E98" s="14" t="s">
        <v>1951</v>
      </c>
      <c r="F98" s="7" t="s">
        <v>1639</v>
      </c>
    </row>
    <row r="99">
      <c r="A99" s="3" t="s">
        <v>1952</v>
      </c>
      <c r="B99" s="3">
        <v>1.3318152E7</v>
      </c>
      <c r="C99" s="3" t="s">
        <v>231</v>
      </c>
      <c r="D99" s="7" t="s">
        <v>1953</v>
      </c>
      <c r="E99" s="14" t="s">
        <v>1954</v>
      </c>
      <c r="F99" s="7" t="s">
        <v>1668</v>
      </c>
    </row>
    <row r="100">
      <c r="A100" s="3" t="s">
        <v>1955</v>
      </c>
      <c r="B100" s="3">
        <v>1.3317858E7</v>
      </c>
      <c r="C100" s="3" t="s">
        <v>226</v>
      </c>
      <c r="D100" s="7" t="s">
        <v>1956</v>
      </c>
      <c r="E100" s="14" t="s">
        <v>1957</v>
      </c>
      <c r="F100" s="7" t="s">
        <v>1958</v>
      </c>
    </row>
    <row r="101">
      <c r="A101" s="3" t="s">
        <v>1959</v>
      </c>
      <c r="B101" s="3">
        <v>1.3317626E7</v>
      </c>
      <c r="C101" s="3" t="s">
        <v>160</v>
      </c>
      <c r="D101" s="7" t="s">
        <v>1960</v>
      </c>
      <c r="E101" s="14" t="s">
        <v>1961</v>
      </c>
      <c r="F101" s="7" t="s">
        <v>1682</v>
      </c>
    </row>
    <row r="102">
      <c r="A102" s="3" t="s">
        <v>1962</v>
      </c>
      <c r="B102" s="3">
        <v>1.3317676E7</v>
      </c>
      <c r="C102" s="3" t="s">
        <v>160</v>
      </c>
      <c r="D102" s="7" t="s">
        <v>1963</v>
      </c>
      <c r="E102" s="14" t="s">
        <v>1964</v>
      </c>
      <c r="F102" s="7" t="s">
        <v>1682</v>
      </c>
    </row>
    <row r="103">
      <c r="A103" s="3" t="s">
        <v>1965</v>
      </c>
      <c r="B103" s="3">
        <v>1.3318454E7</v>
      </c>
      <c r="C103" s="3" t="s">
        <v>142</v>
      </c>
      <c r="D103" s="7" t="s">
        <v>1966</v>
      </c>
      <c r="E103" s="14" t="s">
        <v>1967</v>
      </c>
      <c r="F103" s="7" t="s">
        <v>1718</v>
      </c>
    </row>
    <row r="104">
      <c r="A104" s="3" t="s">
        <v>1968</v>
      </c>
      <c r="B104" s="3">
        <v>1.331828E7</v>
      </c>
      <c r="C104" s="3" t="s">
        <v>24</v>
      </c>
      <c r="D104" s="7" t="s">
        <v>1969</v>
      </c>
      <c r="E104" s="14" t="s">
        <v>1970</v>
      </c>
      <c r="F104" s="7" t="s">
        <v>1639</v>
      </c>
    </row>
    <row r="105">
      <c r="A105" s="3" t="s">
        <v>1971</v>
      </c>
      <c r="B105" s="3">
        <v>1.3315104E7</v>
      </c>
      <c r="C105" s="3" t="s">
        <v>216</v>
      </c>
      <c r="D105" s="7" t="s">
        <v>1972</v>
      </c>
      <c r="E105" s="14" t="s">
        <v>1973</v>
      </c>
      <c r="F105" s="7" t="s">
        <v>1714</v>
      </c>
    </row>
    <row r="106">
      <c r="A106" s="3" t="s">
        <v>1974</v>
      </c>
      <c r="B106" s="3">
        <v>1.3318242E7</v>
      </c>
      <c r="C106" s="3" t="s">
        <v>149</v>
      </c>
      <c r="D106" s="7" t="s">
        <v>1975</v>
      </c>
      <c r="E106" s="14" t="s">
        <v>1976</v>
      </c>
      <c r="F106" s="7" t="s">
        <v>1777</v>
      </c>
    </row>
    <row r="107">
      <c r="A107" s="3" t="s">
        <v>1977</v>
      </c>
      <c r="B107" s="3">
        <v>1.331721E7</v>
      </c>
      <c r="C107" s="3" t="s">
        <v>132</v>
      </c>
      <c r="D107" s="7" t="s">
        <v>1978</v>
      </c>
      <c r="E107" s="14" t="s">
        <v>1979</v>
      </c>
      <c r="F107" s="7" t="s">
        <v>1945</v>
      </c>
    </row>
    <row r="108">
      <c r="A108" s="3" t="s">
        <v>1980</v>
      </c>
      <c r="B108" s="3">
        <v>1.331802E7</v>
      </c>
      <c r="C108" s="3" t="s">
        <v>24</v>
      </c>
      <c r="D108" s="7" t="s">
        <v>1981</v>
      </c>
      <c r="E108" s="14" t="s">
        <v>1982</v>
      </c>
      <c r="F108" s="7" t="s">
        <v>1639</v>
      </c>
    </row>
    <row r="109">
      <c r="A109" s="3" t="s">
        <v>1983</v>
      </c>
      <c r="B109" s="3">
        <v>1.3318118E7</v>
      </c>
      <c r="C109" s="3" t="s">
        <v>24</v>
      </c>
      <c r="D109" s="7" t="s">
        <v>1984</v>
      </c>
      <c r="E109" s="14" t="s">
        <v>1985</v>
      </c>
      <c r="F109" s="7" t="s">
        <v>1639</v>
      </c>
    </row>
    <row r="110">
      <c r="A110" s="3" t="s">
        <v>1986</v>
      </c>
      <c r="B110" s="3">
        <v>1.3315023E7</v>
      </c>
      <c r="C110" s="3" t="s">
        <v>180</v>
      </c>
      <c r="D110" s="7" t="s">
        <v>1987</v>
      </c>
      <c r="E110" s="14" t="s">
        <v>1988</v>
      </c>
      <c r="F110" s="7" t="s">
        <v>1704</v>
      </c>
    </row>
    <row r="111">
      <c r="A111" s="3" t="s">
        <v>1989</v>
      </c>
      <c r="B111" s="3">
        <v>1.3317648E7</v>
      </c>
      <c r="C111" s="3" t="s">
        <v>160</v>
      </c>
      <c r="D111" s="7" t="s">
        <v>1990</v>
      </c>
      <c r="E111" s="14" t="s">
        <v>1991</v>
      </c>
      <c r="F111" s="7" t="s">
        <v>1682</v>
      </c>
    </row>
    <row r="112">
      <c r="A112" s="3" t="s">
        <v>1992</v>
      </c>
      <c r="B112" s="3">
        <v>1.3315184E7</v>
      </c>
      <c r="C112" s="3" t="s">
        <v>476</v>
      </c>
      <c r="D112" s="7" t="s">
        <v>1993</v>
      </c>
      <c r="E112" s="14" t="s">
        <v>1994</v>
      </c>
      <c r="F112" s="7" t="s">
        <v>1650</v>
      </c>
    </row>
    <row r="113">
      <c r="A113" s="3" t="s">
        <v>1995</v>
      </c>
      <c r="B113" s="3">
        <v>1.3316601E7</v>
      </c>
      <c r="C113" s="3" t="s">
        <v>611</v>
      </c>
      <c r="D113" s="7" t="s">
        <v>1996</v>
      </c>
      <c r="E113" s="14" t="s">
        <v>1997</v>
      </c>
      <c r="F113" s="7" t="s">
        <v>1686</v>
      </c>
    </row>
    <row r="114">
      <c r="A114" s="3" t="s">
        <v>1998</v>
      </c>
      <c r="B114" s="3">
        <v>1.3317758E7</v>
      </c>
      <c r="C114" s="3" t="s">
        <v>190</v>
      </c>
      <c r="D114" s="7" t="s">
        <v>1999</v>
      </c>
      <c r="E114" s="14" t="s">
        <v>2000</v>
      </c>
      <c r="F114" s="7" t="s">
        <v>1898</v>
      </c>
    </row>
    <row r="115">
      <c r="A115" s="3" t="s">
        <v>2001</v>
      </c>
      <c r="B115" s="3">
        <v>1.3315154E7</v>
      </c>
      <c r="C115" s="3" t="s">
        <v>456</v>
      </c>
      <c r="D115" s="7" t="s">
        <v>2002</v>
      </c>
      <c r="E115" s="14" t="s">
        <v>2003</v>
      </c>
      <c r="F115" s="7" t="s">
        <v>1838</v>
      </c>
    </row>
    <row r="116">
      <c r="A116" s="3" t="s">
        <v>2004</v>
      </c>
      <c r="B116" s="3">
        <v>1.3317242E7</v>
      </c>
      <c r="C116" s="3" t="s">
        <v>658</v>
      </c>
      <c r="D116" s="7" t="s">
        <v>2005</v>
      </c>
      <c r="E116" s="14" t="s">
        <v>2006</v>
      </c>
      <c r="F116" s="7" t="s">
        <v>1635</v>
      </c>
    </row>
    <row r="117">
      <c r="A117" s="3" t="s">
        <v>2007</v>
      </c>
      <c r="B117" s="3">
        <v>1.3317656E7</v>
      </c>
      <c r="C117" s="3" t="s">
        <v>160</v>
      </c>
      <c r="D117" s="7" t="s">
        <v>2008</v>
      </c>
      <c r="E117" s="14" t="s">
        <v>2009</v>
      </c>
      <c r="F117" s="7" t="s">
        <v>1682</v>
      </c>
    </row>
    <row r="118">
      <c r="A118" s="3" t="s">
        <v>2010</v>
      </c>
      <c r="B118" s="3">
        <v>1.3317272E7</v>
      </c>
      <c r="C118" s="3" t="s">
        <v>658</v>
      </c>
      <c r="D118" s="7" t="s">
        <v>2011</v>
      </c>
      <c r="E118" s="14" t="s">
        <v>2012</v>
      </c>
      <c r="F118" s="7" t="s">
        <v>1635</v>
      </c>
    </row>
    <row r="119">
      <c r="A119" s="3" t="s">
        <v>2013</v>
      </c>
      <c r="B119" s="3">
        <v>1.3317778E7</v>
      </c>
      <c r="C119" s="3" t="s">
        <v>193</v>
      </c>
      <c r="D119" s="7" t="s">
        <v>2014</v>
      </c>
      <c r="E119" s="14" t="s">
        <v>2015</v>
      </c>
      <c r="F119" s="7" t="s">
        <v>1758</v>
      </c>
    </row>
    <row r="120">
      <c r="A120" s="3" t="s">
        <v>2016</v>
      </c>
      <c r="B120" s="3">
        <v>1.331776E7</v>
      </c>
      <c r="C120" s="3" t="s">
        <v>190</v>
      </c>
      <c r="D120" s="7" t="s">
        <v>2017</v>
      </c>
      <c r="E120" s="14" t="s">
        <v>2018</v>
      </c>
      <c r="F120" s="7" t="s">
        <v>1898</v>
      </c>
    </row>
    <row r="121">
      <c r="A121" s="3" t="s">
        <v>2019</v>
      </c>
      <c r="B121" s="3">
        <v>1.3317784E7</v>
      </c>
      <c r="C121" s="3" t="s">
        <v>193</v>
      </c>
      <c r="D121" s="7" t="s">
        <v>2020</v>
      </c>
      <c r="E121" s="14" t="s">
        <v>2021</v>
      </c>
      <c r="F121" s="7" t="s">
        <v>1758</v>
      </c>
    </row>
    <row r="122">
      <c r="A122" s="3" t="s">
        <v>2022</v>
      </c>
      <c r="B122" s="3">
        <v>1.3318234E7</v>
      </c>
      <c r="C122" s="3" t="s">
        <v>149</v>
      </c>
      <c r="D122" s="7" t="s">
        <v>2023</v>
      </c>
      <c r="E122" s="14" t="s">
        <v>2024</v>
      </c>
      <c r="F122" s="7" t="s">
        <v>1777</v>
      </c>
    </row>
    <row r="123">
      <c r="A123" s="3" t="s">
        <v>2025</v>
      </c>
      <c r="B123" s="3">
        <v>1.3318114E7</v>
      </c>
      <c r="C123" s="3" t="s">
        <v>24</v>
      </c>
      <c r="D123" s="7" t="s">
        <v>2026</v>
      </c>
      <c r="E123" s="14" t="s">
        <v>2027</v>
      </c>
      <c r="F123" s="7" t="s">
        <v>1639</v>
      </c>
    </row>
    <row r="124">
      <c r="A124" s="3" t="s">
        <v>2028</v>
      </c>
      <c r="B124" s="3">
        <v>1.331775E7</v>
      </c>
      <c r="C124" s="3" t="s">
        <v>190</v>
      </c>
      <c r="D124" s="7" t="s">
        <v>2029</v>
      </c>
      <c r="E124" s="14" t="s">
        <v>2030</v>
      </c>
      <c r="F124" s="7" t="s">
        <v>1898</v>
      </c>
    </row>
    <row r="125">
      <c r="A125" s="3" t="s">
        <v>2031</v>
      </c>
      <c r="B125" s="3">
        <v>1.3315047E7</v>
      </c>
      <c r="C125" s="3" t="s">
        <v>180</v>
      </c>
      <c r="D125" s="7" t="s">
        <v>2032</v>
      </c>
      <c r="E125" s="14" t="s">
        <v>2033</v>
      </c>
      <c r="F125" s="7" t="s">
        <v>1704</v>
      </c>
    </row>
    <row r="126">
      <c r="A126" s="3" t="s">
        <v>2034</v>
      </c>
      <c r="B126" s="3">
        <v>1.3317852E7</v>
      </c>
      <c r="C126" s="3" t="s">
        <v>226</v>
      </c>
      <c r="D126" s="7" t="s">
        <v>2035</v>
      </c>
      <c r="E126" s="14" t="s">
        <v>2036</v>
      </c>
      <c r="F126" s="7" t="s">
        <v>1958</v>
      </c>
    </row>
    <row r="127">
      <c r="A127" s="3" t="s">
        <v>2037</v>
      </c>
      <c r="B127" s="3">
        <v>1.3315284E7</v>
      </c>
      <c r="C127" s="3" t="s">
        <v>212</v>
      </c>
      <c r="D127" s="7" t="s">
        <v>2038</v>
      </c>
      <c r="E127" s="14" t="s">
        <v>2039</v>
      </c>
      <c r="F127" s="7" t="s">
        <v>1654</v>
      </c>
    </row>
    <row r="128">
      <c r="A128" s="3" t="s">
        <v>2040</v>
      </c>
      <c r="B128" s="3">
        <v>1.331727E7</v>
      </c>
      <c r="C128" s="3" t="s">
        <v>658</v>
      </c>
      <c r="D128" s="7" t="s">
        <v>2041</v>
      </c>
      <c r="E128" s="14" t="s">
        <v>2042</v>
      </c>
      <c r="F128" s="7" t="s">
        <v>1635</v>
      </c>
    </row>
    <row r="129">
      <c r="A129" s="3" t="s">
        <v>2043</v>
      </c>
      <c r="B129" s="3">
        <v>1.3315166E7</v>
      </c>
      <c r="C129" s="3" t="s">
        <v>515</v>
      </c>
      <c r="D129" s="7" t="s">
        <v>2044</v>
      </c>
      <c r="E129" s="14" t="s">
        <v>2045</v>
      </c>
      <c r="F129" s="7" t="s">
        <v>2046</v>
      </c>
    </row>
    <row r="130">
      <c r="A130" s="3" t="s">
        <v>2047</v>
      </c>
      <c r="B130" s="3">
        <v>1.3317724E7</v>
      </c>
      <c r="C130" s="3" t="s">
        <v>372</v>
      </c>
      <c r="D130" s="7" t="s">
        <v>2048</v>
      </c>
      <c r="E130" s="14" t="s">
        <v>2049</v>
      </c>
      <c r="F130" s="7" t="s">
        <v>1678</v>
      </c>
    </row>
    <row r="131">
      <c r="A131" s="3" t="s">
        <v>2050</v>
      </c>
      <c r="B131" s="3">
        <v>1.331997E7</v>
      </c>
      <c r="C131" s="3" t="s">
        <v>2051</v>
      </c>
      <c r="D131" s="7" t="s">
        <v>2052</v>
      </c>
      <c r="E131" s="14" t="s">
        <v>2053</v>
      </c>
      <c r="F131" s="7" t="s">
        <v>2054</v>
      </c>
    </row>
    <row r="132">
      <c r="A132" s="3" t="s">
        <v>2055</v>
      </c>
      <c r="B132" s="3">
        <v>1.3318284E7</v>
      </c>
      <c r="C132" s="3" t="s">
        <v>153</v>
      </c>
      <c r="D132" s="7" t="s">
        <v>2056</v>
      </c>
      <c r="E132" s="14" t="s">
        <v>2057</v>
      </c>
      <c r="F132" s="7" t="s">
        <v>1796</v>
      </c>
    </row>
    <row r="133">
      <c r="A133" s="3" t="s">
        <v>2058</v>
      </c>
      <c r="B133" s="3">
        <v>1.3317612E7</v>
      </c>
      <c r="C133" s="3" t="s">
        <v>160</v>
      </c>
      <c r="D133" s="7" t="s">
        <v>2059</v>
      </c>
      <c r="E133" s="14" t="s">
        <v>2060</v>
      </c>
      <c r="F133" s="7" t="s">
        <v>1682</v>
      </c>
    </row>
    <row r="134">
      <c r="A134" s="3" t="s">
        <v>2061</v>
      </c>
      <c r="B134" s="3">
        <v>1.3318104E7</v>
      </c>
      <c r="C134" s="3" t="s">
        <v>24</v>
      </c>
      <c r="D134" s="7" t="s">
        <v>2062</v>
      </c>
      <c r="E134" s="14" t="s">
        <v>2063</v>
      </c>
      <c r="F134" s="7" t="s">
        <v>1639</v>
      </c>
    </row>
    <row r="135">
      <c r="A135" s="3" t="s">
        <v>2064</v>
      </c>
      <c r="B135" s="3">
        <v>1.3317512E7</v>
      </c>
      <c r="C135" s="3" t="s">
        <v>394</v>
      </c>
      <c r="D135" s="7" t="s">
        <v>2065</v>
      </c>
      <c r="E135" s="14" t="s">
        <v>2066</v>
      </c>
      <c r="F135" s="7" t="s">
        <v>1873</v>
      </c>
    </row>
    <row r="136">
      <c r="A136" s="3" t="s">
        <v>2067</v>
      </c>
      <c r="B136" s="3">
        <v>1.3318412E7</v>
      </c>
      <c r="C136" s="3" t="s">
        <v>825</v>
      </c>
      <c r="D136" s="7" t="s">
        <v>2068</v>
      </c>
      <c r="E136" s="14" t="s">
        <v>2069</v>
      </c>
      <c r="F136" s="7" t="s">
        <v>2070</v>
      </c>
    </row>
    <row r="137">
      <c r="A137" s="3" t="s">
        <v>2071</v>
      </c>
      <c r="B137" s="3">
        <v>1.3317782E7</v>
      </c>
      <c r="C137" s="3" t="s">
        <v>193</v>
      </c>
      <c r="D137" s="7" t="s">
        <v>2072</v>
      </c>
      <c r="E137" s="14" t="s">
        <v>2073</v>
      </c>
      <c r="F137" s="7" t="s">
        <v>1758</v>
      </c>
    </row>
    <row r="138">
      <c r="A138" s="3" t="s">
        <v>2074</v>
      </c>
      <c r="B138" s="3">
        <v>1.3317682E7</v>
      </c>
      <c r="C138" s="3" t="s">
        <v>160</v>
      </c>
      <c r="D138" s="7" t="s">
        <v>2075</v>
      </c>
      <c r="E138" s="14" t="s">
        <v>2076</v>
      </c>
      <c r="F138" s="7" t="s">
        <v>1682</v>
      </c>
    </row>
    <row r="139">
      <c r="A139" s="3" t="s">
        <v>2077</v>
      </c>
      <c r="B139" s="3">
        <v>1.3316702E7</v>
      </c>
      <c r="C139" s="3" t="s">
        <v>368</v>
      </c>
      <c r="D139" s="7" t="s">
        <v>2078</v>
      </c>
      <c r="E139" s="14" t="s">
        <v>2079</v>
      </c>
      <c r="F139" s="7" t="s">
        <v>1631</v>
      </c>
    </row>
    <row r="140">
      <c r="A140" s="3" t="s">
        <v>2080</v>
      </c>
      <c r="B140" s="3">
        <v>1.3318458E7</v>
      </c>
      <c r="C140" s="3" t="s">
        <v>142</v>
      </c>
      <c r="D140" s="7" t="s">
        <v>2081</v>
      </c>
      <c r="E140" s="14" t="s">
        <v>2082</v>
      </c>
      <c r="F140" s="7" t="s">
        <v>1718</v>
      </c>
    </row>
    <row r="141">
      <c r="A141" s="3" t="s">
        <v>2083</v>
      </c>
      <c r="B141" s="3">
        <v>1.3317794E7</v>
      </c>
      <c r="C141" s="3" t="s">
        <v>193</v>
      </c>
      <c r="D141" s="7" t="s">
        <v>2084</v>
      </c>
      <c r="E141" s="14" t="s">
        <v>2085</v>
      </c>
      <c r="F141" s="7" t="s">
        <v>1758</v>
      </c>
    </row>
    <row r="142">
      <c r="A142" s="3" t="s">
        <v>1889</v>
      </c>
      <c r="B142" s="3">
        <v>1.331597E7</v>
      </c>
      <c r="C142" s="3" t="s">
        <v>2086</v>
      </c>
      <c r="D142" s="7" t="s">
        <v>1890</v>
      </c>
      <c r="E142" s="14" t="s">
        <v>2087</v>
      </c>
      <c r="F142" s="7" t="s">
        <v>2088</v>
      </c>
    </row>
    <row r="143">
      <c r="A143" s="3" t="s">
        <v>2089</v>
      </c>
      <c r="B143" s="3">
        <v>1.3318178E7</v>
      </c>
      <c r="C143" s="3" t="s">
        <v>1131</v>
      </c>
      <c r="D143" s="7" t="s">
        <v>2090</v>
      </c>
      <c r="E143" s="14" t="s">
        <v>2091</v>
      </c>
      <c r="F143" s="7" t="s">
        <v>1664</v>
      </c>
    </row>
    <row r="144">
      <c r="A144" s="3" t="s">
        <v>2092</v>
      </c>
      <c r="B144" s="3">
        <v>1.3315292E7</v>
      </c>
      <c r="C144" s="3" t="s">
        <v>212</v>
      </c>
      <c r="D144" s="7" t="s">
        <v>2093</v>
      </c>
      <c r="E144" s="14" t="s">
        <v>2094</v>
      </c>
      <c r="F144" s="7" t="s">
        <v>1654</v>
      </c>
    </row>
    <row r="145">
      <c r="A145" s="3" t="s">
        <v>2095</v>
      </c>
      <c r="B145" s="3">
        <v>1.3317226E7</v>
      </c>
      <c r="C145" s="3" t="s">
        <v>199</v>
      </c>
      <c r="D145" s="7" t="s">
        <v>2096</v>
      </c>
      <c r="E145" s="14" t="s">
        <v>2097</v>
      </c>
      <c r="F145" s="7" t="s">
        <v>1697</v>
      </c>
    </row>
    <row r="146">
      <c r="A146" s="3" t="s">
        <v>2098</v>
      </c>
      <c r="B146" s="3">
        <v>1.331511E7</v>
      </c>
      <c r="C146" s="3" t="s">
        <v>216</v>
      </c>
      <c r="D146" s="7" t="s">
        <v>2099</v>
      </c>
      <c r="E146" s="14" t="s">
        <v>2100</v>
      </c>
      <c r="F146" s="7" t="s">
        <v>1714</v>
      </c>
    </row>
    <row r="147">
      <c r="A147" s="3" t="s">
        <v>2101</v>
      </c>
      <c r="B147" s="3">
        <v>1.3317704E7</v>
      </c>
      <c r="C147" s="3" t="s">
        <v>372</v>
      </c>
      <c r="D147" s="7" t="s">
        <v>2102</v>
      </c>
      <c r="E147" s="14" t="s">
        <v>2103</v>
      </c>
      <c r="F147" s="7" t="s">
        <v>1678</v>
      </c>
    </row>
    <row r="148">
      <c r="A148" s="3" t="s">
        <v>2104</v>
      </c>
      <c r="B148" s="3">
        <v>1.3316811E7</v>
      </c>
      <c r="C148" s="3" t="s">
        <v>164</v>
      </c>
      <c r="D148" s="7" t="s">
        <v>2105</v>
      </c>
      <c r="E148" s="14" t="s">
        <v>2106</v>
      </c>
      <c r="F148" s="7" t="s">
        <v>1866</v>
      </c>
    </row>
    <row r="149">
      <c r="A149" s="3" t="s">
        <v>2107</v>
      </c>
      <c r="B149" s="3">
        <v>1.3317222E7</v>
      </c>
      <c r="C149" s="3" t="s">
        <v>199</v>
      </c>
      <c r="D149" s="7" t="s">
        <v>2108</v>
      </c>
      <c r="E149" s="14" t="s">
        <v>2109</v>
      </c>
      <c r="F149" s="7" t="s">
        <v>1697</v>
      </c>
    </row>
    <row r="150">
      <c r="A150" s="3" t="s">
        <v>2110</v>
      </c>
      <c r="B150" s="3">
        <v>1.3316705E7</v>
      </c>
      <c r="C150" s="3" t="s">
        <v>368</v>
      </c>
      <c r="D150" s="7" t="s">
        <v>2111</v>
      </c>
      <c r="E150" s="14" t="s">
        <v>2112</v>
      </c>
      <c r="F150" s="7" t="s">
        <v>1631</v>
      </c>
    </row>
    <row r="151">
      <c r="A151" s="3" t="s">
        <v>2113</v>
      </c>
      <c r="B151" s="3">
        <v>1.3317632E7</v>
      </c>
      <c r="C151" s="3" t="s">
        <v>160</v>
      </c>
      <c r="D151" s="7" t="s">
        <v>2114</v>
      </c>
      <c r="E151" s="14" t="s">
        <v>2115</v>
      </c>
      <c r="F151" s="7" t="s">
        <v>1682</v>
      </c>
    </row>
    <row r="152">
      <c r="A152" s="3" t="s">
        <v>2116</v>
      </c>
      <c r="B152" s="3">
        <v>1.3317752E7</v>
      </c>
      <c r="C152" s="3" t="s">
        <v>190</v>
      </c>
      <c r="D152" s="7" t="s">
        <v>2117</v>
      </c>
      <c r="E152" s="14" t="s">
        <v>2118</v>
      </c>
      <c r="F152" s="7" t="s">
        <v>1898</v>
      </c>
    </row>
    <row r="153">
      <c r="A153" s="3" t="s">
        <v>2119</v>
      </c>
      <c r="B153" s="3">
        <v>1.331809E7</v>
      </c>
      <c r="C153" s="3" t="s">
        <v>24</v>
      </c>
      <c r="D153" s="7" t="s">
        <v>2120</v>
      </c>
      <c r="E153" s="14" t="s">
        <v>2121</v>
      </c>
      <c r="F153" s="7" t="s">
        <v>1639</v>
      </c>
    </row>
    <row r="154">
      <c r="A154" s="3" t="s">
        <v>2122</v>
      </c>
      <c r="B154" s="3">
        <v>1.3318246E7</v>
      </c>
      <c r="C154" s="3" t="s">
        <v>24</v>
      </c>
      <c r="D154" s="7" t="s">
        <v>2123</v>
      </c>
      <c r="E154" s="14" t="s">
        <v>2124</v>
      </c>
      <c r="F154" s="7" t="s">
        <v>1639</v>
      </c>
    </row>
    <row r="155">
      <c r="A155" s="3" t="s">
        <v>2125</v>
      </c>
      <c r="B155" s="3">
        <v>1.33178E7</v>
      </c>
      <c r="C155" s="3" t="s">
        <v>193</v>
      </c>
      <c r="D155" s="7" t="s">
        <v>2126</v>
      </c>
      <c r="E155" s="14" t="s">
        <v>2127</v>
      </c>
      <c r="F155" s="7" t="s">
        <v>1758</v>
      </c>
    </row>
    <row r="156">
      <c r="A156" s="3" t="s">
        <v>2128</v>
      </c>
      <c r="B156" s="3">
        <v>1.3317686E7</v>
      </c>
      <c r="C156" s="3" t="s">
        <v>160</v>
      </c>
      <c r="D156" s="7" t="s">
        <v>2129</v>
      </c>
      <c r="E156" s="14" t="s">
        <v>2130</v>
      </c>
      <c r="F156" s="7" t="s">
        <v>1682</v>
      </c>
    </row>
    <row r="157">
      <c r="A157" s="3" t="s">
        <v>2131</v>
      </c>
      <c r="B157" s="3">
        <v>1.331815E7</v>
      </c>
      <c r="C157" s="3" t="s">
        <v>573</v>
      </c>
      <c r="D157" s="7" t="s">
        <v>2132</v>
      </c>
      <c r="E157" s="14" t="s">
        <v>2133</v>
      </c>
      <c r="F157" s="7" t="s">
        <v>1902</v>
      </c>
    </row>
    <row r="158">
      <c r="A158" s="3" t="s">
        <v>2134</v>
      </c>
      <c r="B158" s="3">
        <v>1.3318062E7</v>
      </c>
      <c r="C158" s="3" t="s">
        <v>24</v>
      </c>
      <c r="D158" s="7" t="s">
        <v>2135</v>
      </c>
      <c r="E158" s="14" t="s">
        <v>2136</v>
      </c>
      <c r="F158" s="7" t="s">
        <v>1639</v>
      </c>
    </row>
    <row r="159">
      <c r="A159" s="3" t="s">
        <v>2137</v>
      </c>
      <c r="B159" s="3">
        <v>1.3317504E7</v>
      </c>
      <c r="C159" s="3" t="s">
        <v>394</v>
      </c>
      <c r="D159" s="7" t="s">
        <v>2138</v>
      </c>
      <c r="E159" s="14" t="s">
        <v>2139</v>
      </c>
      <c r="F159" s="7" t="s">
        <v>1873</v>
      </c>
    </row>
    <row r="160">
      <c r="A160" s="3" t="s">
        <v>2140</v>
      </c>
      <c r="B160" s="3">
        <v>1.331786E7</v>
      </c>
      <c r="C160" s="3" t="s">
        <v>226</v>
      </c>
      <c r="D160" s="7" t="s">
        <v>2141</v>
      </c>
      <c r="E160" s="14" t="s">
        <v>2142</v>
      </c>
      <c r="F160" s="7" t="s">
        <v>1958</v>
      </c>
    </row>
    <row r="161">
      <c r="A161" s="3" t="s">
        <v>2143</v>
      </c>
      <c r="B161" s="3">
        <v>1.3317634E7</v>
      </c>
      <c r="C161" s="3" t="s">
        <v>160</v>
      </c>
      <c r="D161" s="7" t="s">
        <v>2144</v>
      </c>
      <c r="E161" s="14" t="s">
        <v>2145</v>
      </c>
      <c r="F161" s="7" t="s">
        <v>1682</v>
      </c>
    </row>
    <row r="162">
      <c r="A162" s="3" t="s">
        <v>2146</v>
      </c>
      <c r="B162" s="3">
        <v>1.331808E7</v>
      </c>
      <c r="C162" s="3" t="s">
        <v>24</v>
      </c>
      <c r="D162" s="7" t="s">
        <v>2147</v>
      </c>
      <c r="E162" s="14" t="s">
        <v>2148</v>
      </c>
      <c r="F162" s="7" t="s">
        <v>1639</v>
      </c>
    </row>
    <row r="163">
      <c r="A163" s="3" t="s">
        <v>2149</v>
      </c>
      <c r="B163" s="3">
        <v>1.3317524E7</v>
      </c>
      <c r="C163" s="3" t="s">
        <v>394</v>
      </c>
      <c r="D163" s="7" t="s">
        <v>2150</v>
      </c>
      <c r="E163" s="14" t="s">
        <v>2151</v>
      </c>
      <c r="F163" s="7" t="s">
        <v>1873</v>
      </c>
    </row>
    <row r="164">
      <c r="A164" s="3" t="s">
        <v>2152</v>
      </c>
      <c r="B164" s="3">
        <v>1.3317688E7</v>
      </c>
      <c r="C164" s="3" t="s">
        <v>160</v>
      </c>
      <c r="D164" s="7" t="s">
        <v>2153</v>
      </c>
      <c r="E164" s="14" t="s">
        <v>2154</v>
      </c>
      <c r="F164" s="7" t="s">
        <v>1682</v>
      </c>
    </row>
    <row r="165">
      <c r="A165" s="3" t="s">
        <v>2155</v>
      </c>
      <c r="B165" s="3">
        <v>1.3317754E7</v>
      </c>
      <c r="C165" s="3" t="s">
        <v>190</v>
      </c>
      <c r="D165" s="7" t="s">
        <v>2156</v>
      </c>
      <c r="E165" s="14" t="s">
        <v>2157</v>
      </c>
      <c r="F165" s="7" t="s">
        <v>1898</v>
      </c>
    </row>
    <row r="166">
      <c r="A166" s="3" t="s">
        <v>2158</v>
      </c>
      <c r="B166" s="3">
        <v>1.33173E7</v>
      </c>
      <c r="C166" s="3" t="s">
        <v>132</v>
      </c>
      <c r="D166" s="7" t="s">
        <v>2159</v>
      </c>
      <c r="E166" s="14" t="s">
        <v>2160</v>
      </c>
      <c r="F166" s="7" t="s">
        <v>1945</v>
      </c>
    </row>
    <row r="167">
      <c r="A167" s="3" t="s">
        <v>2161</v>
      </c>
      <c r="B167" s="3">
        <v>1.331773E7</v>
      </c>
      <c r="C167" s="3" t="s">
        <v>372</v>
      </c>
      <c r="D167" s="7" t="s">
        <v>2162</v>
      </c>
      <c r="E167" s="14" t="s">
        <v>2163</v>
      </c>
      <c r="F167" s="7" t="s">
        <v>1678</v>
      </c>
    </row>
    <row r="168">
      <c r="A168" s="3" t="s">
        <v>2164</v>
      </c>
      <c r="B168" s="3">
        <v>1.3318144E7</v>
      </c>
      <c r="C168" s="3" t="s">
        <v>573</v>
      </c>
      <c r="D168" s="7" t="s">
        <v>2165</v>
      </c>
      <c r="E168" s="14" t="s">
        <v>2166</v>
      </c>
      <c r="F168" s="7" t="s">
        <v>1902</v>
      </c>
    </row>
    <row r="169">
      <c r="A169" s="3" t="s">
        <v>2167</v>
      </c>
      <c r="B169" s="3">
        <v>1.3315082E7</v>
      </c>
      <c r="C169" s="3" t="s">
        <v>1831</v>
      </c>
      <c r="D169" s="7" t="s">
        <v>2168</v>
      </c>
      <c r="E169" s="14" t="s">
        <v>2169</v>
      </c>
      <c r="F169" s="7" t="s">
        <v>1834</v>
      </c>
    </row>
    <row r="170">
      <c r="A170" s="3" t="s">
        <v>2170</v>
      </c>
      <c r="B170" s="3">
        <v>1.3318414E7</v>
      </c>
      <c r="C170" s="3" t="s">
        <v>825</v>
      </c>
      <c r="D170" s="7" t="s">
        <v>2171</v>
      </c>
      <c r="E170" s="14" t="s">
        <v>2172</v>
      </c>
      <c r="F170" s="7" t="s">
        <v>2070</v>
      </c>
    </row>
    <row r="171">
      <c r="A171" s="3" t="s">
        <v>2173</v>
      </c>
      <c r="B171" s="3">
        <v>1.3317792E7</v>
      </c>
      <c r="C171" s="3" t="s">
        <v>193</v>
      </c>
      <c r="D171" s="7" t="s">
        <v>2174</v>
      </c>
      <c r="E171" s="14" t="s">
        <v>2175</v>
      </c>
      <c r="F171" s="7" t="s">
        <v>1758</v>
      </c>
    </row>
    <row r="172">
      <c r="A172" s="3" t="s">
        <v>2176</v>
      </c>
      <c r="B172" s="3">
        <v>1.3318146E7</v>
      </c>
      <c r="C172" s="3" t="s">
        <v>573</v>
      </c>
      <c r="D172" s="7" t="s">
        <v>2177</v>
      </c>
      <c r="E172" s="14" t="s">
        <v>2178</v>
      </c>
      <c r="F172" s="7" t="s">
        <v>1902</v>
      </c>
    </row>
    <row r="173">
      <c r="A173" s="3" t="s">
        <v>2179</v>
      </c>
      <c r="B173" s="3">
        <v>1.3315011E7</v>
      </c>
      <c r="C173" s="3" t="s">
        <v>180</v>
      </c>
      <c r="D173" s="7" t="s">
        <v>2180</v>
      </c>
      <c r="E173" s="14" t="s">
        <v>2181</v>
      </c>
      <c r="F173" s="7" t="s">
        <v>1704</v>
      </c>
    </row>
    <row r="174">
      <c r="A174" s="3" t="s">
        <v>2182</v>
      </c>
      <c r="B174" s="3">
        <v>1.3315244E7</v>
      </c>
      <c r="C174" s="3" t="s">
        <v>212</v>
      </c>
      <c r="D174" s="7" t="s">
        <v>2183</v>
      </c>
      <c r="E174" s="14" t="s">
        <v>2184</v>
      </c>
      <c r="F174" s="7" t="s">
        <v>1654</v>
      </c>
    </row>
    <row r="175">
      <c r="A175" s="3" t="s">
        <v>2185</v>
      </c>
      <c r="B175" s="3">
        <v>1.331724E7</v>
      </c>
      <c r="C175" s="3" t="s">
        <v>658</v>
      </c>
      <c r="D175" s="7" t="s">
        <v>2186</v>
      </c>
      <c r="E175" s="14" t="s">
        <v>2187</v>
      </c>
      <c r="F175" s="7" t="s">
        <v>1635</v>
      </c>
    </row>
    <row r="176">
      <c r="A176" s="3" t="s">
        <v>1632</v>
      </c>
      <c r="B176" s="3">
        <v>1.331525E7</v>
      </c>
      <c r="C176" s="3" t="s">
        <v>212</v>
      </c>
      <c r="D176" s="7" t="s">
        <v>1633</v>
      </c>
      <c r="E176" s="14" t="s">
        <v>2188</v>
      </c>
      <c r="F176" s="7" t="s">
        <v>1654</v>
      </c>
    </row>
    <row r="177">
      <c r="A177" s="3" t="s">
        <v>2189</v>
      </c>
      <c r="B177" s="3">
        <v>1.3315037E7</v>
      </c>
      <c r="C177" s="3" t="s">
        <v>180</v>
      </c>
      <c r="D177" s="7" t="s">
        <v>2190</v>
      </c>
      <c r="E177" s="14" t="s">
        <v>2191</v>
      </c>
      <c r="F177" s="7" t="s">
        <v>1704</v>
      </c>
    </row>
    <row r="178">
      <c r="A178" s="3" t="s">
        <v>2192</v>
      </c>
      <c r="B178" s="3">
        <v>1.3317234E7</v>
      </c>
      <c r="C178" s="3" t="s">
        <v>132</v>
      </c>
      <c r="D178" s="7" t="s">
        <v>2193</v>
      </c>
      <c r="E178" s="14" t="s">
        <v>2194</v>
      </c>
      <c r="F178" s="7" t="s">
        <v>1945</v>
      </c>
    </row>
    <row r="179">
      <c r="A179" s="3" t="s">
        <v>2195</v>
      </c>
      <c r="B179" s="3">
        <v>1.3317292E7</v>
      </c>
      <c r="C179" s="3" t="s">
        <v>658</v>
      </c>
      <c r="D179" s="7" t="s">
        <v>2196</v>
      </c>
      <c r="E179" s="14" t="s">
        <v>2197</v>
      </c>
      <c r="F179" s="7" t="s">
        <v>1635</v>
      </c>
    </row>
    <row r="180">
      <c r="A180" s="3" t="s">
        <v>2198</v>
      </c>
      <c r="B180" s="3">
        <v>1.3319011E7</v>
      </c>
      <c r="C180" s="3" t="s">
        <v>223</v>
      </c>
      <c r="D180" s="7" t="s">
        <v>2199</v>
      </c>
      <c r="E180" s="14" t="s">
        <v>2200</v>
      </c>
      <c r="F180" s="7" t="s">
        <v>1725</v>
      </c>
    </row>
    <row r="181">
      <c r="A181" s="3" t="s">
        <v>2201</v>
      </c>
      <c r="B181" s="3">
        <v>1.3319024E7</v>
      </c>
      <c r="C181" s="3" t="s">
        <v>223</v>
      </c>
      <c r="D181" s="7" t="s">
        <v>2202</v>
      </c>
      <c r="E181" s="14" t="s">
        <v>2203</v>
      </c>
      <c r="F181" s="7" t="s">
        <v>1725</v>
      </c>
    </row>
    <row r="182">
      <c r="A182" s="3" t="s">
        <v>2204</v>
      </c>
      <c r="B182" s="3">
        <v>1.3317776E7</v>
      </c>
      <c r="C182" s="3" t="s">
        <v>193</v>
      </c>
      <c r="D182" s="7" t="s">
        <v>2205</v>
      </c>
      <c r="E182" s="14" t="s">
        <v>2206</v>
      </c>
      <c r="F182" s="7" t="s">
        <v>1758</v>
      </c>
    </row>
    <row r="183">
      <c r="A183" s="3" t="s">
        <v>2207</v>
      </c>
      <c r="B183" s="3">
        <v>1.3317788E7</v>
      </c>
      <c r="C183" s="3" t="s">
        <v>193</v>
      </c>
      <c r="D183" s="7" t="s">
        <v>2208</v>
      </c>
      <c r="E183" s="14" t="s">
        <v>2209</v>
      </c>
      <c r="F183" s="7" t="s">
        <v>1758</v>
      </c>
    </row>
    <row r="184">
      <c r="A184" s="3" t="s">
        <v>2210</v>
      </c>
      <c r="B184" s="3">
        <v>1.3318418E7</v>
      </c>
      <c r="C184" s="3" t="s">
        <v>825</v>
      </c>
      <c r="D184" s="7" t="s">
        <v>2211</v>
      </c>
      <c r="E184" s="14" t="s">
        <v>2212</v>
      </c>
      <c r="F184" s="7" t="s">
        <v>2070</v>
      </c>
    </row>
    <row r="185">
      <c r="A185" s="3" t="s">
        <v>1889</v>
      </c>
      <c r="B185" s="3">
        <v>1.3315959E7</v>
      </c>
      <c r="C185" s="3" t="s">
        <v>2213</v>
      </c>
      <c r="D185" s="7" t="s">
        <v>1890</v>
      </c>
      <c r="E185" s="14" t="s">
        <v>2214</v>
      </c>
      <c r="F185" s="7" t="s">
        <v>2215</v>
      </c>
    </row>
    <row r="186">
      <c r="A186" s="3" t="s">
        <v>2216</v>
      </c>
      <c r="B186" s="3">
        <v>1.3315276E7</v>
      </c>
      <c r="C186" s="3" t="s">
        <v>212</v>
      </c>
      <c r="D186" s="7" t="s">
        <v>2217</v>
      </c>
      <c r="E186" s="14" t="s">
        <v>2218</v>
      </c>
      <c r="F186" s="7" t="s">
        <v>1654</v>
      </c>
    </row>
    <row r="187">
      <c r="A187" s="3" t="s">
        <v>2219</v>
      </c>
      <c r="B187" s="3">
        <v>1.3316807E7</v>
      </c>
      <c r="C187" s="3" t="s">
        <v>164</v>
      </c>
      <c r="D187" s="7" t="s">
        <v>2220</v>
      </c>
      <c r="E187" s="14" t="s">
        <v>2221</v>
      </c>
      <c r="F187" s="7" t="s">
        <v>1866</v>
      </c>
    </row>
    <row r="188">
      <c r="A188" s="3" t="s">
        <v>2222</v>
      </c>
      <c r="B188" s="3">
        <v>1.331779E7</v>
      </c>
      <c r="C188" s="3" t="s">
        <v>193</v>
      </c>
      <c r="D188" s="7" t="s">
        <v>2223</v>
      </c>
      <c r="E188" s="14" t="s">
        <v>2224</v>
      </c>
      <c r="F188" s="7" t="s">
        <v>1758</v>
      </c>
    </row>
    <row r="189">
      <c r="A189" s="3" t="s">
        <v>2225</v>
      </c>
      <c r="B189" s="3">
        <v>1.3317772E7</v>
      </c>
      <c r="C189" s="3" t="s">
        <v>193</v>
      </c>
      <c r="D189" s="7" t="s">
        <v>2226</v>
      </c>
      <c r="E189" s="14" t="s">
        <v>2227</v>
      </c>
      <c r="F189" s="7" t="s">
        <v>1758</v>
      </c>
    </row>
    <row r="190">
      <c r="A190" s="3" t="s">
        <v>2228</v>
      </c>
      <c r="B190" s="3">
        <v>1.3316806E7</v>
      </c>
      <c r="C190" s="3" t="s">
        <v>164</v>
      </c>
      <c r="D190" s="7" t="s">
        <v>2229</v>
      </c>
      <c r="E190" s="14" t="s">
        <v>2230</v>
      </c>
      <c r="F190" s="7" t="s">
        <v>1866</v>
      </c>
    </row>
    <row r="191">
      <c r="A191" s="3" t="s">
        <v>2231</v>
      </c>
      <c r="B191" s="3">
        <v>1.3315162E7</v>
      </c>
      <c r="C191" s="3" t="s">
        <v>515</v>
      </c>
      <c r="D191" s="7" t="s">
        <v>2232</v>
      </c>
      <c r="E191" s="14" t="s">
        <v>2233</v>
      </c>
      <c r="F191" s="7" t="s">
        <v>2046</v>
      </c>
    </row>
    <row r="192">
      <c r="A192" s="3" t="s">
        <v>2234</v>
      </c>
      <c r="B192" s="3">
        <v>1.3319022E7</v>
      </c>
      <c r="C192" s="3" t="s">
        <v>223</v>
      </c>
      <c r="D192" s="7" t="s">
        <v>2235</v>
      </c>
      <c r="E192" s="14" t="s">
        <v>2236</v>
      </c>
      <c r="F192" s="7" t="s">
        <v>1725</v>
      </c>
    </row>
    <row r="193">
      <c r="A193" s="3" t="s">
        <v>2237</v>
      </c>
      <c r="B193" s="3">
        <v>1.3315288E7</v>
      </c>
      <c r="C193" s="3" t="s">
        <v>212</v>
      </c>
      <c r="D193" s="7" t="s">
        <v>2238</v>
      </c>
      <c r="E193" s="14" t="s">
        <v>2239</v>
      </c>
      <c r="F193" s="7" t="s">
        <v>1654</v>
      </c>
    </row>
    <row r="194">
      <c r="A194" s="3" t="s">
        <v>2240</v>
      </c>
      <c r="B194" s="3">
        <v>1.33175E7</v>
      </c>
      <c r="C194" s="3" t="s">
        <v>394</v>
      </c>
      <c r="D194" s="7" t="s">
        <v>2241</v>
      </c>
      <c r="E194" s="14" t="s">
        <v>2242</v>
      </c>
      <c r="F194" s="7" t="s">
        <v>1873</v>
      </c>
    </row>
    <row r="195">
      <c r="A195" s="3" t="s">
        <v>2243</v>
      </c>
      <c r="B195" s="3">
        <v>1.331762E7</v>
      </c>
      <c r="C195" s="3" t="s">
        <v>160</v>
      </c>
      <c r="D195" s="7" t="s">
        <v>2244</v>
      </c>
      <c r="E195" s="14" t="s">
        <v>2245</v>
      </c>
      <c r="F195" s="7" t="s">
        <v>1682</v>
      </c>
    </row>
    <row r="196">
      <c r="A196" s="3" t="s">
        <v>2246</v>
      </c>
      <c r="B196" s="3">
        <v>1.3319004E7</v>
      </c>
      <c r="C196" s="3" t="s">
        <v>223</v>
      </c>
      <c r="D196" s="7" t="s">
        <v>2247</v>
      </c>
      <c r="E196" s="14" t="s">
        <v>2248</v>
      </c>
      <c r="F196" s="7" t="s">
        <v>1725</v>
      </c>
    </row>
    <row r="197">
      <c r="A197" s="3" t="s">
        <v>2249</v>
      </c>
      <c r="B197" s="3">
        <v>1.331811E7</v>
      </c>
      <c r="C197" s="3" t="s">
        <v>24</v>
      </c>
      <c r="D197" s="7" t="s">
        <v>2250</v>
      </c>
      <c r="E197" s="14" t="s">
        <v>2251</v>
      </c>
      <c r="F197" s="7" t="s">
        <v>1639</v>
      </c>
    </row>
    <row r="198">
      <c r="A198" s="3" t="s">
        <v>2252</v>
      </c>
      <c r="B198" s="3">
        <v>1.3316803E7</v>
      </c>
      <c r="C198" s="3" t="s">
        <v>164</v>
      </c>
      <c r="D198" s="7" t="s">
        <v>2253</v>
      </c>
      <c r="E198" s="14" t="s">
        <v>2254</v>
      </c>
      <c r="F198" s="7" t="s">
        <v>1866</v>
      </c>
    </row>
    <row r="199">
      <c r="A199" s="3" t="s">
        <v>2255</v>
      </c>
      <c r="B199" s="3">
        <v>1.3317232E7</v>
      </c>
      <c r="C199" s="3" t="s">
        <v>132</v>
      </c>
      <c r="D199" s="7" t="s">
        <v>2256</v>
      </c>
      <c r="E199" s="14" t="s">
        <v>2257</v>
      </c>
      <c r="F199" s="7" t="s">
        <v>1945</v>
      </c>
    </row>
    <row r="200">
      <c r="A200" s="3" t="s">
        <v>2258</v>
      </c>
      <c r="B200" s="3">
        <v>1.3318262E7</v>
      </c>
      <c r="C200" s="3" t="s">
        <v>153</v>
      </c>
      <c r="D200" s="7" t="s">
        <v>2259</v>
      </c>
      <c r="E200" s="14" t="s">
        <v>2260</v>
      </c>
      <c r="F200" s="7" t="s">
        <v>1796</v>
      </c>
    </row>
    <row r="201">
      <c r="A201" s="3" t="s">
        <v>2261</v>
      </c>
      <c r="B201" s="3">
        <v>1.331529E7</v>
      </c>
      <c r="C201" s="3" t="s">
        <v>212</v>
      </c>
      <c r="D201" s="7" t="s">
        <v>2262</v>
      </c>
      <c r="E201" s="14" t="s">
        <v>2263</v>
      </c>
      <c r="F201" s="7" t="s">
        <v>1654</v>
      </c>
    </row>
    <row r="202">
      <c r="A202" s="3" t="s">
        <v>2264</v>
      </c>
      <c r="B202" s="3">
        <v>1.3315108E7</v>
      </c>
      <c r="C202" s="3" t="s">
        <v>216</v>
      </c>
      <c r="D202" s="7" t="s">
        <v>2265</v>
      </c>
      <c r="E202" s="14" t="s">
        <v>2266</v>
      </c>
      <c r="F202" s="7" t="s">
        <v>1714</v>
      </c>
    </row>
    <row r="203">
      <c r="A203" s="3" t="s">
        <v>2267</v>
      </c>
      <c r="B203" s="3">
        <v>1.3318276E7</v>
      </c>
      <c r="C203" s="3" t="s">
        <v>153</v>
      </c>
      <c r="D203" s="7" t="s">
        <v>2268</v>
      </c>
      <c r="E203" s="14" t="s">
        <v>2269</v>
      </c>
      <c r="F203" s="7" t="s">
        <v>1796</v>
      </c>
    </row>
    <row r="204">
      <c r="A204" s="3" t="s">
        <v>2270</v>
      </c>
      <c r="B204" s="3">
        <v>1.3315278E7</v>
      </c>
      <c r="C204" s="3" t="s">
        <v>212</v>
      </c>
      <c r="D204" s="7" t="s">
        <v>2271</v>
      </c>
      <c r="E204" s="14" t="s">
        <v>2272</v>
      </c>
      <c r="F204" s="7" t="s">
        <v>1654</v>
      </c>
    </row>
    <row r="205">
      <c r="A205" s="3" t="s">
        <v>2273</v>
      </c>
      <c r="B205" s="3">
        <v>1.33166E7</v>
      </c>
      <c r="C205" s="3" t="s">
        <v>611</v>
      </c>
      <c r="D205" s="7" t="s">
        <v>2274</v>
      </c>
      <c r="E205" s="14" t="s">
        <v>2275</v>
      </c>
      <c r="F205" s="7" t="s">
        <v>1686</v>
      </c>
    </row>
    <row r="206">
      <c r="A206" s="3" t="s">
        <v>2276</v>
      </c>
      <c r="B206" s="3">
        <v>1.3317706E7</v>
      </c>
      <c r="C206" s="3" t="s">
        <v>372</v>
      </c>
      <c r="D206" s="7" t="s">
        <v>2277</v>
      </c>
      <c r="E206" s="14" t="s">
        <v>2278</v>
      </c>
      <c r="F206" s="7" t="s">
        <v>1678</v>
      </c>
    </row>
    <row r="207">
      <c r="A207" s="3" t="s">
        <v>2279</v>
      </c>
      <c r="B207" s="3">
        <v>1.3318102E7</v>
      </c>
      <c r="C207" s="3" t="s">
        <v>24</v>
      </c>
      <c r="D207" s="7" t="s">
        <v>2280</v>
      </c>
      <c r="E207" s="14" t="s">
        <v>2281</v>
      </c>
      <c r="F207" s="7" t="s">
        <v>1639</v>
      </c>
    </row>
    <row r="208">
      <c r="A208" s="3" t="s">
        <v>2282</v>
      </c>
      <c r="B208" s="3">
        <v>1.331528E7</v>
      </c>
      <c r="C208" s="3" t="s">
        <v>212</v>
      </c>
      <c r="D208" s="7" t="s">
        <v>2283</v>
      </c>
      <c r="E208" s="14" t="s">
        <v>2284</v>
      </c>
      <c r="F208" s="7" t="s">
        <v>1654</v>
      </c>
    </row>
    <row r="209">
      <c r="A209" s="3" t="s">
        <v>2285</v>
      </c>
      <c r="B209" s="3">
        <v>1.3318282E7</v>
      </c>
      <c r="C209" s="3" t="s">
        <v>153</v>
      </c>
      <c r="D209" s="7" t="s">
        <v>2286</v>
      </c>
      <c r="E209" s="14" t="s">
        <v>2287</v>
      </c>
      <c r="F209" s="7" t="s">
        <v>1796</v>
      </c>
    </row>
    <row r="210">
      <c r="A210" s="3" t="s">
        <v>2288</v>
      </c>
      <c r="B210" s="3">
        <v>1.3318286E7</v>
      </c>
      <c r="C210" s="3" t="s">
        <v>153</v>
      </c>
      <c r="D210" s="7" t="s">
        <v>2289</v>
      </c>
      <c r="E210" s="14" t="s">
        <v>2290</v>
      </c>
      <c r="F210" s="7" t="s">
        <v>1796</v>
      </c>
    </row>
    <row r="211">
      <c r="A211" s="3" t="s">
        <v>2291</v>
      </c>
      <c r="B211" s="3">
        <v>1.3315272E7</v>
      </c>
      <c r="C211" s="3" t="s">
        <v>212</v>
      </c>
      <c r="D211" s="7" t="s">
        <v>2292</v>
      </c>
      <c r="E211" s="14" t="s">
        <v>2293</v>
      </c>
      <c r="F211" s="7" t="s">
        <v>1654</v>
      </c>
    </row>
    <row r="212">
      <c r="A212" s="3" t="s">
        <v>2294</v>
      </c>
      <c r="B212" s="3">
        <v>1.3317786E7</v>
      </c>
      <c r="C212" s="3" t="s">
        <v>193</v>
      </c>
      <c r="D212" s="7" t="s">
        <v>2295</v>
      </c>
      <c r="E212" s="14" t="s">
        <v>2296</v>
      </c>
      <c r="F212" s="7" t="s">
        <v>1758</v>
      </c>
    </row>
    <row r="213">
      <c r="A213" s="3" t="s">
        <v>2297</v>
      </c>
      <c r="B213" s="3">
        <v>1.3318126E7</v>
      </c>
      <c r="C213" s="3" t="s">
        <v>24</v>
      </c>
      <c r="D213" s="7" t="s">
        <v>2298</v>
      </c>
      <c r="E213" s="14" t="s">
        <v>2299</v>
      </c>
      <c r="F213" s="7" t="s">
        <v>1639</v>
      </c>
    </row>
    <row r="214">
      <c r="A214" s="3" t="s">
        <v>2300</v>
      </c>
      <c r="B214" s="3">
        <v>1.331805E7</v>
      </c>
      <c r="C214" s="3" t="s">
        <v>24</v>
      </c>
      <c r="D214" s="7" t="s">
        <v>2301</v>
      </c>
      <c r="E214" s="14" t="s">
        <v>2302</v>
      </c>
      <c r="F214" s="7" t="s">
        <v>1639</v>
      </c>
    </row>
    <row r="215">
      <c r="A215" s="3" t="s">
        <v>2303</v>
      </c>
      <c r="B215" s="3">
        <v>1.3317602E7</v>
      </c>
      <c r="C215" s="3" t="s">
        <v>505</v>
      </c>
      <c r="D215" s="7" t="s">
        <v>2304</v>
      </c>
      <c r="E215" s="14" t="s">
        <v>2305</v>
      </c>
      <c r="F215" s="7" t="s">
        <v>1773</v>
      </c>
    </row>
    <row r="216">
      <c r="A216" s="3" t="s">
        <v>2306</v>
      </c>
      <c r="B216" s="3">
        <v>1.3318108E7</v>
      </c>
      <c r="C216" s="3" t="s">
        <v>24</v>
      </c>
      <c r="D216" s="7" t="s">
        <v>2307</v>
      </c>
      <c r="E216" s="14" t="s">
        <v>2308</v>
      </c>
      <c r="F216" s="7" t="s">
        <v>1639</v>
      </c>
    </row>
    <row r="217">
      <c r="A217" s="3" t="s">
        <v>2309</v>
      </c>
      <c r="B217" s="3">
        <v>1.3317662E7</v>
      </c>
      <c r="C217" s="3" t="s">
        <v>160</v>
      </c>
      <c r="D217" s="7" t="s">
        <v>2310</v>
      </c>
      <c r="E217" s="14" t="s">
        <v>2311</v>
      </c>
      <c r="F217" s="7" t="s">
        <v>1682</v>
      </c>
    </row>
    <row r="218">
      <c r="A218" s="3" t="s">
        <v>2312</v>
      </c>
      <c r="B218" s="3">
        <v>1.3317692E7</v>
      </c>
      <c r="C218" s="3" t="s">
        <v>160</v>
      </c>
      <c r="D218" s="7" t="s">
        <v>2313</v>
      </c>
      <c r="E218" s="14" t="s">
        <v>2314</v>
      </c>
      <c r="F218" s="7" t="s">
        <v>1682</v>
      </c>
    </row>
    <row r="219">
      <c r="A219" s="3" t="s">
        <v>2315</v>
      </c>
      <c r="B219" s="3">
        <v>1.3315178E7</v>
      </c>
      <c r="C219" s="3" t="s">
        <v>973</v>
      </c>
      <c r="D219" s="7" t="s">
        <v>2316</v>
      </c>
      <c r="E219" s="14" t="s">
        <v>2317</v>
      </c>
      <c r="F219" s="7" t="s">
        <v>1748</v>
      </c>
    </row>
    <row r="220">
      <c r="A220" s="3" t="s">
        <v>2318</v>
      </c>
      <c r="B220" s="3">
        <v>1.331826E7</v>
      </c>
      <c r="C220" s="3" t="s">
        <v>153</v>
      </c>
      <c r="D220" s="7" t="s">
        <v>2319</v>
      </c>
      <c r="E220" s="14" t="s">
        <v>2320</v>
      </c>
      <c r="F220" s="7" t="s">
        <v>1796</v>
      </c>
    </row>
    <row r="221">
      <c r="A221" s="3" t="s">
        <v>2321</v>
      </c>
      <c r="B221" s="3">
        <v>1.3316607E7</v>
      </c>
      <c r="C221" s="3" t="s">
        <v>611</v>
      </c>
      <c r="D221" s="7" t="s">
        <v>2322</v>
      </c>
      <c r="E221" s="14" t="s">
        <v>2323</v>
      </c>
      <c r="F221" s="7" t="s">
        <v>1686</v>
      </c>
    </row>
    <row r="222">
      <c r="A222" s="3" t="s">
        <v>2324</v>
      </c>
      <c r="B222" s="3">
        <v>1.3317238E7</v>
      </c>
      <c r="C222" s="3" t="s">
        <v>658</v>
      </c>
      <c r="D222" s="7" t="s">
        <v>2325</v>
      </c>
      <c r="E222" s="14" t="s">
        <v>2326</v>
      </c>
      <c r="F222" s="7" t="s">
        <v>1635</v>
      </c>
    </row>
    <row r="223">
      <c r="A223" s="3" t="s">
        <v>1974</v>
      </c>
      <c r="B223" s="3">
        <v>1.3317518E7</v>
      </c>
      <c r="C223" s="3" t="s">
        <v>394</v>
      </c>
      <c r="D223" s="7" t="s">
        <v>1975</v>
      </c>
      <c r="E223" s="14" t="s">
        <v>2327</v>
      </c>
      <c r="F223" s="7" t="s">
        <v>1873</v>
      </c>
    </row>
    <row r="224">
      <c r="A224" s="3" t="s">
        <v>2328</v>
      </c>
      <c r="B224" s="3">
        <v>1.3317282E7</v>
      </c>
      <c r="C224" s="3" t="s">
        <v>654</v>
      </c>
      <c r="D224" s="7" t="s">
        <v>2329</v>
      </c>
      <c r="E224" s="14" t="s">
        <v>2330</v>
      </c>
      <c r="F224" s="7" t="s">
        <v>1690</v>
      </c>
    </row>
    <row r="225">
      <c r="A225" s="3" t="s">
        <v>2331</v>
      </c>
      <c r="B225" s="3">
        <v>1.3317744E7</v>
      </c>
      <c r="C225" s="3" t="s">
        <v>372</v>
      </c>
      <c r="D225" s="7" t="s">
        <v>2332</v>
      </c>
      <c r="E225" s="14" t="s">
        <v>2333</v>
      </c>
      <c r="F225" s="7" t="s">
        <v>1678</v>
      </c>
    </row>
    <row r="226">
      <c r="A226" s="3" t="s">
        <v>2334</v>
      </c>
      <c r="B226" s="3">
        <v>1.3315971E7</v>
      </c>
      <c r="C226" s="3" t="s">
        <v>2335</v>
      </c>
      <c r="D226" s="7" t="s">
        <v>2336</v>
      </c>
      <c r="E226" s="14" t="s">
        <v>2337</v>
      </c>
      <c r="F226" s="7" t="s">
        <v>2338</v>
      </c>
    </row>
    <row r="227">
      <c r="A227" s="3" t="s">
        <v>2339</v>
      </c>
      <c r="B227" s="3">
        <v>1.3315122E7</v>
      </c>
      <c r="C227" s="3" t="s">
        <v>216</v>
      </c>
      <c r="D227" s="7" t="s">
        <v>2340</v>
      </c>
      <c r="E227" s="14" t="s">
        <v>2341</v>
      </c>
      <c r="F227" s="7" t="s">
        <v>1714</v>
      </c>
    </row>
    <row r="228">
      <c r="A228" s="3" t="s">
        <v>2342</v>
      </c>
      <c r="B228" s="3">
        <v>1.3315246E7</v>
      </c>
      <c r="C228" s="3" t="s">
        <v>212</v>
      </c>
      <c r="D228" s="7" t="s">
        <v>2343</v>
      </c>
      <c r="E228" s="14" t="s">
        <v>2344</v>
      </c>
      <c r="F228" s="7" t="s">
        <v>1654</v>
      </c>
    </row>
    <row r="229">
      <c r="A229" s="3" t="s">
        <v>2345</v>
      </c>
      <c r="B229" s="3">
        <v>1.331771E7</v>
      </c>
      <c r="C229" s="3" t="s">
        <v>372</v>
      </c>
      <c r="D229" s="7" t="s">
        <v>2346</v>
      </c>
      <c r="E229" s="14" t="s">
        <v>2347</v>
      </c>
      <c r="F229" s="7" t="s">
        <v>1678</v>
      </c>
    </row>
    <row r="230">
      <c r="A230" s="3" t="s">
        <v>2348</v>
      </c>
      <c r="B230" s="3">
        <v>1.3317742E7</v>
      </c>
      <c r="C230" s="3" t="s">
        <v>372</v>
      </c>
      <c r="D230" s="7" t="s">
        <v>2349</v>
      </c>
      <c r="E230" s="14" t="s">
        <v>2350</v>
      </c>
      <c r="F230" s="7" t="s">
        <v>1678</v>
      </c>
    </row>
    <row r="231">
      <c r="A231" s="3" t="s">
        <v>2351</v>
      </c>
      <c r="B231" s="3">
        <v>1.3318006E7</v>
      </c>
      <c r="C231" s="3" t="s">
        <v>24</v>
      </c>
      <c r="D231" s="7" t="s">
        <v>2352</v>
      </c>
      <c r="E231" s="14" t="s">
        <v>2353</v>
      </c>
      <c r="F231" s="7" t="s">
        <v>1639</v>
      </c>
    </row>
    <row r="232">
      <c r="A232" s="3" t="s">
        <v>2354</v>
      </c>
      <c r="B232" s="3">
        <v>1.3316701E7</v>
      </c>
      <c r="C232" s="3" t="s">
        <v>368</v>
      </c>
      <c r="D232" s="7" t="s">
        <v>2355</v>
      </c>
      <c r="E232" s="14" t="s">
        <v>2356</v>
      </c>
      <c r="F232" s="7" t="s">
        <v>1631</v>
      </c>
    </row>
    <row r="233">
      <c r="A233" s="3" t="s">
        <v>2357</v>
      </c>
      <c r="B233" s="3">
        <v>1.331725E7</v>
      </c>
      <c r="C233" s="3" t="s">
        <v>132</v>
      </c>
      <c r="D233" s="7" t="s">
        <v>2358</v>
      </c>
      <c r="E233" s="14" t="s">
        <v>2359</v>
      </c>
      <c r="F233" s="7" t="s">
        <v>1945</v>
      </c>
    </row>
    <row r="234">
      <c r="A234" s="3" t="s">
        <v>2360</v>
      </c>
      <c r="B234" s="3">
        <v>1.3317798E7</v>
      </c>
      <c r="C234" s="3" t="s">
        <v>193</v>
      </c>
      <c r="D234" s="7" t="s">
        <v>2361</v>
      </c>
      <c r="E234" s="14" t="s">
        <v>2362</v>
      </c>
      <c r="F234" s="7" t="s">
        <v>1758</v>
      </c>
    </row>
    <row r="235">
      <c r="A235" s="3" t="s">
        <v>2363</v>
      </c>
      <c r="B235" s="3">
        <v>1.3317714E7</v>
      </c>
      <c r="C235" s="3" t="s">
        <v>372</v>
      </c>
      <c r="D235" s="7" t="s">
        <v>2364</v>
      </c>
      <c r="E235" s="14" t="s">
        <v>2365</v>
      </c>
      <c r="F235" s="7" t="s">
        <v>1678</v>
      </c>
    </row>
    <row r="236">
      <c r="A236" s="3" t="s">
        <v>2366</v>
      </c>
      <c r="B236" s="3">
        <v>1.331518E7</v>
      </c>
      <c r="C236" s="3" t="s">
        <v>476</v>
      </c>
      <c r="D236" s="7" t="s">
        <v>2367</v>
      </c>
      <c r="E236" s="14" t="s">
        <v>2368</v>
      </c>
      <c r="F236" s="7" t="s">
        <v>1650</v>
      </c>
    </row>
    <row r="237">
      <c r="A237" s="3" t="s">
        <v>2369</v>
      </c>
      <c r="B237" s="3">
        <v>1.3316616E7</v>
      </c>
      <c r="C237" s="3" t="s">
        <v>611</v>
      </c>
      <c r="D237" s="7" t="s">
        <v>2370</v>
      </c>
      <c r="E237" s="14" t="s">
        <v>2371</v>
      </c>
      <c r="F237" s="7" t="s">
        <v>1686</v>
      </c>
    </row>
    <row r="238">
      <c r="A238" s="3" t="s">
        <v>2372</v>
      </c>
      <c r="B238" s="3">
        <v>1.3319012E7</v>
      </c>
      <c r="C238" s="3" t="s">
        <v>223</v>
      </c>
      <c r="D238" s="7" t="s">
        <v>2373</v>
      </c>
      <c r="E238" s="14" t="s">
        <v>2374</v>
      </c>
      <c r="F238" s="7" t="s">
        <v>1725</v>
      </c>
    </row>
    <row r="239">
      <c r="A239" s="3" t="s">
        <v>2375</v>
      </c>
      <c r="B239" s="3">
        <v>1.331845E7</v>
      </c>
      <c r="C239" s="3" t="s">
        <v>142</v>
      </c>
      <c r="D239" s="7" t="s">
        <v>2376</v>
      </c>
      <c r="E239" s="14" t="s">
        <v>2377</v>
      </c>
      <c r="F239" s="7" t="s">
        <v>1718</v>
      </c>
    </row>
    <row r="240">
      <c r="A240" s="3" t="s">
        <v>2378</v>
      </c>
      <c r="B240" s="3">
        <v>1.3318124E7</v>
      </c>
      <c r="C240" s="3" t="s">
        <v>24</v>
      </c>
      <c r="D240" s="7" t="s">
        <v>2379</v>
      </c>
      <c r="E240" s="14" t="s">
        <v>2380</v>
      </c>
      <c r="F240" s="7" t="s">
        <v>1639</v>
      </c>
    </row>
    <row r="241">
      <c r="A241" s="3" t="s">
        <v>2381</v>
      </c>
      <c r="B241" s="3">
        <v>1.3317796E7</v>
      </c>
      <c r="C241" s="3" t="s">
        <v>193</v>
      </c>
      <c r="D241" s="7" t="s">
        <v>2382</v>
      </c>
      <c r="E241" s="14" t="s">
        <v>2383</v>
      </c>
      <c r="F241" s="7" t="s">
        <v>1758</v>
      </c>
    </row>
    <row r="242">
      <c r="A242" s="3" t="s">
        <v>2384</v>
      </c>
      <c r="B242" s="3">
        <v>1.3317702E7</v>
      </c>
      <c r="C242" s="3" t="s">
        <v>160</v>
      </c>
      <c r="D242" s="7" t="s">
        <v>2385</v>
      </c>
      <c r="E242" s="14" t="s">
        <v>2386</v>
      </c>
      <c r="F242" s="7" t="s">
        <v>1682</v>
      </c>
    </row>
    <row r="243">
      <c r="A243" s="3" t="s">
        <v>2387</v>
      </c>
      <c r="B243" s="3">
        <v>1.3318334E7</v>
      </c>
      <c r="C243" s="3" t="s">
        <v>9</v>
      </c>
      <c r="D243" s="7" t="s">
        <v>2388</v>
      </c>
      <c r="E243" s="14" t="s">
        <v>2389</v>
      </c>
      <c r="F243" s="7" t="s">
        <v>2390</v>
      </c>
    </row>
    <row r="244">
      <c r="A244" s="3" t="s">
        <v>2391</v>
      </c>
      <c r="B244" s="3">
        <v>1.3317614E7</v>
      </c>
      <c r="C244" s="3" t="s">
        <v>160</v>
      </c>
      <c r="D244" s="7" t="s">
        <v>2392</v>
      </c>
      <c r="E244" s="14" t="s">
        <v>2393</v>
      </c>
      <c r="F244" s="7" t="s">
        <v>1682</v>
      </c>
    </row>
    <row r="245">
      <c r="A245" s="3" t="s">
        <v>2394</v>
      </c>
      <c r="B245" s="3">
        <v>1.3318008E7</v>
      </c>
      <c r="C245" s="3" t="s">
        <v>24</v>
      </c>
      <c r="D245" s="7" t="s">
        <v>2395</v>
      </c>
      <c r="E245" s="14" t="s">
        <v>2396</v>
      </c>
      <c r="F245" s="7" t="s">
        <v>1639</v>
      </c>
    </row>
    <row r="246">
      <c r="A246" s="3" t="s">
        <v>2397</v>
      </c>
      <c r="B246" s="3">
        <v>1.3316604E7</v>
      </c>
      <c r="C246" s="3" t="s">
        <v>611</v>
      </c>
      <c r="D246" s="7" t="s">
        <v>2398</v>
      </c>
      <c r="E246" s="14" t="s">
        <v>2399</v>
      </c>
      <c r="F246" s="7" t="s">
        <v>1686</v>
      </c>
    </row>
    <row r="247">
      <c r="A247" s="3" t="s">
        <v>2400</v>
      </c>
      <c r="B247" s="3">
        <v>1.3317248E7</v>
      </c>
      <c r="C247" s="3" t="s">
        <v>658</v>
      </c>
      <c r="D247" s="7" t="s">
        <v>2401</v>
      </c>
      <c r="E247" s="14" t="s">
        <v>2402</v>
      </c>
      <c r="F247" s="7" t="s">
        <v>1635</v>
      </c>
    </row>
    <row r="248">
      <c r="A248" s="3" t="s">
        <v>2403</v>
      </c>
      <c r="B248" s="3">
        <v>1.3318446E7</v>
      </c>
      <c r="C248" s="3" t="s">
        <v>142</v>
      </c>
      <c r="D248" s="7" t="s">
        <v>2404</v>
      </c>
      <c r="E248" s="14" t="s">
        <v>2405</v>
      </c>
      <c r="F248" s="7" t="s">
        <v>1718</v>
      </c>
    </row>
    <row r="249">
      <c r="A249" s="3" t="s">
        <v>2406</v>
      </c>
      <c r="B249" s="3">
        <v>1.3315174E7</v>
      </c>
      <c r="C249" s="3" t="s">
        <v>973</v>
      </c>
      <c r="D249" s="7" t="s">
        <v>2407</v>
      </c>
      <c r="E249" s="14" t="s">
        <v>2408</v>
      </c>
      <c r="F249" s="7" t="s">
        <v>1748</v>
      </c>
    </row>
    <row r="250">
      <c r="A250" s="3" t="s">
        <v>2409</v>
      </c>
      <c r="B250" s="3">
        <v>1.3318142E7</v>
      </c>
      <c r="C250" s="3" t="s">
        <v>231</v>
      </c>
      <c r="D250" s="7" t="s">
        <v>2410</v>
      </c>
      <c r="E250" s="14" t="s">
        <v>2411</v>
      </c>
      <c r="F250" s="7" t="s">
        <v>1668</v>
      </c>
    </row>
    <row r="251">
      <c r="A251" s="3" t="s">
        <v>2412</v>
      </c>
      <c r="B251" s="3">
        <v>1.3318424E7</v>
      </c>
      <c r="C251" s="3" t="s">
        <v>577</v>
      </c>
      <c r="D251" s="7" t="s">
        <v>2413</v>
      </c>
      <c r="E251" s="14" t="s">
        <v>2414</v>
      </c>
      <c r="F251" s="7" t="s">
        <v>2415</v>
      </c>
    </row>
    <row r="252">
      <c r="A252" s="3" t="s">
        <v>2416</v>
      </c>
      <c r="B252" s="3">
        <v>1.3318404E7</v>
      </c>
      <c r="C252" s="3" t="s">
        <v>413</v>
      </c>
      <c r="D252" s="7" t="s">
        <v>2417</v>
      </c>
      <c r="E252" s="14" t="s">
        <v>2418</v>
      </c>
      <c r="F252" s="7" t="s">
        <v>1735</v>
      </c>
    </row>
    <row r="253">
      <c r="A253" s="3" t="s">
        <v>2419</v>
      </c>
      <c r="B253" s="3">
        <v>1.331516E7</v>
      </c>
      <c r="C253" s="3" t="s">
        <v>515</v>
      </c>
      <c r="D253" s="7" t="s">
        <v>2420</v>
      </c>
      <c r="E253" s="14" t="s">
        <v>2421</v>
      </c>
      <c r="F253" s="7" t="s">
        <v>2046</v>
      </c>
    </row>
    <row r="254">
      <c r="A254" s="3" t="s">
        <v>2422</v>
      </c>
      <c r="B254" s="3">
        <v>1.331903E7</v>
      </c>
      <c r="C254" s="3" t="s">
        <v>223</v>
      </c>
      <c r="D254" s="7" t="s">
        <v>2423</v>
      </c>
      <c r="E254" s="14" t="s">
        <v>2424</v>
      </c>
      <c r="F254" s="7" t="s">
        <v>1725</v>
      </c>
    </row>
    <row r="255">
      <c r="A255" s="3" t="s">
        <v>2425</v>
      </c>
      <c r="B255" s="3">
        <v>1.331502E7</v>
      </c>
      <c r="C255" s="3" t="s">
        <v>180</v>
      </c>
      <c r="D255" s="7" t="s">
        <v>2426</v>
      </c>
      <c r="E255" s="14" t="s">
        <v>2427</v>
      </c>
      <c r="F255" s="7" t="s">
        <v>1704</v>
      </c>
    </row>
    <row r="256">
      <c r="A256" s="3" t="s">
        <v>2428</v>
      </c>
      <c r="B256" s="3">
        <v>1.3315262E7</v>
      </c>
      <c r="C256" s="3" t="s">
        <v>212</v>
      </c>
      <c r="D256" s="7" t="s">
        <v>2429</v>
      </c>
      <c r="E256" s="14" t="s">
        <v>2430</v>
      </c>
      <c r="F256" s="7" t="s">
        <v>1654</v>
      </c>
    </row>
    <row r="257">
      <c r="A257" s="3" t="s">
        <v>2431</v>
      </c>
      <c r="B257" s="3">
        <v>1.3315092E7</v>
      </c>
      <c r="C257" s="3" t="s">
        <v>1766</v>
      </c>
      <c r="D257" s="7" t="s">
        <v>2432</v>
      </c>
      <c r="E257" s="14" t="s">
        <v>2433</v>
      </c>
      <c r="F257" s="7" t="s">
        <v>1769</v>
      </c>
    </row>
    <row r="258">
      <c r="A258" s="3" t="s">
        <v>2434</v>
      </c>
      <c r="B258" s="3">
        <v>1.3315009E7</v>
      </c>
      <c r="C258" s="3" t="s">
        <v>180</v>
      </c>
      <c r="D258" s="7" t="s">
        <v>2435</v>
      </c>
      <c r="E258" s="14" t="s">
        <v>2436</v>
      </c>
      <c r="F258" s="7" t="s">
        <v>1704</v>
      </c>
    </row>
    <row r="259">
      <c r="A259" s="3" t="s">
        <v>2437</v>
      </c>
      <c r="B259" s="3">
        <v>1.3315172E7</v>
      </c>
      <c r="C259" s="3" t="s">
        <v>973</v>
      </c>
      <c r="D259" s="7" t="s">
        <v>2438</v>
      </c>
      <c r="E259" s="14" t="s">
        <v>2439</v>
      </c>
      <c r="F259" s="7" t="s">
        <v>1748</v>
      </c>
    </row>
    <row r="260">
      <c r="A260" s="3" t="s">
        <v>2440</v>
      </c>
      <c r="B260" s="3">
        <v>1.3317646E7</v>
      </c>
      <c r="C260" s="3" t="s">
        <v>160</v>
      </c>
      <c r="D260" s="7" t="s">
        <v>2441</v>
      </c>
      <c r="E260" s="14" t="s">
        <v>2442</v>
      </c>
      <c r="F260" s="7" t="s">
        <v>1682</v>
      </c>
    </row>
    <row r="261">
      <c r="A261" s="3" t="s">
        <v>2443</v>
      </c>
      <c r="B261" s="3">
        <v>1.331765E7</v>
      </c>
      <c r="C261" s="3" t="s">
        <v>160</v>
      </c>
      <c r="D261" s="7" t="s">
        <v>2444</v>
      </c>
      <c r="E261" s="14" t="s">
        <v>2445</v>
      </c>
      <c r="F261" s="7" t="s">
        <v>1682</v>
      </c>
    </row>
    <row r="262">
      <c r="A262" s="3" t="s">
        <v>2446</v>
      </c>
      <c r="B262" s="3">
        <v>1.3318121E7</v>
      </c>
      <c r="C262" s="3" t="s">
        <v>24</v>
      </c>
      <c r="D262" s="7" t="s">
        <v>2447</v>
      </c>
      <c r="E262" s="14" t="s">
        <v>2448</v>
      </c>
      <c r="F262" s="7" t="s">
        <v>1639</v>
      </c>
    </row>
    <row r="263">
      <c r="A263" s="3" t="s">
        <v>2449</v>
      </c>
      <c r="B263" s="3">
        <v>1.3317616E7</v>
      </c>
      <c r="C263" s="3" t="s">
        <v>160</v>
      </c>
      <c r="D263" s="7" t="s">
        <v>2450</v>
      </c>
      <c r="E263" s="14" t="s">
        <v>2451</v>
      </c>
      <c r="F263" s="7" t="s">
        <v>1682</v>
      </c>
    </row>
    <row r="264">
      <c r="A264" s="3" t="s">
        <v>2452</v>
      </c>
      <c r="B264" s="3">
        <v>1.3315084E7</v>
      </c>
      <c r="C264" s="3" t="s">
        <v>1831</v>
      </c>
      <c r="D264" s="7" t="s">
        <v>2453</v>
      </c>
      <c r="E264" s="14" t="s">
        <v>2454</v>
      </c>
      <c r="F264" s="7" t="s">
        <v>1834</v>
      </c>
    </row>
    <row r="265">
      <c r="A265" s="3" t="s">
        <v>2455</v>
      </c>
      <c r="B265" s="3">
        <v>1.3318174E7</v>
      </c>
      <c r="C265" s="3" t="s">
        <v>1131</v>
      </c>
      <c r="D265" s="7" t="s">
        <v>2456</v>
      </c>
      <c r="E265" s="14" t="s">
        <v>2457</v>
      </c>
      <c r="F265" s="7" t="s">
        <v>1664</v>
      </c>
    </row>
    <row r="266">
      <c r="A266" s="3" t="s">
        <v>2458</v>
      </c>
      <c r="B266" s="3">
        <v>1.3317718E7</v>
      </c>
      <c r="C266" s="3" t="s">
        <v>372</v>
      </c>
      <c r="D266" s="7" t="s">
        <v>2459</v>
      </c>
      <c r="E266" s="14" t="s">
        <v>2460</v>
      </c>
      <c r="F266" s="7" t="s">
        <v>1678</v>
      </c>
    </row>
    <row r="267">
      <c r="A267" s="3" t="s">
        <v>2461</v>
      </c>
      <c r="B267" s="3">
        <v>1.331816E7</v>
      </c>
      <c r="C267" s="3" t="s">
        <v>463</v>
      </c>
      <c r="D267" s="7" t="s">
        <v>2462</v>
      </c>
      <c r="E267" s="14" t="s">
        <v>2463</v>
      </c>
      <c r="F267" s="7" t="s">
        <v>2464</v>
      </c>
    </row>
    <row r="268">
      <c r="A268" s="3" t="s">
        <v>2465</v>
      </c>
      <c r="B268" s="3">
        <v>1.331824E7</v>
      </c>
      <c r="C268" s="3" t="s">
        <v>24</v>
      </c>
      <c r="D268" s="7" t="s">
        <v>2466</v>
      </c>
      <c r="E268" s="14" t="s">
        <v>2467</v>
      </c>
      <c r="F268" s="7" t="s">
        <v>1639</v>
      </c>
    </row>
    <row r="269">
      <c r="A269" s="3" t="s">
        <v>2468</v>
      </c>
      <c r="B269" s="3">
        <v>1.3318052E7</v>
      </c>
      <c r="C269" s="3" t="s">
        <v>24</v>
      </c>
      <c r="D269" s="7" t="s">
        <v>2469</v>
      </c>
      <c r="E269" s="14" t="s">
        <v>2470</v>
      </c>
      <c r="F269" s="7" t="s">
        <v>1639</v>
      </c>
    </row>
    <row r="270">
      <c r="A270" s="3" t="s">
        <v>2471</v>
      </c>
      <c r="B270" s="3">
        <v>1.3318162E7</v>
      </c>
      <c r="C270" s="3" t="s">
        <v>463</v>
      </c>
      <c r="D270" s="7" t="s">
        <v>2472</v>
      </c>
      <c r="E270" s="14" t="s">
        <v>2473</v>
      </c>
      <c r="F270" s="7" t="s">
        <v>2464</v>
      </c>
    </row>
    <row r="271">
      <c r="A271" s="3" t="s">
        <v>2064</v>
      </c>
      <c r="B271" s="3">
        <v>1.3318252E7</v>
      </c>
      <c r="C271" s="3" t="s">
        <v>149</v>
      </c>
      <c r="D271" s="7" t="s">
        <v>2065</v>
      </c>
      <c r="E271" s="14" t="s">
        <v>2474</v>
      </c>
      <c r="F271" s="7" t="s">
        <v>1777</v>
      </c>
    </row>
    <row r="272">
      <c r="A272" s="3" t="s">
        <v>2475</v>
      </c>
      <c r="B272" s="3">
        <v>1.3317628E7</v>
      </c>
      <c r="C272" s="3" t="s">
        <v>160</v>
      </c>
      <c r="D272" s="7" t="s">
        <v>2476</v>
      </c>
      <c r="E272" s="14" t="s">
        <v>2477</v>
      </c>
      <c r="F272" s="7" t="s">
        <v>1682</v>
      </c>
    </row>
    <row r="273">
      <c r="A273" s="3" t="s">
        <v>2478</v>
      </c>
      <c r="B273" s="3">
        <v>1.3318238E7</v>
      </c>
      <c r="C273" s="3" t="s">
        <v>1094</v>
      </c>
      <c r="D273" s="7" t="s">
        <v>2479</v>
      </c>
      <c r="E273" s="14" t="s">
        <v>2480</v>
      </c>
      <c r="F273" s="7" t="s">
        <v>2481</v>
      </c>
    </row>
    <row r="274">
      <c r="A274" s="3" t="s">
        <v>2482</v>
      </c>
      <c r="B274" s="3">
        <v>1.3316805E7</v>
      </c>
      <c r="C274" s="3" t="s">
        <v>164</v>
      </c>
      <c r="D274" s="7" t="s">
        <v>2483</v>
      </c>
      <c r="E274" s="14" t="s">
        <v>2484</v>
      </c>
      <c r="F274" s="7" t="s">
        <v>1866</v>
      </c>
    </row>
    <row r="275">
      <c r="A275" s="3" t="s">
        <v>2478</v>
      </c>
      <c r="B275" s="3">
        <v>1.331751E7</v>
      </c>
      <c r="C275" s="3" t="s">
        <v>394</v>
      </c>
      <c r="D275" s="7" t="s">
        <v>2479</v>
      </c>
      <c r="E275" s="14" t="s">
        <v>2485</v>
      </c>
      <c r="F275" s="7" t="s">
        <v>1873</v>
      </c>
    </row>
    <row r="276">
      <c r="A276" s="3" t="s">
        <v>2486</v>
      </c>
      <c r="B276" s="3">
        <v>1.3318058E7</v>
      </c>
      <c r="C276" s="3" t="s">
        <v>24</v>
      </c>
      <c r="D276" s="7" t="s">
        <v>2487</v>
      </c>
      <c r="E276" s="14" t="s">
        <v>2488</v>
      </c>
      <c r="F276" s="7" t="s">
        <v>1639</v>
      </c>
    </row>
    <row r="277">
      <c r="A277" s="3" t="s">
        <v>2489</v>
      </c>
      <c r="B277" s="3">
        <v>1.3317644E7</v>
      </c>
      <c r="C277" s="3" t="s">
        <v>160</v>
      </c>
      <c r="D277" s="7" t="s">
        <v>2490</v>
      </c>
      <c r="E277" s="14" t="s">
        <v>2491</v>
      </c>
      <c r="F277" s="7" t="s">
        <v>1682</v>
      </c>
    </row>
    <row r="278">
      <c r="A278" s="3" t="s">
        <v>2492</v>
      </c>
      <c r="B278" s="3">
        <v>1.3316613E7</v>
      </c>
      <c r="C278" s="3" t="s">
        <v>611</v>
      </c>
      <c r="D278" s="7" t="s">
        <v>2493</v>
      </c>
      <c r="E278" s="14" t="s">
        <v>2494</v>
      </c>
      <c r="F278" s="7" t="s">
        <v>1686</v>
      </c>
    </row>
    <row r="279">
      <c r="A279" s="3" t="s">
        <v>2495</v>
      </c>
      <c r="B279" s="3">
        <v>1.3315242E7</v>
      </c>
      <c r="C279" s="3" t="s">
        <v>212</v>
      </c>
      <c r="D279" s="7" t="s">
        <v>2496</v>
      </c>
      <c r="E279" s="14" t="s">
        <v>2497</v>
      </c>
      <c r="F279" s="7" t="s">
        <v>1654</v>
      </c>
    </row>
    <row r="280">
      <c r="A280" s="3" t="s">
        <v>2498</v>
      </c>
      <c r="B280" s="3">
        <v>1.3315106E7</v>
      </c>
      <c r="C280" s="3" t="s">
        <v>216</v>
      </c>
      <c r="D280" s="7" t="s">
        <v>2499</v>
      </c>
      <c r="E280" s="14" t="s">
        <v>2500</v>
      </c>
      <c r="F280" s="7" t="s">
        <v>1714</v>
      </c>
    </row>
    <row r="281">
      <c r="A281" s="3" t="s">
        <v>2501</v>
      </c>
      <c r="B281" s="3">
        <v>1.3318044E7</v>
      </c>
      <c r="C281" s="3" t="s">
        <v>24</v>
      </c>
      <c r="D281" s="7" t="s">
        <v>2502</v>
      </c>
      <c r="E281" s="14" t="s">
        <v>2503</v>
      </c>
      <c r="F281" s="7" t="s">
        <v>1639</v>
      </c>
    </row>
    <row r="282">
      <c r="A282" s="3" t="s">
        <v>2504</v>
      </c>
      <c r="B282" s="3">
        <v>1.3316707E7</v>
      </c>
      <c r="C282" s="3" t="s">
        <v>368</v>
      </c>
      <c r="D282" s="7" t="s">
        <v>2505</v>
      </c>
      <c r="E282" s="14" t="s">
        <v>2506</v>
      </c>
      <c r="F282" s="7" t="s">
        <v>1631</v>
      </c>
    </row>
    <row r="283">
      <c r="A283" s="3" t="s">
        <v>2507</v>
      </c>
      <c r="B283" s="3">
        <v>1.3318153E7</v>
      </c>
      <c r="C283" s="3" t="s">
        <v>231</v>
      </c>
      <c r="D283" s="7" t="s">
        <v>2508</v>
      </c>
      <c r="E283" s="14" t="s">
        <v>2509</v>
      </c>
      <c r="F283" s="7" t="s">
        <v>1668</v>
      </c>
    </row>
    <row r="284">
      <c r="A284" s="3" t="s">
        <v>2510</v>
      </c>
      <c r="B284" s="3">
        <v>1.3318016E7</v>
      </c>
      <c r="C284" s="3" t="s">
        <v>24</v>
      </c>
      <c r="D284" s="7" t="s">
        <v>2511</v>
      </c>
      <c r="E284" s="14" t="s">
        <v>2512</v>
      </c>
      <c r="F284" s="7" t="s">
        <v>1639</v>
      </c>
    </row>
    <row r="285">
      <c r="A285" s="3" t="s">
        <v>2513</v>
      </c>
      <c r="B285" s="3">
        <v>1.3317774E7</v>
      </c>
      <c r="C285" s="3" t="s">
        <v>193</v>
      </c>
      <c r="D285" s="7" t="s">
        <v>2514</v>
      </c>
      <c r="E285" s="14" t="s">
        <v>2515</v>
      </c>
      <c r="F285" s="7" t="s">
        <v>1758</v>
      </c>
    </row>
    <row r="286">
      <c r="A286" s="3" t="s">
        <v>2516</v>
      </c>
      <c r="B286" s="3">
        <v>1.3318232E7</v>
      </c>
      <c r="C286" s="3" t="s">
        <v>149</v>
      </c>
      <c r="D286" s="7" t="s">
        <v>2517</v>
      </c>
      <c r="E286" s="14" t="s">
        <v>2518</v>
      </c>
      <c r="F286" s="7" t="s">
        <v>1777</v>
      </c>
    </row>
    <row r="287">
      <c r="A287" s="3" t="s">
        <v>2519</v>
      </c>
      <c r="B287" s="3">
        <v>1.3317514E7</v>
      </c>
      <c r="C287" s="3" t="s">
        <v>394</v>
      </c>
      <c r="D287" s="7" t="s">
        <v>2520</v>
      </c>
      <c r="E287" s="14" t="s">
        <v>2521</v>
      </c>
      <c r="F287" s="7" t="s">
        <v>1873</v>
      </c>
    </row>
    <row r="288">
      <c r="A288" s="3" t="s">
        <v>2522</v>
      </c>
      <c r="B288" s="3">
        <v>1.3316615E7</v>
      </c>
      <c r="C288" s="3" t="s">
        <v>611</v>
      </c>
      <c r="D288" s="7" t="s">
        <v>2523</v>
      </c>
      <c r="E288" s="14" t="s">
        <v>2524</v>
      </c>
      <c r="F288" s="7" t="s">
        <v>1686</v>
      </c>
    </row>
    <row r="289">
      <c r="A289" s="3" t="s">
        <v>2525</v>
      </c>
      <c r="B289" s="3">
        <v>1.3318456E7</v>
      </c>
      <c r="C289" s="3" t="s">
        <v>142</v>
      </c>
      <c r="D289" s="7" t="s">
        <v>2526</v>
      </c>
      <c r="E289" s="14" t="s">
        <v>2527</v>
      </c>
      <c r="F289" s="7" t="s">
        <v>1718</v>
      </c>
    </row>
    <row r="290">
      <c r="A290" s="3" t="s">
        <v>2528</v>
      </c>
      <c r="B290" s="3">
        <v>1.3315164E7</v>
      </c>
      <c r="C290" s="3" t="s">
        <v>515</v>
      </c>
      <c r="D290" s="7" t="s">
        <v>2529</v>
      </c>
      <c r="E290" s="14" t="s">
        <v>2530</v>
      </c>
      <c r="F290" s="7" t="s">
        <v>2046</v>
      </c>
    </row>
    <row r="291">
      <c r="A291" s="3" t="s">
        <v>2531</v>
      </c>
      <c r="B291" s="3">
        <v>1.331766E7</v>
      </c>
      <c r="C291" s="3" t="s">
        <v>160</v>
      </c>
      <c r="D291" s="7" t="s">
        <v>2532</v>
      </c>
      <c r="E291" s="14" t="s">
        <v>2533</v>
      </c>
      <c r="F291" s="7" t="s">
        <v>1682</v>
      </c>
    </row>
    <row r="292">
      <c r="A292" s="3" t="s">
        <v>2534</v>
      </c>
      <c r="B292" s="3">
        <v>1.331517E7</v>
      </c>
      <c r="C292" s="3" t="s">
        <v>973</v>
      </c>
      <c r="D292" s="7" t="s">
        <v>2535</v>
      </c>
      <c r="E292" s="14" t="s">
        <v>2536</v>
      </c>
      <c r="F292" s="7" t="s">
        <v>1748</v>
      </c>
    </row>
    <row r="293">
      <c r="A293" s="3" t="s">
        <v>2537</v>
      </c>
      <c r="B293" s="3">
        <v>1.3317276E7</v>
      </c>
      <c r="C293" s="3" t="s">
        <v>654</v>
      </c>
      <c r="D293" s="7" t="s">
        <v>2538</v>
      </c>
      <c r="E293" s="14" t="s">
        <v>2539</v>
      </c>
      <c r="F293" s="7" t="s">
        <v>1690</v>
      </c>
    </row>
    <row r="294">
      <c r="A294" s="3" t="s">
        <v>2540</v>
      </c>
      <c r="B294" s="3">
        <v>1.3316617E7</v>
      </c>
      <c r="C294" s="3" t="s">
        <v>611</v>
      </c>
      <c r="D294" s="7" t="s">
        <v>2541</v>
      </c>
      <c r="E294" s="14" t="s">
        <v>2542</v>
      </c>
      <c r="F294" s="7" t="s">
        <v>1686</v>
      </c>
    </row>
    <row r="295">
      <c r="A295" s="3" t="s">
        <v>2543</v>
      </c>
      <c r="B295" s="3">
        <v>1.331729E7</v>
      </c>
      <c r="C295" s="3" t="s">
        <v>658</v>
      </c>
      <c r="D295" s="7" t="s">
        <v>2544</v>
      </c>
      <c r="E295" s="14" t="s">
        <v>2545</v>
      </c>
      <c r="F295" s="7" t="s">
        <v>1635</v>
      </c>
    </row>
    <row r="296">
      <c r="A296" s="3" t="s">
        <v>2546</v>
      </c>
      <c r="B296" s="3">
        <v>1.3317506E7</v>
      </c>
      <c r="C296" s="3" t="s">
        <v>394</v>
      </c>
      <c r="D296" s="7" t="s">
        <v>2547</v>
      </c>
      <c r="E296" s="14" t="s">
        <v>2548</v>
      </c>
      <c r="F296" s="7" t="s">
        <v>1873</v>
      </c>
    </row>
    <row r="297">
      <c r="A297" s="3" t="s">
        <v>2549</v>
      </c>
      <c r="B297" s="3">
        <v>1.3318046E7</v>
      </c>
      <c r="C297" s="3" t="s">
        <v>24</v>
      </c>
      <c r="D297" s="7" t="s">
        <v>2550</v>
      </c>
      <c r="E297" s="14" t="s">
        <v>2551</v>
      </c>
      <c r="F297" s="7" t="s">
        <v>1639</v>
      </c>
    </row>
    <row r="298">
      <c r="A298" s="3" t="s">
        <v>2552</v>
      </c>
      <c r="B298" s="3">
        <v>1.3317732E7</v>
      </c>
      <c r="C298" s="3" t="s">
        <v>372</v>
      </c>
      <c r="D298" s="7" t="s">
        <v>2553</v>
      </c>
      <c r="E298" s="14" t="s">
        <v>2554</v>
      </c>
      <c r="F298" s="7" t="s">
        <v>1678</v>
      </c>
    </row>
    <row r="299">
      <c r="A299" s="3" t="s">
        <v>2555</v>
      </c>
      <c r="B299" s="3">
        <v>1.3315116E7</v>
      </c>
      <c r="C299" s="3" t="s">
        <v>216</v>
      </c>
      <c r="D299" s="7" t="s">
        <v>2556</v>
      </c>
      <c r="E299" s="14" t="s">
        <v>2557</v>
      </c>
      <c r="F299" s="7" t="s">
        <v>1714</v>
      </c>
    </row>
    <row r="300">
      <c r="A300" s="3" t="s">
        <v>2558</v>
      </c>
      <c r="B300" s="3">
        <v>1.3315027E7</v>
      </c>
      <c r="C300" s="3" t="s">
        <v>180</v>
      </c>
      <c r="D300" s="7" t="s">
        <v>2559</v>
      </c>
      <c r="E300" s="14" t="s">
        <v>2560</v>
      </c>
      <c r="F300" s="7" t="s">
        <v>1704</v>
      </c>
    </row>
    <row r="301">
      <c r="A301" s="3" t="s">
        <v>2561</v>
      </c>
      <c r="B301" s="3">
        <v>1.3315031E7</v>
      </c>
      <c r="C301" s="3" t="s">
        <v>180</v>
      </c>
      <c r="D301" s="7" t="s">
        <v>2562</v>
      </c>
      <c r="E301" s="14" t="s">
        <v>2563</v>
      </c>
      <c r="F301" s="7" t="s">
        <v>1704</v>
      </c>
    </row>
    <row r="302">
      <c r="A302" s="3" t="s">
        <v>2564</v>
      </c>
      <c r="B302" s="3">
        <v>1.3316611E7</v>
      </c>
      <c r="C302" s="3" t="s">
        <v>611</v>
      </c>
      <c r="D302" s="7" t="s">
        <v>2565</v>
      </c>
      <c r="E302" s="14" t="s">
        <v>2566</v>
      </c>
      <c r="F302" s="7" t="s">
        <v>1686</v>
      </c>
    </row>
    <row r="303">
      <c r="A303" s="3" t="s">
        <v>2567</v>
      </c>
      <c r="B303" s="3">
        <v>1.331818E7</v>
      </c>
      <c r="C303" s="3" t="s">
        <v>1131</v>
      </c>
      <c r="D303" s="7" t="s">
        <v>2568</v>
      </c>
      <c r="E303" s="14" t="s">
        <v>2569</v>
      </c>
      <c r="F303" s="7" t="s">
        <v>1664</v>
      </c>
    </row>
    <row r="304">
      <c r="A304" s="3" t="s">
        <v>2570</v>
      </c>
      <c r="B304" s="3">
        <v>1.3318078E7</v>
      </c>
      <c r="C304" s="3" t="s">
        <v>24</v>
      </c>
      <c r="D304" s="7" t="s">
        <v>2571</v>
      </c>
      <c r="E304" s="14" t="s">
        <v>2572</v>
      </c>
      <c r="F304" s="7" t="s">
        <v>1639</v>
      </c>
    </row>
    <row r="305">
      <c r="A305" s="3" t="s">
        <v>2273</v>
      </c>
      <c r="B305" s="3">
        <v>1.3318409E7</v>
      </c>
      <c r="C305" s="3" t="s">
        <v>1508</v>
      </c>
      <c r="D305" s="7" t="s">
        <v>2274</v>
      </c>
      <c r="E305" s="14" t="s">
        <v>2573</v>
      </c>
      <c r="F305" s="7" t="s">
        <v>2574</v>
      </c>
    </row>
    <row r="306">
      <c r="A306" s="3" t="s">
        <v>2575</v>
      </c>
      <c r="B306" s="3">
        <v>1.3318116E7</v>
      </c>
      <c r="C306" s="3" t="s">
        <v>24</v>
      </c>
      <c r="D306" s="7" t="s">
        <v>2576</v>
      </c>
      <c r="E306" s="14" t="s">
        <v>2577</v>
      </c>
      <c r="F306" s="7" t="s">
        <v>1639</v>
      </c>
    </row>
    <row r="307">
      <c r="A307" s="3" t="s">
        <v>2578</v>
      </c>
      <c r="B307" s="3">
        <v>1.3316612E7</v>
      </c>
      <c r="C307" s="3" t="s">
        <v>611</v>
      </c>
      <c r="D307" s="7" t="s">
        <v>2579</v>
      </c>
      <c r="E307" s="14" t="s">
        <v>2580</v>
      </c>
      <c r="F307" s="7" t="s">
        <v>1686</v>
      </c>
    </row>
    <row r="308">
      <c r="A308" s="3" t="s">
        <v>2581</v>
      </c>
      <c r="B308" s="3">
        <v>1.3317262E7</v>
      </c>
      <c r="C308" s="3" t="s">
        <v>658</v>
      </c>
      <c r="D308" s="7" t="s">
        <v>2582</v>
      </c>
      <c r="E308" s="14" t="s">
        <v>2583</v>
      </c>
      <c r="F308" s="7" t="s">
        <v>1635</v>
      </c>
    </row>
    <row r="309">
      <c r="A309" s="3" t="s">
        <v>2584</v>
      </c>
      <c r="B309" s="3">
        <v>1.3318106E7</v>
      </c>
      <c r="C309" s="3" t="s">
        <v>24</v>
      </c>
      <c r="D309" s="7" t="s">
        <v>2585</v>
      </c>
      <c r="E309" s="14" t="s">
        <v>2586</v>
      </c>
      <c r="F309" s="7" t="s">
        <v>1639</v>
      </c>
    </row>
    <row r="310">
      <c r="A310" s="3" t="s">
        <v>2587</v>
      </c>
      <c r="B310" s="3">
        <v>1.3318074E7</v>
      </c>
      <c r="C310" s="3" t="s">
        <v>24</v>
      </c>
      <c r="D310" s="7" t="s">
        <v>2588</v>
      </c>
      <c r="E310" s="14" t="s">
        <v>2589</v>
      </c>
      <c r="F310" s="7" t="s">
        <v>1639</v>
      </c>
    </row>
    <row r="311">
      <c r="A311" s="3" t="s">
        <v>2590</v>
      </c>
      <c r="B311" s="3">
        <v>1.3317618E7</v>
      </c>
      <c r="C311" s="3" t="s">
        <v>160</v>
      </c>
      <c r="D311" s="7" t="s">
        <v>2591</v>
      </c>
      <c r="E311" s="14" t="s">
        <v>2592</v>
      </c>
      <c r="F311" s="7" t="s">
        <v>1682</v>
      </c>
    </row>
    <row r="312">
      <c r="A312" s="3" t="s">
        <v>2593</v>
      </c>
      <c r="B312" s="3">
        <v>1.3315252E7</v>
      </c>
      <c r="C312" s="3" t="s">
        <v>212</v>
      </c>
      <c r="D312" s="7" t="s">
        <v>2594</v>
      </c>
      <c r="E312" s="14" t="s">
        <v>2595</v>
      </c>
      <c r="F312" s="7" t="s">
        <v>1654</v>
      </c>
    </row>
    <row r="313">
      <c r="A313" s="3" t="s">
        <v>2596</v>
      </c>
      <c r="B313" s="3">
        <v>1.3318254E7</v>
      </c>
      <c r="C313" s="3" t="s">
        <v>24</v>
      </c>
      <c r="D313" s="7" t="s">
        <v>2597</v>
      </c>
      <c r="E313" s="14" t="s">
        <v>2598</v>
      </c>
      <c r="F313" s="7" t="s">
        <v>1639</v>
      </c>
    </row>
    <row r="314">
      <c r="A314" s="3" t="s">
        <v>2599</v>
      </c>
      <c r="B314" s="3">
        <v>1.331767E7</v>
      </c>
      <c r="C314" s="3" t="s">
        <v>160</v>
      </c>
      <c r="D314" s="7" t="s">
        <v>2600</v>
      </c>
      <c r="E314" s="14" t="s">
        <v>2601</v>
      </c>
      <c r="F314" s="7" t="s">
        <v>1682</v>
      </c>
    </row>
    <row r="315">
      <c r="A315" s="3" t="s">
        <v>2602</v>
      </c>
      <c r="B315" s="3">
        <v>1.3317854E7</v>
      </c>
      <c r="C315" s="3" t="s">
        <v>226</v>
      </c>
      <c r="D315" s="7" t="s">
        <v>2603</v>
      </c>
      <c r="E315" s="14" t="s">
        <v>2604</v>
      </c>
      <c r="F315" s="7" t="s">
        <v>1958</v>
      </c>
    </row>
    <row r="316">
      <c r="A316" s="3" t="s">
        <v>2605</v>
      </c>
      <c r="B316" s="3">
        <v>1.3318094E7</v>
      </c>
      <c r="C316" s="3" t="s">
        <v>24</v>
      </c>
      <c r="D316" s="7" t="s">
        <v>2606</v>
      </c>
      <c r="E316" s="14" t="s">
        <v>2607</v>
      </c>
      <c r="F316" s="7" t="s">
        <v>1639</v>
      </c>
    </row>
    <row r="317">
      <c r="A317" s="3" t="s">
        <v>2608</v>
      </c>
      <c r="B317" s="3">
        <v>1.3318452E7</v>
      </c>
      <c r="C317" s="3" t="s">
        <v>142</v>
      </c>
      <c r="D317" s="7" t="s">
        <v>2609</v>
      </c>
      <c r="E317" s="14" t="s">
        <v>2610</v>
      </c>
      <c r="F317" s="7" t="s">
        <v>1718</v>
      </c>
    </row>
    <row r="318">
      <c r="A318" s="3" t="s">
        <v>2611</v>
      </c>
      <c r="B318" s="3">
        <v>1.3318182E7</v>
      </c>
      <c r="C318" s="3" t="s">
        <v>1131</v>
      </c>
      <c r="D318" s="7" t="s">
        <v>2612</v>
      </c>
      <c r="E318" s="14" t="s">
        <v>2613</v>
      </c>
      <c r="F318" s="7" t="s">
        <v>1664</v>
      </c>
    </row>
    <row r="319">
      <c r="A319" s="3" t="s">
        <v>2614</v>
      </c>
      <c r="B319" s="3">
        <v>1.3319018E7</v>
      </c>
      <c r="C319" s="3" t="s">
        <v>223</v>
      </c>
      <c r="D319" s="7" t="s">
        <v>2615</v>
      </c>
      <c r="E319" s="14" t="s">
        <v>2616</v>
      </c>
      <c r="F319" s="7" t="s">
        <v>1725</v>
      </c>
    </row>
    <row r="320">
      <c r="A320" s="3" t="s">
        <v>2617</v>
      </c>
      <c r="B320" s="3">
        <v>1.3315025E7</v>
      </c>
      <c r="C320" s="3" t="s">
        <v>180</v>
      </c>
      <c r="D320" s="7" t="s">
        <v>2618</v>
      </c>
      <c r="E320" s="14" t="s">
        <v>2619</v>
      </c>
      <c r="F320" s="7" t="s">
        <v>1704</v>
      </c>
    </row>
    <row r="321">
      <c r="A321" s="3" t="s">
        <v>16</v>
      </c>
      <c r="B321" s="3">
        <v>1.3318132E7</v>
      </c>
      <c r="C321" s="3" t="s">
        <v>231</v>
      </c>
      <c r="D321" s="7" t="s">
        <v>2620</v>
      </c>
      <c r="E321" s="14" t="s">
        <v>2621</v>
      </c>
      <c r="F321" s="7" t="s">
        <v>1668</v>
      </c>
    </row>
    <row r="322">
      <c r="A322" s="3" t="s">
        <v>2622</v>
      </c>
      <c r="B322" s="3">
        <v>1.3318462E7</v>
      </c>
      <c r="C322" s="3" t="s">
        <v>142</v>
      </c>
      <c r="D322" s="7" t="s">
        <v>2623</v>
      </c>
      <c r="E322" s="14" t="s">
        <v>2624</v>
      </c>
      <c r="F322" s="7" t="s">
        <v>1718</v>
      </c>
    </row>
    <row r="323">
      <c r="A323" s="3" t="s">
        <v>2625</v>
      </c>
      <c r="B323" s="3">
        <v>1.3316704E7</v>
      </c>
      <c r="C323" s="3" t="s">
        <v>368</v>
      </c>
      <c r="D323" s="7" t="s">
        <v>2626</v>
      </c>
      <c r="E323" s="14" t="s">
        <v>2627</v>
      </c>
      <c r="F323" s="7" t="s">
        <v>1631</v>
      </c>
    </row>
    <row r="324">
      <c r="A324" s="3" t="s">
        <v>2628</v>
      </c>
      <c r="B324" s="3">
        <v>1.3317668E7</v>
      </c>
      <c r="C324" s="3" t="s">
        <v>160</v>
      </c>
      <c r="D324" s="7" t="s">
        <v>2629</v>
      </c>
      <c r="E324" s="14" t="s">
        <v>2630</v>
      </c>
      <c r="F324" s="7" t="s">
        <v>1682</v>
      </c>
    </row>
    <row r="325">
      <c r="A325" s="3" t="s">
        <v>2631</v>
      </c>
      <c r="B325" s="3">
        <v>1.3315258E7</v>
      </c>
      <c r="C325" s="3" t="s">
        <v>212</v>
      </c>
      <c r="D325" s="7" t="s">
        <v>2632</v>
      </c>
      <c r="E325" s="14" t="s">
        <v>2633</v>
      </c>
      <c r="F325" s="7" t="s">
        <v>1654</v>
      </c>
    </row>
    <row r="326">
      <c r="A326" s="3" t="s">
        <v>2634</v>
      </c>
      <c r="B326" s="3">
        <v>1.331842E7</v>
      </c>
      <c r="C326" s="3" t="s">
        <v>577</v>
      </c>
      <c r="D326" s="7" t="s">
        <v>2635</v>
      </c>
      <c r="E326" s="14" t="s">
        <v>2636</v>
      </c>
      <c r="F326" s="7" t="s">
        <v>2415</v>
      </c>
    </row>
    <row r="327">
      <c r="A327" s="3" t="s">
        <v>2637</v>
      </c>
      <c r="B327" s="3">
        <v>1.3318138E7</v>
      </c>
      <c r="C327" s="3" t="s">
        <v>231</v>
      </c>
      <c r="D327" s="7" t="s">
        <v>2638</v>
      </c>
      <c r="E327" s="14" t="s">
        <v>2639</v>
      </c>
      <c r="F327" s="7" t="s">
        <v>1668</v>
      </c>
    </row>
    <row r="328">
      <c r="A328" s="3" t="s">
        <v>2640</v>
      </c>
      <c r="B328" s="3">
        <v>1.3317862E7</v>
      </c>
      <c r="C328" s="3" t="s">
        <v>226</v>
      </c>
      <c r="D328" s="7" t="s">
        <v>2641</v>
      </c>
      <c r="E328" s="14" t="s">
        <v>2642</v>
      </c>
      <c r="F328" s="7" t="s">
        <v>1958</v>
      </c>
    </row>
    <row r="329">
      <c r="A329" s="3" t="s">
        <v>2643</v>
      </c>
      <c r="B329" s="3">
        <v>1.3315112E7</v>
      </c>
      <c r="C329" s="3" t="s">
        <v>216</v>
      </c>
      <c r="D329" s="7" t="s">
        <v>2644</v>
      </c>
      <c r="E329" s="14" t="s">
        <v>2645</v>
      </c>
      <c r="F329" s="7" t="s">
        <v>1714</v>
      </c>
    </row>
    <row r="330">
      <c r="A330" s="3" t="s">
        <v>2646</v>
      </c>
      <c r="B330" s="3">
        <v>1.331508E7</v>
      </c>
      <c r="C330" s="3" t="s">
        <v>1766</v>
      </c>
      <c r="D330" s="7" t="s">
        <v>2647</v>
      </c>
      <c r="E330" s="14" t="s">
        <v>2648</v>
      </c>
      <c r="F330" s="7" t="s">
        <v>1769</v>
      </c>
    </row>
    <row r="331">
      <c r="A331" s="3" t="s">
        <v>2649</v>
      </c>
      <c r="B331" s="3">
        <v>1.3316606E7</v>
      </c>
      <c r="C331" s="3" t="s">
        <v>611</v>
      </c>
      <c r="D331" s="7" t="s">
        <v>2650</v>
      </c>
      <c r="E331" s="14" t="s">
        <v>2651</v>
      </c>
      <c r="F331" s="7" t="s">
        <v>1686</v>
      </c>
    </row>
    <row r="332">
      <c r="A332" s="3" t="s">
        <v>2652</v>
      </c>
      <c r="B332" s="3">
        <v>1.3318266E7</v>
      </c>
      <c r="C332" s="3" t="s">
        <v>153</v>
      </c>
      <c r="D332" s="7" t="s">
        <v>2653</v>
      </c>
      <c r="E332" s="14" t="s">
        <v>2654</v>
      </c>
      <c r="F332" s="7" t="s">
        <v>1796</v>
      </c>
    </row>
    <row r="333">
      <c r="A333" s="3" t="s">
        <v>2655</v>
      </c>
      <c r="B333" s="3">
        <v>1.3317696E7</v>
      </c>
      <c r="C333" s="3" t="s">
        <v>160</v>
      </c>
      <c r="D333" s="7" t="s">
        <v>2656</v>
      </c>
      <c r="E333" s="14" t="s">
        <v>2657</v>
      </c>
      <c r="F333" s="7" t="s">
        <v>1682</v>
      </c>
    </row>
    <row r="334">
      <c r="A334" s="3" t="s">
        <v>2658</v>
      </c>
      <c r="B334" s="3">
        <v>1.331723E7</v>
      </c>
      <c r="C334" s="3" t="s">
        <v>132</v>
      </c>
      <c r="D334" s="7" t="s">
        <v>2659</v>
      </c>
      <c r="E334" s="14" t="s">
        <v>2660</v>
      </c>
      <c r="F334" s="7" t="s">
        <v>1945</v>
      </c>
    </row>
    <row r="335">
      <c r="A335" s="3" t="s">
        <v>2661</v>
      </c>
      <c r="B335" s="3">
        <v>1.3315248E7</v>
      </c>
      <c r="C335" s="3" t="s">
        <v>212</v>
      </c>
      <c r="D335" s="7" t="s">
        <v>2662</v>
      </c>
      <c r="E335" s="14" t="s">
        <v>2663</v>
      </c>
      <c r="F335" s="7" t="s">
        <v>1654</v>
      </c>
    </row>
    <row r="336">
      <c r="A336" s="3" t="s">
        <v>2664</v>
      </c>
      <c r="B336" s="3">
        <v>1.3318422E7</v>
      </c>
      <c r="C336" s="3" t="s">
        <v>577</v>
      </c>
      <c r="D336" s="7" t="s">
        <v>2665</v>
      </c>
      <c r="E336" s="14" t="s">
        <v>2666</v>
      </c>
      <c r="F336" s="7" t="s">
        <v>2415</v>
      </c>
    </row>
    <row r="337">
      <c r="A337" s="3" t="s">
        <v>2667</v>
      </c>
      <c r="B337" s="3">
        <v>1.3317708E7</v>
      </c>
      <c r="C337" s="3" t="s">
        <v>372</v>
      </c>
      <c r="D337" s="7" t="s">
        <v>2668</v>
      </c>
      <c r="E337" s="14" t="s">
        <v>2669</v>
      </c>
      <c r="F337" s="7" t="s">
        <v>1678</v>
      </c>
    </row>
    <row r="338">
      <c r="A338" s="3" t="s">
        <v>2670</v>
      </c>
      <c r="B338" s="3">
        <v>1.331772E7</v>
      </c>
      <c r="C338" s="3" t="s">
        <v>372</v>
      </c>
      <c r="D338" s="7" t="s">
        <v>2671</v>
      </c>
      <c r="E338" s="14" t="s">
        <v>2672</v>
      </c>
      <c r="F338" s="7" t="s">
        <v>1678</v>
      </c>
    </row>
    <row r="339">
      <c r="A339" s="3" t="s">
        <v>2673</v>
      </c>
      <c r="B339" s="3">
        <v>1.3316712E7</v>
      </c>
      <c r="C339" s="3" t="s">
        <v>368</v>
      </c>
      <c r="D339" s="7" t="s">
        <v>2674</v>
      </c>
      <c r="E339" s="14" t="s">
        <v>2675</v>
      </c>
      <c r="F339" s="7" t="s">
        <v>1631</v>
      </c>
    </row>
    <row r="340">
      <c r="A340" s="3" t="s">
        <v>2676</v>
      </c>
      <c r="B340" s="3">
        <v>1.3318022E7</v>
      </c>
      <c r="C340" s="3" t="s">
        <v>24</v>
      </c>
      <c r="D340" s="7" t="s">
        <v>2677</v>
      </c>
      <c r="E340" s="14" t="s">
        <v>2678</v>
      </c>
      <c r="F340" s="7" t="s">
        <v>1639</v>
      </c>
    </row>
    <row r="341">
      <c r="A341" s="3" t="s">
        <v>2679</v>
      </c>
      <c r="B341" s="3">
        <v>1.3316608E7</v>
      </c>
      <c r="C341" s="3" t="s">
        <v>611</v>
      </c>
      <c r="D341" s="7" t="s">
        <v>2680</v>
      </c>
      <c r="E341" s="14" t="s">
        <v>2681</v>
      </c>
      <c r="F341" s="7" t="s">
        <v>1686</v>
      </c>
    </row>
    <row r="342">
      <c r="A342" s="3" t="s">
        <v>2682</v>
      </c>
      <c r="B342" s="3">
        <v>1.3315118E7</v>
      </c>
      <c r="C342" s="3" t="s">
        <v>216</v>
      </c>
      <c r="D342" s="7" t="s">
        <v>2683</v>
      </c>
      <c r="E342" s="14" t="s">
        <v>2684</v>
      </c>
      <c r="F342" s="7" t="s">
        <v>1714</v>
      </c>
    </row>
    <row r="343">
      <c r="A343" s="3" t="s">
        <v>2685</v>
      </c>
      <c r="B343" s="3">
        <v>1.3315021E7</v>
      </c>
      <c r="C343" s="3" t="s">
        <v>180</v>
      </c>
      <c r="D343" s="7" t="s">
        <v>2686</v>
      </c>
      <c r="E343" s="14" t="s">
        <v>2687</v>
      </c>
      <c r="F343" s="7" t="s">
        <v>1704</v>
      </c>
    </row>
    <row r="344">
      <c r="A344" s="3" t="s">
        <v>2688</v>
      </c>
      <c r="B344" s="3">
        <v>1.3318088E7</v>
      </c>
      <c r="C344" s="3" t="s">
        <v>24</v>
      </c>
      <c r="D344" s="7" t="s">
        <v>2689</v>
      </c>
      <c r="E344" s="14" t="s">
        <v>2690</v>
      </c>
      <c r="F344" s="7" t="s">
        <v>1639</v>
      </c>
    </row>
    <row r="345">
      <c r="A345" s="3" t="s">
        <v>2691</v>
      </c>
      <c r="B345" s="3">
        <v>1.3318268E7</v>
      </c>
      <c r="C345" s="3" t="s">
        <v>153</v>
      </c>
      <c r="D345" s="7" t="s">
        <v>2692</v>
      </c>
      <c r="E345" s="14" t="s">
        <v>2693</v>
      </c>
      <c r="F345" s="7" t="s">
        <v>1796</v>
      </c>
    </row>
    <row r="346">
      <c r="A346" s="3" t="s">
        <v>2694</v>
      </c>
      <c r="B346" s="3">
        <v>1.3317246E7</v>
      </c>
      <c r="C346" s="3" t="s">
        <v>658</v>
      </c>
      <c r="D346" s="7" t="s">
        <v>2695</v>
      </c>
      <c r="E346" s="14" t="s">
        <v>2696</v>
      </c>
      <c r="F346" s="7" t="s">
        <v>1635</v>
      </c>
    </row>
    <row r="347">
      <c r="A347" s="3" t="s">
        <v>2697</v>
      </c>
      <c r="B347" s="3">
        <v>1.33177E7</v>
      </c>
      <c r="C347" s="3" t="s">
        <v>160</v>
      </c>
      <c r="D347" s="7" t="s">
        <v>2698</v>
      </c>
      <c r="E347" s="14" t="s">
        <v>2699</v>
      </c>
      <c r="F347" s="7" t="s">
        <v>1682</v>
      </c>
    </row>
    <row r="348">
      <c r="A348" s="3" t="s">
        <v>2455</v>
      </c>
      <c r="B348" s="3">
        <v>1.3318096E7</v>
      </c>
      <c r="C348" s="3" t="s">
        <v>24</v>
      </c>
      <c r="D348" s="7" t="s">
        <v>2456</v>
      </c>
      <c r="E348" s="14" t="s">
        <v>2700</v>
      </c>
      <c r="F348" s="7" t="s">
        <v>1639</v>
      </c>
    </row>
    <row r="349">
      <c r="A349" s="3" t="s">
        <v>2701</v>
      </c>
      <c r="B349" s="3">
        <v>1.331814E7</v>
      </c>
      <c r="C349" s="3" t="s">
        <v>231</v>
      </c>
      <c r="D349" s="7" t="s">
        <v>2702</v>
      </c>
      <c r="E349" s="14" t="s">
        <v>2703</v>
      </c>
      <c r="F349" s="7" t="s">
        <v>1668</v>
      </c>
    </row>
    <row r="350">
      <c r="A350" s="3" t="s">
        <v>2704</v>
      </c>
      <c r="B350" s="3">
        <v>1.3315264E7</v>
      </c>
      <c r="C350" s="3" t="s">
        <v>212</v>
      </c>
      <c r="D350" s="7" t="s">
        <v>2705</v>
      </c>
      <c r="E350" s="14" t="s">
        <v>2706</v>
      </c>
      <c r="F350" s="7" t="s">
        <v>1654</v>
      </c>
    </row>
    <row r="351">
      <c r="A351" s="3" t="s">
        <v>2707</v>
      </c>
      <c r="B351" s="3">
        <v>1.3317284E7</v>
      </c>
      <c r="C351" s="3" t="s">
        <v>658</v>
      </c>
      <c r="D351" s="7" t="s">
        <v>2708</v>
      </c>
      <c r="E351" s="14" t="s">
        <v>2709</v>
      </c>
      <c r="F351" s="7" t="s">
        <v>1635</v>
      </c>
    </row>
    <row r="352">
      <c r="A352" s="3" t="s">
        <v>2710</v>
      </c>
      <c r="B352" s="3">
        <v>1.3317508E7</v>
      </c>
      <c r="C352" s="3" t="s">
        <v>394</v>
      </c>
      <c r="D352" s="7" t="s">
        <v>2711</v>
      </c>
      <c r="E352" s="14" t="s">
        <v>2712</v>
      </c>
      <c r="F352" s="7" t="s">
        <v>1873</v>
      </c>
    </row>
    <row r="353">
      <c r="A353" s="3" t="s">
        <v>2713</v>
      </c>
      <c r="B353" s="3">
        <v>1.3318448E7</v>
      </c>
      <c r="C353" s="3" t="s">
        <v>142</v>
      </c>
      <c r="D353" s="7" t="s">
        <v>2714</v>
      </c>
      <c r="E353" s="14" t="s">
        <v>2715</v>
      </c>
      <c r="F353" s="7" t="s">
        <v>1718</v>
      </c>
    </row>
    <row r="354">
      <c r="A354" s="3" t="s">
        <v>2716</v>
      </c>
      <c r="B354" s="3">
        <v>1.331827E7</v>
      </c>
      <c r="C354" s="3" t="s">
        <v>153</v>
      </c>
      <c r="D354" s="7" t="s">
        <v>2717</v>
      </c>
      <c r="E354" s="14" t="s">
        <v>2718</v>
      </c>
      <c r="F354" s="7" t="s">
        <v>1796</v>
      </c>
    </row>
    <row r="355">
      <c r="A355" s="3" t="s">
        <v>2719</v>
      </c>
      <c r="B355" s="3">
        <v>1.331774E7</v>
      </c>
      <c r="C355" s="3" t="s">
        <v>372</v>
      </c>
      <c r="D355" s="7" t="s">
        <v>2720</v>
      </c>
      <c r="E355" s="14" t="s">
        <v>2721</v>
      </c>
      <c r="F355" s="7" t="s">
        <v>1678</v>
      </c>
    </row>
    <row r="356">
      <c r="A356" s="3" t="s">
        <v>2722</v>
      </c>
      <c r="B356" s="3">
        <v>1.3318018E7</v>
      </c>
      <c r="C356" s="3" t="s">
        <v>24</v>
      </c>
      <c r="D356" s="7" t="s">
        <v>2723</v>
      </c>
      <c r="E356" s="14" t="s">
        <v>2724</v>
      </c>
      <c r="F356" s="7" t="s">
        <v>1639</v>
      </c>
    </row>
    <row r="357">
      <c r="A357" s="3" t="s">
        <v>2725</v>
      </c>
      <c r="B357" s="3">
        <v>1.3317235E7</v>
      </c>
      <c r="C357" s="3" t="s">
        <v>658</v>
      </c>
      <c r="D357" s="7" t="s">
        <v>2726</v>
      </c>
      <c r="E357" s="14" t="s">
        <v>2727</v>
      </c>
      <c r="F357" s="7" t="s">
        <v>1635</v>
      </c>
    </row>
    <row r="358">
      <c r="A358" s="3" t="s">
        <v>2728</v>
      </c>
      <c r="B358" s="3">
        <v>1.3319026E7</v>
      </c>
      <c r="C358" s="3" t="s">
        <v>223</v>
      </c>
      <c r="D358" s="7" t="s">
        <v>2729</v>
      </c>
      <c r="E358" s="14" t="s">
        <v>2730</v>
      </c>
      <c r="F358" s="7" t="s">
        <v>1725</v>
      </c>
    </row>
    <row r="359">
      <c r="A359" s="3" t="s">
        <v>2731</v>
      </c>
      <c r="B359" s="3">
        <v>1.3317652E7</v>
      </c>
      <c r="C359" s="3" t="s">
        <v>160</v>
      </c>
      <c r="D359" s="7" t="s">
        <v>2732</v>
      </c>
      <c r="E359" s="14" t="s">
        <v>2733</v>
      </c>
      <c r="F359" s="7" t="s">
        <v>1682</v>
      </c>
    </row>
    <row r="360">
      <c r="A360" s="3" t="s">
        <v>2734</v>
      </c>
      <c r="B360" s="3">
        <v>1.331761E7</v>
      </c>
      <c r="C360" s="3" t="s">
        <v>160</v>
      </c>
      <c r="D360" s="7" t="s">
        <v>2735</v>
      </c>
      <c r="E360" s="14" t="s">
        <v>2736</v>
      </c>
      <c r="F360" s="7" t="s">
        <v>1682</v>
      </c>
    </row>
    <row r="361">
      <c r="A361" s="3" t="s">
        <v>2737</v>
      </c>
      <c r="B361" s="3">
        <v>1.3317522E7</v>
      </c>
      <c r="C361" s="3" t="s">
        <v>394</v>
      </c>
      <c r="D361" s="7" t="s">
        <v>2738</v>
      </c>
      <c r="E361" s="14" t="s">
        <v>2739</v>
      </c>
      <c r="F361" s="7" t="s">
        <v>1873</v>
      </c>
    </row>
    <row r="362">
      <c r="A362" s="3" t="s">
        <v>2740</v>
      </c>
      <c r="B362" s="3">
        <v>1.3318464E7</v>
      </c>
      <c r="C362" s="3" t="s">
        <v>142</v>
      </c>
      <c r="D362" s="7" t="s">
        <v>2741</v>
      </c>
      <c r="E362" s="14" t="s">
        <v>2742</v>
      </c>
      <c r="F362" s="7" t="s">
        <v>1718</v>
      </c>
    </row>
    <row r="363">
      <c r="A363" s="3" t="s">
        <v>2743</v>
      </c>
      <c r="B363" s="3">
        <v>1.331728E7</v>
      </c>
      <c r="C363" s="3" t="s">
        <v>654</v>
      </c>
      <c r="D363" s="7" t="s">
        <v>2744</v>
      </c>
      <c r="E363" s="14" t="s">
        <v>2745</v>
      </c>
      <c r="F363" s="7" t="s">
        <v>1690</v>
      </c>
    </row>
    <row r="364">
      <c r="A364" s="3" t="s">
        <v>2746</v>
      </c>
      <c r="B364" s="3">
        <v>1.3315043E7</v>
      </c>
      <c r="C364" s="3" t="s">
        <v>180</v>
      </c>
      <c r="D364" s="7" t="s">
        <v>2747</v>
      </c>
      <c r="E364" s="14" t="s">
        <v>2748</v>
      </c>
      <c r="F364" s="7" t="s">
        <v>1704</v>
      </c>
    </row>
    <row r="365">
      <c r="A365" s="3" t="s">
        <v>2749</v>
      </c>
      <c r="B365" s="3">
        <v>1.3318115E7</v>
      </c>
      <c r="C365" s="3" t="s">
        <v>24</v>
      </c>
      <c r="D365" s="7" t="s">
        <v>2750</v>
      </c>
      <c r="E365" s="14" t="s">
        <v>2751</v>
      </c>
      <c r="F365" s="7" t="s">
        <v>1639</v>
      </c>
    </row>
    <row r="366">
      <c r="A366" s="3" t="s">
        <v>2752</v>
      </c>
      <c r="B366" s="3">
        <v>1.3317666E7</v>
      </c>
      <c r="C366" s="3" t="s">
        <v>160</v>
      </c>
      <c r="D366" s="7" t="s">
        <v>2753</v>
      </c>
      <c r="E366" s="14" t="s">
        <v>2754</v>
      </c>
      <c r="F366" s="7" t="s">
        <v>1682</v>
      </c>
    </row>
    <row r="367">
      <c r="A367" s="3" t="s">
        <v>2755</v>
      </c>
      <c r="B367" s="3">
        <v>1.3315286E7</v>
      </c>
      <c r="C367" s="3" t="s">
        <v>212</v>
      </c>
      <c r="D367" s="7" t="s">
        <v>2756</v>
      </c>
      <c r="E367" s="14" t="s">
        <v>2757</v>
      </c>
      <c r="F367" s="7" t="s">
        <v>1654</v>
      </c>
    </row>
    <row r="368">
      <c r="A368" s="3" t="s">
        <v>2758</v>
      </c>
      <c r="B368" s="3">
        <v>1.3318066E7</v>
      </c>
      <c r="C368" s="3" t="s">
        <v>24</v>
      </c>
      <c r="D368" s="7" t="s">
        <v>2759</v>
      </c>
      <c r="E368" s="14" t="s">
        <v>2760</v>
      </c>
      <c r="F368" s="7" t="s">
        <v>1639</v>
      </c>
    </row>
    <row r="369">
      <c r="A369" s="3" t="s">
        <v>2761</v>
      </c>
      <c r="B369" s="3">
        <v>1.331841E7</v>
      </c>
      <c r="C369" s="3" t="s">
        <v>825</v>
      </c>
      <c r="D369" s="7" t="s">
        <v>2762</v>
      </c>
      <c r="E369" s="14" t="s">
        <v>2763</v>
      </c>
      <c r="F369" s="7" t="s">
        <v>2070</v>
      </c>
    </row>
    <row r="370">
      <c r="A370" s="3" t="s">
        <v>2764</v>
      </c>
      <c r="B370" s="3">
        <v>1.331722E7</v>
      </c>
      <c r="C370" s="3" t="s">
        <v>199</v>
      </c>
      <c r="D370" s="7" t="s">
        <v>2765</v>
      </c>
      <c r="E370" s="14" t="s">
        <v>2766</v>
      </c>
      <c r="F370" s="7" t="s">
        <v>1697</v>
      </c>
    </row>
    <row r="371">
      <c r="A371" s="3" t="s">
        <v>2767</v>
      </c>
      <c r="B371" s="3">
        <v>1.3318442E7</v>
      </c>
      <c r="C371" s="3" t="s">
        <v>142</v>
      </c>
      <c r="D371" s="7" t="s">
        <v>2768</v>
      </c>
      <c r="E371" s="14" t="s">
        <v>2769</v>
      </c>
      <c r="F371" s="7" t="s">
        <v>1718</v>
      </c>
    </row>
    <row r="372">
      <c r="A372" s="3" t="s">
        <v>2770</v>
      </c>
      <c r="B372" s="3">
        <v>1.3315186E7</v>
      </c>
      <c r="C372" s="3" t="s">
        <v>476</v>
      </c>
      <c r="D372" s="7" t="s">
        <v>2771</v>
      </c>
      <c r="E372" s="14" t="s">
        <v>2772</v>
      </c>
      <c r="F372" s="7" t="s">
        <v>1650</v>
      </c>
    </row>
    <row r="373">
      <c r="A373" s="3" t="s">
        <v>2773</v>
      </c>
      <c r="B373" s="3">
        <v>1.3317237E7</v>
      </c>
      <c r="C373" s="3" t="s">
        <v>658</v>
      </c>
      <c r="D373" s="7" t="s">
        <v>2774</v>
      </c>
      <c r="E373" s="14" t="s">
        <v>2775</v>
      </c>
      <c r="F373" s="7" t="s">
        <v>1635</v>
      </c>
    </row>
    <row r="374">
      <c r="A374" s="3" t="s">
        <v>2776</v>
      </c>
      <c r="B374" s="3">
        <v>1.3317658E7</v>
      </c>
      <c r="C374" s="3" t="s">
        <v>160</v>
      </c>
      <c r="D374" s="7" t="s">
        <v>2777</v>
      </c>
      <c r="E374" s="14" t="s">
        <v>2778</v>
      </c>
      <c r="F374" s="7" t="s">
        <v>1682</v>
      </c>
    </row>
    <row r="375">
      <c r="A375" s="3" t="s">
        <v>2779</v>
      </c>
      <c r="B375" s="3">
        <v>1.3318014E7</v>
      </c>
      <c r="C375" s="3" t="s">
        <v>24</v>
      </c>
      <c r="D375" s="7" t="s">
        <v>2780</v>
      </c>
      <c r="E375" s="14" t="s">
        <v>2781</v>
      </c>
      <c r="F375" s="7" t="s">
        <v>1639</v>
      </c>
    </row>
    <row r="376">
      <c r="A376" s="3" t="s">
        <v>2095</v>
      </c>
      <c r="B376" s="3">
        <v>1.331527E7</v>
      </c>
      <c r="C376" s="3" t="s">
        <v>212</v>
      </c>
      <c r="D376" s="7" t="s">
        <v>2096</v>
      </c>
      <c r="E376" s="14" t="s">
        <v>2782</v>
      </c>
      <c r="F376" s="7" t="s">
        <v>1654</v>
      </c>
    </row>
    <row r="377">
      <c r="A377" s="3" t="s">
        <v>2783</v>
      </c>
      <c r="B377" s="3">
        <v>1.3318278E7</v>
      </c>
      <c r="C377" s="3" t="s">
        <v>153</v>
      </c>
      <c r="D377" s="7" t="s">
        <v>2784</v>
      </c>
      <c r="E377" s="14" t="s">
        <v>2785</v>
      </c>
      <c r="F377" s="7" t="s">
        <v>1796</v>
      </c>
    </row>
    <row r="378">
      <c r="A378" s="3" t="s">
        <v>2786</v>
      </c>
      <c r="B378" s="3">
        <v>1.3318274E7</v>
      </c>
      <c r="C378" s="3" t="s">
        <v>153</v>
      </c>
      <c r="D378" s="7" t="s">
        <v>2787</v>
      </c>
      <c r="E378" s="14" t="s">
        <v>2788</v>
      </c>
      <c r="F378" s="7" t="s">
        <v>1796</v>
      </c>
    </row>
    <row r="379">
      <c r="A379" s="3" t="s">
        <v>2789</v>
      </c>
      <c r="B379" s="3">
        <v>1.3317762E7</v>
      </c>
      <c r="C379" s="3" t="s">
        <v>190</v>
      </c>
      <c r="D379" s="7" t="s">
        <v>2790</v>
      </c>
      <c r="E379" s="14" t="s">
        <v>2791</v>
      </c>
      <c r="F379" s="7" t="s">
        <v>1898</v>
      </c>
    </row>
    <row r="380">
      <c r="A380" s="3" t="s">
        <v>2792</v>
      </c>
      <c r="B380" s="3">
        <v>1.3317726E7</v>
      </c>
      <c r="C380" s="3" t="s">
        <v>372</v>
      </c>
      <c r="D380" s="7" t="s">
        <v>2793</v>
      </c>
      <c r="E380" s="14" t="s">
        <v>2794</v>
      </c>
      <c r="F380" s="7" t="s">
        <v>1678</v>
      </c>
    </row>
    <row r="381">
      <c r="A381" s="3" t="s">
        <v>2795</v>
      </c>
      <c r="B381" s="3">
        <v>1.3315274E7</v>
      </c>
      <c r="C381" s="3" t="s">
        <v>212</v>
      </c>
      <c r="D381" s="7" t="s">
        <v>2796</v>
      </c>
      <c r="E381" s="14" t="s">
        <v>2797</v>
      </c>
      <c r="F381" s="7" t="s">
        <v>1654</v>
      </c>
    </row>
    <row r="382">
      <c r="A382" s="3" t="s">
        <v>2798</v>
      </c>
      <c r="B382" s="3">
        <v>1.3318402E7</v>
      </c>
      <c r="C382" s="3" t="s">
        <v>413</v>
      </c>
      <c r="D382" s="7" t="s">
        <v>2799</v>
      </c>
      <c r="E382" s="14" t="s">
        <v>2800</v>
      </c>
      <c r="F382" s="7" t="s">
        <v>1735</v>
      </c>
    </row>
    <row r="383">
      <c r="A383" s="3" t="s">
        <v>2801</v>
      </c>
      <c r="B383" s="3">
        <v>1.3318236E7</v>
      </c>
      <c r="C383" s="3" t="s">
        <v>1094</v>
      </c>
      <c r="D383" s="7" t="s">
        <v>2802</v>
      </c>
      <c r="E383" s="14" t="s">
        <v>2803</v>
      </c>
      <c r="F383" s="7" t="s">
        <v>2481</v>
      </c>
    </row>
    <row r="384">
      <c r="A384" s="3" t="s">
        <v>2804</v>
      </c>
      <c r="B384" s="3">
        <v>1.3319001E7</v>
      </c>
      <c r="C384" s="3" t="s">
        <v>223</v>
      </c>
      <c r="D384" s="7" t="s">
        <v>2805</v>
      </c>
      <c r="E384" s="14" t="s">
        <v>2806</v>
      </c>
      <c r="F384" s="7" t="s">
        <v>1725</v>
      </c>
    </row>
    <row r="385">
      <c r="A385" s="3" t="s">
        <v>2807</v>
      </c>
      <c r="B385" s="3">
        <v>1.331807E7</v>
      </c>
      <c r="C385" s="3" t="s">
        <v>24</v>
      </c>
      <c r="D385" s="7" t="s">
        <v>2808</v>
      </c>
      <c r="E385" s="14" t="s">
        <v>2809</v>
      </c>
      <c r="F385" s="7" t="s">
        <v>1639</v>
      </c>
    </row>
    <row r="386">
      <c r="A386" s="3" t="s">
        <v>2810</v>
      </c>
      <c r="B386" s="3">
        <v>1.3318416E7</v>
      </c>
      <c r="C386" s="3" t="s">
        <v>825</v>
      </c>
      <c r="D386" s="7" t="s">
        <v>2811</v>
      </c>
      <c r="E386" s="14" t="s">
        <v>2812</v>
      </c>
      <c r="F386" s="7" t="s">
        <v>2070</v>
      </c>
    </row>
    <row r="387">
      <c r="A387" s="3" t="s">
        <v>2813</v>
      </c>
      <c r="B387" s="3">
        <v>1.3317642E7</v>
      </c>
      <c r="C387" s="3" t="s">
        <v>160</v>
      </c>
      <c r="D387" s="7" t="s">
        <v>2814</v>
      </c>
      <c r="E387" s="14" t="s">
        <v>2815</v>
      </c>
      <c r="F387" s="7" t="s">
        <v>1682</v>
      </c>
    </row>
    <row r="388">
      <c r="A388" s="3" t="s">
        <v>2816</v>
      </c>
      <c r="B388" s="3">
        <v>1.3318136E7</v>
      </c>
      <c r="C388" s="3" t="s">
        <v>231</v>
      </c>
      <c r="D388" s="7" t="s">
        <v>2817</v>
      </c>
      <c r="E388" s="14" t="s">
        <v>2818</v>
      </c>
      <c r="F388" s="7" t="s">
        <v>1668</v>
      </c>
    </row>
    <row r="389">
      <c r="A389" s="3" t="s">
        <v>2819</v>
      </c>
      <c r="B389" s="3">
        <v>1.3318084E7</v>
      </c>
      <c r="C389" s="3" t="s">
        <v>24</v>
      </c>
      <c r="D389" s="7" t="s">
        <v>2820</v>
      </c>
      <c r="E389" s="14" t="s">
        <v>2821</v>
      </c>
      <c r="F389" s="7" t="s">
        <v>1639</v>
      </c>
    </row>
    <row r="390">
      <c r="A390" s="3" t="s">
        <v>2822</v>
      </c>
      <c r="B390" s="3">
        <v>1.3316603E7</v>
      </c>
      <c r="C390" s="3" t="s">
        <v>611</v>
      </c>
      <c r="D390" s="7" t="s">
        <v>2823</v>
      </c>
      <c r="E390" s="14" t="s">
        <v>2824</v>
      </c>
      <c r="F390" s="7" t="s">
        <v>1686</v>
      </c>
    </row>
    <row r="391">
      <c r="A391" s="3" t="s">
        <v>2825</v>
      </c>
      <c r="B391" s="3">
        <v>1.3319032E7</v>
      </c>
      <c r="C391" s="3" t="s">
        <v>223</v>
      </c>
      <c r="D391" s="7" t="s">
        <v>2826</v>
      </c>
      <c r="E391" s="14" t="s">
        <v>2827</v>
      </c>
      <c r="F391" s="7" t="s">
        <v>1725</v>
      </c>
    </row>
    <row r="392">
      <c r="A392" s="3" t="s">
        <v>2828</v>
      </c>
      <c r="B392" s="3">
        <v>1.3317672E7</v>
      </c>
      <c r="C392" s="3" t="s">
        <v>160</v>
      </c>
      <c r="D392" s="7" t="s">
        <v>2829</v>
      </c>
      <c r="E392" s="14" t="s">
        <v>2830</v>
      </c>
      <c r="F392" s="7" t="s">
        <v>1682</v>
      </c>
    </row>
    <row r="393">
      <c r="A393" s="3" t="s">
        <v>2831</v>
      </c>
      <c r="B393" s="3">
        <v>1.3317102E7</v>
      </c>
      <c r="C393" s="3" t="s">
        <v>20</v>
      </c>
      <c r="D393" s="7" t="s">
        <v>2832</v>
      </c>
      <c r="E393" s="14" t="s">
        <v>2833</v>
      </c>
      <c r="F393" s="7" t="s">
        <v>1643</v>
      </c>
    </row>
    <row r="394">
      <c r="A394" s="3" t="s">
        <v>2834</v>
      </c>
      <c r="B394" s="3">
        <v>1.3317624E7</v>
      </c>
      <c r="C394" s="3" t="s">
        <v>160</v>
      </c>
      <c r="D394" s="7" t="s">
        <v>2835</v>
      </c>
      <c r="E394" s="14" t="s">
        <v>2836</v>
      </c>
      <c r="F394" s="7" t="s">
        <v>1682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7.75"/>
  </cols>
  <sheetData>
    <row r="1" ht="319.5" customHeight="1">
      <c r="A1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8.75"/>
    <col customWidth="1" min="2" max="2" width="28.5"/>
    <col customWidth="1" min="3" max="3" width="32.38"/>
    <col customWidth="1" min="4" max="4" width="29.0"/>
    <col customWidth="1" min="5" max="5" width="15.75"/>
    <col customWidth="1" min="6" max="6" width="29.0"/>
    <col customWidth="1" min="8" max="8" width="24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6" t="s">
        <v>4</v>
      </c>
      <c r="F1" s="17" t="s">
        <v>5</v>
      </c>
    </row>
    <row r="2" ht="15.75" customHeight="1">
      <c r="A2" s="5" t="s">
        <v>2837</v>
      </c>
      <c r="B2" s="5" t="s">
        <v>2838</v>
      </c>
      <c r="C2" s="4" t="s">
        <v>2839</v>
      </c>
      <c r="D2" s="4" t="s">
        <v>2840</v>
      </c>
      <c r="E2" s="6">
        <v>214.0</v>
      </c>
      <c r="F2" s="6" t="s">
        <v>12</v>
      </c>
      <c r="G2" s="11" t="str">
        <f t="shared" ref="G2:G3" si="1">"insert into CEPS (CODIGO_CEP, CRIADO_POR, DATA_DE_CRIAÇÃO, DELETADO, MODIFICADO_POR, DATA_ALTERACAO, ENDERECO, COMPLEMENTO_LOGRADOURO, DESCRICAO_LOGRADOURO, TIPO_LOGRADOURO, COD_MUNICIPIO_IBGE, DESCRICAO_LOCALIDADE, DESCRICAO_BAIRRO, REGULAR, CODIGO_UNIDA"&amp;"DE_FEDERATIVA, TIPO, LATITUDE, LONGITUDE, GEO_POINT) 
SELECT SEQ_CEPS.NEXTVAL,'COD_CEP"&amp;D2&amp;"', 'PK-20686', SYSDATE, 0, 'PK-20686', SYSDATE, '"&amp;A2&amp;"', '', '"&amp;J2&amp;"', '"&amp;H2&amp;"', 'COD_MUNICIPIO_IBGE"&amp;E2&amp;"', '"&amp;C2&amp;"','"&amp;B2&amp;"', '1', '"&amp;I2&amp;"', '1', 'LATITUDE"&amp;J2&amp;"', 'LONGITUDE"&amp;K2&amp;"', 'GEO_POINT"&amp;L2&amp;"'
"</f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
SELECT SEQ_CEPS.NEXTVAL,'COD_CEP18547-818', 'PK-20686', SYSDATE, 0, 'PK-20686', SYSDATE, 'Avenida das Andorinha', '', ' das Andorinha', 'Avenida', 'COD_MUNICIPIO_IBGE214', 'Porto Feliz','Spring Valley', '1', 'SP', '1', 'LATITUDE das Andorinha', 'LONGITUDE', 'GEO_POINT'
</v>
      </c>
      <c r="H2" s="18" t="s">
        <v>2841</v>
      </c>
      <c r="I2" s="3" t="s">
        <v>13</v>
      </c>
      <c r="J2" s="7" t="str">
        <f>IFERROR(__xludf.DUMMYFUNCTION("SPLIT(A2,""Avenida"","""")")," das Andorinha")</f>
        <v> das Andorinha</v>
      </c>
    </row>
    <row r="3" ht="15.75" customHeight="1">
      <c r="A3" s="5" t="s">
        <v>2842</v>
      </c>
      <c r="B3" s="5" t="s">
        <v>2838</v>
      </c>
      <c r="C3" s="4" t="s">
        <v>2839</v>
      </c>
      <c r="D3" s="5" t="s">
        <v>2843</v>
      </c>
      <c r="E3" s="6">
        <v>214.0</v>
      </c>
      <c r="F3" s="6" t="s">
        <v>12</v>
      </c>
      <c r="G3" s="11" t="str">
        <f t="shared" si="1"/>
        <v>insert into CEPS (CODIGO_CEP, CRIADO_POR, DATA_DE_CRIAÇÃO, DELETADO, MODIFICADO_POR, DATA_ALTERACAO, ENDERECO, COMPLEMENTO_LOGRADOURO, DESCRICAO_LOGRADOURO, TIPO_LOGRADOURO, COD_MUNICIPIO_IBGE, DESCRICAO_LOCALIDADE, DESCRICAO_BAIRRO, REGULAR, CODIGO_UNIDADE_FEDERATIVA, TIPO, LATITUDE, LONGITUDE, GEO_POINT) 
SELECT SEQ_CEPS.NEXTVAL,'COD_CEP18547-810', 'PK-20686', SYSDATE, 0, 'PK-20686', SYSDATE, 'Avenida das Araras', '', ' das Araras', 'Avenida', 'COD_MUNICIPIO_IBGE214', 'Porto Feliz','Spring Valley', '1', 'SP', '1', 'LATITUDE das Araras', 'LONGITUDE', 'GEO_POINT'
</v>
      </c>
      <c r="H3" s="18" t="s">
        <v>2841</v>
      </c>
      <c r="I3" s="3" t="s">
        <v>13</v>
      </c>
      <c r="J3" s="7" t="str">
        <f>IFERROR(__xludf.DUMMYFUNCTION("SPLIT(A3,""Avenida"","""")")," das Araras")</f>
        <v> das Araras</v>
      </c>
    </row>
    <row r="4" ht="15.75" customHeight="1">
      <c r="A4" s="5" t="s">
        <v>2844</v>
      </c>
      <c r="B4" s="5" t="s">
        <v>2838</v>
      </c>
      <c r="C4" s="4" t="s">
        <v>2839</v>
      </c>
      <c r="D4" s="5" t="s">
        <v>2845</v>
      </c>
      <c r="E4" s="6">
        <v>214.0</v>
      </c>
      <c r="F4" s="6" t="s">
        <v>12</v>
      </c>
      <c r="H4" s="18" t="s">
        <v>2841</v>
      </c>
      <c r="I4" s="3" t="s">
        <v>13</v>
      </c>
      <c r="J4" s="7" t="str">
        <f>IFERROR(__xludf.DUMMYFUNCTION("SPLIT(A4,""Avenida"","""")")," das Gaivotas")</f>
        <v> das Gaivotas</v>
      </c>
    </row>
    <row r="5" ht="15.75" customHeight="1">
      <c r="A5" s="5" t="s">
        <v>2846</v>
      </c>
      <c r="B5" s="5" t="s">
        <v>2838</v>
      </c>
      <c r="C5" s="4" t="s">
        <v>2839</v>
      </c>
      <c r="D5" s="5" t="s">
        <v>2847</v>
      </c>
      <c r="E5" s="6">
        <v>214.0</v>
      </c>
      <c r="F5" s="6" t="s">
        <v>12</v>
      </c>
      <c r="H5" s="18" t="s">
        <v>2841</v>
      </c>
      <c r="I5" s="3" t="s">
        <v>13</v>
      </c>
      <c r="J5" s="7" t="str">
        <f>IFERROR(__xludf.DUMMYFUNCTION("SPLIT(A5,""Avenida"","""")")," dos Sabiás")</f>
        <v> dos Sabiás</v>
      </c>
    </row>
    <row r="6" ht="15.75" customHeight="1">
      <c r="A6" s="5" t="s">
        <v>2848</v>
      </c>
      <c r="B6" s="5" t="s">
        <v>2838</v>
      </c>
      <c r="C6" s="4" t="s">
        <v>2839</v>
      </c>
      <c r="D6" s="5" t="s">
        <v>2849</v>
      </c>
      <c r="E6" s="6">
        <v>214.0</v>
      </c>
      <c r="F6" s="6" t="s">
        <v>12</v>
      </c>
      <c r="H6" s="18" t="s">
        <v>2841</v>
      </c>
      <c r="I6" s="3" t="s">
        <v>13</v>
      </c>
      <c r="J6" s="7" t="str">
        <f>IFERROR(__xludf.DUMMYFUNCTION("SPLIT(A6,""Avenida"","""")")," dos Tucanos")</f>
        <v> dos Tucanos</v>
      </c>
    </row>
    <row r="7" ht="15.75" customHeight="1">
      <c r="A7" s="5" t="s">
        <v>2850</v>
      </c>
      <c r="B7" s="5" t="s">
        <v>2838</v>
      </c>
      <c r="C7" s="4" t="s">
        <v>2839</v>
      </c>
      <c r="D7" s="5" t="s">
        <v>2851</v>
      </c>
      <c r="E7" s="6">
        <v>214.0</v>
      </c>
      <c r="F7" s="6" t="s">
        <v>12</v>
      </c>
      <c r="H7" s="4" t="s">
        <v>2852</v>
      </c>
      <c r="I7" s="3" t="s">
        <v>13</v>
      </c>
      <c r="J7" s="7" t="str">
        <f>IFERROR(__xludf.DUMMYFUNCTION("SPLIT($A7,""Rua"","""")")," dos Bem-te-vi")</f>
        <v> dos Bem-te-vi</v>
      </c>
    </row>
    <row r="8" ht="15.75" customHeight="1">
      <c r="A8" s="5" t="s">
        <v>2853</v>
      </c>
      <c r="B8" s="5" t="s">
        <v>2838</v>
      </c>
      <c r="C8" s="4" t="s">
        <v>2839</v>
      </c>
      <c r="D8" s="5" t="s">
        <v>2854</v>
      </c>
      <c r="E8" s="6">
        <v>214.0</v>
      </c>
      <c r="F8" s="6" t="s">
        <v>12</v>
      </c>
      <c r="H8" s="4" t="s">
        <v>2852</v>
      </c>
      <c r="I8" s="3" t="s">
        <v>13</v>
      </c>
      <c r="J8" s="7" t="str">
        <f>IFERROR(__xludf.DUMMYFUNCTION("SPLIT($A8,""Rua"","""")")," dos Canários")</f>
        <v> dos Canários</v>
      </c>
    </row>
    <row r="9" ht="15.75" customHeight="1">
      <c r="A9" s="5" t="s">
        <v>2855</v>
      </c>
      <c r="B9" s="5" t="s">
        <v>2856</v>
      </c>
      <c r="C9" s="4" t="s">
        <v>2839</v>
      </c>
      <c r="D9" s="5" t="s">
        <v>2857</v>
      </c>
      <c r="E9" s="6">
        <v>214.0</v>
      </c>
      <c r="F9" s="6" t="s">
        <v>12</v>
      </c>
      <c r="H9" s="18" t="s">
        <v>2858</v>
      </c>
      <c r="I9" s="3" t="s">
        <v>13</v>
      </c>
      <c r="J9" s="7" t="str">
        <f>IFERROR(__xludf.DUMMYFUNCTION("SPLIT(A9,""Alameda"","""")")," Avecuia")</f>
        <v> Avecuia</v>
      </c>
    </row>
    <row r="10" ht="15.75" customHeight="1">
      <c r="A10" s="5" t="s">
        <v>2859</v>
      </c>
      <c r="B10" s="5" t="s">
        <v>2856</v>
      </c>
      <c r="C10" s="4" t="s">
        <v>2839</v>
      </c>
      <c r="D10" s="5" t="s">
        <v>2860</v>
      </c>
      <c r="E10" s="6">
        <v>214.0</v>
      </c>
      <c r="F10" s="6" t="s">
        <v>12</v>
      </c>
      <c r="H10" s="18" t="s">
        <v>2858</v>
      </c>
      <c r="I10" s="3" t="s">
        <v>13</v>
      </c>
      <c r="J10" s="7" t="str">
        <f>IFERROR(__xludf.DUMMYFUNCTION("SPLIT(A10,""Alameda"","""")")," Cambará")</f>
        <v> Cambará</v>
      </c>
    </row>
    <row r="11" ht="15.75" customHeight="1">
      <c r="A11" s="5" t="s">
        <v>2861</v>
      </c>
      <c r="B11" s="5" t="s">
        <v>2862</v>
      </c>
      <c r="C11" s="4" t="s">
        <v>2839</v>
      </c>
      <c r="D11" s="5" t="s">
        <v>2863</v>
      </c>
      <c r="E11" s="6">
        <v>214.0</v>
      </c>
      <c r="F11" s="6" t="s">
        <v>12</v>
      </c>
      <c r="H11" s="18" t="s">
        <v>2858</v>
      </c>
      <c r="I11" s="3" t="s">
        <v>13</v>
      </c>
      <c r="J11" s="7" t="str">
        <f>IFERROR(__xludf.DUMMYFUNCTION("SPLIT(A11,""Alameda"","""")")," da Lagoa")</f>
        <v> da Lagoa</v>
      </c>
    </row>
    <row r="12" ht="15.75" customHeight="1">
      <c r="A12" s="5" t="s">
        <v>2864</v>
      </c>
      <c r="B12" s="5" t="s">
        <v>2865</v>
      </c>
      <c r="C12" s="4" t="s">
        <v>2839</v>
      </c>
      <c r="D12" s="5" t="s">
        <v>2866</v>
      </c>
      <c r="E12" s="6">
        <v>214.0</v>
      </c>
      <c r="F12" s="6" t="s">
        <v>12</v>
      </c>
      <c r="H12" s="18" t="s">
        <v>2858</v>
      </c>
      <c r="I12" s="3" t="s">
        <v>13</v>
      </c>
      <c r="J12" s="7" t="str">
        <f>IFERROR(__xludf.DUMMYFUNCTION("SPLIT(A12,""Alameda"","""")")," da Saudade")</f>
        <v> da Saudade</v>
      </c>
    </row>
    <row r="13" ht="15.75" customHeight="1">
      <c r="A13" s="5" t="s">
        <v>2867</v>
      </c>
      <c r="B13" s="5" t="s">
        <v>2868</v>
      </c>
      <c r="C13" s="4" t="s">
        <v>2839</v>
      </c>
      <c r="D13" s="5" t="s">
        <v>2869</v>
      </c>
      <c r="E13" s="6">
        <v>214.0</v>
      </c>
      <c r="F13" s="6" t="s">
        <v>12</v>
      </c>
      <c r="H13" s="18" t="s">
        <v>2858</v>
      </c>
      <c r="I13" s="3" t="s">
        <v>13</v>
      </c>
      <c r="J13" s="7" t="str">
        <f>IFERROR(__xludf.DUMMYFUNCTION("SPLIT(A13,""Alameda"","""")")," das Acácias")</f>
        <v> das Acácias</v>
      </c>
    </row>
    <row r="14" ht="15.75" customHeight="1">
      <c r="A14" s="5" t="s">
        <v>2870</v>
      </c>
      <c r="B14" s="5" t="s">
        <v>2871</v>
      </c>
      <c r="C14" s="4" t="s">
        <v>2839</v>
      </c>
      <c r="D14" s="5" t="s">
        <v>2872</v>
      </c>
      <c r="E14" s="6">
        <v>214.0</v>
      </c>
      <c r="F14" s="6" t="s">
        <v>12</v>
      </c>
      <c r="H14" s="18" t="s">
        <v>2858</v>
      </c>
      <c r="I14" s="3" t="s">
        <v>13</v>
      </c>
      <c r="J14" s="7" t="str">
        <f>IFERROR(__xludf.DUMMYFUNCTION("SPLIT(A14,""Alameda"","""")")," das Amoreiras")</f>
        <v> das Amoreiras</v>
      </c>
    </row>
    <row r="15" ht="15.75" customHeight="1">
      <c r="A15" s="5" t="s">
        <v>2873</v>
      </c>
      <c r="B15" s="5" t="s">
        <v>2874</v>
      </c>
      <c r="C15" s="4" t="s">
        <v>2839</v>
      </c>
      <c r="D15" s="5" t="s">
        <v>2875</v>
      </c>
      <c r="E15" s="6">
        <v>214.0</v>
      </c>
      <c r="F15" s="6" t="s">
        <v>12</v>
      </c>
      <c r="H15" s="18" t="s">
        <v>2858</v>
      </c>
      <c r="I15" s="3" t="s">
        <v>13</v>
      </c>
      <c r="J15" s="7" t="str">
        <f>IFERROR(__xludf.DUMMYFUNCTION("SPLIT(A15,""Alameda"","""")")," das Andorinhas")</f>
        <v> das Andorinhas</v>
      </c>
    </row>
    <row r="16" ht="15.75" customHeight="1">
      <c r="A16" s="5" t="s">
        <v>2876</v>
      </c>
      <c r="B16" s="5" t="s">
        <v>2874</v>
      </c>
      <c r="C16" s="4" t="s">
        <v>2839</v>
      </c>
      <c r="D16" s="5" t="s">
        <v>2877</v>
      </c>
      <c r="E16" s="6">
        <v>214.0</v>
      </c>
      <c r="F16" s="6" t="s">
        <v>12</v>
      </c>
      <c r="H16" s="18" t="s">
        <v>2858</v>
      </c>
      <c r="I16" s="3" t="s">
        <v>13</v>
      </c>
      <c r="J16" s="7" t="str">
        <f>IFERROR(__xludf.DUMMYFUNCTION("SPLIT(A16,""Alameda"","""")")," das Arapongas")</f>
        <v> das Arapongas</v>
      </c>
    </row>
    <row r="17" ht="15.75" customHeight="1">
      <c r="A17" s="5" t="s">
        <v>2878</v>
      </c>
      <c r="B17" s="5" t="s">
        <v>2879</v>
      </c>
      <c r="C17" s="4" t="s">
        <v>2839</v>
      </c>
      <c r="D17" s="5" t="s">
        <v>2880</v>
      </c>
      <c r="E17" s="6">
        <v>214.0</v>
      </c>
      <c r="F17" s="6" t="s">
        <v>12</v>
      </c>
      <c r="H17" s="18" t="s">
        <v>2858</v>
      </c>
      <c r="I17" s="3" t="s">
        <v>13</v>
      </c>
      <c r="J17" s="7" t="str">
        <f>IFERROR(__xludf.DUMMYFUNCTION("SPLIT(A17,""Alameda"","""")")," das Espatódeas")</f>
        <v> das Espatódeas</v>
      </c>
    </row>
    <row r="18" ht="15.75" customHeight="1">
      <c r="A18" s="5" t="s">
        <v>2881</v>
      </c>
      <c r="B18" s="5" t="s">
        <v>2868</v>
      </c>
      <c r="C18" s="4" t="s">
        <v>2839</v>
      </c>
      <c r="D18" s="5" t="s">
        <v>2882</v>
      </c>
      <c r="E18" s="6">
        <v>214.0</v>
      </c>
      <c r="F18" s="6" t="s">
        <v>12</v>
      </c>
      <c r="H18" s="18" t="s">
        <v>2858</v>
      </c>
      <c r="I18" s="3" t="s">
        <v>13</v>
      </c>
      <c r="J18" s="7" t="str">
        <f>IFERROR(__xludf.DUMMYFUNCTION("SPLIT(A18,""Alameda"","""")")," das Figueiras")</f>
        <v> das Figueiras</v>
      </c>
    </row>
    <row r="19" ht="15.75" customHeight="1">
      <c r="A19" s="5" t="s">
        <v>2883</v>
      </c>
      <c r="B19" s="5" t="s">
        <v>2868</v>
      </c>
      <c r="C19" s="4" t="s">
        <v>2839</v>
      </c>
      <c r="D19" s="5" t="s">
        <v>2884</v>
      </c>
      <c r="E19" s="6">
        <v>214.0</v>
      </c>
      <c r="F19" s="6" t="s">
        <v>12</v>
      </c>
      <c r="H19" s="18" t="s">
        <v>2858</v>
      </c>
      <c r="I19" s="3" t="s">
        <v>13</v>
      </c>
      <c r="J19" s="7" t="str">
        <f>IFERROR(__xludf.DUMMYFUNCTION("SPLIT(A19,""Alameda"","""")")," das Jabuticabeiras")</f>
        <v> das Jabuticabeiras</v>
      </c>
    </row>
    <row r="20" ht="15.75" customHeight="1">
      <c r="A20" s="5" t="s">
        <v>2885</v>
      </c>
      <c r="B20" s="5" t="s">
        <v>2868</v>
      </c>
      <c r="C20" s="4" t="s">
        <v>2839</v>
      </c>
      <c r="D20" s="5" t="s">
        <v>2886</v>
      </c>
      <c r="E20" s="6">
        <v>214.0</v>
      </c>
      <c r="F20" s="6" t="s">
        <v>12</v>
      </c>
      <c r="H20" s="18" t="s">
        <v>2858</v>
      </c>
      <c r="I20" s="3" t="s">
        <v>13</v>
      </c>
      <c r="J20" s="7" t="str">
        <f>IFERROR(__xludf.DUMMYFUNCTION("SPLIT(A20,""Alameda"","""")")," das Louveiras")</f>
        <v> das Louveiras</v>
      </c>
    </row>
    <row r="21" ht="15.75" customHeight="1">
      <c r="A21" s="5" t="s">
        <v>2887</v>
      </c>
      <c r="B21" s="5" t="s">
        <v>2868</v>
      </c>
      <c r="C21" s="4" t="s">
        <v>2839</v>
      </c>
      <c r="D21" s="5" t="s">
        <v>2888</v>
      </c>
      <c r="E21" s="6">
        <v>214.0</v>
      </c>
      <c r="F21" s="6" t="s">
        <v>12</v>
      </c>
      <c r="H21" s="18" t="s">
        <v>2858</v>
      </c>
      <c r="I21" s="3" t="s">
        <v>13</v>
      </c>
      <c r="J21" s="7" t="str">
        <f>IFERROR(__xludf.DUMMYFUNCTION("SPLIT(A21,""Alameda"","""")")," das Mangueiras")</f>
        <v> das Mangueiras</v>
      </c>
    </row>
    <row r="22" ht="15.75" customHeight="1">
      <c r="A22" s="5" t="s">
        <v>2889</v>
      </c>
      <c r="B22" s="5" t="s">
        <v>2868</v>
      </c>
      <c r="C22" s="4" t="s">
        <v>2839</v>
      </c>
      <c r="D22" s="5" t="s">
        <v>2890</v>
      </c>
      <c r="E22" s="6">
        <v>214.0</v>
      </c>
      <c r="F22" s="6" t="s">
        <v>12</v>
      </c>
      <c r="H22" s="18" t="s">
        <v>2858</v>
      </c>
      <c r="I22" s="3" t="s">
        <v>13</v>
      </c>
      <c r="J22" s="7" t="str">
        <f>IFERROR(__xludf.DUMMYFUNCTION("SPLIT(A22,""Alameda"","""")")," das Nogueiras")</f>
        <v> das Nogueiras</v>
      </c>
    </row>
    <row r="23" ht="15.75" customHeight="1">
      <c r="A23" s="5" t="s">
        <v>2891</v>
      </c>
      <c r="B23" s="5" t="s">
        <v>2874</v>
      </c>
      <c r="C23" s="4" t="s">
        <v>2839</v>
      </c>
      <c r="D23" s="5" t="s">
        <v>2892</v>
      </c>
      <c r="E23" s="6">
        <v>214.0</v>
      </c>
      <c r="F23" s="6" t="s">
        <v>12</v>
      </c>
      <c r="H23" s="18" t="s">
        <v>2858</v>
      </c>
      <c r="I23" s="3" t="s">
        <v>13</v>
      </c>
      <c r="J23" s="7" t="str">
        <f>IFERROR(__xludf.DUMMYFUNCTION("SPLIT(A23,""Alameda"","""")")," das Patativas")</f>
        <v> das Patativas</v>
      </c>
    </row>
    <row r="24" ht="15.75" customHeight="1">
      <c r="A24" s="5" t="s">
        <v>2893</v>
      </c>
      <c r="B24" s="5" t="s">
        <v>2871</v>
      </c>
      <c r="C24" s="4" t="s">
        <v>2839</v>
      </c>
      <c r="D24" s="5" t="s">
        <v>2894</v>
      </c>
      <c r="E24" s="6">
        <v>214.0</v>
      </c>
      <c r="F24" s="6" t="s">
        <v>12</v>
      </c>
      <c r="H24" s="18" t="s">
        <v>2858</v>
      </c>
      <c r="I24" s="3" t="s">
        <v>13</v>
      </c>
      <c r="J24" s="7" t="str">
        <f>IFERROR(__xludf.DUMMYFUNCTION("SPLIT(A24,""Alameda"","""")")," das Pitangueiras")</f>
        <v> das Pitangueiras</v>
      </c>
    </row>
    <row r="25" ht="15.75" customHeight="1">
      <c r="A25" s="5" t="s">
        <v>2895</v>
      </c>
      <c r="B25" s="5" t="s">
        <v>2879</v>
      </c>
      <c r="C25" s="4" t="s">
        <v>2839</v>
      </c>
      <c r="D25" s="5" t="s">
        <v>2896</v>
      </c>
      <c r="E25" s="6">
        <v>214.0</v>
      </c>
      <c r="F25" s="6" t="s">
        <v>12</v>
      </c>
      <c r="H25" s="18" t="s">
        <v>2858</v>
      </c>
      <c r="I25" s="3" t="s">
        <v>13</v>
      </c>
      <c r="J25" s="7" t="str">
        <f>IFERROR(__xludf.DUMMYFUNCTION("SPLIT(A25,""Alameda"","""")")," das Quaresmeiras")</f>
        <v> das Quaresmeiras</v>
      </c>
    </row>
    <row r="26" ht="15.75" customHeight="1">
      <c r="A26" s="5" t="s">
        <v>2897</v>
      </c>
      <c r="B26" s="5" t="s">
        <v>2879</v>
      </c>
      <c r="C26" s="4" t="s">
        <v>2839</v>
      </c>
      <c r="D26" s="5" t="s">
        <v>2898</v>
      </c>
      <c r="E26" s="6">
        <v>214.0</v>
      </c>
      <c r="F26" s="6" t="s">
        <v>12</v>
      </c>
      <c r="H26" s="18" t="s">
        <v>2858</v>
      </c>
      <c r="I26" s="3" t="s">
        <v>13</v>
      </c>
      <c r="J26" s="7" t="str">
        <f>IFERROR(__xludf.DUMMYFUNCTION("SPLIT(A26,""Alameda"","""")")," das Sibipirunas")</f>
        <v> das Sibipirunas</v>
      </c>
    </row>
    <row r="27" ht="15.75" customHeight="1">
      <c r="A27" s="13" t="s">
        <v>2899</v>
      </c>
      <c r="B27" s="13" t="s">
        <v>2868</v>
      </c>
      <c r="C27" s="4" t="s">
        <v>2839</v>
      </c>
      <c r="D27" s="13" t="s">
        <v>2900</v>
      </c>
      <c r="E27" s="6">
        <v>214.0</v>
      </c>
      <c r="F27" s="6" t="s">
        <v>12</v>
      </c>
      <c r="H27" s="18" t="s">
        <v>2858</v>
      </c>
      <c r="I27" s="3" t="s">
        <v>13</v>
      </c>
      <c r="J27" s="7" t="str">
        <f>IFERROR(__xludf.DUMMYFUNCTION("SPLIT(A27,""Alameda"","""")")," das Tipuanas")</f>
        <v> das Tipuanas</v>
      </c>
    </row>
    <row r="28" ht="15.75" customHeight="1">
      <c r="A28" s="5" t="s">
        <v>2901</v>
      </c>
      <c r="B28" s="5" t="s">
        <v>2871</v>
      </c>
      <c r="C28" s="4" t="s">
        <v>2839</v>
      </c>
      <c r="D28" s="5" t="s">
        <v>2902</v>
      </c>
      <c r="E28" s="6">
        <v>214.0</v>
      </c>
      <c r="F28" s="6" t="s">
        <v>12</v>
      </c>
      <c r="H28" s="18" t="s">
        <v>2858</v>
      </c>
      <c r="I28" s="3" t="s">
        <v>13</v>
      </c>
      <c r="J28" s="7" t="str">
        <f>IFERROR(__xludf.DUMMYFUNCTION("SPLIT(A28,""Alameda"","""")")," do Café")</f>
        <v> do Café</v>
      </c>
    </row>
    <row r="29" ht="15.75" customHeight="1">
      <c r="A29" s="5" t="s">
        <v>2903</v>
      </c>
      <c r="B29" s="5" t="s">
        <v>2871</v>
      </c>
      <c r="C29" s="4" t="s">
        <v>2839</v>
      </c>
      <c r="D29" s="5" t="s">
        <v>2904</v>
      </c>
      <c r="E29" s="6">
        <v>214.0</v>
      </c>
      <c r="F29" s="6" t="s">
        <v>12</v>
      </c>
      <c r="H29" s="18" t="s">
        <v>2858</v>
      </c>
      <c r="I29" s="3" t="s">
        <v>13</v>
      </c>
      <c r="J29" s="7" t="str">
        <f>IFERROR(__xludf.DUMMYFUNCTION("SPLIT(A29,""Alameda"","""")")," do Lago")</f>
        <v> do Lago</v>
      </c>
    </row>
    <row r="30" ht="15.75" customHeight="1">
      <c r="A30" s="5" t="s">
        <v>2905</v>
      </c>
      <c r="B30" s="5" t="s">
        <v>2874</v>
      </c>
      <c r="C30" s="4" t="s">
        <v>2839</v>
      </c>
      <c r="D30" s="5" t="s">
        <v>2906</v>
      </c>
      <c r="E30" s="6">
        <v>214.0</v>
      </c>
      <c r="F30" s="6" t="s">
        <v>12</v>
      </c>
      <c r="H30" s="18" t="s">
        <v>2858</v>
      </c>
      <c r="I30" s="3" t="s">
        <v>13</v>
      </c>
      <c r="J30" s="7" t="str">
        <f>IFERROR(__xludf.DUMMYFUNCTION("SPLIT(A30,""Alameda"","""")")," dos Beija-Flores")</f>
        <v> dos Beija-Flores</v>
      </c>
    </row>
    <row r="31" ht="15.75" customHeight="1">
      <c r="A31" s="5" t="s">
        <v>2907</v>
      </c>
      <c r="B31" s="5" t="s">
        <v>2874</v>
      </c>
      <c r="C31" s="4" t="s">
        <v>2839</v>
      </c>
      <c r="D31" s="5" t="s">
        <v>2908</v>
      </c>
      <c r="E31" s="6">
        <v>214.0</v>
      </c>
      <c r="F31" s="6" t="s">
        <v>12</v>
      </c>
      <c r="H31" s="18" t="s">
        <v>2858</v>
      </c>
      <c r="I31" s="3" t="s">
        <v>13</v>
      </c>
      <c r="J31" s="7" t="str">
        <f>IFERROR(__xludf.DUMMYFUNCTION("SPLIT(A31,""Alameda"","""")")," dos Bem-te-vis")</f>
        <v> dos Bem-te-vis</v>
      </c>
    </row>
    <row r="32" ht="15.75" customHeight="1">
      <c r="A32" s="5" t="s">
        <v>2909</v>
      </c>
      <c r="B32" s="5" t="s">
        <v>2874</v>
      </c>
      <c r="C32" s="4" t="s">
        <v>2839</v>
      </c>
      <c r="D32" s="5" t="s">
        <v>2910</v>
      </c>
      <c r="E32" s="6">
        <v>214.0</v>
      </c>
      <c r="F32" s="6" t="s">
        <v>12</v>
      </c>
      <c r="H32" s="18" t="s">
        <v>2858</v>
      </c>
      <c r="I32" s="3" t="s">
        <v>13</v>
      </c>
      <c r="J32" s="7" t="str">
        <f>IFERROR(__xludf.DUMMYFUNCTION("SPLIT(A32,""Alameda"","""")")," dos Canários")</f>
        <v> dos Canários</v>
      </c>
    </row>
    <row r="33" ht="15.75" customHeight="1">
      <c r="A33" s="5" t="s">
        <v>2911</v>
      </c>
      <c r="B33" s="5" t="s">
        <v>2912</v>
      </c>
      <c r="C33" s="4" t="s">
        <v>2839</v>
      </c>
      <c r="D33" s="5" t="s">
        <v>2913</v>
      </c>
      <c r="E33" s="6">
        <v>214.0</v>
      </c>
      <c r="F33" s="6" t="s">
        <v>12</v>
      </c>
      <c r="H33" s="18" t="s">
        <v>2858</v>
      </c>
      <c r="I33" s="3" t="s">
        <v>13</v>
      </c>
      <c r="J33" s="7" t="str">
        <f>IFERROR(__xludf.DUMMYFUNCTION("SPLIT(A33,""Alameda"","""")")," dos Carcarás")</f>
        <v> dos Carcarás</v>
      </c>
    </row>
    <row r="34" ht="15.75" customHeight="1">
      <c r="A34" s="5" t="s">
        <v>2914</v>
      </c>
      <c r="B34" s="5" t="s">
        <v>2879</v>
      </c>
      <c r="C34" s="4" t="s">
        <v>2839</v>
      </c>
      <c r="D34" s="5" t="s">
        <v>2915</v>
      </c>
      <c r="E34" s="6">
        <v>214.0</v>
      </c>
      <c r="F34" s="6" t="s">
        <v>12</v>
      </c>
      <c r="H34" s="18" t="s">
        <v>2858</v>
      </c>
      <c r="I34" s="3" t="s">
        <v>13</v>
      </c>
      <c r="J34" s="7" t="str">
        <f>IFERROR(__xludf.DUMMYFUNCTION("SPLIT(A34,""Alameda"","""")")," dos Cedros")</f>
        <v> dos Cedros</v>
      </c>
    </row>
    <row r="35" ht="15.75" customHeight="1">
      <c r="A35" s="5" t="s">
        <v>2916</v>
      </c>
      <c r="B35" s="5" t="s">
        <v>2868</v>
      </c>
      <c r="C35" s="4" t="s">
        <v>2839</v>
      </c>
      <c r="D35" s="5" t="s">
        <v>2917</v>
      </c>
      <c r="E35" s="6">
        <v>214.0</v>
      </c>
      <c r="F35" s="6" t="s">
        <v>12</v>
      </c>
      <c r="H35" s="18" t="s">
        <v>2858</v>
      </c>
      <c r="I35" s="3" t="s">
        <v>13</v>
      </c>
      <c r="J35" s="7" t="str">
        <f>IFERROR(__xludf.DUMMYFUNCTION("SPLIT(A35,""Alameda"","""")")," dos Cipós")</f>
        <v> dos Cipós</v>
      </c>
    </row>
    <row r="36" ht="15.75" customHeight="1">
      <c r="A36" s="5" t="s">
        <v>2918</v>
      </c>
      <c r="B36" s="5" t="s">
        <v>2912</v>
      </c>
      <c r="C36" s="4" t="s">
        <v>2839</v>
      </c>
      <c r="D36" s="5" t="s">
        <v>2919</v>
      </c>
      <c r="E36" s="6">
        <v>214.0</v>
      </c>
      <c r="F36" s="6" t="s">
        <v>12</v>
      </c>
      <c r="H36" s="18" t="s">
        <v>2858</v>
      </c>
      <c r="I36" s="3" t="s">
        <v>13</v>
      </c>
      <c r="J36" s="7" t="str">
        <f>IFERROR(__xludf.DUMMYFUNCTION("SPLIT(A36,""Alameda"","""")")," dos Coelhos")</f>
        <v> dos Coelhos</v>
      </c>
    </row>
    <row r="37" ht="15.75" customHeight="1">
      <c r="A37" s="5" t="s">
        <v>2920</v>
      </c>
      <c r="B37" s="5" t="s">
        <v>2912</v>
      </c>
      <c r="C37" s="4" t="s">
        <v>2839</v>
      </c>
      <c r="D37" s="5" t="s">
        <v>2921</v>
      </c>
      <c r="E37" s="6">
        <v>214.0</v>
      </c>
      <c r="F37" s="6" t="s">
        <v>12</v>
      </c>
      <c r="H37" s="18" t="s">
        <v>2858</v>
      </c>
      <c r="I37" s="3" t="s">
        <v>13</v>
      </c>
      <c r="J37" s="7" t="str">
        <f>IFERROR(__xludf.DUMMYFUNCTION("SPLIT(A37,""Alameda"","""")")," dos Esquilos")</f>
        <v> dos Esquilos</v>
      </c>
    </row>
    <row r="38" ht="15.75" customHeight="1">
      <c r="A38" s="5" t="s">
        <v>2922</v>
      </c>
      <c r="B38" s="5" t="s">
        <v>2868</v>
      </c>
      <c r="C38" s="4" t="s">
        <v>2839</v>
      </c>
      <c r="D38" s="5" t="s">
        <v>2923</v>
      </c>
      <c r="E38" s="6">
        <v>214.0</v>
      </c>
      <c r="F38" s="6" t="s">
        <v>12</v>
      </c>
      <c r="H38" s="18" t="s">
        <v>2858</v>
      </c>
      <c r="I38" s="3" t="s">
        <v>13</v>
      </c>
      <c r="J38" s="7" t="str">
        <f>IFERROR(__xludf.DUMMYFUNCTION("SPLIT(A38,""Alameda"","""")")," dos Ficus")</f>
        <v> dos Ficus</v>
      </c>
    </row>
    <row r="39" ht="15.75" customHeight="1">
      <c r="A39" s="5" t="s">
        <v>2924</v>
      </c>
      <c r="B39" s="5" t="s">
        <v>2868</v>
      </c>
      <c r="C39" s="4" t="s">
        <v>2839</v>
      </c>
      <c r="D39" s="5" t="s">
        <v>2925</v>
      </c>
      <c r="E39" s="6">
        <v>214.0</v>
      </c>
      <c r="F39" s="6" t="s">
        <v>12</v>
      </c>
      <c r="H39" s="18" t="s">
        <v>2858</v>
      </c>
      <c r="I39" s="3" t="s">
        <v>13</v>
      </c>
      <c r="J39" s="7" t="str">
        <f>IFERROR(__xludf.DUMMYFUNCTION("SPLIT(A39,""Alameda"","""")")," dos Flamboyants")</f>
        <v> dos Flamboyants</v>
      </c>
    </row>
    <row r="40" ht="15.75" customHeight="1">
      <c r="A40" s="5" t="s">
        <v>2926</v>
      </c>
      <c r="B40" s="5" t="s">
        <v>2879</v>
      </c>
      <c r="C40" s="4" t="s">
        <v>2839</v>
      </c>
      <c r="D40" s="5" t="s">
        <v>2927</v>
      </c>
      <c r="E40" s="6">
        <v>214.0</v>
      </c>
      <c r="F40" s="6" t="s">
        <v>12</v>
      </c>
      <c r="H40" s="18" t="s">
        <v>2858</v>
      </c>
      <c r="I40" s="3" t="s">
        <v>13</v>
      </c>
      <c r="J40" s="7" t="str">
        <f>IFERROR(__xludf.DUMMYFUNCTION("SPLIT(A40,""Alameda"","""")")," dos Ipês")</f>
        <v> dos Ipês</v>
      </c>
    </row>
    <row r="41" ht="15.75" customHeight="1">
      <c r="A41" s="5" t="s">
        <v>2926</v>
      </c>
      <c r="B41" s="5" t="s">
        <v>2928</v>
      </c>
      <c r="C41" s="4" t="s">
        <v>2839</v>
      </c>
      <c r="D41" s="5" t="s">
        <v>2929</v>
      </c>
      <c r="E41" s="6">
        <v>214.0</v>
      </c>
      <c r="F41" s="6" t="s">
        <v>12</v>
      </c>
      <c r="H41" s="18" t="s">
        <v>2858</v>
      </c>
      <c r="I41" s="3" t="s">
        <v>13</v>
      </c>
      <c r="J41" s="7" t="str">
        <f>IFERROR(__xludf.DUMMYFUNCTION("SPLIT(A41,""Alameda"","""")")," dos Ipês")</f>
        <v> dos Ipês</v>
      </c>
    </row>
    <row r="42" ht="15.75" customHeight="1">
      <c r="A42" s="5" t="s">
        <v>2930</v>
      </c>
      <c r="B42" s="5" t="s">
        <v>2868</v>
      </c>
      <c r="C42" s="4" t="s">
        <v>2839</v>
      </c>
      <c r="D42" s="5" t="s">
        <v>2931</v>
      </c>
      <c r="E42" s="6">
        <v>214.0</v>
      </c>
      <c r="F42" s="6" t="s">
        <v>12</v>
      </c>
      <c r="H42" s="18" t="s">
        <v>2858</v>
      </c>
      <c r="I42" s="3" t="s">
        <v>13</v>
      </c>
      <c r="J42" s="7" t="str">
        <f>IFERROR(__xludf.DUMMYFUNCTION("SPLIT(A42,""Alameda"","""")")," dos Jatobás")</f>
        <v> dos Jatobás</v>
      </c>
    </row>
    <row r="43" ht="15.75" customHeight="1">
      <c r="A43" s="5" t="s">
        <v>2932</v>
      </c>
      <c r="B43" s="5" t="s">
        <v>2874</v>
      </c>
      <c r="C43" s="4" t="s">
        <v>2839</v>
      </c>
      <c r="D43" s="5" t="s">
        <v>2933</v>
      </c>
      <c r="E43" s="6">
        <v>214.0</v>
      </c>
      <c r="F43" s="6" t="s">
        <v>12</v>
      </c>
      <c r="H43" s="18" t="s">
        <v>2858</v>
      </c>
      <c r="I43" s="3" t="s">
        <v>13</v>
      </c>
      <c r="J43" s="7" t="str">
        <f>IFERROR(__xludf.DUMMYFUNCTION("SPLIT(A43,""Alameda"","""")")," dos Pintassilgos")</f>
        <v> dos Pintassilgos</v>
      </c>
    </row>
    <row r="44" ht="15.75" customHeight="1">
      <c r="A44" s="5" t="s">
        <v>2934</v>
      </c>
      <c r="B44" s="5" t="s">
        <v>2868</v>
      </c>
      <c r="C44" s="4" t="s">
        <v>2839</v>
      </c>
      <c r="D44" s="5" t="s">
        <v>2935</v>
      </c>
      <c r="E44" s="6">
        <v>214.0</v>
      </c>
      <c r="F44" s="6" t="s">
        <v>12</v>
      </c>
      <c r="H44" s="18" t="s">
        <v>2858</v>
      </c>
      <c r="I44" s="3" t="s">
        <v>13</v>
      </c>
      <c r="J44" s="7" t="str">
        <f>IFERROR(__xludf.DUMMYFUNCTION("SPLIT(A44,""Alameda"","""")")," dos Pínus")</f>
        <v> dos Pínus</v>
      </c>
    </row>
    <row r="45" ht="15.75" customHeight="1">
      <c r="A45" s="5" t="s">
        <v>2936</v>
      </c>
      <c r="B45" s="5" t="s">
        <v>2912</v>
      </c>
      <c r="C45" s="4" t="s">
        <v>2839</v>
      </c>
      <c r="D45" s="5" t="s">
        <v>2937</v>
      </c>
      <c r="E45" s="6">
        <v>214.0</v>
      </c>
      <c r="F45" s="6" t="s">
        <v>12</v>
      </c>
      <c r="H45" s="18" t="s">
        <v>2858</v>
      </c>
      <c r="I45" s="3" t="s">
        <v>13</v>
      </c>
      <c r="J45" s="7" t="str">
        <f>IFERROR(__xludf.DUMMYFUNCTION("SPLIT(A45,""Alameda"","""")")," dos Quatis")</f>
        <v> dos Quatis</v>
      </c>
    </row>
    <row r="46" ht="15.75" customHeight="1">
      <c r="A46" s="5" t="s">
        <v>2938</v>
      </c>
      <c r="B46" s="5" t="s">
        <v>2874</v>
      </c>
      <c r="C46" s="4" t="s">
        <v>2839</v>
      </c>
      <c r="D46" s="5" t="s">
        <v>2939</v>
      </c>
      <c r="E46" s="6">
        <v>214.0</v>
      </c>
      <c r="F46" s="6" t="s">
        <v>12</v>
      </c>
      <c r="H46" s="18" t="s">
        <v>2858</v>
      </c>
      <c r="I46" s="3" t="s">
        <v>13</v>
      </c>
      <c r="J46" s="7" t="str">
        <f>IFERROR(__xludf.DUMMYFUNCTION("SPLIT(A46,""Alameda"","""")")," dos Sabiás")</f>
        <v> dos Sabiás</v>
      </c>
    </row>
    <row r="47" ht="15.75" customHeight="1">
      <c r="A47" s="5" t="s">
        <v>2940</v>
      </c>
      <c r="B47" s="5" t="s">
        <v>2868</v>
      </c>
      <c r="C47" s="4" t="s">
        <v>2839</v>
      </c>
      <c r="D47" s="5" t="s">
        <v>2941</v>
      </c>
      <c r="E47" s="6">
        <v>214.0</v>
      </c>
      <c r="F47" s="6" t="s">
        <v>12</v>
      </c>
      <c r="H47" s="18" t="s">
        <v>2858</v>
      </c>
      <c r="I47" s="3" t="s">
        <v>13</v>
      </c>
      <c r="J47" s="7" t="str">
        <f>IFERROR(__xludf.DUMMYFUNCTION("SPLIT(A47,""Alameda"","""")")," dos Salgueiros")</f>
        <v> dos Salgueiros</v>
      </c>
    </row>
    <row r="48" ht="15.75" customHeight="1">
      <c r="A48" s="5" t="s">
        <v>2942</v>
      </c>
      <c r="B48" s="5" t="s">
        <v>2871</v>
      </c>
      <c r="C48" s="4" t="s">
        <v>2839</v>
      </c>
      <c r="D48" s="5" t="s">
        <v>2943</v>
      </c>
      <c r="E48" s="6">
        <v>214.0</v>
      </c>
      <c r="F48" s="6" t="s">
        <v>12</v>
      </c>
      <c r="H48" s="18" t="s">
        <v>2858</v>
      </c>
      <c r="I48" s="3" t="s">
        <v>13</v>
      </c>
      <c r="J48" s="7" t="str">
        <f>IFERROR(__xludf.DUMMYFUNCTION("SPLIT(A48,""Alameda"","""")")," Palmital")</f>
        <v> Palmital</v>
      </c>
    </row>
    <row r="49" ht="15.75" customHeight="1">
      <c r="A49" s="5" t="s">
        <v>2944</v>
      </c>
      <c r="B49" s="5" t="s">
        <v>2945</v>
      </c>
      <c r="C49" s="4" t="s">
        <v>2839</v>
      </c>
      <c r="D49" s="5" t="s">
        <v>2946</v>
      </c>
      <c r="E49" s="6">
        <v>214.0</v>
      </c>
      <c r="F49" s="6" t="s">
        <v>12</v>
      </c>
      <c r="H49" s="18" t="s">
        <v>2858</v>
      </c>
      <c r="I49" s="3" t="s">
        <v>13</v>
      </c>
      <c r="J49" s="7" t="str">
        <f>IFERROR(__xludf.DUMMYFUNCTION("SPLIT(A49,""Alameda"","""")")," Tupinambá")</f>
        <v> Tupinambá</v>
      </c>
    </row>
    <row r="50" ht="15.75" customHeight="1">
      <c r="A50" s="5" t="s">
        <v>2947</v>
      </c>
      <c r="B50" s="5" t="s">
        <v>2879</v>
      </c>
      <c r="C50" s="4" t="s">
        <v>2839</v>
      </c>
      <c r="D50" s="5" t="s">
        <v>2948</v>
      </c>
      <c r="E50" s="6">
        <v>214.0</v>
      </c>
      <c r="F50" s="6" t="s">
        <v>12</v>
      </c>
      <c r="H50" s="18" t="s">
        <v>2858</v>
      </c>
      <c r="I50" s="3" t="s">
        <v>13</v>
      </c>
      <c r="J50" s="7" t="str">
        <f>IFERROR(__xludf.DUMMYFUNCTION("SPLIT(A50,""Alameda"","""")")," Vista Alegre")</f>
        <v> Vista Alegre</v>
      </c>
    </row>
    <row r="51" ht="15.75" customHeight="1">
      <c r="A51" s="5" t="s">
        <v>2949</v>
      </c>
      <c r="B51" s="5" t="s">
        <v>2950</v>
      </c>
      <c r="C51" s="4" t="s">
        <v>2839</v>
      </c>
      <c r="D51" s="5" t="s">
        <v>2951</v>
      </c>
      <c r="E51" s="6">
        <v>214.0</v>
      </c>
      <c r="F51" s="6" t="s">
        <v>12</v>
      </c>
      <c r="H51" s="3" t="s">
        <v>2952</v>
      </c>
      <c r="I51" s="3" t="s">
        <v>13</v>
      </c>
      <c r="J51" s="7" t="str">
        <f>IFERROR(__xludf.DUMMYFUNCTION("SPLIT(A51,""Área"","""")")," Rural")</f>
        <v> Rural</v>
      </c>
    </row>
    <row r="52" ht="15.75" customHeight="1">
      <c r="A52" s="5" t="s">
        <v>2953</v>
      </c>
      <c r="B52" s="5" t="s">
        <v>2954</v>
      </c>
      <c r="C52" s="4" t="s">
        <v>2839</v>
      </c>
      <c r="D52" s="5" t="s">
        <v>2955</v>
      </c>
      <c r="E52" s="6">
        <v>214.0</v>
      </c>
      <c r="F52" s="6" t="s">
        <v>12</v>
      </c>
      <c r="H52" s="18" t="s">
        <v>2841</v>
      </c>
      <c r="I52" s="3" t="s">
        <v>13</v>
      </c>
      <c r="J52" s="7" t="str">
        <f>IFERROR(__xludf.DUMMYFUNCTION("SPLIT(A52,""Avenida"","""")")," Antônio Monteiro Júnior")</f>
        <v> Antônio Monteiro Júnior</v>
      </c>
    </row>
    <row r="53" ht="15.75" customHeight="1">
      <c r="A53" s="5" t="s">
        <v>2956</v>
      </c>
      <c r="B53" s="5" t="s">
        <v>2957</v>
      </c>
      <c r="C53" s="4" t="s">
        <v>2839</v>
      </c>
      <c r="D53" s="5" t="s">
        <v>2958</v>
      </c>
      <c r="E53" s="6">
        <v>214.0</v>
      </c>
      <c r="F53" s="6" t="s">
        <v>12</v>
      </c>
      <c r="H53" s="18" t="s">
        <v>2841</v>
      </c>
      <c r="I53" s="3" t="s">
        <v>13</v>
      </c>
      <c r="J53" s="7" t="str">
        <f>IFERROR(__xludf.DUMMYFUNCTION("SPLIT(A53,""Avenida"","""")")," Armando de Sales Oliveira")</f>
        <v> Armando de Sales Oliveira</v>
      </c>
    </row>
    <row r="54" ht="15.75" customHeight="1">
      <c r="A54" s="5" t="s">
        <v>2956</v>
      </c>
      <c r="B54" s="5" t="s">
        <v>2959</v>
      </c>
      <c r="C54" s="4" t="s">
        <v>2839</v>
      </c>
      <c r="D54" s="5" t="s">
        <v>2960</v>
      </c>
      <c r="E54" s="6">
        <v>214.0</v>
      </c>
      <c r="F54" s="6" t="s">
        <v>12</v>
      </c>
      <c r="H54" s="18" t="s">
        <v>2841</v>
      </c>
      <c r="I54" s="3" t="s">
        <v>13</v>
      </c>
      <c r="J54" s="7" t="str">
        <f>IFERROR(__xludf.DUMMYFUNCTION("SPLIT(A54,""Avenida"","""")")," Armando de Sales Oliveira")</f>
        <v> Armando de Sales Oliveira</v>
      </c>
    </row>
    <row r="55" ht="15.75" customHeight="1">
      <c r="A55" s="5" t="s">
        <v>2961</v>
      </c>
      <c r="B55" s="5" t="s">
        <v>2962</v>
      </c>
      <c r="C55" s="4" t="s">
        <v>2839</v>
      </c>
      <c r="D55" s="5" t="s">
        <v>2963</v>
      </c>
      <c r="E55" s="6">
        <v>214.0</v>
      </c>
      <c r="F55" s="6" t="s">
        <v>12</v>
      </c>
      <c r="H55" s="18" t="s">
        <v>2841</v>
      </c>
      <c r="I55" s="3" t="s">
        <v>13</v>
      </c>
      <c r="J55" s="7" t="str">
        <f>IFERROR(__xludf.DUMMYFUNCTION("SPLIT(A55,""Avenida"","""")")," Armando Lopes Ribeiro")</f>
        <v> Armando Lopes Ribeiro</v>
      </c>
    </row>
    <row r="56" ht="15.75" customHeight="1">
      <c r="A56" s="5" t="s">
        <v>2964</v>
      </c>
      <c r="B56" s="5" t="s">
        <v>2965</v>
      </c>
      <c r="C56" s="4" t="s">
        <v>2839</v>
      </c>
      <c r="D56" s="5" t="s">
        <v>2966</v>
      </c>
      <c r="E56" s="6">
        <v>214.0</v>
      </c>
      <c r="F56" s="6" t="s">
        <v>12</v>
      </c>
      <c r="H56" s="18" t="s">
        <v>2841</v>
      </c>
      <c r="I56" s="3" t="s">
        <v>13</v>
      </c>
      <c r="J56" s="7" t="str">
        <f>IFERROR(__xludf.DUMMYFUNCTION("SPLIT(A56,""Avenida"","""")")," Attílio Fuser Junior")</f>
        <v> Attílio Fuser Junior</v>
      </c>
    </row>
    <row r="57" ht="15.75" customHeight="1">
      <c r="A57" s="5" t="s">
        <v>2967</v>
      </c>
      <c r="B57" s="5" t="s">
        <v>180</v>
      </c>
      <c r="C57" s="4" t="s">
        <v>2839</v>
      </c>
      <c r="D57" s="5" t="s">
        <v>2968</v>
      </c>
      <c r="E57" s="6">
        <v>214.0</v>
      </c>
      <c r="F57" s="6" t="s">
        <v>12</v>
      </c>
      <c r="H57" s="18" t="s">
        <v>2841</v>
      </c>
      <c r="I57" s="3" t="s">
        <v>13</v>
      </c>
      <c r="J57" s="7" t="str">
        <f>IFERROR(__xludf.DUMMYFUNCTION("SPLIT(A57,""Avenida"","""")")," Capitão Joaquim Floriano de Toledo")</f>
        <v> Capitão Joaquim Floriano de Toledo</v>
      </c>
    </row>
    <row r="58" ht="15.75" customHeight="1">
      <c r="A58" s="5" t="s">
        <v>2967</v>
      </c>
      <c r="B58" s="5" t="s">
        <v>2969</v>
      </c>
      <c r="C58" s="4" t="s">
        <v>2839</v>
      </c>
      <c r="D58" s="5" t="s">
        <v>2970</v>
      </c>
      <c r="E58" s="6">
        <v>214.0</v>
      </c>
      <c r="F58" s="6" t="s">
        <v>12</v>
      </c>
      <c r="H58" s="18" t="s">
        <v>2841</v>
      </c>
      <c r="I58" s="3" t="s">
        <v>13</v>
      </c>
      <c r="J58" s="7" t="str">
        <f>IFERROR(__xludf.DUMMYFUNCTION("SPLIT(A58,""Avenida"","""")")," Capitão Joaquim Floriano de Toledo")</f>
        <v> Capitão Joaquim Floriano de Toledo</v>
      </c>
    </row>
    <row r="59" ht="15.75" customHeight="1">
      <c r="A59" s="5" t="s">
        <v>2967</v>
      </c>
      <c r="B59" s="5" t="s">
        <v>2874</v>
      </c>
      <c r="C59" s="4" t="s">
        <v>2839</v>
      </c>
      <c r="D59" s="5" t="s">
        <v>2971</v>
      </c>
      <c r="E59" s="6">
        <v>214.0</v>
      </c>
      <c r="F59" s="6" t="s">
        <v>12</v>
      </c>
      <c r="H59" s="18" t="s">
        <v>2841</v>
      </c>
      <c r="I59" s="3" t="s">
        <v>13</v>
      </c>
      <c r="J59" s="7" t="str">
        <f>IFERROR(__xludf.DUMMYFUNCTION("SPLIT(A59,""Avenida"","""")")," Capitão Joaquim Floriano de Toledo")</f>
        <v> Capitão Joaquim Floriano de Toledo</v>
      </c>
    </row>
    <row r="60" ht="15.75" customHeight="1">
      <c r="A60" s="5" t="s">
        <v>2972</v>
      </c>
      <c r="B60" s="5" t="s">
        <v>2954</v>
      </c>
      <c r="C60" s="4" t="s">
        <v>2839</v>
      </c>
      <c r="D60" s="5" t="s">
        <v>2973</v>
      </c>
      <c r="E60" s="6">
        <v>214.0</v>
      </c>
      <c r="F60" s="6" t="s">
        <v>12</v>
      </c>
      <c r="H60" s="18" t="s">
        <v>2841</v>
      </c>
      <c r="I60" s="3" t="s">
        <v>13</v>
      </c>
      <c r="J60" s="7" t="str">
        <f>IFERROR(__xludf.DUMMYFUNCTION("SPLIT(A60,""Avenida"","""")")," Cinco")</f>
        <v> Cinco</v>
      </c>
    </row>
    <row r="61" ht="15.75" customHeight="1">
      <c r="A61" s="5" t="s">
        <v>2974</v>
      </c>
      <c r="B61" s="5" t="s">
        <v>2975</v>
      </c>
      <c r="C61" s="4" t="s">
        <v>2839</v>
      </c>
      <c r="D61" s="5" t="s">
        <v>2976</v>
      </c>
      <c r="E61" s="6">
        <v>214.0</v>
      </c>
      <c r="F61" s="6" t="s">
        <v>12</v>
      </c>
      <c r="H61" s="18" t="s">
        <v>2841</v>
      </c>
      <c r="I61" s="3" t="s">
        <v>13</v>
      </c>
      <c r="J61" s="7" t="str">
        <f>IFERROR(__xludf.DUMMYFUNCTION("SPLIT(A61,""Avenida"","""")")," das Monções")</f>
        <v> das Monções</v>
      </c>
    </row>
    <row r="62" ht="15.75" customHeight="1">
      <c r="A62" s="5" t="s">
        <v>2974</v>
      </c>
      <c r="B62" s="5" t="s">
        <v>2977</v>
      </c>
      <c r="C62" s="4" t="s">
        <v>2839</v>
      </c>
      <c r="D62" s="5" t="s">
        <v>2978</v>
      </c>
      <c r="E62" s="6">
        <v>214.0</v>
      </c>
      <c r="F62" s="6" t="s">
        <v>12</v>
      </c>
      <c r="H62" s="18" t="s">
        <v>2841</v>
      </c>
      <c r="I62" s="3" t="s">
        <v>13</v>
      </c>
      <c r="J62" s="7" t="str">
        <f>IFERROR(__xludf.DUMMYFUNCTION("SPLIT(A62,""Avenida"","""")")," das Monções")</f>
        <v> das Monções</v>
      </c>
    </row>
    <row r="63" ht="15.75" customHeight="1">
      <c r="A63" s="5" t="s">
        <v>2979</v>
      </c>
      <c r="B63" s="5" t="s">
        <v>2980</v>
      </c>
      <c r="C63" s="4" t="s">
        <v>2839</v>
      </c>
      <c r="D63" s="5" t="s">
        <v>2981</v>
      </c>
      <c r="E63" s="6">
        <v>214.0</v>
      </c>
      <c r="F63" s="6" t="s">
        <v>12</v>
      </c>
      <c r="H63" s="18" t="s">
        <v>2841</v>
      </c>
      <c r="I63" s="3" t="s">
        <v>13</v>
      </c>
      <c r="J63" s="7" t="str">
        <f>IFERROR(__xludf.DUMMYFUNCTION("SPLIT(A63,""Avenida"","""")")," Dois")</f>
        <v> Dois</v>
      </c>
    </row>
    <row r="64" ht="15.75" customHeight="1">
      <c r="A64" s="5" t="s">
        <v>2979</v>
      </c>
      <c r="B64" s="5" t="s">
        <v>2954</v>
      </c>
      <c r="C64" s="4" t="s">
        <v>2839</v>
      </c>
      <c r="D64" s="5" t="s">
        <v>2982</v>
      </c>
      <c r="E64" s="6">
        <v>214.0</v>
      </c>
      <c r="F64" s="6" t="s">
        <v>12</v>
      </c>
      <c r="H64" s="18" t="s">
        <v>2841</v>
      </c>
      <c r="I64" s="3" t="s">
        <v>13</v>
      </c>
      <c r="J64" s="7" t="str">
        <f>IFERROR(__xludf.DUMMYFUNCTION("SPLIT(A64,""Avenida"","""")")," Dois")</f>
        <v> Dois</v>
      </c>
    </row>
    <row r="65" ht="15.75" customHeight="1">
      <c r="A65" s="5" t="s">
        <v>2979</v>
      </c>
      <c r="B65" s="5" t="s">
        <v>2983</v>
      </c>
      <c r="C65" s="4" t="s">
        <v>2839</v>
      </c>
      <c r="D65" s="5" t="s">
        <v>2984</v>
      </c>
      <c r="E65" s="6">
        <v>214.0</v>
      </c>
      <c r="F65" s="6" t="s">
        <v>12</v>
      </c>
      <c r="H65" s="18" t="s">
        <v>2841</v>
      </c>
      <c r="I65" s="3" t="s">
        <v>13</v>
      </c>
      <c r="J65" s="7" t="str">
        <f>IFERROR(__xludf.DUMMYFUNCTION("SPLIT(A65,""Avenida"","""")")," Dois")</f>
        <v> Dois</v>
      </c>
    </row>
    <row r="66" ht="15.75" customHeight="1">
      <c r="A66" s="5" t="s">
        <v>2985</v>
      </c>
      <c r="B66" s="5" t="s">
        <v>2975</v>
      </c>
      <c r="C66" s="4" t="s">
        <v>2839</v>
      </c>
      <c r="D66" s="5" t="s">
        <v>2986</v>
      </c>
      <c r="E66" s="6">
        <v>214.0</v>
      </c>
      <c r="F66" s="6" t="s">
        <v>12</v>
      </c>
      <c r="H66" s="18" t="s">
        <v>2841</v>
      </c>
      <c r="I66" s="3" t="s">
        <v>13</v>
      </c>
      <c r="J66" s="7" t="str">
        <f>IFERROR(__xludf.DUMMYFUNCTION("SPLIT(A66,""Avenida"","""")")," dos Araritaguaba")</f>
        <v> dos Araritaguaba</v>
      </c>
    </row>
    <row r="67" ht="15.75" customHeight="1">
      <c r="A67" s="5" t="s">
        <v>2987</v>
      </c>
      <c r="B67" s="5" t="s">
        <v>2975</v>
      </c>
      <c r="C67" s="4" t="s">
        <v>2839</v>
      </c>
      <c r="D67" s="5" t="s">
        <v>2988</v>
      </c>
      <c r="E67" s="6">
        <v>214.0</v>
      </c>
      <c r="F67" s="6" t="s">
        <v>12</v>
      </c>
      <c r="H67" s="18" t="s">
        <v>2841</v>
      </c>
      <c r="I67" s="3" t="s">
        <v>13</v>
      </c>
      <c r="J67" s="7" t="str">
        <f>IFERROR(__xludf.DUMMYFUNCTION("SPLIT(A67,""Avenida"","""")")," dos Bandeirantes")</f>
        <v> dos Bandeirantes</v>
      </c>
    </row>
    <row r="68" ht="15.75" customHeight="1">
      <c r="A68" s="5" t="s">
        <v>2987</v>
      </c>
      <c r="B68" s="5" t="s">
        <v>2945</v>
      </c>
      <c r="C68" s="4" t="s">
        <v>2839</v>
      </c>
      <c r="D68" s="5" t="s">
        <v>2989</v>
      </c>
      <c r="E68" s="6">
        <v>214.0</v>
      </c>
      <c r="F68" s="6" t="s">
        <v>12</v>
      </c>
      <c r="H68" s="18" t="s">
        <v>2841</v>
      </c>
      <c r="I68" s="3" t="s">
        <v>13</v>
      </c>
      <c r="J68" s="7" t="str">
        <f>IFERROR(__xludf.DUMMYFUNCTION("SPLIT(A68,""Avenida"","""")")," dos Bandeirantes")</f>
        <v> dos Bandeirantes</v>
      </c>
    </row>
    <row r="69" ht="15.75" customHeight="1">
      <c r="A69" s="5" t="s">
        <v>2990</v>
      </c>
      <c r="B69" s="5" t="s">
        <v>2991</v>
      </c>
      <c r="C69" s="4" t="s">
        <v>2839</v>
      </c>
      <c r="D69" s="5" t="s">
        <v>2992</v>
      </c>
      <c r="E69" s="6">
        <v>214.0</v>
      </c>
      <c r="F69" s="6" t="s">
        <v>12</v>
      </c>
      <c r="H69" s="18" t="s">
        <v>2841</v>
      </c>
      <c r="I69" s="3" t="s">
        <v>13</v>
      </c>
      <c r="J69" s="7" t="str">
        <f>IFERROR(__xludf.DUMMYFUNCTION("SPLIT(A69,""Avenida"","""")")," dos Trabalhadores")</f>
        <v> dos Trabalhadores</v>
      </c>
    </row>
    <row r="70" ht="15.75" customHeight="1">
      <c r="A70" s="5" t="s">
        <v>2993</v>
      </c>
      <c r="B70" s="5" t="s">
        <v>2994</v>
      </c>
      <c r="C70" s="4" t="s">
        <v>2839</v>
      </c>
      <c r="D70" s="5" t="s">
        <v>2995</v>
      </c>
      <c r="E70" s="6">
        <v>214.0</v>
      </c>
      <c r="F70" s="6" t="s">
        <v>12</v>
      </c>
      <c r="H70" s="18" t="s">
        <v>2841</v>
      </c>
      <c r="I70" s="3" t="s">
        <v>13</v>
      </c>
      <c r="J70" s="7" t="str">
        <f>IFERROR(__xludf.DUMMYFUNCTION("SPLIT(A70,""Avenida"","""")")," Doutor Antônio Pires de Almeida")</f>
        <v> Doutor Antônio Pires de Almeida</v>
      </c>
    </row>
    <row r="71" ht="15.75" customHeight="1">
      <c r="A71" s="5" t="s">
        <v>2993</v>
      </c>
      <c r="B71" s="5" t="s">
        <v>2996</v>
      </c>
      <c r="C71" s="4" t="s">
        <v>2839</v>
      </c>
      <c r="D71" s="5" t="s">
        <v>2997</v>
      </c>
      <c r="E71" s="6">
        <v>214.0</v>
      </c>
      <c r="F71" s="6" t="s">
        <v>12</v>
      </c>
      <c r="H71" s="18" t="s">
        <v>2841</v>
      </c>
      <c r="I71" s="3" t="s">
        <v>13</v>
      </c>
      <c r="J71" s="7" t="str">
        <f>IFERROR(__xludf.DUMMYFUNCTION("SPLIT(A71,""Avenida"","""")")," Doutor Antônio Pires de Almeida")</f>
        <v> Doutor Antônio Pires de Almeida</v>
      </c>
    </row>
    <row r="72" ht="15.75" customHeight="1">
      <c r="A72" s="5" t="s">
        <v>2993</v>
      </c>
      <c r="B72" s="5" t="s">
        <v>2998</v>
      </c>
      <c r="C72" s="4" t="s">
        <v>2839</v>
      </c>
      <c r="D72" s="5" t="s">
        <v>2999</v>
      </c>
      <c r="E72" s="6">
        <v>214.0</v>
      </c>
      <c r="F72" s="6" t="s">
        <v>12</v>
      </c>
      <c r="H72" s="18" t="s">
        <v>2841</v>
      </c>
      <c r="I72" s="3" t="s">
        <v>13</v>
      </c>
      <c r="J72" s="7" t="str">
        <f>IFERROR(__xludf.DUMMYFUNCTION("SPLIT(A72,""Avenida"","""")")," Doutor Antônio Pires de Almeida")</f>
        <v> Doutor Antônio Pires de Almeida</v>
      </c>
    </row>
    <row r="73" ht="15.75" customHeight="1">
      <c r="A73" s="5" t="s">
        <v>2993</v>
      </c>
      <c r="B73" s="5" t="s">
        <v>180</v>
      </c>
      <c r="C73" s="4" t="s">
        <v>2839</v>
      </c>
      <c r="D73" s="5" t="s">
        <v>3000</v>
      </c>
      <c r="E73" s="6">
        <v>214.0</v>
      </c>
      <c r="F73" s="6" t="s">
        <v>12</v>
      </c>
      <c r="H73" s="18" t="s">
        <v>2841</v>
      </c>
      <c r="I73" s="3" t="s">
        <v>13</v>
      </c>
      <c r="J73" s="7" t="str">
        <f>IFERROR(__xludf.DUMMYFUNCTION("SPLIT(A73,""Avenida"","""")")," Doutor Antônio Pires de Almeida")</f>
        <v> Doutor Antônio Pires de Almeida</v>
      </c>
    </row>
    <row r="74" ht="15.75" customHeight="1">
      <c r="A74" s="5" t="s">
        <v>2993</v>
      </c>
      <c r="B74" s="5" t="s">
        <v>3001</v>
      </c>
      <c r="C74" s="4" t="s">
        <v>2839</v>
      </c>
      <c r="D74" s="5" t="s">
        <v>3002</v>
      </c>
      <c r="E74" s="6">
        <v>214.0</v>
      </c>
      <c r="F74" s="6" t="s">
        <v>12</v>
      </c>
      <c r="H74" s="18" t="s">
        <v>2841</v>
      </c>
      <c r="I74" s="3" t="s">
        <v>13</v>
      </c>
      <c r="J74" s="7" t="str">
        <f>IFERROR(__xludf.DUMMYFUNCTION("SPLIT(A74,""Avenida"","""")")," Doutor Antônio Pires de Almeida")</f>
        <v> Doutor Antônio Pires de Almeida</v>
      </c>
    </row>
    <row r="75" ht="15.75" customHeight="1">
      <c r="A75" s="5" t="s">
        <v>2993</v>
      </c>
      <c r="B75" s="5" t="s">
        <v>3003</v>
      </c>
      <c r="C75" s="4" t="s">
        <v>2839</v>
      </c>
      <c r="D75" s="5" t="s">
        <v>3004</v>
      </c>
      <c r="E75" s="6">
        <v>214.0</v>
      </c>
      <c r="F75" s="6" t="s">
        <v>12</v>
      </c>
      <c r="H75" s="18" t="s">
        <v>2841</v>
      </c>
      <c r="I75" s="3" t="s">
        <v>13</v>
      </c>
      <c r="J75" s="7" t="str">
        <f>IFERROR(__xludf.DUMMYFUNCTION("SPLIT(A75,""Avenida"","""")")," Doutor Antônio Pires de Almeida")</f>
        <v> Doutor Antônio Pires de Almeida</v>
      </c>
    </row>
    <row r="76" ht="15.75" customHeight="1">
      <c r="A76" s="5" t="s">
        <v>2993</v>
      </c>
      <c r="B76" s="5" t="s">
        <v>3005</v>
      </c>
      <c r="C76" s="4" t="s">
        <v>2839</v>
      </c>
      <c r="D76" s="5" t="s">
        <v>3006</v>
      </c>
      <c r="E76" s="6">
        <v>214.0</v>
      </c>
      <c r="F76" s="6" t="s">
        <v>12</v>
      </c>
      <c r="H76" s="18" t="s">
        <v>2841</v>
      </c>
      <c r="I76" s="3" t="s">
        <v>13</v>
      </c>
      <c r="J76" s="7" t="str">
        <f>IFERROR(__xludf.DUMMYFUNCTION("SPLIT(A76,""Avenida"","""")")," Doutor Antônio Pires de Almeida")</f>
        <v> Doutor Antônio Pires de Almeida</v>
      </c>
    </row>
    <row r="77" ht="15.75" customHeight="1">
      <c r="A77" s="13" t="s">
        <v>2993</v>
      </c>
      <c r="B77" s="13" t="s">
        <v>3007</v>
      </c>
      <c r="C77" s="4" t="s">
        <v>2839</v>
      </c>
      <c r="D77" s="13" t="s">
        <v>3008</v>
      </c>
      <c r="E77" s="6">
        <v>214.0</v>
      </c>
      <c r="F77" s="6" t="s">
        <v>12</v>
      </c>
      <c r="H77" s="18" t="s">
        <v>2841</v>
      </c>
      <c r="I77" s="3" t="s">
        <v>13</v>
      </c>
      <c r="J77" s="7" t="str">
        <f>IFERROR(__xludf.DUMMYFUNCTION("SPLIT(A77,""Avenida"","""")")," Doutor Antônio Pires de Almeida")</f>
        <v> Doutor Antônio Pires de Almeida</v>
      </c>
    </row>
    <row r="78" ht="15.75" customHeight="1">
      <c r="A78" s="5" t="s">
        <v>2993</v>
      </c>
      <c r="B78" s="5" t="s">
        <v>2975</v>
      </c>
      <c r="C78" s="4" t="s">
        <v>2839</v>
      </c>
      <c r="D78" s="5" t="s">
        <v>3009</v>
      </c>
      <c r="E78" s="6">
        <v>214.0</v>
      </c>
      <c r="F78" s="6" t="s">
        <v>12</v>
      </c>
      <c r="H78" s="18" t="s">
        <v>2841</v>
      </c>
      <c r="I78" s="3" t="s">
        <v>13</v>
      </c>
      <c r="J78" s="7" t="str">
        <f>IFERROR(__xludf.DUMMYFUNCTION("SPLIT(A78,""Avenida"","""")")," Doutor Antônio Pires de Almeida")</f>
        <v> Doutor Antônio Pires de Almeida</v>
      </c>
    </row>
    <row r="79" ht="15.75" customHeight="1">
      <c r="A79" s="5" t="s">
        <v>2993</v>
      </c>
      <c r="B79" s="5" t="s">
        <v>3010</v>
      </c>
      <c r="C79" s="4" t="s">
        <v>2839</v>
      </c>
      <c r="D79" s="5" t="s">
        <v>3011</v>
      </c>
      <c r="E79" s="6">
        <v>214.0</v>
      </c>
      <c r="F79" s="6" t="s">
        <v>12</v>
      </c>
      <c r="H79" s="18" t="s">
        <v>2841</v>
      </c>
      <c r="I79" s="3" t="s">
        <v>13</v>
      </c>
      <c r="J79" s="7" t="str">
        <f>IFERROR(__xludf.DUMMYFUNCTION("SPLIT(A79,""Avenida"","""")")," Doutor Antônio Pires de Almeida")</f>
        <v> Doutor Antônio Pires de Almeida</v>
      </c>
    </row>
    <row r="80" ht="15.75" customHeight="1">
      <c r="A80" s="5" t="s">
        <v>2993</v>
      </c>
      <c r="B80" s="5" t="s">
        <v>3012</v>
      </c>
      <c r="C80" s="4" t="s">
        <v>2839</v>
      </c>
      <c r="D80" s="5" t="s">
        <v>3013</v>
      </c>
      <c r="E80" s="6">
        <v>214.0</v>
      </c>
      <c r="F80" s="6" t="s">
        <v>12</v>
      </c>
      <c r="H80" s="18" t="s">
        <v>2841</v>
      </c>
      <c r="I80" s="3" t="s">
        <v>13</v>
      </c>
      <c r="J80" s="7" t="str">
        <f>IFERROR(__xludf.DUMMYFUNCTION("SPLIT(A80,""Avenida"","""")")," Doutor Antônio Pires de Almeida")</f>
        <v> Doutor Antônio Pires de Almeida</v>
      </c>
    </row>
    <row r="81" ht="15.75" customHeight="1">
      <c r="A81" s="5" t="s">
        <v>2993</v>
      </c>
      <c r="B81" s="5" t="s">
        <v>3014</v>
      </c>
      <c r="C81" s="4" t="s">
        <v>2839</v>
      </c>
      <c r="D81" s="5" t="s">
        <v>3015</v>
      </c>
      <c r="E81" s="6">
        <v>214.0</v>
      </c>
      <c r="F81" s="6" t="s">
        <v>12</v>
      </c>
      <c r="H81" s="18" t="s">
        <v>2841</v>
      </c>
      <c r="I81" s="3" t="s">
        <v>13</v>
      </c>
      <c r="J81" s="7" t="str">
        <f>IFERROR(__xludf.DUMMYFUNCTION("SPLIT(A81,""Avenida"","""")")," Doutor Antônio Pires de Almeida")</f>
        <v> Doutor Antônio Pires de Almeida</v>
      </c>
    </row>
    <row r="82" ht="15.75" customHeight="1">
      <c r="A82" s="5" t="s">
        <v>2993</v>
      </c>
      <c r="B82" s="5" t="s">
        <v>3016</v>
      </c>
      <c r="C82" s="4" t="s">
        <v>2839</v>
      </c>
      <c r="D82" s="5" t="s">
        <v>3017</v>
      </c>
      <c r="E82" s="6">
        <v>214.0</v>
      </c>
      <c r="F82" s="6" t="s">
        <v>12</v>
      </c>
      <c r="H82" s="18" t="s">
        <v>2841</v>
      </c>
      <c r="I82" s="3" t="s">
        <v>13</v>
      </c>
      <c r="J82" s="7" t="str">
        <f>IFERROR(__xludf.DUMMYFUNCTION("SPLIT(A82,""Avenida"","""")")," Doutor Antônio Pires de Almeida")</f>
        <v> Doutor Antônio Pires de Almeida</v>
      </c>
    </row>
    <row r="83" ht="15.75" customHeight="1">
      <c r="A83" s="5" t="s">
        <v>2993</v>
      </c>
      <c r="B83" s="5" t="s">
        <v>3018</v>
      </c>
      <c r="C83" s="4" t="s">
        <v>2839</v>
      </c>
      <c r="D83" s="5" t="s">
        <v>3019</v>
      </c>
      <c r="E83" s="6">
        <v>214.0</v>
      </c>
      <c r="F83" s="6" t="s">
        <v>12</v>
      </c>
      <c r="H83" s="18" t="s">
        <v>2841</v>
      </c>
      <c r="I83" s="3" t="s">
        <v>13</v>
      </c>
      <c r="J83" s="7" t="str">
        <f>IFERROR(__xludf.DUMMYFUNCTION("SPLIT(A83,""Avenida"","""")")," Doutor Antônio Pires de Almeida")</f>
        <v> Doutor Antônio Pires de Almeida</v>
      </c>
    </row>
    <row r="84" ht="15.75" customHeight="1">
      <c r="A84" s="5" t="s">
        <v>2993</v>
      </c>
      <c r="B84" s="5" t="s">
        <v>3020</v>
      </c>
      <c r="C84" s="4" t="s">
        <v>2839</v>
      </c>
      <c r="D84" s="5" t="s">
        <v>3021</v>
      </c>
      <c r="E84" s="6">
        <v>214.0</v>
      </c>
      <c r="F84" s="6" t="s">
        <v>12</v>
      </c>
      <c r="H84" s="18" t="s">
        <v>2841</v>
      </c>
      <c r="I84" s="3" t="s">
        <v>13</v>
      </c>
      <c r="J84" s="7" t="str">
        <f>IFERROR(__xludf.DUMMYFUNCTION("SPLIT(A84,""Avenida"","""")")," Doutor Antônio Pires de Almeida")</f>
        <v> Doutor Antônio Pires de Almeida</v>
      </c>
    </row>
    <row r="85" ht="15.75" customHeight="1">
      <c r="A85" s="5" t="s">
        <v>2993</v>
      </c>
      <c r="B85" s="5" t="s">
        <v>2965</v>
      </c>
      <c r="C85" s="4" t="s">
        <v>2839</v>
      </c>
      <c r="D85" s="5" t="s">
        <v>3022</v>
      </c>
      <c r="E85" s="6">
        <v>214.0</v>
      </c>
      <c r="F85" s="6" t="s">
        <v>12</v>
      </c>
      <c r="H85" s="18" t="s">
        <v>2841</v>
      </c>
      <c r="I85" s="3" t="s">
        <v>13</v>
      </c>
      <c r="J85" s="7" t="str">
        <f>IFERROR(__xludf.DUMMYFUNCTION("SPLIT(A85,""Avenida"","""")")," Doutor Antônio Pires de Almeida")</f>
        <v> Doutor Antônio Pires de Almeida</v>
      </c>
    </row>
    <row r="86" ht="15.75" customHeight="1">
      <c r="A86" s="5" t="s">
        <v>2993</v>
      </c>
      <c r="B86" s="5" t="s">
        <v>3023</v>
      </c>
      <c r="C86" s="4" t="s">
        <v>2839</v>
      </c>
      <c r="D86" s="5" t="s">
        <v>3024</v>
      </c>
      <c r="E86" s="6">
        <v>214.0</v>
      </c>
      <c r="F86" s="6" t="s">
        <v>12</v>
      </c>
      <c r="H86" s="18" t="s">
        <v>2841</v>
      </c>
      <c r="I86" s="3" t="s">
        <v>13</v>
      </c>
      <c r="J86" s="7" t="str">
        <f>IFERROR(__xludf.DUMMYFUNCTION("SPLIT(A86,""Avenida"","""")")," Doutor Antônio Pires de Almeida")</f>
        <v> Doutor Antônio Pires de Almeida</v>
      </c>
    </row>
    <row r="87" ht="15.75" customHeight="1">
      <c r="A87" s="5" t="s">
        <v>2993</v>
      </c>
      <c r="B87" s="5" t="s">
        <v>3025</v>
      </c>
      <c r="C87" s="4" t="s">
        <v>2839</v>
      </c>
      <c r="D87" s="5" t="s">
        <v>3026</v>
      </c>
      <c r="E87" s="6">
        <v>214.0</v>
      </c>
      <c r="F87" s="6" t="s">
        <v>12</v>
      </c>
      <c r="H87" s="18" t="s">
        <v>2841</v>
      </c>
      <c r="I87" s="3" t="s">
        <v>13</v>
      </c>
      <c r="J87" s="7" t="str">
        <f>IFERROR(__xludf.DUMMYFUNCTION("SPLIT(A87,""Avenida"","""")")," Doutor Antônio Pires de Almeida")</f>
        <v> Doutor Antônio Pires de Almeida</v>
      </c>
    </row>
    <row r="88" ht="15.75" customHeight="1">
      <c r="A88" s="5" t="s">
        <v>2993</v>
      </c>
      <c r="B88" s="5" t="s">
        <v>3027</v>
      </c>
      <c r="C88" s="4" t="s">
        <v>2839</v>
      </c>
      <c r="D88" s="5" t="s">
        <v>3028</v>
      </c>
      <c r="E88" s="6">
        <v>214.0</v>
      </c>
      <c r="F88" s="6" t="s">
        <v>12</v>
      </c>
      <c r="H88" s="18" t="s">
        <v>2841</v>
      </c>
      <c r="I88" s="3" t="s">
        <v>13</v>
      </c>
      <c r="J88" s="7" t="str">
        <f>IFERROR(__xludf.DUMMYFUNCTION("SPLIT(A88,""Avenida"","""")")," Doutor Antônio Pires de Almeida")</f>
        <v> Doutor Antônio Pires de Almeida</v>
      </c>
    </row>
    <row r="89" ht="15.75" customHeight="1">
      <c r="A89" s="5" t="s">
        <v>2993</v>
      </c>
      <c r="B89" s="5" t="s">
        <v>3029</v>
      </c>
      <c r="C89" s="4" t="s">
        <v>2839</v>
      </c>
      <c r="D89" s="5" t="s">
        <v>3030</v>
      </c>
      <c r="E89" s="6">
        <v>214.0</v>
      </c>
      <c r="F89" s="6" t="s">
        <v>12</v>
      </c>
      <c r="H89" s="18" t="s">
        <v>2841</v>
      </c>
      <c r="I89" s="3" t="s">
        <v>13</v>
      </c>
      <c r="J89" s="7" t="str">
        <f>IFERROR(__xludf.DUMMYFUNCTION("SPLIT(A89,""Avenida"","""")")," Doutor Antônio Pires de Almeida")</f>
        <v> Doutor Antônio Pires de Almeida</v>
      </c>
    </row>
    <row r="90" ht="15.75" customHeight="1">
      <c r="A90" s="5" t="s">
        <v>3031</v>
      </c>
      <c r="B90" s="5" t="s">
        <v>2965</v>
      </c>
      <c r="C90" s="4" t="s">
        <v>2839</v>
      </c>
      <c r="D90" s="5" t="s">
        <v>3032</v>
      </c>
      <c r="E90" s="6">
        <v>214.0</v>
      </c>
      <c r="F90" s="6" t="s">
        <v>12</v>
      </c>
      <c r="H90" s="18" t="s">
        <v>2841</v>
      </c>
      <c r="I90" s="3" t="s">
        <v>13</v>
      </c>
      <c r="J90" s="7" t="str">
        <f>IFERROR(__xludf.DUMMYFUNCTION("SPLIT(A90,""Avenida"","""")")," Doutor Osvaldo Valter Avancini")</f>
        <v> Doutor Osvaldo Valter Avancini</v>
      </c>
    </row>
    <row r="91" ht="15.75" customHeight="1">
      <c r="A91" s="5" t="s">
        <v>3033</v>
      </c>
      <c r="B91" s="5" t="s">
        <v>3034</v>
      </c>
      <c r="C91" s="4" t="s">
        <v>2839</v>
      </c>
      <c r="D91" s="5" t="s">
        <v>3035</v>
      </c>
      <c r="E91" s="6">
        <v>214.0</v>
      </c>
      <c r="F91" s="6" t="s">
        <v>12</v>
      </c>
      <c r="H91" s="18" t="s">
        <v>2841</v>
      </c>
      <c r="I91" s="3" t="s">
        <v>13</v>
      </c>
      <c r="J91" s="7" t="str">
        <f>IFERROR(__xludf.DUMMYFUNCTION("SPLIT(A91,""Avenida"","""")")," Doutor Sílvio Brand Correa")</f>
        <v> Doutor Sílvio Brand Correa</v>
      </c>
    </row>
    <row r="92" ht="15.75" customHeight="1">
      <c r="A92" s="5" t="s">
        <v>3033</v>
      </c>
      <c r="B92" s="5" t="s">
        <v>3036</v>
      </c>
      <c r="C92" s="4" t="s">
        <v>2839</v>
      </c>
      <c r="D92" s="5" t="s">
        <v>3037</v>
      </c>
      <c r="E92" s="6">
        <v>214.0</v>
      </c>
      <c r="F92" s="6" t="s">
        <v>12</v>
      </c>
      <c r="H92" s="18" t="s">
        <v>2841</v>
      </c>
      <c r="I92" s="3" t="s">
        <v>13</v>
      </c>
      <c r="J92" s="7" t="str">
        <f>IFERROR(__xludf.DUMMYFUNCTION("SPLIT(A92,""Avenida"","""")")," Doutor Sílvio Brand Correa")</f>
        <v> Doutor Sílvio Brand Correa</v>
      </c>
    </row>
    <row r="93" ht="15.75" customHeight="1">
      <c r="A93" s="5" t="s">
        <v>3033</v>
      </c>
      <c r="B93" s="5" t="s">
        <v>2879</v>
      </c>
      <c r="C93" s="4" t="s">
        <v>2839</v>
      </c>
      <c r="D93" s="5" t="s">
        <v>3038</v>
      </c>
      <c r="E93" s="6">
        <v>214.0</v>
      </c>
      <c r="F93" s="6" t="s">
        <v>12</v>
      </c>
      <c r="H93" s="18" t="s">
        <v>2841</v>
      </c>
      <c r="I93" s="3" t="s">
        <v>13</v>
      </c>
      <c r="J93" s="7" t="str">
        <f>IFERROR(__xludf.DUMMYFUNCTION("SPLIT(A93,""Avenida"","""")")," Doutor Sílvio Brand Correa")</f>
        <v> Doutor Sílvio Brand Correa</v>
      </c>
    </row>
    <row r="94" ht="15.75" customHeight="1">
      <c r="A94" s="5" t="s">
        <v>3033</v>
      </c>
      <c r="B94" s="5" t="s">
        <v>3039</v>
      </c>
      <c r="C94" s="4" t="s">
        <v>2839</v>
      </c>
      <c r="D94" s="5" t="s">
        <v>3040</v>
      </c>
      <c r="E94" s="6">
        <v>214.0</v>
      </c>
      <c r="F94" s="6" t="s">
        <v>12</v>
      </c>
      <c r="H94" s="18" t="s">
        <v>2841</v>
      </c>
      <c r="I94" s="3" t="s">
        <v>13</v>
      </c>
      <c r="J94" s="7" t="str">
        <f>IFERROR(__xludf.DUMMYFUNCTION("SPLIT(A94,""Avenida"","""")")," Doutor Sílvio Brand Correa")</f>
        <v> Doutor Sílvio Brand Correa</v>
      </c>
    </row>
    <row r="95" ht="15.75" customHeight="1">
      <c r="A95" s="5" t="s">
        <v>3041</v>
      </c>
      <c r="B95" s="5" t="s">
        <v>3042</v>
      </c>
      <c r="C95" s="4" t="s">
        <v>2839</v>
      </c>
      <c r="D95" s="5" t="s">
        <v>3043</v>
      </c>
      <c r="E95" s="6">
        <v>214.0</v>
      </c>
      <c r="F95" s="6" t="s">
        <v>12</v>
      </c>
      <c r="H95" s="18" t="s">
        <v>2841</v>
      </c>
      <c r="I95" s="3" t="s">
        <v>13</v>
      </c>
      <c r="J95" s="7" t="str">
        <f>IFERROR(__xludf.DUMMYFUNCTION("SPLIT(A95,""Avenida"","""")")," Florent Deleu")</f>
        <v> Florent Deleu</v>
      </c>
    </row>
    <row r="96" ht="15.75" customHeight="1">
      <c r="A96" s="5" t="s">
        <v>3044</v>
      </c>
      <c r="B96" s="5" t="s">
        <v>2996</v>
      </c>
      <c r="C96" s="4" t="s">
        <v>2839</v>
      </c>
      <c r="D96" s="5" t="s">
        <v>3045</v>
      </c>
      <c r="E96" s="6">
        <v>214.0</v>
      </c>
      <c r="F96" s="6" t="s">
        <v>12</v>
      </c>
      <c r="H96" s="18" t="s">
        <v>2841</v>
      </c>
      <c r="I96" s="3" t="s">
        <v>13</v>
      </c>
      <c r="J96" s="7" t="str">
        <f>IFERROR(__xludf.DUMMYFUNCTION("SPLIT(A96,""Avenida"","""")")," Getúlio Vargas - até 925/926")</f>
        <v> Getúlio Vargas - até 925/926</v>
      </c>
    </row>
    <row r="97" ht="15.75" customHeight="1">
      <c r="A97" s="5" t="s">
        <v>3046</v>
      </c>
      <c r="B97" s="5" t="s">
        <v>3047</v>
      </c>
      <c r="C97" s="4" t="s">
        <v>2839</v>
      </c>
      <c r="D97" s="5" t="s">
        <v>3048</v>
      </c>
      <c r="E97" s="6">
        <v>214.0</v>
      </c>
      <c r="F97" s="6" t="s">
        <v>12</v>
      </c>
      <c r="H97" s="18" t="s">
        <v>2841</v>
      </c>
      <c r="I97" s="3" t="s">
        <v>13</v>
      </c>
      <c r="J97" s="7" t="str">
        <f>IFERROR(__xludf.DUMMYFUNCTION("SPLIT(A97,""Avenida"","""")")," Getúlio Vargas - de 927 ao fim - lado ímpar")</f>
        <v> Getúlio Vargas - de 927 ao fim - lado ímpar</v>
      </c>
    </row>
    <row r="98" ht="15.75" customHeight="1">
      <c r="A98" s="5" t="s">
        <v>3049</v>
      </c>
      <c r="B98" s="5" t="s">
        <v>2996</v>
      </c>
      <c r="C98" s="4" t="s">
        <v>2839</v>
      </c>
      <c r="D98" s="5" t="s">
        <v>3050</v>
      </c>
      <c r="E98" s="6">
        <v>214.0</v>
      </c>
      <c r="F98" s="6" t="s">
        <v>12</v>
      </c>
      <c r="H98" s="18" t="s">
        <v>2841</v>
      </c>
      <c r="I98" s="3" t="s">
        <v>13</v>
      </c>
      <c r="J98" s="7" t="str">
        <f>IFERROR(__xludf.DUMMYFUNCTION("SPLIT(A98,""Avenida"","""")")," Getúlio Vargas - de 928 ao fim - lado par")</f>
        <v> Getúlio Vargas - de 928 ao fim - lado par</v>
      </c>
    </row>
    <row r="99" ht="15.75" customHeight="1">
      <c r="A99" s="5" t="s">
        <v>3051</v>
      </c>
      <c r="B99" s="5" t="s">
        <v>3052</v>
      </c>
      <c r="C99" s="4" t="s">
        <v>2839</v>
      </c>
      <c r="D99" s="5" t="s">
        <v>3053</v>
      </c>
      <c r="E99" s="6">
        <v>214.0</v>
      </c>
      <c r="F99" s="6" t="s">
        <v>12</v>
      </c>
      <c r="H99" s="18" t="s">
        <v>2841</v>
      </c>
      <c r="I99" s="3" t="s">
        <v>13</v>
      </c>
      <c r="J99" s="7" t="str">
        <f>IFERROR(__xludf.DUMMYFUNCTION("SPLIT(A99,""Avenida"","""")")," Governador Mário Covas")</f>
        <v> Governador Mário Covas</v>
      </c>
    </row>
    <row r="100" ht="15.75" customHeight="1">
      <c r="A100" s="5" t="s">
        <v>3051</v>
      </c>
      <c r="B100" s="5" t="s">
        <v>3054</v>
      </c>
      <c r="C100" s="4" t="s">
        <v>2839</v>
      </c>
      <c r="D100" s="5" t="s">
        <v>3055</v>
      </c>
      <c r="E100" s="6">
        <v>214.0</v>
      </c>
      <c r="F100" s="6" t="s">
        <v>12</v>
      </c>
      <c r="H100" s="18" t="s">
        <v>2841</v>
      </c>
      <c r="I100" s="3" t="s">
        <v>13</v>
      </c>
      <c r="J100" s="7" t="str">
        <f>IFERROR(__xludf.DUMMYFUNCTION("SPLIT(A100,""Avenida"","""")")," Governador Mário Covas")</f>
        <v> Governador Mário Covas</v>
      </c>
    </row>
    <row r="101" ht="15.75" customHeight="1">
      <c r="A101" s="5" t="s">
        <v>3051</v>
      </c>
      <c r="B101" s="5" t="s">
        <v>3056</v>
      </c>
      <c r="C101" s="4" t="s">
        <v>2839</v>
      </c>
      <c r="D101" s="5" t="s">
        <v>3057</v>
      </c>
      <c r="E101" s="6">
        <v>214.0</v>
      </c>
      <c r="F101" s="6" t="s">
        <v>12</v>
      </c>
      <c r="H101" s="18" t="s">
        <v>2841</v>
      </c>
      <c r="I101" s="3" t="s">
        <v>13</v>
      </c>
      <c r="J101" s="7" t="str">
        <f>IFERROR(__xludf.DUMMYFUNCTION("SPLIT(A101,""Avenida"","""")")," Governador Mário Covas")</f>
        <v> Governador Mário Covas</v>
      </c>
    </row>
    <row r="102" ht="15.75" customHeight="1">
      <c r="A102" s="5" t="s">
        <v>3051</v>
      </c>
      <c r="B102" s="5" t="s">
        <v>3058</v>
      </c>
      <c r="C102" s="4" t="s">
        <v>2839</v>
      </c>
      <c r="D102" s="5" t="s">
        <v>3059</v>
      </c>
      <c r="E102" s="6">
        <v>214.0</v>
      </c>
      <c r="F102" s="6" t="s">
        <v>12</v>
      </c>
      <c r="H102" s="18" t="s">
        <v>2841</v>
      </c>
      <c r="I102" s="3" t="s">
        <v>13</v>
      </c>
      <c r="J102" s="7" t="str">
        <f>IFERROR(__xludf.DUMMYFUNCTION("SPLIT(A102,""Avenida"","""")")," Governador Mário Covas")</f>
        <v> Governador Mário Covas</v>
      </c>
    </row>
    <row r="103" ht="15.75" customHeight="1">
      <c r="A103" s="5" t="s">
        <v>3051</v>
      </c>
      <c r="B103" s="5" t="s">
        <v>2865</v>
      </c>
      <c r="C103" s="4" t="s">
        <v>2839</v>
      </c>
      <c r="D103" s="5" t="s">
        <v>3060</v>
      </c>
      <c r="E103" s="6">
        <v>214.0</v>
      </c>
      <c r="F103" s="6" t="s">
        <v>12</v>
      </c>
      <c r="H103" s="18" t="s">
        <v>2841</v>
      </c>
      <c r="I103" s="3" t="s">
        <v>13</v>
      </c>
      <c r="J103" s="7" t="str">
        <f>IFERROR(__xludf.DUMMYFUNCTION("SPLIT(A103,""Avenida"","""")")," Governador Mário Covas")</f>
        <v> Governador Mário Covas</v>
      </c>
    </row>
    <row r="104" ht="15.75" customHeight="1">
      <c r="A104" s="5" t="s">
        <v>3051</v>
      </c>
      <c r="B104" s="5" t="s">
        <v>3061</v>
      </c>
      <c r="C104" s="4" t="s">
        <v>2839</v>
      </c>
      <c r="D104" s="5" t="s">
        <v>3062</v>
      </c>
      <c r="E104" s="6">
        <v>214.0</v>
      </c>
      <c r="F104" s="6" t="s">
        <v>12</v>
      </c>
      <c r="H104" s="18" t="s">
        <v>2841</v>
      </c>
      <c r="I104" s="3" t="s">
        <v>13</v>
      </c>
      <c r="J104" s="7" t="str">
        <f>IFERROR(__xludf.DUMMYFUNCTION("SPLIT(A104,""Avenida"","""")")," Governador Mário Covas")</f>
        <v> Governador Mário Covas</v>
      </c>
    </row>
    <row r="105" ht="15.75" customHeight="1">
      <c r="A105" s="5" t="s">
        <v>3051</v>
      </c>
      <c r="B105" s="5" t="s">
        <v>3063</v>
      </c>
      <c r="C105" s="4" t="s">
        <v>2839</v>
      </c>
      <c r="D105" s="5" t="s">
        <v>3064</v>
      </c>
      <c r="E105" s="6">
        <v>214.0</v>
      </c>
      <c r="F105" s="6" t="s">
        <v>12</v>
      </c>
      <c r="H105" s="18" t="s">
        <v>2841</v>
      </c>
      <c r="I105" s="3" t="s">
        <v>13</v>
      </c>
      <c r="J105" s="7" t="str">
        <f>IFERROR(__xludf.DUMMYFUNCTION("SPLIT(A105,""Avenida"","""")")," Governador Mário Covas")</f>
        <v> Governador Mário Covas</v>
      </c>
    </row>
    <row r="106" ht="15.75" customHeight="1">
      <c r="A106" s="5" t="s">
        <v>3051</v>
      </c>
      <c r="B106" s="5" t="s">
        <v>3065</v>
      </c>
      <c r="C106" s="4" t="s">
        <v>2839</v>
      </c>
      <c r="D106" s="5" t="s">
        <v>3066</v>
      </c>
      <c r="E106" s="6">
        <v>214.0</v>
      </c>
      <c r="F106" s="6" t="s">
        <v>12</v>
      </c>
      <c r="H106" s="18" t="s">
        <v>2841</v>
      </c>
      <c r="I106" s="3" t="s">
        <v>13</v>
      </c>
      <c r="J106" s="7" t="str">
        <f>IFERROR(__xludf.DUMMYFUNCTION("SPLIT(A106,""Avenida"","""")")," Governador Mário Covas")</f>
        <v> Governador Mário Covas</v>
      </c>
    </row>
    <row r="107" ht="15.75" customHeight="1">
      <c r="A107" s="5" t="s">
        <v>3067</v>
      </c>
      <c r="B107" s="5" t="s">
        <v>2977</v>
      </c>
      <c r="C107" s="4" t="s">
        <v>2839</v>
      </c>
      <c r="D107" s="5" t="s">
        <v>3068</v>
      </c>
      <c r="E107" s="6">
        <v>214.0</v>
      </c>
      <c r="F107" s="6" t="s">
        <v>12</v>
      </c>
      <c r="H107" s="18" t="s">
        <v>2841</v>
      </c>
      <c r="I107" s="3" t="s">
        <v>13</v>
      </c>
      <c r="J107" s="7" t="str">
        <f>IFERROR(__xludf.DUMMYFUNCTION("SPLIT(A107,""Avenida"","""")")," Hércules Florence")</f>
        <v> Hércules Florence</v>
      </c>
    </row>
    <row r="108" ht="15.75" customHeight="1">
      <c r="A108" s="5" t="s">
        <v>3067</v>
      </c>
      <c r="B108" s="5" t="s">
        <v>3069</v>
      </c>
      <c r="C108" s="4" t="s">
        <v>2839</v>
      </c>
      <c r="D108" s="5" t="s">
        <v>3070</v>
      </c>
      <c r="E108" s="6">
        <v>214.0</v>
      </c>
      <c r="F108" s="6" t="s">
        <v>12</v>
      </c>
      <c r="H108" s="18" t="s">
        <v>2841</v>
      </c>
      <c r="I108" s="3" t="s">
        <v>13</v>
      </c>
      <c r="J108" s="7" t="str">
        <f>IFERROR(__xludf.DUMMYFUNCTION("SPLIT(A108,""Avenida"","""")")," Hércules Florence")</f>
        <v> Hércules Florence</v>
      </c>
    </row>
    <row r="109" ht="15.75" customHeight="1">
      <c r="A109" s="5" t="s">
        <v>3071</v>
      </c>
      <c r="B109" s="5" t="s">
        <v>3072</v>
      </c>
      <c r="C109" s="4" t="s">
        <v>2839</v>
      </c>
      <c r="D109" s="5" t="s">
        <v>3073</v>
      </c>
      <c r="E109" s="6">
        <v>214.0</v>
      </c>
      <c r="F109" s="6" t="s">
        <v>12</v>
      </c>
      <c r="H109" s="18" t="s">
        <v>2841</v>
      </c>
      <c r="I109" s="3" t="s">
        <v>13</v>
      </c>
      <c r="J109" s="7" t="str">
        <f>IFERROR(__xludf.DUMMYFUNCTION("SPLIT(A109,""Avenida"","""")")," Iveta Gibim Alcalá")</f>
        <v> Iveta Gibim Alcalá</v>
      </c>
    </row>
    <row r="110" ht="15.75" customHeight="1">
      <c r="A110" s="5" t="s">
        <v>3074</v>
      </c>
      <c r="B110" s="5" t="s">
        <v>180</v>
      </c>
      <c r="C110" s="4" t="s">
        <v>2839</v>
      </c>
      <c r="D110" s="5" t="s">
        <v>3075</v>
      </c>
      <c r="E110" s="6">
        <v>214.0</v>
      </c>
      <c r="F110" s="6" t="s">
        <v>12</v>
      </c>
      <c r="H110" s="18" t="s">
        <v>2841</v>
      </c>
      <c r="I110" s="3" t="s">
        <v>13</v>
      </c>
      <c r="J110" s="7" t="str">
        <f>IFERROR(__xludf.DUMMYFUNCTION("SPLIT(A110,""Avenida"","""")")," José Maurino")</f>
        <v> José Maurino</v>
      </c>
    </row>
    <row r="111" ht="15.75" customHeight="1">
      <c r="A111" s="5" t="s">
        <v>3076</v>
      </c>
      <c r="B111" s="5" t="s">
        <v>180</v>
      </c>
      <c r="C111" s="4" t="s">
        <v>2839</v>
      </c>
      <c r="D111" s="5" t="s">
        <v>3077</v>
      </c>
      <c r="E111" s="6">
        <v>214.0</v>
      </c>
      <c r="F111" s="6" t="s">
        <v>12</v>
      </c>
      <c r="H111" s="18" t="s">
        <v>2841</v>
      </c>
      <c r="I111" s="3" t="s">
        <v>13</v>
      </c>
      <c r="J111" s="7" t="str">
        <f>IFERROR(__xludf.DUMMYFUNCTION("SPLIT(A111,""Avenida"","""")")," Lício Marcondes do Amaral - até 159/160")</f>
        <v> Lício Marcondes do Amaral - até 159/160</v>
      </c>
    </row>
    <row r="112" ht="15.75" customHeight="1">
      <c r="A112" s="5" t="s">
        <v>3078</v>
      </c>
      <c r="B112" s="5" t="s">
        <v>3027</v>
      </c>
      <c r="C112" s="4" t="s">
        <v>2839</v>
      </c>
      <c r="D112" s="5" t="s">
        <v>3079</v>
      </c>
      <c r="E112" s="6">
        <v>214.0</v>
      </c>
      <c r="F112" s="6" t="s">
        <v>12</v>
      </c>
      <c r="H112" s="18" t="s">
        <v>2841</v>
      </c>
      <c r="I112" s="3" t="s">
        <v>13</v>
      </c>
      <c r="J112" s="7" t="str">
        <f>IFERROR(__xludf.DUMMYFUNCTION("SPLIT(A112,""Avenida"","""")")," Lício Marcondes do Amaral - de 161/162 ao fim")</f>
        <v> Lício Marcondes do Amaral - de 161/162 ao fim</v>
      </c>
    </row>
    <row r="113" ht="15.75" customHeight="1">
      <c r="A113" s="5" t="s">
        <v>3080</v>
      </c>
      <c r="B113" s="5" t="s">
        <v>3081</v>
      </c>
      <c r="C113" s="4" t="s">
        <v>2839</v>
      </c>
      <c r="D113" s="5" t="s">
        <v>3082</v>
      </c>
      <c r="E113" s="6">
        <v>214.0</v>
      </c>
      <c r="F113" s="6" t="s">
        <v>12</v>
      </c>
      <c r="H113" s="18" t="s">
        <v>2841</v>
      </c>
      <c r="I113" s="3" t="s">
        <v>13</v>
      </c>
      <c r="J113" s="7" t="str">
        <f>IFERROR(__xludf.DUMMYFUNCTION("SPLIT(A113,""Avenida"","""")")," Ludovico Possobom")</f>
        <v> Ludovico Possobom</v>
      </c>
    </row>
    <row r="114" ht="15.75" customHeight="1">
      <c r="A114" s="5" t="s">
        <v>3083</v>
      </c>
      <c r="B114" s="5" t="s">
        <v>180</v>
      </c>
      <c r="C114" s="4" t="s">
        <v>2839</v>
      </c>
      <c r="D114" s="5" t="s">
        <v>3084</v>
      </c>
      <c r="E114" s="6">
        <v>214.0</v>
      </c>
      <c r="F114" s="6" t="s">
        <v>12</v>
      </c>
      <c r="H114" s="18" t="s">
        <v>2841</v>
      </c>
      <c r="I114" s="3" t="s">
        <v>13</v>
      </c>
      <c r="J114" s="7" t="str">
        <f>IFERROR(__xludf.DUMMYFUNCTION("SPLIT(A114,""Avenida"","""")")," Monsenhor Seckler")</f>
        <v> Monsenhor Seckler</v>
      </c>
    </row>
    <row r="115" ht="15.75" customHeight="1">
      <c r="A115" s="5" t="s">
        <v>3083</v>
      </c>
      <c r="B115" s="5" t="s">
        <v>3054</v>
      </c>
      <c r="C115" s="4" t="s">
        <v>2839</v>
      </c>
      <c r="D115" s="5" t="s">
        <v>3085</v>
      </c>
      <c r="E115" s="6">
        <v>214.0</v>
      </c>
      <c r="F115" s="6" t="s">
        <v>12</v>
      </c>
      <c r="H115" s="18" t="s">
        <v>2841</v>
      </c>
      <c r="I115" s="3" t="s">
        <v>13</v>
      </c>
      <c r="J115" s="7" t="str">
        <f>IFERROR(__xludf.DUMMYFUNCTION("SPLIT(A115,""Avenida"","""")")," Monsenhor Seckler")</f>
        <v> Monsenhor Seckler</v>
      </c>
    </row>
    <row r="116" ht="15.75" customHeight="1">
      <c r="A116" s="5" t="s">
        <v>3083</v>
      </c>
      <c r="B116" s="5" t="s">
        <v>3086</v>
      </c>
      <c r="C116" s="4" t="s">
        <v>2839</v>
      </c>
      <c r="D116" s="5" t="s">
        <v>3087</v>
      </c>
      <c r="E116" s="6">
        <v>214.0</v>
      </c>
      <c r="F116" s="6" t="s">
        <v>12</v>
      </c>
      <c r="H116" s="18" t="s">
        <v>2841</v>
      </c>
      <c r="I116" s="3" t="s">
        <v>13</v>
      </c>
      <c r="J116" s="7" t="str">
        <f>IFERROR(__xludf.DUMMYFUNCTION("SPLIT(A116,""Avenida"","""")")," Monsenhor Seckler")</f>
        <v> Monsenhor Seckler</v>
      </c>
    </row>
    <row r="117" ht="15.75" customHeight="1">
      <c r="A117" s="5" t="s">
        <v>3083</v>
      </c>
      <c r="B117" s="5" t="s">
        <v>3088</v>
      </c>
      <c r="C117" s="4" t="s">
        <v>2839</v>
      </c>
      <c r="D117" s="5" t="s">
        <v>3089</v>
      </c>
      <c r="E117" s="6">
        <v>214.0</v>
      </c>
      <c r="F117" s="6" t="s">
        <v>12</v>
      </c>
      <c r="H117" s="18" t="s">
        <v>2841</v>
      </c>
      <c r="I117" s="3" t="s">
        <v>13</v>
      </c>
      <c r="J117" s="7" t="str">
        <f>IFERROR(__xludf.DUMMYFUNCTION("SPLIT(A117,""Avenida"","""")")," Monsenhor Seckler")</f>
        <v> Monsenhor Seckler</v>
      </c>
    </row>
    <row r="118" ht="15.75" customHeight="1">
      <c r="A118" s="5" t="s">
        <v>3083</v>
      </c>
      <c r="B118" s="5" t="s">
        <v>3072</v>
      </c>
      <c r="C118" s="4" t="s">
        <v>2839</v>
      </c>
      <c r="D118" s="5" t="s">
        <v>3090</v>
      </c>
      <c r="E118" s="6">
        <v>214.0</v>
      </c>
      <c r="F118" s="6" t="s">
        <v>12</v>
      </c>
      <c r="H118" s="18" t="s">
        <v>2841</v>
      </c>
      <c r="I118" s="3" t="s">
        <v>13</v>
      </c>
      <c r="J118" s="7" t="str">
        <f>IFERROR(__xludf.DUMMYFUNCTION("SPLIT(A118,""Avenida"","""")")," Monsenhor Seckler")</f>
        <v> Monsenhor Seckler</v>
      </c>
    </row>
    <row r="119" ht="15.75" customHeight="1">
      <c r="A119" s="5" t="s">
        <v>3083</v>
      </c>
      <c r="B119" s="5" t="s">
        <v>3091</v>
      </c>
      <c r="C119" s="4" t="s">
        <v>2839</v>
      </c>
      <c r="D119" s="5" t="s">
        <v>3092</v>
      </c>
      <c r="E119" s="6">
        <v>214.0</v>
      </c>
      <c r="F119" s="6" t="s">
        <v>12</v>
      </c>
      <c r="H119" s="18" t="s">
        <v>2841</v>
      </c>
      <c r="I119" s="3" t="s">
        <v>13</v>
      </c>
      <c r="J119" s="7" t="str">
        <f>IFERROR(__xludf.DUMMYFUNCTION("SPLIT(A119,""Avenida"","""")")," Monsenhor Seckler")</f>
        <v> Monsenhor Seckler</v>
      </c>
    </row>
    <row r="120" ht="15.75" customHeight="1">
      <c r="A120" s="5" t="s">
        <v>3083</v>
      </c>
      <c r="B120" s="5" t="s">
        <v>3093</v>
      </c>
      <c r="C120" s="4" t="s">
        <v>2839</v>
      </c>
      <c r="D120" s="5" t="s">
        <v>3094</v>
      </c>
      <c r="E120" s="6">
        <v>214.0</v>
      </c>
      <c r="F120" s="6" t="s">
        <v>12</v>
      </c>
      <c r="H120" s="18" t="s">
        <v>2841</v>
      </c>
      <c r="I120" s="3" t="s">
        <v>13</v>
      </c>
      <c r="J120" s="7" t="str">
        <f>IFERROR(__xludf.DUMMYFUNCTION("SPLIT(A120,""Avenida"","""")")," Monsenhor Seckler")</f>
        <v> Monsenhor Seckler</v>
      </c>
    </row>
    <row r="121" ht="15.75" customHeight="1">
      <c r="A121" s="5" t="s">
        <v>3095</v>
      </c>
      <c r="B121" s="5" t="s">
        <v>2954</v>
      </c>
      <c r="C121" s="4" t="s">
        <v>2839</v>
      </c>
      <c r="D121" s="5" t="s">
        <v>3096</v>
      </c>
      <c r="E121" s="6">
        <v>214.0</v>
      </c>
      <c r="F121" s="6" t="s">
        <v>12</v>
      </c>
      <c r="H121" s="18" t="s">
        <v>2841</v>
      </c>
      <c r="I121" s="3" t="s">
        <v>13</v>
      </c>
      <c r="J121" s="7" t="str">
        <f>IFERROR(__xludf.DUMMYFUNCTION("SPLIT(A121,""Avenida"","""")")," Nove")</f>
        <v> Nove</v>
      </c>
    </row>
    <row r="122" ht="15.75" customHeight="1">
      <c r="A122" s="5" t="s">
        <v>3097</v>
      </c>
      <c r="B122" s="5" t="s">
        <v>2954</v>
      </c>
      <c r="C122" s="4" t="s">
        <v>2839</v>
      </c>
      <c r="D122" s="5" t="s">
        <v>3098</v>
      </c>
      <c r="E122" s="6">
        <v>214.0</v>
      </c>
      <c r="F122" s="6" t="s">
        <v>12</v>
      </c>
      <c r="H122" s="18" t="s">
        <v>2841</v>
      </c>
      <c r="I122" s="3" t="s">
        <v>13</v>
      </c>
      <c r="J122" s="7" t="str">
        <f>IFERROR(__xludf.DUMMYFUNCTION("SPLIT(A122,""Avenida"","""")")," Oito")</f>
        <v> Oito</v>
      </c>
    </row>
    <row r="123" ht="15.75" customHeight="1">
      <c r="A123" s="5" t="s">
        <v>3099</v>
      </c>
      <c r="B123" s="5" t="s">
        <v>3100</v>
      </c>
      <c r="C123" s="4" t="s">
        <v>2839</v>
      </c>
      <c r="D123" s="5" t="s">
        <v>3101</v>
      </c>
      <c r="E123" s="6">
        <v>214.0</v>
      </c>
      <c r="F123" s="6" t="s">
        <v>12</v>
      </c>
      <c r="H123" s="18" t="s">
        <v>2841</v>
      </c>
      <c r="I123" s="3" t="s">
        <v>13</v>
      </c>
      <c r="J123" s="7" t="str">
        <f>IFERROR(__xludf.DUMMYFUNCTION("SPLIT(A123,""Avenida"","""")")," Pedro Melaré")</f>
        <v> Pedro Melaré</v>
      </c>
    </row>
    <row r="124" ht="15.75" customHeight="1">
      <c r="A124" s="5" t="s">
        <v>3102</v>
      </c>
      <c r="B124" s="5" t="s">
        <v>2975</v>
      </c>
      <c r="C124" s="4" t="s">
        <v>2839</v>
      </c>
      <c r="D124" s="5" t="s">
        <v>3103</v>
      </c>
      <c r="E124" s="6">
        <v>214.0</v>
      </c>
      <c r="F124" s="6" t="s">
        <v>12</v>
      </c>
      <c r="H124" s="18" t="s">
        <v>2841</v>
      </c>
      <c r="I124" s="3" t="s">
        <v>13</v>
      </c>
      <c r="J124" s="7" t="str">
        <f>IFERROR(__xludf.DUMMYFUNCTION("SPLIT(A124,""Avenida"","""")")," Porto Feliz")</f>
        <v> Porto Feliz</v>
      </c>
    </row>
    <row r="125" ht="15.75" customHeight="1">
      <c r="A125" s="5" t="s">
        <v>3104</v>
      </c>
      <c r="B125" s="5" t="s">
        <v>2965</v>
      </c>
      <c r="C125" s="4" t="s">
        <v>2839</v>
      </c>
      <c r="D125" s="5" t="s">
        <v>3105</v>
      </c>
      <c r="E125" s="6">
        <v>214.0</v>
      </c>
      <c r="F125" s="6" t="s">
        <v>12</v>
      </c>
      <c r="H125" s="18" t="s">
        <v>2841</v>
      </c>
      <c r="I125" s="3" t="s">
        <v>13</v>
      </c>
      <c r="J125" s="7" t="str">
        <f>IFERROR(__xludf.DUMMYFUNCTION("SPLIT(A125,""Avenida"","""")")," Salvador dos Santos")</f>
        <v> Salvador dos Santos</v>
      </c>
    </row>
    <row r="126" ht="15.75" customHeight="1">
      <c r="A126" s="5" t="s">
        <v>3106</v>
      </c>
      <c r="B126" s="5" t="s">
        <v>3107</v>
      </c>
      <c r="C126" s="4" t="s">
        <v>2839</v>
      </c>
      <c r="D126" s="5" t="s">
        <v>3108</v>
      </c>
      <c r="E126" s="6">
        <v>214.0</v>
      </c>
      <c r="F126" s="6" t="s">
        <v>12</v>
      </c>
      <c r="H126" s="18" t="s">
        <v>2841</v>
      </c>
      <c r="I126" s="3" t="s">
        <v>13</v>
      </c>
      <c r="J126" s="7" t="str">
        <f>IFERROR(__xludf.DUMMYFUNCTION("SPLIT(A126,""Avenida"","""")")," Santa Rosa")</f>
        <v> Santa Rosa</v>
      </c>
    </row>
    <row r="127" ht="15.75" customHeight="1">
      <c r="A127" s="13" t="s">
        <v>3106</v>
      </c>
      <c r="B127" s="13" t="s">
        <v>2959</v>
      </c>
      <c r="C127" s="4" t="s">
        <v>2839</v>
      </c>
      <c r="D127" s="13" t="s">
        <v>3109</v>
      </c>
      <c r="E127" s="6">
        <v>214.0</v>
      </c>
      <c r="F127" s="6" t="s">
        <v>12</v>
      </c>
      <c r="H127" s="18" t="s">
        <v>2841</v>
      </c>
      <c r="I127" s="3" t="s">
        <v>13</v>
      </c>
      <c r="J127" s="7" t="str">
        <f>IFERROR(__xludf.DUMMYFUNCTION("SPLIT(A127,""Avenida"","""")")," Santa Rosa")</f>
        <v> Santa Rosa</v>
      </c>
    </row>
    <row r="128" ht="15.75" customHeight="1">
      <c r="A128" s="5" t="s">
        <v>3110</v>
      </c>
      <c r="B128" s="5" t="s">
        <v>2954</v>
      </c>
      <c r="C128" s="4" t="s">
        <v>2839</v>
      </c>
      <c r="D128" s="5" t="s">
        <v>3111</v>
      </c>
      <c r="E128" s="6">
        <v>214.0</v>
      </c>
      <c r="F128" s="6" t="s">
        <v>12</v>
      </c>
      <c r="H128" s="18" t="s">
        <v>2841</v>
      </c>
      <c r="I128" s="3" t="s">
        <v>13</v>
      </c>
      <c r="J128" s="7" t="str">
        <f>IFERROR(__xludf.DUMMYFUNCTION("SPLIT(A128,""Avenida"","""")")," Seis")</f>
        <v> Seis</v>
      </c>
    </row>
    <row r="129" ht="15.75" customHeight="1">
      <c r="A129" s="5" t="s">
        <v>3112</v>
      </c>
      <c r="B129" s="5" t="s">
        <v>2954</v>
      </c>
      <c r="C129" s="4" t="s">
        <v>2839</v>
      </c>
      <c r="D129" s="5" t="s">
        <v>3113</v>
      </c>
      <c r="E129" s="6">
        <v>214.0</v>
      </c>
      <c r="F129" s="6" t="s">
        <v>12</v>
      </c>
      <c r="H129" s="18" t="s">
        <v>2841</v>
      </c>
      <c r="I129" s="3" t="s">
        <v>13</v>
      </c>
      <c r="J129" s="7" t="str">
        <f>IFERROR(__xludf.DUMMYFUNCTION("SPLIT(A129,""Avenida"","""")")," Sete")</f>
        <v> Sete</v>
      </c>
    </row>
    <row r="130" ht="15.75" customHeight="1">
      <c r="A130" s="5" t="s">
        <v>3114</v>
      </c>
      <c r="B130" s="5" t="s">
        <v>3115</v>
      </c>
      <c r="C130" s="4" t="s">
        <v>2839</v>
      </c>
      <c r="D130" s="5" t="s">
        <v>3116</v>
      </c>
      <c r="E130" s="6">
        <v>214.0</v>
      </c>
      <c r="F130" s="6" t="s">
        <v>12</v>
      </c>
      <c r="H130" s="18" t="s">
        <v>2841</v>
      </c>
      <c r="I130" s="3" t="s">
        <v>13</v>
      </c>
      <c r="J130" s="7" t="str">
        <f>IFERROR(__xludf.DUMMYFUNCTION("SPLIT(A130,""Avenida"","""")")," Stemmann")</f>
        <v> Stemmann</v>
      </c>
    </row>
    <row r="131" ht="15.75" customHeight="1">
      <c r="A131" s="5" t="s">
        <v>3117</v>
      </c>
      <c r="B131" s="5" t="s">
        <v>2980</v>
      </c>
      <c r="C131" s="4" t="s">
        <v>2839</v>
      </c>
      <c r="D131" s="5" t="s">
        <v>3118</v>
      </c>
      <c r="E131" s="6">
        <v>214.0</v>
      </c>
      <c r="F131" s="6" t="s">
        <v>12</v>
      </c>
      <c r="H131" s="18" t="s">
        <v>2841</v>
      </c>
      <c r="I131" s="3" t="s">
        <v>13</v>
      </c>
      <c r="J131" s="7" t="str">
        <f>IFERROR(__xludf.DUMMYFUNCTION("SPLIT(A131,""Avenida"","""")")," Três")</f>
        <v> Três</v>
      </c>
    </row>
    <row r="132" ht="15.75" customHeight="1">
      <c r="A132" s="5" t="s">
        <v>3117</v>
      </c>
      <c r="B132" s="5" t="s">
        <v>2954</v>
      </c>
      <c r="C132" s="4" t="s">
        <v>2839</v>
      </c>
      <c r="D132" s="5" t="s">
        <v>3119</v>
      </c>
      <c r="E132" s="6">
        <v>214.0</v>
      </c>
      <c r="F132" s="6" t="s">
        <v>12</v>
      </c>
      <c r="H132" s="18" t="s">
        <v>2841</v>
      </c>
      <c r="I132" s="3" t="s">
        <v>13</v>
      </c>
      <c r="J132" s="7" t="str">
        <f>IFERROR(__xludf.DUMMYFUNCTION("SPLIT(A132,""Avenida"","""")")," Três")</f>
        <v> Três</v>
      </c>
    </row>
    <row r="133" ht="15.75" customHeight="1">
      <c r="A133" s="5" t="s">
        <v>3120</v>
      </c>
      <c r="B133" s="5" t="s">
        <v>2980</v>
      </c>
      <c r="C133" s="4" t="s">
        <v>2839</v>
      </c>
      <c r="D133" s="5" t="s">
        <v>3121</v>
      </c>
      <c r="E133" s="6">
        <v>214.0</v>
      </c>
      <c r="F133" s="6" t="s">
        <v>12</v>
      </c>
      <c r="H133" s="18" t="s">
        <v>2841</v>
      </c>
      <c r="I133" s="3" t="s">
        <v>13</v>
      </c>
      <c r="J133" s="7" t="str">
        <f>IFERROR(__xludf.DUMMYFUNCTION("SPLIT(A133,""Avenida"","""")")," Um")</f>
        <v> Um</v>
      </c>
    </row>
    <row r="134" ht="15.75" customHeight="1">
      <c r="A134" s="5" t="s">
        <v>3122</v>
      </c>
      <c r="B134" s="5" t="s">
        <v>2945</v>
      </c>
      <c r="C134" s="4" t="s">
        <v>2839</v>
      </c>
      <c r="D134" s="5" t="s">
        <v>3123</v>
      </c>
      <c r="E134" s="6">
        <v>214.0</v>
      </c>
      <c r="F134" s="6" t="s">
        <v>12</v>
      </c>
      <c r="H134" s="18" t="s">
        <v>3124</v>
      </c>
      <c r="I134" s="3" t="s">
        <v>13</v>
      </c>
      <c r="J134" s="7" t="str">
        <f>IFERROR(__xludf.DUMMYFUNCTION("SPLIT(A134,""Estrada"","""")")," Municipal PFZ - 133")</f>
        <v> Municipal PFZ - 133</v>
      </c>
    </row>
    <row r="135" ht="15.75" customHeight="1">
      <c r="A135" s="5" t="s">
        <v>3125</v>
      </c>
      <c r="B135" s="5" t="s">
        <v>2856</v>
      </c>
      <c r="C135" s="4" t="s">
        <v>2839</v>
      </c>
      <c r="D135" s="5" t="s">
        <v>3126</v>
      </c>
      <c r="E135" s="6">
        <v>214.0</v>
      </c>
      <c r="F135" s="6" t="s">
        <v>12</v>
      </c>
      <c r="H135" s="18" t="s">
        <v>3124</v>
      </c>
      <c r="I135" s="3" t="s">
        <v>13</v>
      </c>
      <c r="J135" s="7" t="str">
        <f>IFERROR(__xludf.DUMMYFUNCTION("SPLIT(A135,""Estrada"","""")")," Municipal PFZ - 145")</f>
        <v> Municipal PFZ - 145</v>
      </c>
    </row>
    <row r="136" ht="15.75" customHeight="1">
      <c r="A136" s="5" t="s">
        <v>3127</v>
      </c>
      <c r="B136" s="5" t="s">
        <v>3036</v>
      </c>
      <c r="C136" s="4" t="s">
        <v>2839</v>
      </c>
      <c r="D136" s="5" t="s">
        <v>3128</v>
      </c>
      <c r="E136" s="6">
        <v>214.0</v>
      </c>
      <c r="F136" s="6" t="s">
        <v>12</v>
      </c>
      <c r="H136" s="18" t="s">
        <v>3124</v>
      </c>
      <c r="I136" s="3" t="s">
        <v>13</v>
      </c>
      <c r="J136" s="7" t="str">
        <f>IFERROR(__xludf.DUMMYFUNCTION("SPLIT(A136,""Estrada"","""")")," Municipal Tico Mineiro")</f>
        <v> Municipal Tico Mineiro</v>
      </c>
    </row>
    <row r="137" ht="15.75" customHeight="1">
      <c r="A137" s="5" t="s">
        <v>3127</v>
      </c>
      <c r="B137" s="5" t="s">
        <v>2879</v>
      </c>
      <c r="C137" s="4" t="s">
        <v>2839</v>
      </c>
      <c r="D137" s="5" t="s">
        <v>3129</v>
      </c>
      <c r="E137" s="6">
        <v>214.0</v>
      </c>
      <c r="F137" s="6" t="s">
        <v>12</v>
      </c>
      <c r="H137" s="18" t="s">
        <v>3124</v>
      </c>
      <c r="I137" s="3" t="s">
        <v>13</v>
      </c>
      <c r="J137" s="7" t="str">
        <f>IFERROR(__xludf.DUMMYFUNCTION("SPLIT(A137,""Estrada"","""")")," Municipal Tico Mineiro")</f>
        <v> Municipal Tico Mineiro</v>
      </c>
    </row>
    <row r="138" ht="15.75" customHeight="1">
      <c r="A138" s="5" t="s">
        <v>3130</v>
      </c>
      <c r="B138" s="5" t="s">
        <v>3131</v>
      </c>
      <c r="C138" s="4" t="s">
        <v>2839</v>
      </c>
      <c r="D138" s="5" t="s">
        <v>3132</v>
      </c>
      <c r="E138" s="6">
        <v>214.0</v>
      </c>
      <c r="F138" s="6" t="s">
        <v>12</v>
      </c>
      <c r="H138" s="18" t="s">
        <v>3124</v>
      </c>
      <c r="I138" s="3" t="s">
        <v>13</v>
      </c>
      <c r="J138" s="7" t="str">
        <f>IFERROR(__xludf.DUMMYFUNCTION("SPLIT(A138,""Estrada"","""")")," Vicinal Porto Feliz - Rafard")</f>
        <v> Vicinal Porto Feliz - Rafard</v>
      </c>
    </row>
    <row r="139" ht="15.75" customHeight="1">
      <c r="A139" s="5" t="s">
        <v>3133</v>
      </c>
      <c r="B139" s="5" t="s">
        <v>3131</v>
      </c>
      <c r="C139" s="4" t="s">
        <v>2839</v>
      </c>
      <c r="D139" s="5" t="s">
        <v>3134</v>
      </c>
      <c r="E139" s="6">
        <v>214.0</v>
      </c>
      <c r="F139" s="6" t="s">
        <v>12</v>
      </c>
      <c r="H139" s="18" t="s">
        <v>3124</v>
      </c>
      <c r="I139" s="3" t="s">
        <v>13</v>
      </c>
      <c r="J139" s="7" t="str">
        <f>IFERROR(__xludf.DUMMYFUNCTION("SPLIT(A139,""Estrada"","""")")," Vicinal Porto Feliz - Rafard, Km 05
Centro de Progressão Penitenciária de Porto Feliz")</f>
        <v> Vicinal Porto Feliz - Rafard, Km 05
Centro de Progressão Penitenciária de Porto Feliz</v>
      </c>
    </row>
    <row r="140" ht="15.75" customHeight="1">
      <c r="A140" s="5" t="s">
        <v>3135</v>
      </c>
      <c r="B140" s="5" t="s">
        <v>180</v>
      </c>
      <c r="C140" s="4" t="s">
        <v>2839</v>
      </c>
      <c r="D140" s="5" t="s">
        <v>3136</v>
      </c>
      <c r="E140" s="6">
        <v>214.0</v>
      </c>
      <c r="F140" s="6" t="s">
        <v>12</v>
      </c>
      <c r="H140" s="18" t="s">
        <v>3137</v>
      </c>
      <c r="I140" s="3" t="s">
        <v>13</v>
      </c>
      <c r="J140" s="7" t="str">
        <f>IFERROR(__xludf.DUMMYFUNCTION("SPLIT(A140,""Praça"","""")")," Carlos Ferreira")</f>
        <v> Carlos Ferreira</v>
      </c>
    </row>
    <row r="141" ht="15.75" customHeight="1">
      <c r="A141" s="5" t="s">
        <v>3138</v>
      </c>
      <c r="B141" s="5" t="s">
        <v>180</v>
      </c>
      <c r="C141" s="4" t="s">
        <v>2839</v>
      </c>
      <c r="D141" s="5" t="s">
        <v>3139</v>
      </c>
      <c r="E141" s="6">
        <v>214.0</v>
      </c>
      <c r="F141" s="6" t="s">
        <v>12</v>
      </c>
      <c r="H141" s="18" t="s">
        <v>3137</v>
      </c>
      <c r="I141" s="3" t="s">
        <v>13</v>
      </c>
      <c r="J141" s="7" t="str">
        <f>IFERROR(__xludf.DUMMYFUNCTION("SPLIT(A141,""Praça"","""")")," Coronel Esmédio")</f>
        <v> Coronel Esmédio</v>
      </c>
    </row>
    <row r="142" ht="15.75" customHeight="1">
      <c r="A142" s="5" t="s">
        <v>3140</v>
      </c>
      <c r="B142" s="5" t="s">
        <v>3012</v>
      </c>
      <c r="C142" s="4" t="s">
        <v>2839</v>
      </c>
      <c r="D142" s="5" t="s">
        <v>3141</v>
      </c>
      <c r="E142" s="6">
        <v>214.0</v>
      </c>
      <c r="F142" s="6" t="s">
        <v>12</v>
      </c>
      <c r="H142" s="18" t="s">
        <v>3137</v>
      </c>
      <c r="I142" s="3" t="s">
        <v>13</v>
      </c>
      <c r="J142" s="7" t="str">
        <f>IFERROR(__xludf.DUMMYFUNCTION("SPLIT(A142,""Praça"","""")")," Danilo César Castelucci")</f>
        <v> Danilo César Castelucci</v>
      </c>
    </row>
    <row r="143" ht="15.75" customHeight="1">
      <c r="A143" s="5" t="s">
        <v>3142</v>
      </c>
      <c r="B143" s="5" t="s">
        <v>180</v>
      </c>
      <c r="C143" s="4" t="s">
        <v>2839</v>
      </c>
      <c r="D143" s="5" t="s">
        <v>3143</v>
      </c>
      <c r="E143" s="6">
        <v>214.0</v>
      </c>
      <c r="F143" s="6" t="s">
        <v>12</v>
      </c>
      <c r="H143" s="18" t="s">
        <v>3137</v>
      </c>
      <c r="I143" s="3" t="s">
        <v>13</v>
      </c>
      <c r="J143" s="7" t="str">
        <f>IFERROR(__xludf.DUMMYFUNCTION("SPLIT(A143,""Praça"","""")")," Doutor José Sacramento e Silva")</f>
        <v> Doutor José Sacramento e Silva</v>
      </c>
    </row>
    <row r="144" ht="15.75" customHeight="1">
      <c r="A144" s="5" t="s">
        <v>3144</v>
      </c>
      <c r="B144" s="5" t="s">
        <v>180</v>
      </c>
      <c r="C144" s="4" t="s">
        <v>2839</v>
      </c>
      <c r="D144" s="5" t="s">
        <v>3145</v>
      </c>
      <c r="E144" s="6">
        <v>214.0</v>
      </c>
      <c r="F144" s="6" t="s">
        <v>12</v>
      </c>
      <c r="H144" s="18" t="s">
        <v>3137</v>
      </c>
      <c r="I144" s="3" t="s">
        <v>13</v>
      </c>
      <c r="J144" s="7" t="str">
        <f>IFERROR(__xludf.DUMMYFUNCTION("SPLIT(A144,""Praça"","""")")," Duque de Caxias")</f>
        <v> Duque de Caxias</v>
      </c>
    </row>
    <row r="145" ht="15.75" customHeight="1">
      <c r="A145" s="5" t="s">
        <v>3146</v>
      </c>
      <c r="B145" s="5" t="s">
        <v>180</v>
      </c>
      <c r="C145" s="4" t="s">
        <v>2839</v>
      </c>
      <c r="D145" s="5" t="s">
        <v>3147</v>
      </c>
      <c r="E145" s="6">
        <v>214.0</v>
      </c>
      <c r="F145" s="6" t="s">
        <v>12</v>
      </c>
      <c r="H145" s="18" t="s">
        <v>3137</v>
      </c>
      <c r="I145" s="3" t="s">
        <v>13</v>
      </c>
      <c r="J145" s="7" t="str">
        <f>IFERROR(__xludf.DUMMYFUNCTION("SPLIT(A145,""Praça"","""")")," Eugênio Motta")</f>
        <v> Eugênio Motta</v>
      </c>
    </row>
    <row r="146" ht="15.75" customHeight="1">
      <c r="A146" s="5" t="s">
        <v>3148</v>
      </c>
      <c r="B146" s="5" t="s">
        <v>3072</v>
      </c>
      <c r="C146" s="4" t="s">
        <v>2839</v>
      </c>
      <c r="D146" s="5" t="s">
        <v>3149</v>
      </c>
      <c r="E146" s="6">
        <v>214.0</v>
      </c>
      <c r="F146" s="6" t="s">
        <v>12</v>
      </c>
      <c r="H146" s="18" t="s">
        <v>3137</v>
      </c>
      <c r="I146" s="3" t="s">
        <v>13</v>
      </c>
      <c r="J146" s="7" t="str">
        <f>IFERROR(__xludf.DUMMYFUNCTION("SPLIT(A146,""Praça"","""")")," Francisco de Pádua Nahum")</f>
        <v> Francisco de Pádua Nahum</v>
      </c>
    </row>
    <row r="147" ht="15.75" customHeight="1">
      <c r="A147" s="5" t="s">
        <v>3150</v>
      </c>
      <c r="B147" s="5" t="s">
        <v>180</v>
      </c>
      <c r="C147" s="4" t="s">
        <v>2839</v>
      </c>
      <c r="D147" s="5" t="s">
        <v>3151</v>
      </c>
      <c r="E147" s="6">
        <v>214.0</v>
      </c>
      <c r="F147" s="6" t="s">
        <v>12</v>
      </c>
      <c r="H147" s="18" t="s">
        <v>3137</v>
      </c>
      <c r="I147" s="3" t="s">
        <v>13</v>
      </c>
      <c r="J147" s="7" t="str">
        <f>IFERROR(__xludf.DUMMYFUNCTION("SPLIT(A147,""Praça"","""")")," Governador Pedro de Toledo")</f>
        <v> Governador Pedro de Toledo</v>
      </c>
    </row>
    <row r="148" ht="15.75" customHeight="1">
      <c r="A148" s="5" t="s">
        <v>3152</v>
      </c>
      <c r="B148" s="5" t="s">
        <v>3047</v>
      </c>
      <c r="C148" s="4" t="s">
        <v>2839</v>
      </c>
      <c r="D148" s="5" t="s">
        <v>3153</v>
      </c>
      <c r="E148" s="6">
        <v>214.0</v>
      </c>
      <c r="F148" s="6" t="s">
        <v>12</v>
      </c>
      <c r="H148" s="18" t="s">
        <v>3137</v>
      </c>
      <c r="I148" s="3" t="s">
        <v>13</v>
      </c>
      <c r="J148" s="7" t="str">
        <f>IFERROR(__xludf.DUMMYFUNCTION("SPLIT(A148,""Praça"","""")")," João Francisco Menezes")</f>
        <v> João Francisco Menezes</v>
      </c>
    </row>
    <row r="149" ht="15.75" customHeight="1">
      <c r="A149" s="5" t="s">
        <v>3154</v>
      </c>
      <c r="B149" s="5" t="s">
        <v>3012</v>
      </c>
      <c r="C149" s="4" t="s">
        <v>2839</v>
      </c>
      <c r="D149" s="5" t="s">
        <v>3155</v>
      </c>
      <c r="E149" s="6">
        <v>214.0</v>
      </c>
      <c r="F149" s="6" t="s">
        <v>12</v>
      </c>
      <c r="H149" s="18" t="s">
        <v>3137</v>
      </c>
      <c r="I149" s="3" t="s">
        <v>13</v>
      </c>
      <c r="J149" s="7" t="str">
        <f>IFERROR(__xludf.DUMMYFUNCTION("SPLIT(A149,""Praça"","""")")," José Lisboa Sobrinho")</f>
        <v> José Lisboa Sobrinho</v>
      </c>
    </row>
    <row r="150" ht="15.75" customHeight="1">
      <c r="A150" s="5" t="s">
        <v>3156</v>
      </c>
      <c r="B150" s="5" t="s">
        <v>180</v>
      </c>
      <c r="C150" s="4" t="s">
        <v>2839</v>
      </c>
      <c r="D150" s="5" t="s">
        <v>3157</v>
      </c>
      <c r="E150" s="6">
        <v>214.0</v>
      </c>
      <c r="F150" s="6" t="s">
        <v>12</v>
      </c>
      <c r="H150" s="18" t="s">
        <v>3137</v>
      </c>
      <c r="I150" s="3" t="s">
        <v>13</v>
      </c>
      <c r="J150" s="7" t="str">
        <f>IFERROR(__xludf.DUMMYFUNCTION("SPLIT(A150,""Praça"","""")")," Lauro Maurino")</f>
        <v> Lauro Maurino</v>
      </c>
    </row>
    <row r="151" ht="15.75" customHeight="1">
      <c r="A151" s="5" t="s">
        <v>3158</v>
      </c>
      <c r="B151" s="5" t="s">
        <v>3159</v>
      </c>
      <c r="C151" s="4" t="s">
        <v>2839</v>
      </c>
      <c r="D151" s="5" t="s">
        <v>3160</v>
      </c>
      <c r="E151" s="6">
        <v>214.0</v>
      </c>
      <c r="F151" s="6" t="s">
        <v>12</v>
      </c>
      <c r="H151" s="18" t="s">
        <v>3137</v>
      </c>
      <c r="I151" s="3" t="s">
        <v>13</v>
      </c>
      <c r="J151" s="7" t="str">
        <f>IFERROR(__xludf.DUMMYFUNCTION("SPLIT(A151,""Praça"","""")")," São João Batista")</f>
        <v> São João Batista</v>
      </c>
    </row>
    <row r="152" ht="15.75" customHeight="1">
      <c r="A152" s="5" t="s">
        <v>3161</v>
      </c>
      <c r="B152" s="5" t="s">
        <v>3162</v>
      </c>
      <c r="C152" s="4" t="s">
        <v>2839</v>
      </c>
      <c r="D152" s="5" t="s">
        <v>3163</v>
      </c>
      <c r="E152" s="6">
        <v>214.0</v>
      </c>
      <c r="F152" s="6" t="s">
        <v>12</v>
      </c>
      <c r="H152" s="18" t="s">
        <v>3137</v>
      </c>
      <c r="I152" s="3" t="s">
        <v>13</v>
      </c>
      <c r="J152" s="7" t="str">
        <f>IFERROR(__xludf.DUMMYFUNCTION("SPLIT(A152,""Praça"","""")")," 9 de Julho")</f>
        <v> 9 de Julho</v>
      </c>
    </row>
    <row r="153" ht="15.75" customHeight="1">
      <c r="A153" s="5" t="s">
        <v>3164</v>
      </c>
      <c r="B153" s="5" t="s">
        <v>3165</v>
      </c>
      <c r="C153" s="4" t="s">
        <v>2839</v>
      </c>
      <c r="D153" s="5" t="s">
        <v>3166</v>
      </c>
      <c r="E153" s="6">
        <v>214.0</v>
      </c>
      <c r="F153" s="6" t="s">
        <v>12</v>
      </c>
      <c r="H153" s="18" t="s">
        <v>3167</v>
      </c>
      <c r="I153" s="3" t="s">
        <v>13</v>
      </c>
      <c r="J153" s="7" t="str">
        <f>IFERROR(__xludf.DUMMYFUNCTION("SPLIT(A2,""Rodovia"","""")"),"Avenida das Andorinha")</f>
        <v>Avenida das Andorinha</v>
      </c>
    </row>
    <row r="154" ht="15.75" customHeight="1">
      <c r="A154" s="5" t="s">
        <v>3164</v>
      </c>
      <c r="B154" s="5" t="s">
        <v>2996</v>
      </c>
      <c r="C154" s="4" t="s">
        <v>2839</v>
      </c>
      <c r="D154" s="5" t="s">
        <v>3168</v>
      </c>
      <c r="E154" s="6">
        <v>214.0</v>
      </c>
      <c r="F154" s="6" t="s">
        <v>12</v>
      </c>
      <c r="H154" s="18" t="s">
        <v>3167</v>
      </c>
      <c r="I154" s="3" t="s">
        <v>13</v>
      </c>
      <c r="J154" s="7" t="str">
        <f>IFERROR(__xludf.DUMMYFUNCTION("SPLIT(A3,""Rodovia"","""")"),"Avenida das Araras")</f>
        <v>Avenida das Araras</v>
      </c>
    </row>
    <row r="155" ht="15.75" customHeight="1">
      <c r="A155" s="5" t="s">
        <v>3164</v>
      </c>
      <c r="B155" s="5" t="s">
        <v>3169</v>
      </c>
      <c r="C155" s="4" t="s">
        <v>2839</v>
      </c>
      <c r="D155" s="5" t="s">
        <v>3170</v>
      </c>
      <c r="E155" s="6">
        <v>214.0</v>
      </c>
      <c r="F155" s="6" t="s">
        <v>12</v>
      </c>
      <c r="H155" s="18" t="s">
        <v>3167</v>
      </c>
      <c r="I155" s="3" t="s">
        <v>13</v>
      </c>
      <c r="J155" s="7" t="str">
        <f>IFERROR(__xludf.DUMMYFUNCTION("SPLIT(A4,""Rodovia"","""")"),"Avenida das Gaivotas")</f>
        <v>Avenida das Gaivotas</v>
      </c>
    </row>
    <row r="156" ht="15.75" customHeight="1">
      <c r="A156" s="5" t="s">
        <v>3164</v>
      </c>
      <c r="B156" s="5" t="s">
        <v>2991</v>
      </c>
      <c r="C156" s="4" t="s">
        <v>2839</v>
      </c>
      <c r="D156" s="5" t="s">
        <v>3171</v>
      </c>
      <c r="E156" s="6">
        <v>214.0</v>
      </c>
      <c r="F156" s="6" t="s">
        <v>12</v>
      </c>
      <c r="H156" s="18" t="s">
        <v>3167</v>
      </c>
      <c r="I156" s="3" t="s">
        <v>13</v>
      </c>
      <c r="J156" s="7" t="str">
        <f>IFERROR(__xludf.DUMMYFUNCTION("SPLIT(A5,""Rodovia"","""")"),"Avenida dos Sabiás")</f>
        <v>Avenida dos Sabiás</v>
      </c>
    </row>
    <row r="157" ht="15.75" customHeight="1">
      <c r="A157" s="5" t="s">
        <v>3164</v>
      </c>
      <c r="B157" s="5" t="s">
        <v>3047</v>
      </c>
      <c r="C157" s="4" t="s">
        <v>2839</v>
      </c>
      <c r="D157" s="5" t="s">
        <v>3172</v>
      </c>
      <c r="E157" s="6">
        <v>214.0</v>
      </c>
      <c r="F157" s="6" t="s">
        <v>12</v>
      </c>
      <c r="H157" s="18" t="s">
        <v>3167</v>
      </c>
      <c r="I157" s="3" t="s">
        <v>13</v>
      </c>
      <c r="J157" s="7" t="str">
        <f>IFERROR(__xludf.DUMMYFUNCTION("SPLIT(A6,""Rodovia"","""")"),"Avenida dos Tucanos")</f>
        <v>Avenida dos Tucanos</v>
      </c>
    </row>
    <row r="158" ht="15.75" customHeight="1">
      <c r="A158" s="5" t="s">
        <v>3164</v>
      </c>
      <c r="B158" s="5" t="s">
        <v>2965</v>
      </c>
      <c r="C158" s="4" t="s">
        <v>2839</v>
      </c>
      <c r="D158" s="5" t="s">
        <v>3173</v>
      </c>
      <c r="E158" s="6">
        <v>214.0</v>
      </c>
      <c r="F158" s="6" t="s">
        <v>12</v>
      </c>
      <c r="H158" s="18" t="s">
        <v>3167</v>
      </c>
      <c r="I158" s="3" t="s">
        <v>13</v>
      </c>
      <c r="J158" s="7" t="str">
        <f>IFERROR(__xludf.DUMMYFUNCTION("SPLIT(A7,""Rodovia"","""")"),"Rua dos Bem-te-vi")</f>
        <v>Rua dos Bem-te-vi</v>
      </c>
    </row>
    <row r="159" ht="15.75" customHeight="1">
      <c r="A159" s="5" t="s">
        <v>3164</v>
      </c>
      <c r="B159" s="5" t="s">
        <v>3081</v>
      </c>
      <c r="C159" s="4" t="s">
        <v>2839</v>
      </c>
      <c r="D159" s="5" t="s">
        <v>3174</v>
      </c>
      <c r="E159" s="6">
        <v>214.0</v>
      </c>
      <c r="F159" s="6" t="s">
        <v>12</v>
      </c>
      <c r="H159" s="18" t="s">
        <v>3167</v>
      </c>
      <c r="I159" s="3" t="s">
        <v>13</v>
      </c>
      <c r="J159" s="7" t="str">
        <f>IFERROR(__xludf.DUMMYFUNCTION("SPLIT(A8,""Rodovia"","""")"),"Rua dos Canários")</f>
        <v>Rua dos Canários</v>
      </c>
    </row>
    <row r="160" ht="15.75" customHeight="1">
      <c r="A160" s="5" t="s">
        <v>3175</v>
      </c>
      <c r="B160" s="5" t="s">
        <v>2994</v>
      </c>
      <c r="C160" s="4" t="s">
        <v>2839</v>
      </c>
      <c r="D160" s="5" t="s">
        <v>3176</v>
      </c>
      <c r="E160" s="6">
        <v>214.0</v>
      </c>
      <c r="F160" s="6" t="s">
        <v>12</v>
      </c>
      <c r="H160" s="18" t="s">
        <v>3167</v>
      </c>
      <c r="I160" s="3" t="s">
        <v>13</v>
      </c>
      <c r="J160" s="7" t="str">
        <f>IFERROR(__xludf.DUMMYFUNCTION("SPLIT(A9,""Rodovia"","""")"),"Alameda Avecuia")</f>
        <v>Alameda Avecuia</v>
      </c>
    </row>
    <row r="161" ht="15.75" customHeight="1">
      <c r="A161" s="5" t="s">
        <v>3175</v>
      </c>
      <c r="B161" s="5" t="s">
        <v>3177</v>
      </c>
      <c r="C161" s="4" t="s">
        <v>2839</v>
      </c>
      <c r="D161" s="5" t="s">
        <v>3178</v>
      </c>
      <c r="E161" s="6">
        <v>214.0</v>
      </c>
      <c r="F161" s="6" t="s">
        <v>12</v>
      </c>
      <c r="H161" s="18" t="s">
        <v>3167</v>
      </c>
      <c r="I161" s="3" t="s">
        <v>13</v>
      </c>
      <c r="J161" s="7" t="str">
        <f>IFERROR(__xludf.DUMMYFUNCTION("SPLIT(A10,""Rodovia"","""")"),"Alameda Cambará")</f>
        <v>Alameda Cambará</v>
      </c>
    </row>
    <row r="162" ht="15.75" customHeight="1">
      <c r="A162" s="5" t="s">
        <v>3179</v>
      </c>
      <c r="B162" s="5" t="s">
        <v>2980</v>
      </c>
      <c r="C162" s="4" t="s">
        <v>2839</v>
      </c>
      <c r="D162" s="5" t="s">
        <v>3180</v>
      </c>
      <c r="E162" s="6">
        <v>214.0</v>
      </c>
      <c r="F162" s="6" t="s">
        <v>12</v>
      </c>
      <c r="H162" s="4" t="s">
        <v>2852</v>
      </c>
      <c r="I162" s="3" t="s">
        <v>13</v>
      </c>
      <c r="J162" s="7" t="str">
        <f>IFERROR(__xludf.DUMMYFUNCTION("SPLIT($A162,""Rua"","""")")," A")</f>
        <v> A</v>
      </c>
    </row>
    <row r="163" ht="15.75" customHeight="1">
      <c r="A163" s="5" t="s">
        <v>3181</v>
      </c>
      <c r="B163" s="5" t="s">
        <v>3182</v>
      </c>
      <c r="C163" s="4" t="s">
        <v>2839</v>
      </c>
      <c r="D163" s="5" t="s">
        <v>3183</v>
      </c>
      <c r="E163" s="6">
        <v>214.0</v>
      </c>
      <c r="F163" s="6" t="s">
        <v>12</v>
      </c>
      <c r="H163" s="4" t="s">
        <v>2852</v>
      </c>
      <c r="I163" s="3" t="s">
        <v>13</v>
      </c>
      <c r="J163" s="7" t="str">
        <f>IFERROR(__xludf.DUMMYFUNCTION("SPLIT($A163,""Rua"","""")")," Abener de Camargo")</f>
        <v> Abener de Camargo</v>
      </c>
    </row>
    <row r="164" ht="15.75" customHeight="1">
      <c r="A164" s="5" t="s">
        <v>3184</v>
      </c>
      <c r="B164" s="5" t="s">
        <v>2996</v>
      </c>
      <c r="C164" s="4" t="s">
        <v>2839</v>
      </c>
      <c r="D164" s="5" t="s">
        <v>3185</v>
      </c>
      <c r="E164" s="6">
        <v>214.0</v>
      </c>
      <c r="F164" s="6" t="s">
        <v>12</v>
      </c>
      <c r="H164" s="4" t="s">
        <v>2852</v>
      </c>
      <c r="I164" s="3" t="s">
        <v>13</v>
      </c>
      <c r="J164" s="7" t="str">
        <f>IFERROR(__xludf.DUMMYFUNCTION("SPLIT($A164,""Rua"","""")")," Abner Heraclyto de Camargo")</f>
        <v> Abner Heraclyto de Camargo</v>
      </c>
    </row>
    <row r="165" ht="15.75" customHeight="1">
      <c r="A165" s="5" t="s">
        <v>3186</v>
      </c>
      <c r="B165" s="5" t="s">
        <v>3056</v>
      </c>
      <c r="C165" s="4" t="s">
        <v>2839</v>
      </c>
      <c r="D165" s="5" t="s">
        <v>3187</v>
      </c>
      <c r="E165" s="6">
        <v>214.0</v>
      </c>
      <c r="F165" s="6" t="s">
        <v>12</v>
      </c>
      <c r="H165" s="4" t="s">
        <v>2852</v>
      </c>
      <c r="I165" s="3" t="s">
        <v>13</v>
      </c>
      <c r="J165" s="7" t="str">
        <f>IFERROR(__xludf.DUMMYFUNCTION("SPLIT($A165,""Rua"","""")")," Ada Calgaro Cavalante")</f>
        <v> Ada Calgaro Cavalante</v>
      </c>
    </row>
    <row r="166" ht="15.75" customHeight="1">
      <c r="A166" s="5" t="s">
        <v>3188</v>
      </c>
      <c r="B166" s="5" t="s">
        <v>3189</v>
      </c>
      <c r="C166" s="4" t="s">
        <v>2839</v>
      </c>
      <c r="D166" s="5" t="s">
        <v>3190</v>
      </c>
      <c r="E166" s="6">
        <v>214.0</v>
      </c>
      <c r="F166" s="6" t="s">
        <v>12</v>
      </c>
      <c r="H166" s="4" t="s">
        <v>2852</v>
      </c>
      <c r="I166" s="3" t="s">
        <v>13</v>
      </c>
      <c r="J166" s="7" t="str">
        <f>IFERROR(__xludf.DUMMYFUNCTION("SPLIT($A166,""Rua"","""")")," Adilson Antonio Antunes Campos")</f>
        <v> Adilson Antonio Antunes Campos</v>
      </c>
    </row>
    <row r="167" ht="15.75" customHeight="1">
      <c r="A167" s="5" t="s">
        <v>3191</v>
      </c>
      <c r="B167" s="5" t="s">
        <v>2957</v>
      </c>
      <c r="C167" s="4" t="s">
        <v>2839</v>
      </c>
      <c r="D167" s="5" t="s">
        <v>3192</v>
      </c>
      <c r="E167" s="6">
        <v>214.0</v>
      </c>
      <c r="F167" s="6" t="s">
        <v>12</v>
      </c>
      <c r="H167" s="4" t="s">
        <v>2852</v>
      </c>
      <c r="I167" s="3" t="s">
        <v>13</v>
      </c>
      <c r="J167" s="7" t="str">
        <f>IFERROR(__xludf.DUMMYFUNCTION("SPLIT($A167,""Rua"","""")")," Adolfo Ferrari")</f>
        <v> Adolfo Ferrari</v>
      </c>
    </row>
    <row r="168" ht="15.75" customHeight="1">
      <c r="A168" s="5" t="s">
        <v>3193</v>
      </c>
      <c r="B168" s="5" t="s">
        <v>3194</v>
      </c>
      <c r="C168" s="4" t="s">
        <v>2839</v>
      </c>
      <c r="D168" s="5" t="s">
        <v>3195</v>
      </c>
      <c r="E168" s="6">
        <v>214.0</v>
      </c>
      <c r="F168" s="6" t="s">
        <v>12</v>
      </c>
      <c r="H168" s="4" t="s">
        <v>2852</v>
      </c>
      <c r="I168" s="3" t="s">
        <v>13</v>
      </c>
      <c r="J168" s="7" t="str">
        <f>IFERROR(__xludf.DUMMYFUNCTION("SPLIT($A168,""Rua"","""")")," Adriano Taunay")</f>
        <v> Adriano Taunay</v>
      </c>
    </row>
    <row r="169" ht="15.75" customHeight="1">
      <c r="A169" s="5" t="s">
        <v>3196</v>
      </c>
      <c r="B169" s="5" t="s">
        <v>3197</v>
      </c>
      <c r="C169" s="4" t="s">
        <v>2839</v>
      </c>
      <c r="D169" s="5" t="s">
        <v>3198</v>
      </c>
      <c r="E169" s="6">
        <v>214.0</v>
      </c>
      <c r="F169" s="6" t="s">
        <v>12</v>
      </c>
      <c r="H169" s="4" t="s">
        <v>2852</v>
      </c>
      <c r="I169" s="3" t="s">
        <v>13</v>
      </c>
      <c r="J169" s="7" t="str">
        <f>IFERROR(__xludf.DUMMYFUNCTION("SPLIT($A169,""Rua"","""")")," Ageu Augusto da Silva")</f>
        <v> Ageu Augusto da Silva</v>
      </c>
    </row>
    <row r="170" ht="15.75" customHeight="1">
      <c r="A170" s="13" t="s">
        <v>3199</v>
      </c>
      <c r="B170" s="13" t="s">
        <v>3072</v>
      </c>
      <c r="C170" s="4" t="s">
        <v>2839</v>
      </c>
      <c r="D170" s="13" t="s">
        <v>3200</v>
      </c>
      <c r="E170" s="6">
        <v>214.0</v>
      </c>
      <c r="F170" s="6" t="s">
        <v>12</v>
      </c>
      <c r="H170" s="4" t="s">
        <v>2852</v>
      </c>
      <c r="I170" s="3" t="s">
        <v>13</v>
      </c>
      <c r="J170" s="7" t="str">
        <f>IFERROR(__xludf.DUMMYFUNCTION("SPLIT($A170,""Rua"","""")")," Agostinho Alcalá")</f>
        <v> Agostinho Alcalá</v>
      </c>
    </row>
    <row r="171" ht="15.75" customHeight="1">
      <c r="A171" s="5" t="s">
        <v>3201</v>
      </c>
      <c r="B171" s="5" t="s">
        <v>3162</v>
      </c>
      <c r="C171" s="4" t="s">
        <v>2839</v>
      </c>
      <c r="D171" s="5" t="s">
        <v>3202</v>
      </c>
      <c r="E171" s="6">
        <v>214.0</v>
      </c>
      <c r="F171" s="6" t="s">
        <v>12</v>
      </c>
      <c r="H171" s="4" t="s">
        <v>2852</v>
      </c>
      <c r="I171" s="3" t="s">
        <v>13</v>
      </c>
      <c r="J171" s="7" t="str">
        <f>IFERROR(__xludf.DUMMYFUNCTION("SPLIT($A171,""Rua"","""")")," Agostinho Zardeto")</f>
        <v> Agostinho Zardeto</v>
      </c>
    </row>
    <row r="172" ht="15.75" customHeight="1">
      <c r="A172" s="5" t="s">
        <v>3203</v>
      </c>
      <c r="B172" s="5" t="s">
        <v>3204</v>
      </c>
      <c r="C172" s="4" t="s">
        <v>2839</v>
      </c>
      <c r="D172" s="5" t="s">
        <v>3205</v>
      </c>
      <c r="E172" s="6">
        <v>214.0</v>
      </c>
      <c r="F172" s="6" t="s">
        <v>12</v>
      </c>
      <c r="H172" s="4" t="s">
        <v>2852</v>
      </c>
      <c r="I172" s="3" t="s">
        <v>13</v>
      </c>
      <c r="J172" s="7" t="str">
        <f>IFERROR(__xludf.DUMMYFUNCTION("SPLIT($A172,""Rua"","""")")," Alan Kardec")</f>
        <v> Alan Kardec</v>
      </c>
    </row>
    <row r="173" ht="15.75" customHeight="1">
      <c r="A173" s="5" t="s">
        <v>3206</v>
      </c>
      <c r="B173" s="5" t="s">
        <v>2996</v>
      </c>
      <c r="C173" s="4" t="s">
        <v>2839</v>
      </c>
      <c r="D173" s="5" t="s">
        <v>3207</v>
      </c>
      <c r="E173" s="6">
        <v>214.0</v>
      </c>
      <c r="F173" s="6" t="s">
        <v>12</v>
      </c>
      <c r="H173" s="4" t="s">
        <v>2852</v>
      </c>
      <c r="I173" s="3" t="s">
        <v>13</v>
      </c>
      <c r="J173" s="7" t="str">
        <f>IFERROR(__xludf.DUMMYFUNCTION("SPLIT($A173,""Rua"","""")")," Alberto Cardeli")</f>
        <v> Alberto Cardeli</v>
      </c>
    </row>
    <row r="174" ht="15.75" customHeight="1">
      <c r="A174" s="5" t="s">
        <v>3208</v>
      </c>
      <c r="B174" s="5" t="s">
        <v>3086</v>
      </c>
      <c r="C174" s="4" t="s">
        <v>2839</v>
      </c>
      <c r="D174" s="5" t="s">
        <v>3209</v>
      </c>
      <c r="E174" s="6">
        <v>214.0</v>
      </c>
      <c r="F174" s="6" t="s">
        <v>12</v>
      </c>
      <c r="H174" s="4" t="s">
        <v>2852</v>
      </c>
      <c r="I174" s="3" t="s">
        <v>13</v>
      </c>
      <c r="J174" s="7" t="str">
        <f>IFERROR(__xludf.DUMMYFUNCTION("SPLIT($A174,""Rua"","""")")," Alberto Fernandes de Camargo")</f>
        <v> Alberto Fernandes de Camargo</v>
      </c>
    </row>
    <row r="175" ht="15.75" customHeight="1">
      <c r="A175" s="5" t="s">
        <v>3210</v>
      </c>
      <c r="B175" s="5" t="s">
        <v>3211</v>
      </c>
      <c r="C175" s="4" t="s">
        <v>2839</v>
      </c>
      <c r="D175" s="5" t="s">
        <v>3212</v>
      </c>
      <c r="E175" s="6">
        <v>214.0</v>
      </c>
      <c r="F175" s="6" t="s">
        <v>12</v>
      </c>
      <c r="H175" s="4" t="s">
        <v>2852</v>
      </c>
      <c r="I175" s="3" t="s">
        <v>13</v>
      </c>
      <c r="J175" s="7" t="str">
        <f>IFERROR(__xludf.DUMMYFUNCTION("SPLIT($A175,""Rua"","""")")," Albino Valini")</f>
        <v> Albino Valini</v>
      </c>
    </row>
    <row r="176" ht="15.75" customHeight="1">
      <c r="A176" s="5" t="s">
        <v>3213</v>
      </c>
      <c r="B176" s="5" t="s">
        <v>2996</v>
      </c>
      <c r="C176" s="4" t="s">
        <v>2839</v>
      </c>
      <c r="D176" s="5" t="s">
        <v>3214</v>
      </c>
      <c r="E176" s="6">
        <v>214.0</v>
      </c>
      <c r="F176" s="6" t="s">
        <v>12</v>
      </c>
      <c r="H176" s="4" t="s">
        <v>2852</v>
      </c>
      <c r="I176" s="3" t="s">
        <v>13</v>
      </c>
      <c r="J176" s="7" t="str">
        <f>IFERROR(__xludf.DUMMYFUNCTION("SPLIT($A176,""Rua"","""")")," Alcides Costa Aranha")</f>
        <v> Alcides Costa Aranha</v>
      </c>
    </row>
    <row r="177" ht="15.75" customHeight="1">
      <c r="A177" s="5" t="s">
        <v>3215</v>
      </c>
      <c r="B177" s="5" t="s">
        <v>3216</v>
      </c>
      <c r="C177" s="4" t="s">
        <v>2839</v>
      </c>
      <c r="D177" s="5" t="s">
        <v>3217</v>
      </c>
      <c r="E177" s="6">
        <v>214.0</v>
      </c>
      <c r="F177" s="6" t="s">
        <v>12</v>
      </c>
      <c r="H177" s="4" t="s">
        <v>2852</v>
      </c>
      <c r="I177" s="3" t="s">
        <v>13</v>
      </c>
      <c r="J177" s="7" t="str">
        <f>IFERROR(__xludf.DUMMYFUNCTION("SPLIT($A177,""Rua"","""")")," Alderico Prestes dos Santos")</f>
        <v> Alderico Prestes dos Santos</v>
      </c>
    </row>
    <row r="178" ht="15.75" customHeight="1">
      <c r="A178" s="5" t="s">
        <v>3218</v>
      </c>
      <c r="B178" s="5" t="s">
        <v>3065</v>
      </c>
      <c r="C178" s="4" t="s">
        <v>2839</v>
      </c>
      <c r="D178" s="5" t="s">
        <v>3219</v>
      </c>
      <c r="E178" s="6">
        <v>214.0</v>
      </c>
      <c r="F178" s="6" t="s">
        <v>12</v>
      </c>
      <c r="H178" s="4" t="s">
        <v>2852</v>
      </c>
      <c r="I178" s="3" t="s">
        <v>13</v>
      </c>
      <c r="J178" s="7" t="str">
        <f>IFERROR(__xludf.DUMMYFUNCTION("SPLIT($A178,""Rua"","""")")," Alexandre Ambrósio")</f>
        <v> Alexandre Ambrósio</v>
      </c>
    </row>
    <row r="179" ht="15.75" customHeight="1">
      <c r="A179" s="5" t="s">
        <v>3220</v>
      </c>
      <c r="B179" s="5" t="s">
        <v>3221</v>
      </c>
      <c r="C179" s="4" t="s">
        <v>2839</v>
      </c>
      <c r="D179" s="5" t="s">
        <v>3222</v>
      </c>
      <c r="E179" s="6">
        <v>214.0</v>
      </c>
      <c r="F179" s="6" t="s">
        <v>12</v>
      </c>
      <c r="H179" s="4" t="s">
        <v>2852</v>
      </c>
      <c r="I179" s="3" t="s">
        <v>13</v>
      </c>
      <c r="J179" s="7" t="str">
        <f>IFERROR(__xludf.DUMMYFUNCTION("SPLIT($A179,""Rua"","""")")," Alexandre Bazzo")</f>
        <v> Alexandre Bazzo</v>
      </c>
    </row>
    <row r="180" ht="15.75" customHeight="1">
      <c r="A180" s="5" t="s">
        <v>3223</v>
      </c>
      <c r="B180" s="5" t="s">
        <v>2865</v>
      </c>
      <c r="C180" s="4" t="s">
        <v>2839</v>
      </c>
      <c r="D180" s="5" t="s">
        <v>3224</v>
      </c>
      <c r="E180" s="6">
        <v>214.0</v>
      </c>
      <c r="F180" s="6" t="s">
        <v>12</v>
      </c>
      <c r="H180" s="4" t="s">
        <v>2852</v>
      </c>
      <c r="I180" s="3" t="s">
        <v>13</v>
      </c>
      <c r="J180" s="7" t="str">
        <f>IFERROR(__xludf.DUMMYFUNCTION("SPLIT($A180,""Rua"","""")")," Alexandre Ferrari - até 273/274")</f>
        <v> Alexandre Ferrari - até 273/274</v>
      </c>
    </row>
    <row r="181" ht="15.75" customHeight="1">
      <c r="A181" s="5" t="s">
        <v>3225</v>
      </c>
      <c r="B181" s="5" t="s">
        <v>3226</v>
      </c>
      <c r="C181" s="4" t="s">
        <v>2839</v>
      </c>
      <c r="D181" s="5" t="s">
        <v>3227</v>
      </c>
      <c r="E181" s="6">
        <v>214.0</v>
      </c>
      <c r="F181" s="6" t="s">
        <v>12</v>
      </c>
      <c r="H181" s="4" t="s">
        <v>2852</v>
      </c>
      <c r="I181" s="3" t="s">
        <v>13</v>
      </c>
      <c r="J181" s="7" t="str">
        <f>IFERROR(__xludf.DUMMYFUNCTION("SPLIT($A181,""Rua"","""")")," Alexandre Ferrari - de 275/276 ao fim")</f>
        <v> Alexandre Ferrari - de 275/276 ao fim</v>
      </c>
    </row>
    <row r="182" ht="15.75" customHeight="1">
      <c r="A182" s="5" t="s">
        <v>3228</v>
      </c>
      <c r="B182" s="5" t="s">
        <v>3001</v>
      </c>
      <c r="C182" s="4" t="s">
        <v>2839</v>
      </c>
      <c r="D182" s="5" t="s">
        <v>3229</v>
      </c>
      <c r="E182" s="6">
        <v>214.0</v>
      </c>
      <c r="F182" s="6" t="s">
        <v>12</v>
      </c>
      <c r="H182" s="4" t="s">
        <v>2852</v>
      </c>
      <c r="I182" s="3" t="s">
        <v>13</v>
      </c>
      <c r="J182" s="7" t="str">
        <f>IFERROR(__xludf.DUMMYFUNCTION("SPLIT($A182,""Rua"","""")")," Alfeu Trombini")</f>
        <v> Alfeu Trombini</v>
      </c>
    </row>
    <row r="183" ht="15.75" customHeight="1">
      <c r="A183" s="5" t="s">
        <v>3228</v>
      </c>
      <c r="B183" s="5" t="s">
        <v>3182</v>
      </c>
      <c r="C183" s="4" t="s">
        <v>2839</v>
      </c>
      <c r="D183" s="5" t="s">
        <v>3230</v>
      </c>
      <c r="E183" s="6">
        <v>214.0</v>
      </c>
      <c r="F183" s="6" t="s">
        <v>12</v>
      </c>
      <c r="H183" s="4" t="s">
        <v>2852</v>
      </c>
      <c r="I183" s="3" t="s">
        <v>13</v>
      </c>
      <c r="J183" s="7" t="str">
        <f>IFERROR(__xludf.DUMMYFUNCTION("SPLIT($A183,""Rua"","""")")," Alfeu Trombini")</f>
        <v> Alfeu Trombini</v>
      </c>
    </row>
    <row r="184" ht="15.75" customHeight="1">
      <c r="A184" s="5" t="s">
        <v>3228</v>
      </c>
      <c r="B184" s="5" t="s">
        <v>3025</v>
      </c>
      <c r="C184" s="4" t="s">
        <v>2839</v>
      </c>
      <c r="D184" s="5" t="s">
        <v>3231</v>
      </c>
      <c r="E184" s="6">
        <v>214.0</v>
      </c>
      <c r="F184" s="6" t="s">
        <v>12</v>
      </c>
      <c r="H184" s="4" t="s">
        <v>2852</v>
      </c>
      <c r="I184" s="3" t="s">
        <v>13</v>
      </c>
      <c r="J184" s="7" t="str">
        <f>IFERROR(__xludf.DUMMYFUNCTION("SPLIT($A184,""Rua"","""")")," Alfeu Trombini")</f>
        <v> Alfeu Trombini</v>
      </c>
    </row>
    <row r="185" ht="15.75" customHeight="1">
      <c r="A185" s="5" t="s">
        <v>3232</v>
      </c>
      <c r="B185" s="5" t="s">
        <v>3058</v>
      </c>
      <c r="C185" s="4" t="s">
        <v>2839</v>
      </c>
      <c r="D185" s="5" t="s">
        <v>3233</v>
      </c>
      <c r="E185" s="6">
        <v>214.0</v>
      </c>
      <c r="F185" s="6" t="s">
        <v>12</v>
      </c>
      <c r="H185" s="4" t="s">
        <v>2852</v>
      </c>
      <c r="I185" s="3" t="s">
        <v>13</v>
      </c>
      <c r="J185" s="7" t="str">
        <f>IFERROR(__xludf.DUMMYFUNCTION("SPLIT($A185,""Rua"","""")")," Alfredo Salem")</f>
        <v> Alfredo Salem</v>
      </c>
    </row>
    <row r="186" ht="15.75" customHeight="1">
      <c r="A186" s="5" t="s">
        <v>3232</v>
      </c>
      <c r="B186" s="5" t="s">
        <v>3063</v>
      </c>
      <c r="C186" s="4" t="s">
        <v>2839</v>
      </c>
      <c r="D186" s="5" t="s">
        <v>3234</v>
      </c>
      <c r="E186" s="6">
        <v>214.0</v>
      </c>
      <c r="F186" s="6" t="s">
        <v>12</v>
      </c>
      <c r="H186" s="4" t="s">
        <v>2852</v>
      </c>
      <c r="I186" s="3" t="s">
        <v>13</v>
      </c>
      <c r="J186" s="7" t="str">
        <f>IFERROR(__xludf.DUMMYFUNCTION("SPLIT($A186,""Rua"","""")")," Alfredo Salem")</f>
        <v> Alfredo Salem</v>
      </c>
    </row>
    <row r="187" ht="15.75" customHeight="1">
      <c r="A187" s="5" t="s">
        <v>3235</v>
      </c>
      <c r="B187" s="5" t="s">
        <v>3236</v>
      </c>
      <c r="C187" s="4" t="s">
        <v>2839</v>
      </c>
      <c r="D187" s="5" t="s">
        <v>3237</v>
      </c>
      <c r="E187" s="6">
        <v>214.0</v>
      </c>
      <c r="F187" s="6" t="s">
        <v>12</v>
      </c>
      <c r="H187" s="4" t="s">
        <v>2852</v>
      </c>
      <c r="I187" s="3" t="s">
        <v>13</v>
      </c>
      <c r="J187" s="7" t="str">
        <f>IFERROR(__xludf.DUMMYFUNCTION("SPLIT($A187,""Rua"","""")")," Algarve")</f>
        <v> Algarve</v>
      </c>
    </row>
    <row r="188" ht="15.75" customHeight="1">
      <c r="A188" s="5" t="s">
        <v>3238</v>
      </c>
      <c r="B188" s="5" t="s">
        <v>3194</v>
      </c>
      <c r="C188" s="4" t="s">
        <v>2839</v>
      </c>
      <c r="D188" s="5" t="s">
        <v>3239</v>
      </c>
      <c r="E188" s="6">
        <v>214.0</v>
      </c>
      <c r="F188" s="6" t="s">
        <v>12</v>
      </c>
      <c r="H188" s="4" t="s">
        <v>2852</v>
      </c>
      <c r="I188" s="3" t="s">
        <v>13</v>
      </c>
      <c r="J188" s="7" t="str">
        <f>IFERROR(__xludf.DUMMYFUNCTION("SPLIT($A188,""Rua"","""")")," Almeida Junior")</f>
        <v> Almeida Junior</v>
      </c>
    </row>
    <row r="189" ht="15.75" customHeight="1">
      <c r="A189" s="5" t="s">
        <v>3240</v>
      </c>
      <c r="B189" s="5" t="s">
        <v>180</v>
      </c>
      <c r="C189" s="4" t="s">
        <v>2839</v>
      </c>
      <c r="D189" s="5" t="s">
        <v>3241</v>
      </c>
      <c r="E189" s="6">
        <v>214.0</v>
      </c>
      <c r="F189" s="6" t="s">
        <v>12</v>
      </c>
      <c r="H189" s="4" t="s">
        <v>2852</v>
      </c>
      <c r="I189" s="3" t="s">
        <v>13</v>
      </c>
      <c r="J189" s="7" t="str">
        <f>IFERROR(__xludf.DUMMYFUNCTION("SPLIT($A189,""Rua"","""")")," Altino Arantes")</f>
        <v> Altino Arantes</v>
      </c>
    </row>
    <row r="190" ht="15.75" customHeight="1">
      <c r="A190" s="5" t="s">
        <v>3242</v>
      </c>
      <c r="B190" s="5" t="s">
        <v>3243</v>
      </c>
      <c r="C190" s="4" t="s">
        <v>2839</v>
      </c>
      <c r="D190" s="5" t="s">
        <v>3244</v>
      </c>
      <c r="E190" s="6">
        <v>214.0</v>
      </c>
      <c r="F190" s="6" t="s">
        <v>12</v>
      </c>
      <c r="H190" s="4" t="s">
        <v>2852</v>
      </c>
      <c r="I190" s="3" t="s">
        <v>13</v>
      </c>
      <c r="J190" s="7" t="str">
        <f>IFERROR(__xludf.DUMMYFUNCTION("SPLIT($A190,""Rua"","""")")," Alvares de Azevedo")</f>
        <v> Alvares de Azevedo</v>
      </c>
    </row>
    <row r="191" ht="15.75" customHeight="1">
      <c r="A191" s="5" t="s">
        <v>3245</v>
      </c>
      <c r="B191" s="5" t="s">
        <v>3197</v>
      </c>
      <c r="C191" s="4" t="s">
        <v>2839</v>
      </c>
      <c r="D191" s="5" t="s">
        <v>3246</v>
      </c>
      <c r="E191" s="6">
        <v>214.0</v>
      </c>
      <c r="F191" s="6" t="s">
        <v>12</v>
      </c>
      <c r="H191" s="4" t="s">
        <v>2852</v>
      </c>
      <c r="I191" s="3" t="s">
        <v>13</v>
      </c>
      <c r="J191" s="7" t="str">
        <f>IFERROR(__xludf.DUMMYFUNCTION("SPLIT($A191,""Rua"","""")")," Alzira Previtali")</f>
        <v> Alzira Previtali</v>
      </c>
    </row>
    <row r="192" ht="15.75" customHeight="1">
      <c r="A192" s="5" t="s">
        <v>3247</v>
      </c>
      <c r="B192" s="5" t="s">
        <v>3063</v>
      </c>
      <c r="C192" s="4" t="s">
        <v>2839</v>
      </c>
      <c r="D192" s="5" t="s">
        <v>3248</v>
      </c>
      <c r="E192" s="6">
        <v>214.0</v>
      </c>
      <c r="F192" s="6" t="s">
        <v>12</v>
      </c>
      <c r="H192" s="4" t="s">
        <v>2852</v>
      </c>
      <c r="I192" s="3" t="s">
        <v>13</v>
      </c>
      <c r="J192" s="7" t="str">
        <f>IFERROR(__xludf.DUMMYFUNCTION("SPLIT($A192,""Rua"","""")")," Alziro Carlos")</f>
        <v> Alziro Carlos</v>
      </c>
    </row>
    <row r="193" ht="15.75" customHeight="1">
      <c r="A193" s="5" t="s">
        <v>3249</v>
      </c>
      <c r="B193" s="5" t="s">
        <v>2977</v>
      </c>
      <c r="C193" s="4" t="s">
        <v>2839</v>
      </c>
      <c r="D193" s="5" t="s">
        <v>3250</v>
      </c>
      <c r="E193" s="6">
        <v>214.0</v>
      </c>
      <c r="F193" s="6" t="s">
        <v>12</v>
      </c>
      <c r="H193" s="4" t="s">
        <v>2852</v>
      </c>
      <c r="I193" s="3" t="s">
        <v>13</v>
      </c>
      <c r="J193" s="7" t="str">
        <f>IFERROR(__xludf.DUMMYFUNCTION("SPLIT($A193,""Rua"","""")")," Amadeo Zani")</f>
        <v> Amadeo Zani</v>
      </c>
    </row>
    <row r="194" ht="15.75" customHeight="1">
      <c r="A194" s="5" t="s">
        <v>3251</v>
      </c>
      <c r="B194" s="5" t="s">
        <v>3034</v>
      </c>
      <c r="C194" s="4" t="s">
        <v>2839</v>
      </c>
      <c r="D194" s="5" t="s">
        <v>3252</v>
      </c>
      <c r="E194" s="6">
        <v>214.0</v>
      </c>
      <c r="F194" s="6" t="s">
        <v>12</v>
      </c>
      <c r="H194" s="4" t="s">
        <v>2852</v>
      </c>
      <c r="I194" s="3" t="s">
        <v>13</v>
      </c>
      <c r="J194" s="7" t="str">
        <f>IFERROR(__xludf.DUMMYFUNCTION("SPLIT($A194,""Rua"","""")")," Amadeu de Lara")</f>
        <v> Amadeu de Lara</v>
      </c>
    </row>
    <row r="195" ht="15.75" customHeight="1">
      <c r="A195" s="5" t="s">
        <v>3253</v>
      </c>
      <c r="B195" s="5" t="s">
        <v>2959</v>
      </c>
      <c r="C195" s="4" t="s">
        <v>2839</v>
      </c>
      <c r="D195" s="5" t="s">
        <v>3254</v>
      </c>
      <c r="E195" s="6">
        <v>214.0</v>
      </c>
      <c r="F195" s="6" t="s">
        <v>12</v>
      </c>
      <c r="H195" s="4" t="s">
        <v>2852</v>
      </c>
      <c r="I195" s="3" t="s">
        <v>13</v>
      </c>
      <c r="J195" s="7" t="str">
        <f>IFERROR(__xludf.DUMMYFUNCTION("SPLIT($A195,""Rua"","""")")," Amadeu Martelli")</f>
        <v> Amadeu Martelli</v>
      </c>
    </row>
    <row r="196" ht="15.75" customHeight="1">
      <c r="A196" s="5" t="s">
        <v>3255</v>
      </c>
      <c r="B196" s="5" t="s">
        <v>3072</v>
      </c>
      <c r="C196" s="4" t="s">
        <v>2839</v>
      </c>
      <c r="D196" s="5" t="s">
        <v>3256</v>
      </c>
      <c r="E196" s="6">
        <v>214.0</v>
      </c>
      <c r="F196" s="6" t="s">
        <v>12</v>
      </c>
      <c r="H196" s="4" t="s">
        <v>2852</v>
      </c>
      <c r="I196" s="3" t="s">
        <v>13</v>
      </c>
      <c r="J196" s="7" t="str">
        <f>IFERROR(__xludf.DUMMYFUNCTION("SPLIT($A196,""Rua"","""")")," Amaro Menegon")</f>
        <v> Amaro Menegon</v>
      </c>
    </row>
    <row r="197" ht="15.75" customHeight="1">
      <c r="A197" s="5" t="s">
        <v>3257</v>
      </c>
      <c r="B197" s="5" t="s">
        <v>3047</v>
      </c>
      <c r="C197" s="4" t="s">
        <v>2839</v>
      </c>
      <c r="D197" s="5" t="s">
        <v>3258</v>
      </c>
      <c r="E197" s="6">
        <v>214.0</v>
      </c>
      <c r="F197" s="6" t="s">
        <v>12</v>
      </c>
      <c r="H197" s="4" t="s">
        <v>2852</v>
      </c>
      <c r="I197" s="3" t="s">
        <v>13</v>
      </c>
      <c r="J197" s="7" t="str">
        <f>IFERROR(__xludf.DUMMYFUNCTION("SPLIT($A197,""Rua"","""")")," Amazonas")</f>
        <v> Amazonas</v>
      </c>
    </row>
    <row r="198" ht="15.75" customHeight="1">
      <c r="A198" s="5" t="s">
        <v>3259</v>
      </c>
      <c r="B198" s="5" t="s">
        <v>3260</v>
      </c>
      <c r="C198" s="4" t="s">
        <v>2839</v>
      </c>
      <c r="D198" s="5" t="s">
        <v>3261</v>
      </c>
      <c r="E198" s="6">
        <v>214.0</v>
      </c>
      <c r="F198" s="6" t="s">
        <v>12</v>
      </c>
      <c r="H198" s="4" t="s">
        <v>2852</v>
      </c>
      <c r="I198" s="3" t="s">
        <v>13</v>
      </c>
      <c r="J198" s="7" t="str">
        <f>IFERROR(__xludf.DUMMYFUNCTION("SPLIT($A198,""Rua"","""")")," Ana de Arruda Moraes")</f>
        <v> Ana de Arruda Moraes</v>
      </c>
    </row>
    <row r="199" ht="15.75" customHeight="1">
      <c r="A199" s="5" t="s">
        <v>3262</v>
      </c>
      <c r="B199" s="5" t="s">
        <v>3216</v>
      </c>
      <c r="C199" s="4" t="s">
        <v>2839</v>
      </c>
      <c r="D199" s="5" t="s">
        <v>3263</v>
      </c>
      <c r="E199" s="6">
        <v>214.0</v>
      </c>
      <c r="F199" s="6" t="s">
        <v>12</v>
      </c>
      <c r="H199" s="4" t="s">
        <v>2852</v>
      </c>
      <c r="I199" s="3" t="s">
        <v>13</v>
      </c>
      <c r="J199" s="7" t="str">
        <f>IFERROR(__xludf.DUMMYFUNCTION("SPLIT($A199,""Rua"","""")")," Ana Paulina Sala Ferraz")</f>
        <v> Ana Paulina Sala Ferraz</v>
      </c>
    </row>
    <row r="200" ht="15.75" customHeight="1">
      <c r="A200" s="5" t="s">
        <v>3264</v>
      </c>
      <c r="B200" s="5" t="s">
        <v>180</v>
      </c>
      <c r="C200" s="4" t="s">
        <v>2839</v>
      </c>
      <c r="D200" s="5" t="s">
        <v>3265</v>
      </c>
      <c r="E200" s="6">
        <v>214.0</v>
      </c>
      <c r="F200" s="6" t="s">
        <v>12</v>
      </c>
      <c r="H200" s="4" t="s">
        <v>2852</v>
      </c>
      <c r="I200" s="3" t="s">
        <v>13</v>
      </c>
      <c r="J200" s="7" t="str">
        <f>IFERROR(__xludf.DUMMYFUNCTION("SPLIT($A200,""Rua"","""")")," André Rocha")</f>
        <v> André Rocha</v>
      </c>
    </row>
    <row r="201" ht="15.75" customHeight="1">
      <c r="A201" s="5" t="s">
        <v>3266</v>
      </c>
      <c r="B201" s="5" t="s">
        <v>3091</v>
      </c>
      <c r="C201" s="4" t="s">
        <v>2839</v>
      </c>
      <c r="D201" s="5" t="s">
        <v>3267</v>
      </c>
      <c r="E201" s="6">
        <v>214.0</v>
      </c>
      <c r="F201" s="6" t="s">
        <v>12</v>
      </c>
      <c r="H201" s="4" t="s">
        <v>2852</v>
      </c>
      <c r="I201" s="3" t="s">
        <v>13</v>
      </c>
      <c r="J201" s="7" t="str">
        <f>IFERROR(__xludf.DUMMYFUNCTION("SPLIT($A201,""Rua"","""")")," Aneres Aparecida de Camargo Rocha")</f>
        <v> Aneres Aparecida de Camargo Rocha</v>
      </c>
    </row>
    <row r="202" ht="15.75" customHeight="1">
      <c r="A202" s="5" t="s">
        <v>3268</v>
      </c>
      <c r="B202" s="5" t="s">
        <v>3018</v>
      </c>
      <c r="C202" s="4" t="s">
        <v>2839</v>
      </c>
      <c r="D202" s="5" t="s">
        <v>3269</v>
      </c>
      <c r="E202" s="6">
        <v>214.0</v>
      </c>
      <c r="F202" s="6" t="s">
        <v>12</v>
      </c>
      <c r="H202" s="4" t="s">
        <v>2852</v>
      </c>
      <c r="I202" s="3" t="s">
        <v>13</v>
      </c>
      <c r="J202" s="7" t="str">
        <f>IFERROR(__xludf.DUMMYFUNCTION("SPLIT($A202,""Rua"","""")")," Angelina de Jesus Dias de Toledo")</f>
        <v> Angelina de Jesus Dias de Toledo</v>
      </c>
    </row>
    <row r="203" ht="15.75" customHeight="1">
      <c r="A203" s="5" t="s">
        <v>3270</v>
      </c>
      <c r="B203" s="5" t="s">
        <v>3047</v>
      </c>
      <c r="C203" s="4" t="s">
        <v>2839</v>
      </c>
      <c r="D203" s="5" t="s">
        <v>3271</v>
      </c>
      <c r="E203" s="6">
        <v>214.0</v>
      </c>
      <c r="F203" s="6" t="s">
        <v>12</v>
      </c>
      <c r="H203" s="4" t="s">
        <v>2852</v>
      </c>
      <c r="I203" s="3" t="s">
        <v>13</v>
      </c>
      <c r="J203" s="7" t="str">
        <f>IFERROR(__xludf.DUMMYFUNCTION("SPLIT($A203,""Rua"","""")")," Ângelo Diana")</f>
        <v> Ângelo Diana</v>
      </c>
    </row>
    <row r="204" ht="15.75" customHeight="1">
      <c r="A204" s="5" t="s">
        <v>3270</v>
      </c>
      <c r="B204" s="5" t="s">
        <v>3211</v>
      </c>
      <c r="C204" s="4" t="s">
        <v>2839</v>
      </c>
      <c r="D204" s="5" t="s">
        <v>3272</v>
      </c>
      <c r="E204" s="6">
        <v>214.0</v>
      </c>
      <c r="F204" s="6" t="s">
        <v>12</v>
      </c>
      <c r="H204" s="4" t="s">
        <v>2852</v>
      </c>
      <c r="I204" s="3" t="s">
        <v>13</v>
      </c>
      <c r="J204" s="7" t="str">
        <f>IFERROR(__xludf.DUMMYFUNCTION("SPLIT($A204,""Rua"","""")")," Ângelo Diana")</f>
        <v> Ângelo Diana</v>
      </c>
    </row>
    <row r="205" ht="15.75" customHeight="1">
      <c r="A205" s="5" t="s">
        <v>3273</v>
      </c>
      <c r="B205" s="5" t="s">
        <v>3274</v>
      </c>
      <c r="C205" s="4" t="s">
        <v>2839</v>
      </c>
      <c r="D205" s="5" t="s">
        <v>3275</v>
      </c>
      <c r="E205" s="6">
        <v>214.0</v>
      </c>
      <c r="F205" s="6" t="s">
        <v>12</v>
      </c>
      <c r="H205" s="4" t="s">
        <v>2852</v>
      </c>
      <c r="I205" s="3" t="s">
        <v>13</v>
      </c>
      <c r="J205" s="7" t="str">
        <f>IFERROR(__xludf.DUMMYFUNCTION("SPLIT($A205,""Rua"","""")")," Ângelo Fustaino")</f>
        <v> Ângelo Fustaino</v>
      </c>
    </row>
    <row r="206" ht="15.75" customHeight="1">
      <c r="A206" s="5" t="s">
        <v>3276</v>
      </c>
      <c r="B206" s="5" t="s">
        <v>3277</v>
      </c>
      <c r="C206" s="4" t="s">
        <v>2839</v>
      </c>
      <c r="D206" s="5" t="s">
        <v>3278</v>
      </c>
      <c r="E206" s="6">
        <v>214.0</v>
      </c>
      <c r="F206" s="6" t="s">
        <v>12</v>
      </c>
      <c r="H206" s="4" t="s">
        <v>2852</v>
      </c>
      <c r="I206" s="3" t="s">
        <v>13</v>
      </c>
      <c r="J206" s="7" t="str">
        <f>IFERROR(__xludf.DUMMYFUNCTION("SPLIT($A206,""Rua"","""")")," Ângelo Gastardello")</f>
        <v> Ângelo Gastardello</v>
      </c>
    </row>
    <row r="207" ht="15.75" customHeight="1">
      <c r="A207" s="5" t="s">
        <v>3276</v>
      </c>
      <c r="B207" s="5" t="s">
        <v>3162</v>
      </c>
      <c r="C207" s="4" t="s">
        <v>2839</v>
      </c>
      <c r="D207" s="5" t="s">
        <v>3279</v>
      </c>
      <c r="E207" s="6">
        <v>214.0</v>
      </c>
      <c r="F207" s="6" t="s">
        <v>12</v>
      </c>
      <c r="H207" s="4" t="s">
        <v>2852</v>
      </c>
      <c r="I207" s="3" t="s">
        <v>13</v>
      </c>
      <c r="J207" s="7" t="str">
        <f>IFERROR(__xludf.DUMMYFUNCTION("SPLIT($A207,""Rua"","""")")," Ângelo Gastardello")</f>
        <v> Ângelo Gastardello</v>
      </c>
    </row>
    <row r="208" ht="15.75" customHeight="1">
      <c r="A208" s="5" t="s">
        <v>3280</v>
      </c>
      <c r="B208" s="5" t="s">
        <v>3162</v>
      </c>
      <c r="C208" s="4" t="s">
        <v>2839</v>
      </c>
      <c r="D208" s="5" t="s">
        <v>3281</v>
      </c>
      <c r="E208" s="6">
        <v>214.0</v>
      </c>
      <c r="F208" s="6" t="s">
        <v>12</v>
      </c>
      <c r="H208" s="4" t="s">
        <v>2852</v>
      </c>
      <c r="I208" s="3" t="s">
        <v>13</v>
      </c>
      <c r="J208" s="7" t="str">
        <f>IFERROR(__xludf.DUMMYFUNCTION("SPLIT($A208,""Rua"","""")")," Ângelo Giovani Menegon")</f>
        <v> Ângelo Giovani Menegon</v>
      </c>
    </row>
    <row r="209" ht="15.75" customHeight="1">
      <c r="A209" s="5" t="s">
        <v>3282</v>
      </c>
      <c r="B209" s="5" t="s">
        <v>2996</v>
      </c>
      <c r="C209" s="4" t="s">
        <v>2839</v>
      </c>
      <c r="D209" s="5" t="s">
        <v>3283</v>
      </c>
      <c r="E209" s="6">
        <v>214.0</v>
      </c>
      <c r="F209" s="6" t="s">
        <v>12</v>
      </c>
      <c r="H209" s="4" t="s">
        <v>2852</v>
      </c>
      <c r="I209" s="3" t="s">
        <v>13</v>
      </c>
      <c r="J209" s="7" t="str">
        <f>IFERROR(__xludf.DUMMYFUNCTION("SPLIT($A209,""Rua"","""")")," Anita Garibaldi")</f>
        <v> Anita Garibaldi</v>
      </c>
    </row>
    <row r="210" ht="15.75" customHeight="1">
      <c r="A210" s="5" t="s">
        <v>3282</v>
      </c>
      <c r="B210" s="5" t="s">
        <v>2991</v>
      </c>
      <c r="C210" s="4" t="s">
        <v>2839</v>
      </c>
      <c r="D210" s="5" t="s">
        <v>3284</v>
      </c>
      <c r="E210" s="6">
        <v>214.0</v>
      </c>
      <c r="F210" s="6" t="s">
        <v>12</v>
      </c>
      <c r="H210" s="4" t="s">
        <v>2852</v>
      </c>
      <c r="I210" s="3" t="s">
        <v>13</v>
      </c>
      <c r="J210" s="7" t="str">
        <f>IFERROR(__xludf.DUMMYFUNCTION("SPLIT($A210,""Rua"","""")")," Anita Garibaldi")</f>
        <v> Anita Garibaldi</v>
      </c>
    </row>
    <row r="211" ht="15.75" customHeight="1">
      <c r="A211" s="5" t="s">
        <v>3282</v>
      </c>
      <c r="B211" s="5" t="s">
        <v>3285</v>
      </c>
      <c r="C211" s="4" t="s">
        <v>2839</v>
      </c>
      <c r="D211" s="5" t="s">
        <v>3286</v>
      </c>
      <c r="E211" s="6">
        <v>214.0</v>
      </c>
      <c r="F211" s="6" t="s">
        <v>12</v>
      </c>
      <c r="H211" s="4" t="s">
        <v>2852</v>
      </c>
      <c r="I211" s="3" t="s">
        <v>13</v>
      </c>
      <c r="J211" s="7" t="str">
        <f>IFERROR(__xludf.DUMMYFUNCTION("SPLIT($A211,""Rua"","""")")," Anita Garibaldi")</f>
        <v> Anita Garibaldi</v>
      </c>
    </row>
    <row r="212" ht="15.75" customHeight="1">
      <c r="A212" s="5" t="s">
        <v>3287</v>
      </c>
      <c r="B212" s="5" t="s">
        <v>3086</v>
      </c>
      <c r="C212" s="4" t="s">
        <v>2839</v>
      </c>
      <c r="D212" s="5" t="s">
        <v>3288</v>
      </c>
      <c r="E212" s="6">
        <v>214.0</v>
      </c>
      <c r="F212" s="6" t="s">
        <v>12</v>
      </c>
      <c r="H212" s="4" t="s">
        <v>2852</v>
      </c>
      <c r="I212" s="3" t="s">
        <v>13</v>
      </c>
      <c r="J212" s="7" t="str">
        <f>IFERROR(__xludf.DUMMYFUNCTION("SPLIT($A212,""Rua"","""")")," Anízio Ferraz Sampaio")</f>
        <v> Anízio Ferraz Sampaio</v>
      </c>
    </row>
    <row r="213" ht="15.75" customHeight="1">
      <c r="A213" s="5" t="s">
        <v>3289</v>
      </c>
      <c r="B213" s="5" t="s">
        <v>3065</v>
      </c>
      <c r="C213" s="4" t="s">
        <v>2839</v>
      </c>
      <c r="D213" s="5" t="s">
        <v>3290</v>
      </c>
      <c r="E213" s="6">
        <v>214.0</v>
      </c>
      <c r="F213" s="6" t="s">
        <v>12</v>
      </c>
      <c r="H213" s="4" t="s">
        <v>2852</v>
      </c>
      <c r="I213" s="3" t="s">
        <v>13</v>
      </c>
      <c r="J213" s="7" t="str">
        <f>IFERROR(__xludf.DUMMYFUNCTION("SPLIT($A213,""Rua"","""")")," Anselmo Bueno de Oliveira")</f>
        <v> Anselmo Bueno de Oliveira</v>
      </c>
    </row>
    <row r="214" ht="15.75" customHeight="1">
      <c r="A214" s="5" t="s">
        <v>3291</v>
      </c>
      <c r="B214" s="5" t="s">
        <v>3065</v>
      </c>
      <c r="C214" s="4" t="s">
        <v>2839</v>
      </c>
      <c r="D214" s="5" t="s">
        <v>3292</v>
      </c>
      <c r="E214" s="6">
        <v>214.0</v>
      </c>
      <c r="F214" s="6" t="s">
        <v>12</v>
      </c>
      <c r="H214" s="4" t="s">
        <v>2852</v>
      </c>
      <c r="I214" s="3" t="s">
        <v>13</v>
      </c>
      <c r="J214" s="7" t="str">
        <f>IFERROR(__xludf.DUMMYFUNCTION("SPLIT($A214,""Rua"","""")")," Antenor Bellon")</f>
        <v> Antenor Bellon</v>
      </c>
    </row>
    <row r="215" ht="15.75" customHeight="1">
      <c r="A215" s="5" t="s">
        <v>3293</v>
      </c>
      <c r="B215" s="5" t="s">
        <v>3294</v>
      </c>
      <c r="C215" s="4" t="s">
        <v>2839</v>
      </c>
      <c r="D215" s="5" t="s">
        <v>3295</v>
      </c>
      <c r="E215" s="6">
        <v>214.0</v>
      </c>
      <c r="F215" s="6" t="s">
        <v>12</v>
      </c>
      <c r="H215" s="4" t="s">
        <v>2852</v>
      </c>
      <c r="I215" s="3" t="s">
        <v>13</v>
      </c>
      <c r="J215" s="7" t="str">
        <f>IFERROR(__xludf.DUMMYFUNCTION("SPLIT($A215,""Rua"","""")")," Antenor Ferraz de Oliveira")</f>
        <v> Antenor Ferraz de Oliveira</v>
      </c>
    </row>
    <row r="216" ht="15.75" customHeight="1">
      <c r="A216" s="5" t="s">
        <v>3296</v>
      </c>
      <c r="B216" s="5" t="s">
        <v>3285</v>
      </c>
      <c r="C216" s="4" t="s">
        <v>2839</v>
      </c>
      <c r="D216" s="5" t="s">
        <v>3297</v>
      </c>
      <c r="E216" s="6">
        <v>214.0</v>
      </c>
      <c r="F216" s="6" t="s">
        <v>12</v>
      </c>
      <c r="H216" s="4" t="s">
        <v>2852</v>
      </c>
      <c r="I216" s="3" t="s">
        <v>13</v>
      </c>
      <c r="J216" s="7" t="str">
        <f>IFERROR(__xludf.DUMMYFUNCTION("SPLIT($A216,""Rua"","""")")," Antônio Arraval Filho")</f>
        <v> Antônio Arraval Filho</v>
      </c>
    </row>
    <row r="217" ht="15.75" customHeight="1">
      <c r="A217" s="5" t="s">
        <v>3298</v>
      </c>
      <c r="B217" s="5" t="s">
        <v>3299</v>
      </c>
      <c r="C217" s="4" t="s">
        <v>2839</v>
      </c>
      <c r="D217" s="5" t="s">
        <v>3300</v>
      </c>
      <c r="E217" s="6">
        <v>214.0</v>
      </c>
      <c r="F217" s="6" t="s">
        <v>12</v>
      </c>
      <c r="H217" s="4" t="s">
        <v>2852</v>
      </c>
      <c r="I217" s="3" t="s">
        <v>13</v>
      </c>
      <c r="J217" s="7" t="str">
        <f>IFERROR(__xludf.DUMMYFUNCTION("SPLIT($A217,""Rua"","""")")," Antônio Bello")</f>
        <v> Antônio Bello</v>
      </c>
    </row>
    <row r="218" ht="15.75" customHeight="1">
      <c r="A218" s="5" t="s">
        <v>3301</v>
      </c>
      <c r="B218" s="5" t="s">
        <v>3025</v>
      </c>
      <c r="C218" s="4" t="s">
        <v>2839</v>
      </c>
      <c r="D218" s="5" t="s">
        <v>3302</v>
      </c>
      <c r="E218" s="6">
        <v>214.0</v>
      </c>
      <c r="F218" s="6" t="s">
        <v>12</v>
      </c>
      <c r="H218" s="4" t="s">
        <v>2852</v>
      </c>
      <c r="I218" s="3" t="s">
        <v>13</v>
      </c>
      <c r="J218" s="7" t="str">
        <f>IFERROR(__xludf.DUMMYFUNCTION("SPLIT($A218,""Rua"","""")")," Antônio Bonini")</f>
        <v> Antônio Bonini</v>
      </c>
    </row>
    <row r="219" ht="15.75" customHeight="1">
      <c r="A219" s="5" t="s">
        <v>3303</v>
      </c>
      <c r="B219" s="5" t="s">
        <v>2996</v>
      </c>
      <c r="C219" s="4" t="s">
        <v>2839</v>
      </c>
      <c r="D219" s="5" t="s">
        <v>3304</v>
      </c>
      <c r="E219" s="6">
        <v>214.0</v>
      </c>
      <c r="F219" s="6" t="s">
        <v>12</v>
      </c>
      <c r="H219" s="4" t="s">
        <v>2852</v>
      </c>
      <c r="I219" s="3" t="s">
        <v>13</v>
      </c>
      <c r="J219" s="7" t="str">
        <f>IFERROR(__xludf.DUMMYFUNCTION("SPLIT($A219,""Rua"","""")")," Antônio Brienza")</f>
        <v> Antônio Brienza</v>
      </c>
    </row>
    <row r="220" ht="15.75" customHeight="1">
      <c r="A220" s="5" t="s">
        <v>3305</v>
      </c>
      <c r="B220" s="5" t="s">
        <v>3072</v>
      </c>
      <c r="C220" s="4" t="s">
        <v>2839</v>
      </c>
      <c r="D220" s="5" t="s">
        <v>3306</v>
      </c>
      <c r="E220" s="6">
        <v>214.0</v>
      </c>
      <c r="F220" s="6" t="s">
        <v>12</v>
      </c>
      <c r="H220" s="4" t="s">
        <v>2852</v>
      </c>
      <c r="I220" s="3" t="s">
        <v>13</v>
      </c>
      <c r="J220" s="7" t="str">
        <f>IFERROR(__xludf.DUMMYFUNCTION("SPLIT($A220,""Rua"","""")")," Antônio Caetano de Almeida")</f>
        <v> Antônio Caetano de Almeida</v>
      </c>
    </row>
    <row r="221" ht="15.75" customHeight="1">
      <c r="A221" s="5" t="s">
        <v>3305</v>
      </c>
      <c r="B221" s="5" t="s">
        <v>3091</v>
      </c>
      <c r="C221" s="4" t="s">
        <v>2839</v>
      </c>
      <c r="D221" s="5" t="s">
        <v>3307</v>
      </c>
      <c r="E221" s="6">
        <v>214.0</v>
      </c>
      <c r="F221" s="6" t="s">
        <v>12</v>
      </c>
      <c r="H221" s="4" t="s">
        <v>2852</v>
      </c>
      <c r="I221" s="3" t="s">
        <v>13</v>
      </c>
      <c r="J221" s="7" t="str">
        <f>IFERROR(__xludf.DUMMYFUNCTION("SPLIT($A221,""Rua"","""")")," Antônio Caetano de Almeida")</f>
        <v> Antônio Caetano de Almeida</v>
      </c>
    </row>
    <row r="222" ht="15.75" customHeight="1">
      <c r="A222" s="5" t="s">
        <v>3308</v>
      </c>
      <c r="B222" s="5" t="s">
        <v>3061</v>
      </c>
      <c r="C222" s="4" t="s">
        <v>2839</v>
      </c>
      <c r="D222" s="5" t="s">
        <v>3309</v>
      </c>
      <c r="E222" s="6">
        <v>214.0</v>
      </c>
      <c r="F222" s="6" t="s">
        <v>12</v>
      </c>
      <c r="H222" s="4" t="s">
        <v>2852</v>
      </c>
      <c r="I222" s="3" t="s">
        <v>13</v>
      </c>
      <c r="J222" s="7" t="str">
        <f>IFERROR(__xludf.DUMMYFUNCTION("SPLIT($A222,""Rua"","""")")," Antônio Cardoso da Silva")</f>
        <v> Antônio Cardoso da Silva</v>
      </c>
    </row>
    <row r="223" ht="15.75" customHeight="1">
      <c r="A223" s="5" t="s">
        <v>3310</v>
      </c>
      <c r="B223" s="5" t="s">
        <v>3025</v>
      </c>
      <c r="C223" s="4" t="s">
        <v>2839</v>
      </c>
      <c r="D223" s="5" t="s">
        <v>3311</v>
      </c>
      <c r="E223" s="6">
        <v>214.0</v>
      </c>
      <c r="F223" s="6" t="s">
        <v>12</v>
      </c>
      <c r="H223" s="4" t="s">
        <v>2852</v>
      </c>
      <c r="I223" s="3" t="s">
        <v>13</v>
      </c>
      <c r="J223" s="7" t="str">
        <f>IFERROR(__xludf.DUMMYFUNCTION("SPLIT($A223,""Rua"","""")")," Antônio Carlos Marcolino Polaz - até 449/450")</f>
        <v> Antônio Carlos Marcolino Polaz - até 449/450</v>
      </c>
    </row>
    <row r="224" ht="15.75" customHeight="1">
      <c r="A224" s="5" t="s">
        <v>3312</v>
      </c>
      <c r="B224" s="5" t="s">
        <v>3182</v>
      </c>
      <c r="C224" s="4" t="s">
        <v>2839</v>
      </c>
      <c r="D224" s="5" t="s">
        <v>3313</v>
      </c>
      <c r="E224" s="6">
        <v>214.0</v>
      </c>
      <c r="F224" s="6" t="s">
        <v>12</v>
      </c>
      <c r="H224" s="4" t="s">
        <v>2852</v>
      </c>
      <c r="I224" s="3" t="s">
        <v>13</v>
      </c>
      <c r="J224" s="7" t="str">
        <f>IFERROR(__xludf.DUMMYFUNCTION("SPLIT($A224,""Rua"","""")")," Antônio Carlos Marcolino Polaz - de 451/452 ao fim")</f>
        <v> Antônio Carlos Marcolino Polaz - de 451/452 ao fim</v>
      </c>
    </row>
    <row r="225" ht="15.75" customHeight="1">
      <c r="A225" s="5" t="s">
        <v>3314</v>
      </c>
      <c r="B225" s="5" t="s">
        <v>3100</v>
      </c>
      <c r="C225" s="4" t="s">
        <v>2839</v>
      </c>
      <c r="D225" s="5" t="s">
        <v>3315</v>
      </c>
      <c r="E225" s="6">
        <v>214.0</v>
      </c>
      <c r="F225" s="6" t="s">
        <v>12</v>
      </c>
      <c r="H225" s="4" t="s">
        <v>2852</v>
      </c>
      <c r="I225" s="3" t="s">
        <v>13</v>
      </c>
      <c r="J225" s="7" t="str">
        <f>IFERROR(__xludf.DUMMYFUNCTION("SPLIT($A225,""Rua"","""")")," Antônio Castilho Garcia")</f>
        <v> Antônio Castilho Garcia</v>
      </c>
    </row>
    <row r="226" ht="15.75" customHeight="1">
      <c r="A226" s="5" t="s">
        <v>3316</v>
      </c>
      <c r="B226" s="5" t="s">
        <v>3052</v>
      </c>
      <c r="C226" s="4" t="s">
        <v>2839</v>
      </c>
      <c r="D226" s="5" t="s">
        <v>3317</v>
      </c>
      <c r="E226" s="6">
        <v>214.0</v>
      </c>
      <c r="F226" s="6" t="s">
        <v>12</v>
      </c>
      <c r="H226" s="4" t="s">
        <v>2852</v>
      </c>
      <c r="I226" s="3" t="s">
        <v>13</v>
      </c>
      <c r="J226" s="7" t="str">
        <f>IFERROR(__xludf.DUMMYFUNCTION("SPLIT($A226,""Rua"","""")")," Antônio Dario")</f>
        <v> Antônio Dario</v>
      </c>
    </row>
    <row r="227" ht="15.75" customHeight="1">
      <c r="A227" s="13" t="s">
        <v>3318</v>
      </c>
      <c r="B227" s="13" t="s">
        <v>3319</v>
      </c>
      <c r="C227" s="4" t="s">
        <v>2839</v>
      </c>
      <c r="D227" s="13" t="s">
        <v>3320</v>
      </c>
      <c r="E227" s="6">
        <v>214.0</v>
      </c>
      <c r="F227" s="6" t="s">
        <v>12</v>
      </c>
      <c r="H227" s="4" t="s">
        <v>2852</v>
      </c>
      <c r="I227" s="3" t="s">
        <v>13</v>
      </c>
      <c r="J227" s="7" t="str">
        <f>IFERROR(__xludf.DUMMYFUNCTION("SPLIT($A227,""Rua"","""")")," Antônio Fernandes")</f>
        <v> Antônio Fernandes</v>
      </c>
    </row>
    <row r="228" ht="15.75" customHeight="1">
      <c r="A228" s="5" t="s">
        <v>3321</v>
      </c>
      <c r="B228" s="5" t="s">
        <v>3072</v>
      </c>
      <c r="C228" s="4" t="s">
        <v>2839</v>
      </c>
      <c r="D228" s="5" t="s">
        <v>3322</v>
      </c>
      <c r="E228" s="6">
        <v>214.0</v>
      </c>
      <c r="F228" s="6" t="s">
        <v>12</v>
      </c>
      <c r="H228" s="4" t="s">
        <v>2852</v>
      </c>
      <c r="I228" s="3" t="s">
        <v>13</v>
      </c>
      <c r="J228" s="7" t="str">
        <f>IFERROR(__xludf.DUMMYFUNCTION("SPLIT($A228,""Rua"","""")")," Antônio Ferraz de Oliveira")</f>
        <v> Antônio Ferraz de Oliveira</v>
      </c>
    </row>
    <row r="229" ht="15.75" customHeight="1">
      <c r="A229" s="5" t="s">
        <v>3323</v>
      </c>
      <c r="B229" s="5" t="s">
        <v>3189</v>
      </c>
      <c r="C229" s="4" t="s">
        <v>2839</v>
      </c>
      <c r="D229" s="5" t="s">
        <v>3324</v>
      </c>
      <c r="E229" s="6">
        <v>214.0</v>
      </c>
      <c r="F229" s="6" t="s">
        <v>12</v>
      </c>
      <c r="H229" s="4" t="s">
        <v>2852</v>
      </c>
      <c r="I229" s="3" t="s">
        <v>13</v>
      </c>
      <c r="J229" s="7" t="str">
        <f>IFERROR(__xludf.DUMMYFUNCTION("SPLIT($A229,""Rua"","""")")," Antônio Francisco Nogueira")</f>
        <v> Antônio Francisco Nogueira</v>
      </c>
    </row>
    <row r="230" ht="15.75" customHeight="1">
      <c r="A230" s="5" t="s">
        <v>3325</v>
      </c>
      <c r="B230" s="5" t="s">
        <v>2957</v>
      </c>
      <c r="C230" s="4" t="s">
        <v>2839</v>
      </c>
      <c r="D230" s="5" t="s">
        <v>3326</v>
      </c>
      <c r="E230" s="6">
        <v>214.0</v>
      </c>
      <c r="F230" s="6" t="s">
        <v>12</v>
      </c>
      <c r="H230" s="4" t="s">
        <v>2852</v>
      </c>
      <c r="I230" s="3" t="s">
        <v>13</v>
      </c>
      <c r="J230" s="7" t="str">
        <f>IFERROR(__xludf.DUMMYFUNCTION("SPLIT($A230,""Rua"","""")")," Antônio Gibim - até 249/250")</f>
        <v> Antônio Gibim - até 249/250</v>
      </c>
    </row>
    <row r="231" ht="15.75" customHeight="1">
      <c r="A231" s="5" t="s">
        <v>3327</v>
      </c>
      <c r="B231" s="5" t="s">
        <v>3328</v>
      </c>
      <c r="C231" s="4" t="s">
        <v>2839</v>
      </c>
      <c r="D231" s="5" t="s">
        <v>3329</v>
      </c>
      <c r="E231" s="6">
        <v>214.0</v>
      </c>
      <c r="F231" s="6" t="s">
        <v>12</v>
      </c>
      <c r="H231" s="4" t="s">
        <v>2852</v>
      </c>
      <c r="I231" s="3" t="s">
        <v>13</v>
      </c>
      <c r="J231" s="7" t="str">
        <f>IFERROR(__xludf.DUMMYFUNCTION("SPLIT($A231,""Rua"","""")")," Antônio Gibim - de 251/252 ao fim")</f>
        <v> Antônio Gibim - de 251/252 ao fim</v>
      </c>
    </row>
    <row r="232" ht="15.75" customHeight="1">
      <c r="A232" s="5" t="s">
        <v>3330</v>
      </c>
      <c r="B232" s="5" t="s">
        <v>3018</v>
      </c>
      <c r="C232" s="4" t="s">
        <v>2839</v>
      </c>
      <c r="D232" s="5" t="s">
        <v>3331</v>
      </c>
      <c r="E232" s="6">
        <v>214.0</v>
      </c>
      <c r="F232" s="6" t="s">
        <v>12</v>
      </c>
      <c r="H232" s="4" t="s">
        <v>2852</v>
      </c>
      <c r="I232" s="3" t="s">
        <v>13</v>
      </c>
      <c r="J232" s="7" t="str">
        <f>IFERROR(__xludf.DUMMYFUNCTION("SPLIT($A232,""Rua"","""")")," Antônio Gonzaga")</f>
        <v> Antônio Gonzaga</v>
      </c>
    </row>
    <row r="233" ht="15.75" customHeight="1">
      <c r="A233" s="5" t="s">
        <v>3332</v>
      </c>
      <c r="B233" s="5" t="s">
        <v>3003</v>
      </c>
      <c r="C233" s="4" t="s">
        <v>2839</v>
      </c>
      <c r="D233" s="5" t="s">
        <v>3333</v>
      </c>
      <c r="E233" s="6">
        <v>214.0</v>
      </c>
      <c r="F233" s="6" t="s">
        <v>12</v>
      </c>
      <c r="H233" s="4" t="s">
        <v>2852</v>
      </c>
      <c r="I233" s="3" t="s">
        <v>13</v>
      </c>
      <c r="J233" s="7" t="str">
        <f>IFERROR(__xludf.DUMMYFUNCTION("SPLIT($A233,""Rua"","""")")," Antônio Jacomassi")</f>
        <v> Antônio Jacomassi</v>
      </c>
    </row>
    <row r="234" ht="15.75" customHeight="1">
      <c r="A234" s="5" t="s">
        <v>3334</v>
      </c>
      <c r="B234" s="5" t="s">
        <v>2959</v>
      </c>
      <c r="C234" s="4" t="s">
        <v>2839</v>
      </c>
      <c r="D234" s="5" t="s">
        <v>3335</v>
      </c>
      <c r="E234" s="6">
        <v>214.0</v>
      </c>
      <c r="F234" s="6" t="s">
        <v>12</v>
      </c>
      <c r="H234" s="4" t="s">
        <v>2852</v>
      </c>
      <c r="I234" s="3" t="s">
        <v>13</v>
      </c>
      <c r="J234" s="7" t="str">
        <f>IFERROR(__xludf.DUMMYFUNCTION("SPLIT($A234,""Rua"","""")")," Antônio Leite de Almeida")</f>
        <v> Antônio Leite de Almeida</v>
      </c>
    </row>
    <row r="235" ht="15.75" customHeight="1">
      <c r="A235" s="5" t="s">
        <v>3336</v>
      </c>
      <c r="B235" s="5" t="s">
        <v>180</v>
      </c>
      <c r="C235" s="4" t="s">
        <v>2839</v>
      </c>
      <c r="D235" s="5" t="s">
        <v>3337</v>
      </c>
      <c r="E235" s="6">
        <v>214.0</v>
      </c>
      <c r="F235" s="6" t="s">
        <v>12</v>
      </c>
      <c r="H235" s="4" t="s">
        <v>2852</v>
      </c>
      <c r="I235" s="3" t="s">
        <v>13</v>
      </c>
      <c r="J235" s="7" t="str">
        <f>IFERROR(__xludf.DUMMYFUNCTION("SPLIT($A235,""Rua"","""")")," Antônio Magnatti")</f>
        <v> Antônio Magnatti</v>
      </c>
    </row>
    <row r="236" ht="15.75" customHeight="1">
      <c r="A236" s="5" t="s">
        <v>3338</v>
      </c>
      <c r="B236" s="5" t="s">
        <v>3012</v>
      </c>
      <c r="C236" s="4" t="s">
        <v>2839</v>
      </c>
      <c r="D236" s="5" t="s">
        <v>3339</v>
      </c>
      <c r="E236" s="6">
        <v>214.0</v>
      </c>
      <c r="F236" s="6" t="s">
        <v>12</v>
      </c>
      <c r="H236" s="4" t="s">
        <v>2852</v>
      </c>
      <c r="I236" s="3" t="s">
        <v>13</v>
      </c>
      <c r="J236" s="7" t="str">
        <f>IFERROR(__xludf.DUMMYFUNCTION("SPLIT($A236,""Rua"","""")")," Antônio Márcio de Camargo")</f>
        <v> Antônio Márcio de Camargo</v>
      </c>
    </row>
    <row r="237" ht="15.75" customHeight="1">
      <c r="A237" s="5" t="s">
        <v>3340</v>
      </c>
      <c r="B237" s="5" t="s">
        <v>180</v>
      </c>
      <c r="C237" s="4" t="s">
        <v>2839</v>
      </c>
      <c r="D237" s="5" t="s">
        <v>3341</v>
      </c>
      <c r="E237" s="6">
        <v>214.0</v>
      </c>
      <c r="F237" s="6" t="s">
        <v>12</v>
      </c>
      <c r="H237" s="4" t="s">
        <v>2852</v>
      </c>
      <c r="I237" s="3" t="s">
        <v>13</v>
      </c>
      <c r="J237" s="7" t="str">
        <f>IFERROR(__xludf.DUMMYFUNCTION("SPLIT($A237,""Rua"","""")")," Antônio Martins Sampaio")</f>
        <v> Antônio Martins Sampaio</v>
      </c>
    </row>
    <row r="238" ht="15.75" customHeight="1">
      <c r="A238" s="5" t="s">
        <v>3342</v>
      </c>
      <c r="B238" s="5" t="s">
        <v>3086</v>
      </c>
      <c r="C238" s="4" t="s">
        <v>2839</v>
      </c>
      <c r="D238" s="5" t="s">
        <v>3343</v>
      </c>
      <c r="E238" s="6">
        <v>214.0</v>
      </c>
      <c r="F238" s="6" t="s">
        <v>12</v>
      </c>
      <c r="H238" s="4" t="s">
        <v>2852</v>
      </c>
      <c r="I238" s="3" t="s">
        <v>13</v>
      </c>
      <c r="J238" s="7" t="str">
        <f>IFERROR(__xludf.DUMMYFUNCTION("SPLIT($A238,""Rua"","""")")," Antônio Patuci")</f>
        <v> Antônio Patuci</v>
      </c>
    </row>
    <row r="239" ht="15.75" customHeight="1">
      <c r="A239" s="5" t="s">
        <v>3344</v>
      </c>
      <c r="B239" s="5" t="s">
        <v>3003</v>
      </c>
      <c r="C239" s="4" t="s">
        <v>2839</v>
      </c>
      <c r="D239" s="5" t="s">
        <v>3345</v>
      </c>
      <c r="E239" s="6">
        <v>214.0</v>
      </c>
      <c r="F239" s="6" t="s">
        <v>12</v>
      </c>
      <c r="H239" s="4" t="s">
        <v>2852</v>
      </c>
      <c r="I239" s="3" t="s">
        <v>13</v>
      </c>
      <c r="J239" s="7" t="str">
        <f>IFERROR(__xludf.DUMMYFUNCTION("SPLIT($A239,""Rua"","""")")," Antônio Pimenta de Almeida")</f>
        <v> Antônio Pimenta de Almeida</v>
      </c>
    </row>
    <row r="240" ht="15.75" customHeight="1">
      <c r="A240" s="5" t="s">
        <v>3344</v>
      </c>
      <c r="B240" s="5" t="s">
        <v>3211</v>
      </c>
      <c r="C240" s="4" t="s">
        <v>2839</v>
      </c>
      <c r="D240" s="5" t="s">
        <v>3346</v>
      </c>
      <c r="E240" s="6">
        <v>214.0</v>
      </c>
      <c r="F240" s="6" t="s">
        <v>12</v>
      </c>
      <c r="H240" s="4" t="s">
        <v>2852</v>
      </c>
      <c r="I240" s="3" t="s">
        <v>13</v>
      </c>
      <c r="J240" s="7" t="str">
        <f>IFERROR(__xludf.DUMMYFUNCTION("SPLIT($A240,""Rua"","""")")," Antônio Pimenta de Almeida")</f>
        <v> Antônio Pimenta de Almeida</v>
      </c>
    </row>
    <row r="241" ht="15.75" customHeight="1">
      <c r="A241" s="5" t="s">
        <v>3344</v>
      </c>
      <c r="B241" s="5" t="s">
        <v>3020</v>
      </c>
      <c r="C241" s="4" t="s">
        <v>2839</v>
      </c>
      <c r="D241" s="5" t="s">
        <v>3347</v>
      </c>
      <c r="E241" s="6">
        <v>214.0</v>
      </c>
      <c r="F241" s="6" t="s">
        <v>12</v>
      </c>
      <c r="H241" s="4" t="s">
        <v>2852</v>
      </c>
      <c r="I241" s="3" t="s">
        <v>13</v>
      </c>
      <c r="J241" s="7" t="str">
        <f>IFERROR(__xludf.DUMMYFUNCTION("SPLIT($A241,""Rua"","""")")," Antônio Pimenta de Almeida")</f>
        <v> Antônio Pimenta de Almeida</v>
      </c>
    </row>
    <row r="242" ht="15.75" customHeight="1">
      <c r="A242" s="5" t="s">
        <v>3348</v>
      </c>
      <c r="B242" s="5" t="s">
        <v>180</v>
      </c>
      <c r="C242" s="4" t="s">
        <v>2839</v>
      </c>
      <c r="D242" s="5" t="s">
        <v>3349</v>
      </c>
      <c r="E242" s="6">
        <v>214.0</v>
      </c>
      <c r="F242" s="6" t="s">
        <v>12</v>
      </c>
      <c r="H242" s="4" t="s">
        <v>2852</v>
      </c>
      <c r="I242" s="3" t="s">
        <v>13</v>
      </c>
      <c r="J242" s="7" t="str">
        <f>IFERROR(__xludf.DUMMYFUNCTION("SPLIT($A242,""Rua"","""")")," Antônio Pires")</f>
        <v> Antônio Pires</v>
      </c>
    </row>
    <row r="243" ht="15.75" customHeight="1">
      <c r="A243" s="5" t="s">
        <v>3350</v>
      </c>
      <c r="B243" s="5" t="s">
        <v>3351</v>
      </c>
      <c r="C243" s="4" t="s">
        <v>2839</v>
      </c>
      <c r="D243" s="5" t="s">
        <v>3352</v>
      </c>
      <c r="E243" s="6">
        <v>214.0</v>
      </c>
      <c r="F243" s="6" t="s">
        <v>12</v>
      </c>
      <c r="H243" s="4" t="s">
        <v>2852</v>
      </c>
      <c r="I243" s="3" t="s">
        <v>13</v>
      </c>
      <c r="J243" s="7" t="str">
        <f>IFERROR(__xludf.DUMMYFUNCTION("SPLIT($A243,""Rua"","""")")," Antônio Raposo Tavares")</f>
        <v> Antônio Raposo Tavares</v>
      </c>
    </row>
    <row r="244" ht="15.75" customHeight="1">
      <c r="A244" s="5" t="s">
        <v>3353</v>
      </c>
      <c r="B244" s="5" t="s">
        <v>180</v>
      </c>
      <c r="C244" s="4" t="s">
        <v>2839</v>
      </c>
      <c r="D244" s="5" t="s">
        <v>3354</v>
      </c>
      <c r="E244" s="6">
        <v>214.0</v>
      </c>
      <c r="F244" s="6" t="s">
        <v>12</v>
      </c>
      <c r="H244" s="4" t="s">
        <v>2852</v>
      </c>
      <c r="I244" s="3" t="s">
        <v>13</v>
      </c>
      <c r="J244" s="7" t="str">
        <f>IFERROR(__xludf.DUMMYFUNCTION("SPLIT($A244,""Rua"","""")")," Antônio Sardinha")</f>
        <v> Antônio Sardinha</v>
      </c>
    </row>
    <row r="245" ht="15.75" customHeight="1">
      <c r="A245" s="5" t="s">
        <v>3355</v>
      </c>
      <c r="B245" s="5" t="s">
        <v>3047</v>
      </c>
      <c r="C245" s="4" t="s">
        <v>2839</v>
      </c>
      <c r="D245" s="5" t="s">
        <v>3356</v>
      </c>
      <c r="E245" s="6">
        <v>214.0</v>
      </c>
      <c r="F245" s="6" t="s">
        <v>12</v>
      </c>
      <c r="H245" s="4" t="s">
        <v>2852</v>
      </c>
      <c r="I245" s="3" t="s">
        <v>13</v>
      </c>
      <c r="J245" s="7" t="str">
        <f>IFERROR(__xludf.DUMMYFUNCTION("SPLIT($A245,""Rua"","""")")," Antônio Soares de Souza")</f>
        <v> Antônio Soares de Souza</v>
      </c>
    </row>
    <row r="246" ht="15.75" customHeight="1">
      <c r="A246" s="5" t="s">
        <v>3357</v>
      </c>
      <c r="B246" s="5" t="s">
        <v>3086</v>
      </c>
      <c r="C246" s="4" t="s">
        <v>2839</v>
      </c>
      <c r="D246" s="5" t="s">
        <v>3358</v>
      </c>
      <c r="E246" s="6">
        <v>214.0</v>
      </c>
      <c r="F246" s="6" t="s">
        <v>12</v>
      </c>
      <c r="H246" s="4" t="s">
        <v>2852</v>
      </c>
      <c r="I246" s="3" t="s">
        <v>13</v>
      </c>
      <c r="J246" s="7" t="str">
        <f>IFERROR(__xludf.DUMMYFUNCTION("SPLIT($A246,""Rua"","""")")," Antônio Sylvio Cunha Bueno")</f>
        <v> Antônio Sylvio Cunha Bueno</v>
      </c>
    </row>
    <row r="247" ht="15.75" customHeight="1">
      <c r="A247" s="5" t="s">
        <v>3359</v>
      </c>
      <c r="B247" s="5" t="s">
        <v>2865</v>
      </c>
      <c r="C247" s="4" t="s">
        <v>2839</v>
      </c>
      <c r="D247" s="5" t="s">
        <v>3360</v>
      </c>
      <c r="E247" s="6">
        <v>214.0</v>
      </c>
      <c r="F247" s="6" t="s">
        <v>12</v>
      </c>
      <c r="H247" s="4" t="s">
        <v>2852</v>
      </c>
      <c r="I247" s="3" t="s">
        <v>13</v>
      </c>
      <c r="J247" s="7" t="str">
        <f>IFERROR(__xludf.DUMMYFUNCTION("SPLIT($A247,""Rua"","""")")," Antônio Theodoro Alcalá")</f>
        <v> Antônio Theodoro Alcalá</v>
      </c>
    </row>
    <row r="248" ht="15.75" customHeight="1">
      <c r="A248" s="5" t="s">
        <v>3361</v>
      </c>
      <c r="B248" s="5" t="s">
        <v>3274</v>
      </c>
      <c r="C248" s="4" t="s">
        <v>2839</v>
      </c>
      <c r="D248" s="5" t="s">
        <v>3362</v>
      </c>
      <c r="E248" s="6">
        <v>214.0</v>
      </c>
      <c r="F248" s="6" t="s">
        <v>12</v>
      </c>
      <c r="H248" s="4" t="s">
        <v>2852</v>
      </c>
      <c r="I248" s="3" t="s">
        <v>13</v>
      </c>
      <c r="J248" s="7" t="str">
        <f>IFERROR(__xludf.DUMMYFUNCTION("SPLIT($A248,""Rua"","""")")," Aorélia Veronezi Gutierrez")</f>
        <v> Aorélia Veronezi Gutierrez</v>
      </c>
    </row>
    <row r="249" ht="15.75" customHeight="1">
      <c r="A249" s="5" t="s">
        <v>3363</v>
      </c>
      <c r="B249" s="5" t="s">
        <v>3277</v>
      </c>
      <c r="C249" s="4" t="s">
        <v>2839</v>
      </c>
      <c r="D249" s="5" t="s">
        <v>3364</v>
      </c>
      <c r="E249" s="6">
        <v>214.0</v>
      </c>
      <c r="F249" s="6" t="s">
        <v>12</v>
      </c>
      <c r="H249" s="4" t="s">
        <v>2852</v>
      </c>
      <c r="I249" s="3" t="s">
        <v>13</v>
      </c>
      <c r="J249" s="7" t="str">
        <f>IFERROR(__xludf.DUMMYFUNCTION("SPLIT($A249,""Rua"","""")")," Apparicio Pires")</f>
        <v> Apparicio Pires</v>
      </c>
    </row>
    <row r="250" ht="15.75" customHeight="1">
      <c r="A250" s="5" t="s">
        <v>3365</v>
      </c>
      <c r="B250" s="5" t="s">
        <v>3086</v>
      </c>
      <c r="C250" s="4" t="s">
        <v>2839</v>
      </c>
      <c r="D250" s="5" t="s">
        <v>3366</v>
      </c>
      <c r="E250" s="6">
        <v>214.0</v>
      </c>
      <c r="F250" s="6" t="s">
        <v>12</v>
      </c>
      <c r="H250" s="4" t="s">
        <v>2852</v>
      </c>
      <c r="I250" s="3" t="s">
        <v>13</v>
      </c>
      <c r="J250" s="7" t="str">
        <f>IFERROR(__xludf.DUMMYFUNCTION("SPLIT($A250,""Rua"","""")")," Aquíles Jorge de Oliveira")</f>
        <v> Aquíles Jorge de Oliveira</v>
      </c>
    </row>
    <row r="251" ht="15.75" customHeight="1">
      <c r="A251" s="5" t="s">
        <v>3367</v>
      </c>
      <c r="B251" s="5" t="s">
        <v>3368</v>
      </c>
      <c r="C251" s="4" t="s">
        <v>2839</v>
      </c>
      <c r="D251" s="5" t="s">
        <v>3369</v>
      </c>
      <c r="E251" s="6">
        <v>214.0</v>
      </c>
      <c r="F251" s="6" t="s">
        <v>12</v>
      </c>
      <c r="H251" s="4" t="s">
        <v>2852</v>
      </c>
      <c r="I251" s="3" t="s">
        <v>13</v>
      </c>
      <c r="J251" s="7" t="str">
        <f>IFERROR(__xludf.DUMMYFUNCTION("SPLIT($A251,""Rua"","""")")," Aquíles Jorge Steiner")</f>
        <v> Aquíles Jorge Steiner</v>
      </c>
    </row>
    <row r="252" ht="15.75" customHeight="1">
      <c r="A252" s="5" t="s">
        <v>3370</v>
      </c>
      <c r="B252" s="5" t="s">
        <v>3054</v>
      </c>
      <c r="C252" s="4" t="s">
        <v>2839</v>
      </c>
      <c r="D252" s="5" t="s">
        <v>3371</v>
      </c>
      <c r="E252" s="6">
        <v>214.0</v>
      </c>
      <c r="F252" s="6" t="s">
        <v>12</v>
      </c>
      <c r="H252" s="4" t="s">
        <v>2852</v>
      </c>
      <c r="I252" s="3" t="s">
        <v>13</v>
      </c>
      <c r="J252" s="7" t="str">
        <f>IFERROR(__xludf.DUMMYFUNCTION("SPLIT($A252,""Rua"","""")")," Aracy Sampaio de Almeida")</f>
        <v> Aracy Sampaio de Almeida</v>
      </c>
    </row>
    <row r="253" ht="15.75" customHeight="1">
      <c r="A253" s="5" t="s">
        <v>3370</v>
      </c>
      <c r="B253" s="5" t="s">
        <v>3093</v>
      </c>
      <c r="C253" s="4" t="s">
        <v>2839</v>
      </c>
      <c r="D253" s="5" t="s">
        <v>3372</v>
      </c>
      <c r="E253" s="6">
        <v>214.0</v>
      </c>
      <c r="F253" s="6" t="s">
        <v>12</v>
      </c>
      <c r="H253" s="4" t="s">
        <v>2852</v>
      </c>
      <c r="I253" s="3" t="s">
        <v>13</v>
      </c>
      <c r="J253" s="7" t="str">
        <f>IFERROR(__xludf.DUMMYFUNCTION("SPLIT($A253,""Rua"","""")")," Aracy Sampaio de Almeida")</f>
        <v> Aracy Sampaio de Almeida</v>
      </c>
    </row>
    <row r="254" ht="15.75" customHeight="1">
      <c r="A254" s="5" t="s">
        <v>3373</v>
      </c>
      <c r="B254" s="5" t="s">
        <v>3260</v>
      </c>
      <c r="C254" s="4" t="s">
        <v>2839</v>
      </c>
      <c r="D254" s="5" t="s">
        <v>3374</v>
      </c>
      <c r="E254" s="6">
        <v>214.0</v>
      </c>
      <c r="F254" s="6" t="s">
        <v>12</v>
      </c>
      <c r="H254" s="4" t="s">
        <v>2852</v>
      </c>
      <c r="I254" s="3" t="s">
        <v>13</v>
      </c>
      <c r="J254" s="7" t="str">
        <f>IFERROR(__xludf.DUMMYFUNCTION("SPLIT($A254,""Rua"","""")")," Aracy Tomé de Lara")</f>
        <v> Aracy Tomé de Lara</v>
      </c>
    </row>
    <row r="255" ht="15.75" customHeight="1">
      <c r="A255" s="5" t="s">
        <v>3375</v>
      </c>
      <c r="B255" s="5" t="s">
        <v>180</v>
      </c>
      <c r="C255" s="4" t="s">
        <v>2839</v>
      </c>
      <c r="D255" s="5" t="s">
        <v>3376</v>
      </c>
      <c r="E255" s="6">
        <v>214.0</v>
      </c>
      <c r="F255" s="6" t="s">
        <v>12</v>
      </c>
      <c r="H255" s="4" t="s">
        <v>2852</v>
      </c>
      <c r="I255" s="3" t="s">
        <v>13</v>
      </c>
      <c r="J255" s="7" t="str">
        <f>IFERROR(__xludf.DUMMYFUNCTION("SPLIT($A255,""Rua"","""")")," Araritaguaba")</f>
        <v> Araritaguaba</v>
      </c>
    </row>
    <row r="256" ht="15.75" customHeight="1">
      <c r="A256" s="5" t="s">
        <v>3375</v>
      </c>
      <c r="B256" s="5" t="s">
        <v>3221</v>
      </c>
      <c r="C256" s="4" t="s">
        <v>2839</v>
      </c>
      <c r="D256" s="5" t="s">
        <v>3377</v>
      </c>
      <c r="E256" s="6">
        <v>214.0</v>
      </c>
      <c r="F256" s="6" t="s">
        <v>12</v>
      </c>
      <c r="H256" s="4" t="s">
        <v>2852</v>
      </c>
      <c r="I256" s="3" t="s">
        <v>13</v>
      </c>
      <c r="J256" s="7" t="str">
        <f>IFERROR(__xludf.DUMMYFUNCTION("SPLIT($A256,""Rua"","""")")," Araritaguaba")</f>
        <v> Araritaguaba</v>
      </c>
    </row>
    <row r="257" ht="15.75" customHeight="1">
      <c r="A257" s="5" t="s">
        <v>3378</v>
      </c>
      <c r="B257" s="5" t="s">
        <v>180</v>
      </c>
      <c r="C257" s="4" t="s">
        <v>2839</v>
      </c>
      <c r="D257" s="5" t="s">
        <v>3379</v>
      </c>
      <c r="E257" s="6">
        <v>214.0</v>
      </c>
      <c r="F257" s="6" t="s">
        <v>12</v>
      </c>
      <c r="H257" s="4" t="s">
        <v>2852</v>
      </c>
      <c r="I257" s="3" t="s">
        <v>13</v>
      </c>
      <c r="J257" s="7" t="str">
        <f>IFERROR(__xludf.DUMMYFUNCTION("SPLIT($A257,""Rua"","""")")," Arcílio Borges")</f>
        <v> Arcílio Borges</v>
      </c>
    </row>
    <row r="258" ht="15.75" customHeight="1">
      <c r="A258" s="5" t="s">
        <v>3380</v>
      </c>
      <c r="B258" s="5" t="s">
        <v>3034</v>
      </c>
      <c r="C258" s="4" t="s">
        <v>2839</v>
      </c>
      <c r="D258" s="5" t="s">
        <v>3381</v>
      </c>
      <c r="E258" s="6">
        <v>214.0</v>
      </c>
      <c r="F258" s="6" t="s">
        <v>12</v>
      </c>
      <c r="H258" s="4" t="s">
        <v>2852</v>
      </c>
      <c r="I258" s="3" t="s">
        <v>13</v>
      </c>
      <c r="J258" s="7" t="str">
        <f>IFERROR(__xludf.DUMMYFUNCTION("SPLIT($A258,""Rua"","""")")," Aristides Cândido da Silva")</f>
        <v> Aristides Cândido da Silva</v>
      </c>
    </row>
    <row r="259" ht="15.75" customHeight="1">
      <c r="A259" s="5" t="s">
        <v>3382</v>
      </c>
      <c r="B259" s="5" t="s">
        <v>3216</v>
      </c>
      <c r="C259" s="4" t="s">
        <v>2839</v>
      </c>
      <c r="D259" s="5" t="s">
        <v>3383</v>
      </c>
      <c r="E259" s="6">
        <v>214.0</v>
      </c>
      <c r="F259" s="6" t="s">
        <v>12</v>
      </c>
      <c r="H259" s="4" t="s">
        <v>2852</v>
      </c>
      <c r="I259" s="3" t="s">
        <v>13</v>
      </c>
      <c r="J259" s="7" t="str">
        <f>IFERROR(__xludf.DUMMYFUNCTION("SPLIT($A259,""Rua"","""")")," Aristides Miguel Macedo")</f>
        <v> Aristides Miguel Macedo</v>
      </c>
    </row>
    <row r="260" ht="15.75" customHeight="1">
      <c r="A260" s="5" t="s">
        <v>3384</v>
      </c>
      <c r="B260" s="5" t="s">
        <v>3014</v>
      </c>
      <c r="C260" s="4" t="s">
        <v>2839</v>
      </c>
      <c r="D260" s="5" t="s">
        <v>3385</v>
      </c>
      <c r="E260" s="6">
        <v>214.0</v>
      </c>
      <c r="F260" s="6" t="s">
        <v>12</v>
      </c>
      <c r="H260" s="4" t="s">
        <v>2852</v>
      </c>
      <c r="I260" s="3" t="s">
        <v>13</v>
      </c>
      <c r="J260" s="7" t="str">
        <f>IFERROR(__xludf.DUMMYFUNCTION("SPLIT($A260,""Rua"","""")")," Aristides Valentim Torres")</f>
        <v> Aristides Valentim Torres</v>
      </c>
    </row>
    <row r="261" ht="15.75" customHeight="1">
      <c r="A261" s="5" t="s">
        <v>3386</v>
      </c>
      <c r="B261" s="5" t="s">
        <v>180</v>
      </c>
      <c r="C261" s="4" t="s">
        <v>2839</v>
      </c>
      <c r="D261" s="5" t="s">
        <v>3387</v>
      </c>
      <c r="E261" s="6">
        <v>214.0</v>
      </c>
      <c r="F261" s="6" t="s">
        <v>12</v>
      </c>
      <c r="H261" s="4" t="s">
        <v>2852</v>
      </c>
      <c r="I261" s="3" t="s">
        <v>13</v>
      </c>
      <c r="J261" s="7" t="str">
        <f>IFERROR(__xludf.DUMMYFUNCTION("SPLIT($A261,""Rua"","""")")," Armando Dias")</f>
        <v> Armando Dias</v>
      </c>
    </row>
    <row r="262" ht="15.75" customHeight="1">
      <c r="A262" s="5" t="s">
        <v>3388</v>
      </c>
      <c r="B262" s="5" t="s">
        <v>3003</v>
      </c>
      <c r="C262" s="4" t="s">
        <v>2839</v>
      </c>
      <c r="D262" s="5" t="s">
        <v>3389</v>
      </c>
      <c r="E262" s="6">
        <v>214.0</v>
      </c>
      <c r="F262" s="6" t="s">
        <v>12</v>
      </c>
      <c r="H262" s="4" t="s">
        <v>2852</v>
      </c>
      <c r="I262" s="3" t="s">
        <v>13</v>
      </c>
      <c r="J262" s="7" t="str">
        <f>IFERROR(__xludf.DUMMYFUNCTION("SPLIT($A262,""Rua"","""")")," Armando Honora")</f>
        <v> Armando Honora</v>
      </c>
    </row>
    <row r="263" ht="15.75" customHeight="1">
      <c r="A263" s="5" t="s">
        <v>3390</v>
      </c>
      <c r="B263" s="5" t="s">
        <v>2959</v>
      </c>
      <c r="C263" s="4" t="s">
        <v>2839</v>
      </c>
      <c r="D263" s="5" t="s">
        <v>3391</v>
      </c>
      <c r="E263" s="6">
        <v>214.0</v>
      </c>
      <c r="F263" s="6" t="s">
        <v>12</v>
      </c>
      <c r="H263" s="4" t="s">
        <v>2852</v>
      </c>
      <c r="I263" s="3" t="s">
        <v>13</v>
      </c>
      <c r="J263" s="7" t="str">
        <f>IFERROR(__xludf.DUMMYFUNCTION("SPLIT($A263,""Rua"","""")")," Armando Ramos")</f>
        <v> Armando Ramos</v>
      </c>
    </row>
    <row r="264" ht="15.75" customHeight="1">
      <c r="A264" s="5" t="s">
        <v>3392</v>
      </c>
      <c r="B264" s="5" t="s">
        <v>3393</v>
      </c>
      <c r="C264" s="4" t="s">
        <v>2839</v>
      </c>
      <c r="D264" s="5" t="s">
        <v>3394</v>
      </c>
      <c r="E264" s="6">
        <v>214.0</v>
      </c>
      <c r="F264" s="6" t="s">
        <v>12</v>
      </c>
      <c r="H264" s="4" t="s">
        <v>2852</v>
      </c>
      <c r="I264" s="3" t="s">
        <v>13</v>
      </c>
      <c r="J264" s="7" t="str">
        <f>IFERROR(__xludf.DUMMYFUNCTION("SPLIT($A264,""Rua"","""")")," Armindo Pellegrini")</f>
        <v> Armindo Pellegrini</v>
      </c>
    </row>
    <row r="265" ht="15.75" customHeight="1">
      <c r="A265" s="5" t="s">
        <v>3395</v>
      </c>
      <c r="B265" s="5" t="s">
        <v>3189</v>
      </c>
      <c r="C265" s="4" t="s">
        <v>2839</v>
      </c>
      <c r="D265" s="5" t="s">
        <v>3396</v>
      </c>
      <c r="E265" s="6">
        <v>214.0</v>
      </c>
      <c r="F265" s="6" t="s">
        <v>12</v>
      </c>
      <c r="H265" s="4" t="s">
        <v>2852</v>
      </c>
      <c r="I265" s="3" t="s">
        <v>13</v>
      </c>
      <c r="J265" s="7" t="str">
        <f>IFERROR(__xludf.DUMMYFUNCTION("SPLIT($A265,""Rua"","""")")," Arnaldo Avancini")</f>
        <v> Arnaldo Avancini</v>
      </c>
    </row>
    <row r="266" ht="15.75" customHeight="1">
      <c r="A266" s="5" t="s">
        <v>3397</v>
      </c>
      <c r="B266" s="5" t="s">
        <v>3398</v>
      </c>
      <c r="C266" s="4" t="s">
        <v>2839</v>
      </c>
      <c r="D266" s="5" t="s">
        <v>3399</v>
      </c>
      <c r="E266" s="6">
        <v>214.0</v>
      </c>
      <c r="F266" s="6" t="s">
        <v>12</v>
      </c>
      <c r="H266" s="4" t="s">
        <v>2852</v>
      </c>
      <c r="I266" s="3" t="s">
        <v>13</v>
      </c>
      <c r="J266" s="7" t="str">
        <f>IFERROR(__xludf.DUMMYFUNCTION("SPLIT($A266,""Rua"","""")")," Arnaldo Teixeira de Carvalho")</f>
        <v> Arnaldo Teixeira de Carvalho</v>
      </c>
    </row>
    <row r="267" ht="15.75" customHeight="1">
      <c r="A267" s="5" t="s">
        <v>3400</v>
      </c>
      <c r="B267" s="5" t="s">
        <v>3018</v>
      </c>
      <c r="C267" s="4" t="s">
        <v>2839</v>
      </c>
      <c r="D267" s="5" t="s">
        <v>3401</v>
      </c>
      <c r="E267" s="6">
        <v>214.0</v>
      </c>
      <c r="F267" s="6" t="s">
        <v>12</v>
      </c>
      <c r="H267" s="4" t="s">
        <v>2852</v>
      </c>
      <c r="I267" s="3" t="s">
        <v>13</v>
      </c>
      <c r="J267" s="7" t="str">
        <f>IFERROR(__xludf.DUMMYFUNCTION("SPLIT($A267,""Rua"","""")")," Assalin Zauro")</f>
        <v> Assalin Zauro</v>
      </c>
    </row>
    <row r="268" ht="15.75" customHeight="1">
      <c r="A268" s="5" t="s">
        <v>3402</v>
      </c>
      <c r="B268" s="5" t="s">
        <v>2959</v>
      </c>
      <c r="C268" s="4" t="s">
        <v>2839</v>
      </c>
      <c r="D268" s="5" t="s">
        <v>3403</v>
      </c>
      <c r="E268" s="6">
        <v>214.0</v>
      </c>
      <c r="F268" s="6" t="s">
        <v>12</v>
      </c>
      <c r="H268" s="4" t="s">
        <v>2852</v>
      </c>
      <c r="I268" s="3" t="s">
        <v>13</v>
      </c>
      <c r="J268" s="7" t="str">
        <f>IFERROR(__xludf.DUMMYFUNCTION("SPLIT($A268,""Rua"","""")")," Atílio Coli")</f>
        <v> Atílio Coli</v>
      </c>
    </row>
    <row r="269" ht="15.75" customHeight="1">
      <c r="A269" s="5" t="s">
        <v>3404</v>
      </c>
      <c r="B269" s="5" t="s">
        <v>180</v>
      </c>
      <c r="C269" s="4" t="s">
        <v>2839</v>
      </c>
      <c r="D269" s="5" t="s">
        <v>3405</v>
      </c>
      <c r="E269" s="6">
        <v>214.0</v>
      </c>
      <c r="F269" s="6" t="s">
        <v>12</v>
      </c>
      <c r="H269" s="4" t="s">
        <v>2852</v>
      </c>
      <c r="I269" s="3" t="s">
        <v>13</v>
      </c>
      <c r="J269" s="7" t="str">
        <f>IFERROR(__xludf.DUMMYFUNCTION("SPLIT($A269,""Rua"","""")")," Aubertim")</f>
        <v> Aubertim</v>
      </c>
    </row>
    <row r="270" ht="15.75" customHeight="1">
      <c r="A270" s="5" t="s">
        <v>3406</v>
      </c>
      <c r="B270" s="5" t="s">
        <v>3162</v>
      </c>
      <c r="C270" s="4" t="s">
        <v>2839</v>
      </c>
      <c r="D270" s="5" t="s">
        <v>3407</v>
      </c>
      <c r="E270" s="6">
        <v>214.0</v>
      </c>
      <c r="F270" s="6" t="s">
        <v>12</v>
      </c>
      <c r="H270" s="4" t="s">
        <v>2852</v>
      </c>
      <c r="I270" s="3" t="s">
        <v>13</v>
      </c>
      <c r="J270" s="7" t="str">
        <f>IFERROR(__xludf.DUMMYFUNCTION("SPLIT($A270,""Rua"","""")")," Avelino Alves de Oliveira")</f>
        <v> Avelino Alves de Oliveira</v>
      </c>
    </row>
    <row r="271" ht="15.75" customHeight="1">
      <c r="A271" s="5" t="s">
        <v>3408</v>
      </c>
      <c r="B271" s="5" t="s">
        <v>2980</v>
      </c>
      <c r="C271" s="4" t="s">
        <v>2839</v>
      </c>
      <c r="D271" s="5" t="s">
        <v>3409</v>
      </c>
      <c r="E271" s="6">
        <v>214.0</v>
      </c>
      <c r="F271" s="6" t="s">
        <v>12</v>
      </c>
      <c r="H271" s="4" t="s">
        <v>2852</v>
      </c>
      <c r="I271" s="3" t="s">
        <v>13</v>
      </c>
      <c r="J271" s="7" t="str">
        <f>IFERROR(__xludf.DUMMYFUNCTION("SPLIT($A271,""Rua"","""")")," B")</f>
        <v> B</v>
      </c>
    </row>
    <row r="272" ht="15.75" customHeight="1">
      <c r="A272" s="5" t="s">
        <v>3410</v>
      </c>
      <c r="B272" s="5" t="s">
        <v>3047</v>
      </c>
      <c r="C272" s="4" t="s">
        <v>2839</v>
      </c>
      <c r="D272" s="5" t="s">
        <v>3411</v>
      </c>
      <c r="E272" s="6">
        <v>214.0</v>
      </c>
      <c r="F272" s="6" t="s">
        <v>12</v>
      </c>
      <c r="H272" s="4" t="s">
        <v>2852</v>
      </c>
      <c r="I272" s="3" t="s">
        <v>13</v>
      </c>
      <c r="J272" s="7" t="str">
        <f>IFERROR(__xludf.DUMMYFUNCTION("SPLIT($A272,""Rua"","""")")," Bahia")</f>
        <v> Bahia</v>
      </c>
    </row>
    <row r="273" ht="15.75" customHeight="1">
      <c r="A273" s="5" t="s">
        <v>3412</v>
      </c>
      <c r="B273" s="5" t="s">
        <v>180</v>
      </c>
      <c r="C273" s="4" t="s">
        <v>2839</v>
      </c>
      <c r="D273" s="5" t="s">
        <v>3413</v>
      </c>
      <c r="E273" s="6">
        <v>214.0</v>
      </c>
      <c r="F273" s="6" t="s">
        <v>12</v>
      </c>
      <c r="H273" s="4" t="s">
        <v>2852</v>
      </c>
      <c r="I273" s="3" t="s">
        <v>13</v>
      </c>
      <c r="J273" s="7" t="str">
        <f>IFERROR(__xludf.DUMMYFUNCTION("SPLIT($A273,""Rua"","""")")," Bandeirantes")</f>
        <v> Bandeirantes</v>
      </c>
    </row>
    <row r="274" ht="15.75" customHeight="1">
      <c r="A274" s="5" t="s">
        <v>3414</v>
      </c>
      <c r="B274" s="5" t="s">
        <v>180</v>
      </c>
      <c r="C274" s="4" t="s">
        <v>2839</v>
      </c>
      <c r="D274" s="5" t="s">
        <v>3415</v>
      </c>
      <c r="E274" s="6">
        <v>214.0</v>
      </c>
      <c r="F274" s="6" t="s">
        <v>12</v>
      </c>
      <c r="H274" s="4" t="s">
        <v>2852</v>
      </c>
      <c r="I274" s="3" t="s">
        <v>13</v>
      </c>
      <c r="J274" s="7" t="str">
        <f>IFERROR(__xludf.DUMMYFUNCTION("SPLIT($A274,""Rua"","""")")," Barão do Rio Branco - até 478/479")</f>
        <v> Barão do Rio Branco - até 478/479</v>
      </c>
    </row>
    <row r="275" ht="15.75" customHeight="1">
      <c r="A275" s="5" t="s">
        <v>3416</v>
      </c>
      <c r="B275" s="5" t="s">
        <v>3029</v>
      </c>
      <c r="C275" s="4" t="s">
        <v>2839</v>
      </c>
      <c r="D275" s="5" t="s">
        <v>3417</v>
      </c>
      <c r="E275" s="6">
        <v>214.0</v>
      </c>
      <c r="F275" s="6" t="s">
        <v>12</v>
      </c>
      <c r="H275" s="4" t="s">
        <v>2852</v>
      </c>
      <c r="I275" s="3" t="s">
        <v>13</v>
      </c>
      <c r="J275" s="7" t="str">
        <f>IFERROR(__xludf.DUMMYFUNCTION("SPLIT($A275,""Rua"","""")")," Barão do Rio Branco - de 480/481 ao fim")</f>
        <v> Barão do Rio Branco - de 480/481 ao fim</v>
      </c>
    </row>
    <row r="276" ht="15.75" customHeight="1">
      <c r="A276" s="5" t="s">
        <v>3418</v>
      </c>
      <c r="B276" s="5" t="s">
        <v>180</v>
      </c>
      <c r="C276" s="4" t="s">
        <v>2839</v>
      </c>
      <c r="D276" s="5" t="s">
        <v>3419</v>
      </c>
      <c r="E276" s="6">
        <v>214.0</v>
      </c>
      <c r="F276" s="6" t="s">
        <v>12</v>
      </c>
      <c r="H276" s="4" t="s">
        <v>2852</v>
      </c>
      <c r="I276" s="3" t="s">
        <v>13</v>
      </c>
      <c r="J276" s="7" t="str">
        <f>IFERROR(__xludf.DUMMYFUNCTION("SPLIT($A276,""Rua"","""")")," Barão do Rio Branco, 94
AC Porto Feliz")</f>
        <v> Barão do Rio Branco, 94
AC Porto Feliz</v>
      </c>
    </row>
    <row r="277" ht="15.75" customHeight="1">
      <c r="A277" s="13" t="s">
        <v>3420</v>
      </c>
      <c r="B277" s="13" t="s">
        <v>180</v>
      </c>
      <c r="C277" s="4" t="s">
        <v>2839</v>
      </c>
      <c r="D277" s="13" t="s">
        <v>3421</v>
      </c>
      <c r="E277" s="6">
        <v>214.0</v>
      </c>
      <c r="F277" s="6" t="s">
        <v>12</v>
      </c>
      <c r="H277" s="4" t="s">
        <v>2852</v>
      </c>
      <c r="I277" s="3" t="s">
        <v>13</v>
      </c>
      <c r="J277" s="7" t="str">
        <f>IFERROR(__xludf.DUMMYFUNCTION("SPLIT($A277,""Rua"","""")")," Barão do Rio Branco, 94 Clique e Retire Correios
AC Porto Feliz Clique e Retire")</f>
        <v> Barão do Rio Branco, 94 Clique e Retire Correios
AC Porto Feliz Clique e Retire</v>
      </c>
    </row>
    <row r="278" ht="15.75" customHeight="1">
      <c r="A278" s="5" t="s">
        <v>3422</v>
      </c>
      <c r="B278" s="5" t="s">
        <v>2945</v>
      </c>
      <c r="C278" s="4" t="s">
        <v>2839</v>
      </c>
      <c r="D278" s="5" t="s">
        <v>3423</v>
      </c>
      <c r="E278" s="6">
        <v>214.0</v>
      </c>
      <c r="F278" s="6" t="s">
        <v>12</v>
      </c>
      <c r="H278" s="4" t="s">
        <v>2852</v>
      </c>
      <c r="I278" s="3" t="s">
        <v>13</v>
      </c>
      <c r="J278" s="7" t="str">
        <f>IFERROR(__xludf.DUMMYFUNCTION("SPLIT($A278,""Rua"","""")")," Bartira")</f>
        <v> Bartira</v>
      </c>
    </row>
    <row r="279" ht="15.75" customHeight="1">
      <c r="A279" s="5" t="s">
        <v>3424</v>
      </c>
      <c r="B279" s="5" t="s">
        <v>3351</v>
      </c>
      <c r="C279" s="4" t="s">
        <v>2839</v>
      </c>
      <c r="D279" s="5" t="s">
        <v>3425</v>
      </c>
      <c r="E279" s="6">
        <v>214.0</v>
      </c>
      <c r="F279" s="6" t="s">
        <v>12</v>
      </c>
      <c r="H279" s="4" t="s">
        <v>2852</v>
      </c>
      <c r="I279" s="3" t="s">
        <v>13</v>
      </c>
      <c r="J279" s="7" t="str">
        <f>IFERROR(__xludf.DUMMYFUNCTION("SPLIT($A279,""Rua"","""")")," Bartolomeu Bueno")</f>
        <v> Bartolomeu Bueno</v>
      </c>
    </row>
    <row r="280" ht="15.75" customHeight="1">
      <c r="A280" s="5" t="s">
        <v>3426</v>
      </c>
      <c r="B280" s="5" t="s">
        <v>2996</v>
      </c>
      <c r="C280" s="4" t="s">
        <v>2839</v>
      </c>
      <c r="D280" s="5" t="s">
        <v>3427</v>
      </c>
      <c r="E280" s="6">
        <v>214.0</v>
      </c>
      <c r="F280" s="6" t="s">
        <v>12</v>
      </c>
      <c r="H280" s="4" t="s">
        <v>2852</v>
      </c>
      <c r="I280" s="3" t="s">
        <v>13</v>
      </c>
      <c r="J280" s="7" t="str">
        <f>IFERROR(__xludf.DUMMYFUNCTION("SPLIT($A280,""Rua"","""")")," Basil Fernando Leroy")</f>
        <v> Basil Fernando Leroy</v>
      </c>
    </row>
    <row r="281" ht="15.75" customHeight="1">
      <c r="A281" s="5" t="s">
        <v>3428</v>
      </c>
      <c r="B281" s="5" t="s">
        <v>3003</v>
      </c>
      <c r="C281" s="4" t="s">
        <v>2839</v>
      </c>
      <c r="D281" s="5" t="s">
        <v>3429</v>
      </c>
      <c r="E281" s="6">
        <v>214.0</v>
      </c>
      <c r="F281" s="6" t="s">
        <v>12</v>
      </c>
      <c r="H281" s="4" t="s">
        <v>2852</v>
      </c>
      <c r="I281" s="3" t="s">
        <v>13</v>
      </c>
      <c r="J281" s="7" t="str">
        <f>IFERROR(__xludf.DUMMYFUNCTION("SPLIT($A281,""Rua"","""")")," Belarmino Felix")</f>
        <v> Belarmino Felix</v>
      </c>
    </row>
    <row r="282" ht="15.75" customHeight="1">
      <c r="A282" s="5" t="s">
        <v>3430</v>
      </c>
      <c r="B282" s="5" t="s">
        <v>3018</v>
      </c>
      <c r="C282" s="4" t="s">
        <v>2839</v>
      </c>
      <c r="D282" s="5" t="s">
        <v>3431</v>
      </c>
      <c r="E282" s="6">
        <v>214.0</v>
      </c>
      <c r="F282" s="6" t="s">
        <v>12</v>
      </c>
      <c r="H282" s="4" t="s">
        <v>2852</v>
      </c>
      <c r="I282" s="3" t="s">
        <v>13</v>
      </c>
      <c r="J282" s="7" t="str">
        <f>IFERROR(__xludf.DUMMYFUNCTION("SPLIT($A282,""Rua"","""")")," Benedicto Antunes Soares")</f>
        <v> Benedicto Antunes Soares</v>
      </c>
    </row>
    <row r="283" ht="15.75" customHeight="1">
      <c r="A283" s="5" t="s">
        <v>3432</v>
      </c>
      <c r="B283" s="5" t="s">
        <v>3039</v>
      </c>
      <c r="C283" s="4" t="s">
        <v>2839</v>
      </c>
      <c r="D283" s="5" t="s">
        <v>3433</v>
      </c>
      <c r="E283" s="6">
        <v>214.0</v>
      </c>
      <c r="F283" s="6" t="s">
        <v>12</v>
      </c>
      <c r="H283" s="4" t="s">
        <v>2852</v>
      </c>
      <c r="I283" s="3" t="s">
        <v>13</v>
      </c>
      <c r="J283" s="7" t="str">
        <f>IFERROR(__xludf.DUMMYFUNCTION("SPLIT($A283,""Rua"","""")")," Benedita Campos Bonini")</f>
        <v> Benedita Campos Bonini</v>
      </c>
    </row>
    <row r="284" ht="15.75" customHeight="1">
      <c r="A284" s="5" t="s">
        <v>3434</v>
      </c>
      <c r="B284" s="5" t="s">
        <v>2965</v>
      </c>
      <c r="C284" s="4" t="s">
        <v>2839</v>
      </c>
      <c r="D284" s="5" t="s">
        <v>3435</v>
      </c>
      <c r="E284" s="6">
        <v>214.0</v>
      </c>
      <c r="F284" s="6" t="s">
        <v>12</v>
      </c>
      <c r="H284" s="4" t="s">
        <v>2852</v>
      </c>
      <c r="I284" s="3" t="s">
        <v>13</v>
      </c>
      <c r="J284" s="7" t="str">
        <f>IFERROR(__xludf.DUMMYFUNCTION("SPLIT($A284,""Rua"","""")")," Benedita Carolina das Neves")</f>
        <v> Benedita Carolina das Neves</v>
      </c>
    </row>
    <row r="285" ht="15.75" customHeight="1">
      <c r="A285" s="5" t="s">
        <v>3436</v>
      </c>
      <c r="B285" s="5" t="s">
        <v>3274</v>
      </c>
      <c r="C285" s="4" t="s">
        <v>2839</v>
      </c>
      <c r="D285" s="5" t="s">
        <v>3437</v>
      </c>
      <c r="E285" s="6">
        <v>214.0</v>
      </c>
      <c r="F285" s="6" t="s">
        <v>12</v>
      </c>
      <c r="H285" s="4" t="s">
        <v>2852</v>
      </c>
      <c r="I285" s="3" t="s">
        <v>13</v>
      </c>
      <c r="J285" s="7" t="str">
        <f>IFERROR(__xludf.DUMMYFUNCTION("SPLIT($A285,""Rua"","""")")," Benedito Aparecido Manfrinatti")</f>
        <v> Benedito Aparecido Manfrinatti</v>
      </c>
    </row>
    <row r="286" ht="15.75" customHeight="1">
      <c r="A286" s="5" t="s">
        <v>3438</v>
      </c>
      <c r="B286" s="5" t="s">
        <v>180</v>
      </c>
      <c r="C286" s="4" t="s">
        <v>2839</v>
      </c>
      <c r="D286" s="5" t="s">
        <v>3439</v>
      </c>
      <c r="E286" s="6">
        <v>214.0</v>
      </c>
      <c r="F286" s="6" t="s">
        <v>12</v>
      </c>
      <c r="H286" s="4" t="s">
        <v>2852</v>
      </c>
      <c r="I286" s="3" t="s">
        <v>13</v>
      </c>
      <c r="J286" s="7" t="str">
        <f>IFERROR(__xludf.DUMMYFUNCTION("SPLIT($A286,""Rua"","""")")," Benedito Augusto de Oliveira")</f>
        <v> Benedito Augusto de Oliveira</v>
      </c>
    </row>
    <row r="287" ht="15.75" customHeight="1">
      <c r="A287" s="5" t="s">
        <v>3440</v>
      </c>
      <c r="B287" s="5" t="s">
        <v>180</v>
      </c>
      <c r="C287" s="4" t="s">
        <v>2839</v>
      </c>
      <c r="D287" s="5" t="s">
        <v>3441</v>
      </c>
      <c r="E287" s="6">
        <v>214.0</v>
      </c>
      <c r="F287" s="6" t="s">
        <v>12</v>
      </c>
      <c r="H287" s="4" t="s">
        <v>2852</v>
      </c>
      <c r="I287" s="3" t="s">
        <v>13</v>
      </c>
      <c r="J287" s="7" t="str">
        <f>IFERROR(__xludf.DUMMYFUNCTION("SPLIT($A287,""Rua"","""")")," Benedito Correa de Moraes")</f>
        <v> Benedito Correa de Moraes</v>
      </c>
    </row>
    <row r="288" ht="15.75" customHeight="1">
      <c r="A288" s="5" t="s">
        <v>3442</v>
      </c>
      <c r="B288" s="5" t="s">
        <v>3299</v>
      </c>
      <c r="C288" s="4" t="s">
        <v>2839</v>
      </c>
      <c r="D288" s="5" t="s">
        <v>3443</v>
      </c>
      <c r="E288" s="6">
        <v>214.0</v>
      </c>
      <c r="F288" s="6" t="s">
        <v>12</v>
      </c>
      <c r="H288" s="4" t="s">
        <v>2852</v>
      </c>
      <c r="I288" s="3" t="s">
        <v>13</v>
      </c>
      <c r="J288" s="7" t="str">
        <f>IFERROR(__xludf.DUMMYFUNCTION("SPLIT($A288,""Rua"","""")")," Benedito de Toledo Viegas")</f>
        <v> Benedito de Toledo Viegas</v>
      </c>
    </row>
    <row r="289" ht="15.75" customHeight="1">
      <c r="A289" s="5" t="s">
        <v>3444</v>
      </c>
      <c r="B289" s="5" t="s">
        <v>3061</v>
      </c>
      <c r="C289" s="4" t="s">
        <v>2839</v>
      </c>
      <c r="D289" s="5" t="s">
        <v>3445</v>
      </c>
      <c r="E289" s="6">
        <v>214.0</v>
      </c>
      <c r="F289" s="6" t="s">
        <v>12</v>
      </c>
      <c r="H289" s="4" t="s">
        <v>2852</v>
      </c>
      <c r="I289" s="3" t="s">
        <v>13</v>
      </c>
      <c r="J289" s="7" t="str">
        <f>IFERROR(__xludf.DUMMYFUNCTION("SPLIT($A289,""Rua"","""")")," Benedito Ferrari")</f>
        <v> Benedito Ferrari</v>
      </c>
    </row>
    <row r="290" ht="15.75" customHeight="1">
      <c r="A290" s="5" t="s">
        <v>3446</v>
      </c>
      <c r="B290" s="5" t="s">
        <v>3012</v>
      </c>
      <c r="C290" s="4" t="s">
        <v>2839</v>
      </c>
      <c r="D290" s="5" t="s">
        <v>3447</v>
      </c>
      <c r="E290" s="6">
        <v>214.0</v>
      </c>
      <c r="F290" s="6" t="s">
        <v>12</v>
      </c>
      <c r="H290" s="4" t="s">
        <v>2852</v>
      </c>
      <c r="I290" s="3" t="s">
        <v>13</v>
      </c>
      <c r="J290" s="7" t="str">
        <f>IFERROR(__xludf.DUMMYFUNCTION("SPLIT($A290,""Rua"","""")")," Benedito José Diana")</f>
        <v> Benedito José Diana</v>
      </c>
    </row>
    <row r="291" ht="15.75" customHeight="1">
      <c r="A291" s="5" t="s">
        <v>3448</v>
      </c>
      <c r="B291" s="5" t="s">
        <v>180</v>
      </c>
      <c r="C291" s="4" t="s">
        <v>2839</v>
      </c>
      <c r="D291" s="5" t="s">
        <v>3449</v>
      </c>
      <c r="E291" s="6">
        <v>214.0</v>
      </c>
      <c r="F291" s="6" t="s">
        <v>12</v>
      </c>
      <c r="H291" s="4" t="s">
        <v>2852</v>
      </c>
      <c r="I291" s="3" t="s">
        <v>13</v>
      </c>
      <c r="J291" s="7" t="str">
        <f>IFERROR(__xludf.DUMMYFUNCTION("SPLIT($A291,""Rua"","""")")," Benedito Lisboa")</f>
        <v> Benedito Lisboa</v>
      </c>
    </row>
    <row r="292" ht="15.75" customHeight="1">
      <c r="A292" s="5" t="s">
        <v>3450</v>
      </c>
      <c r="B292" s="5" t="s">
        <v>3260</v>
      </c>
      <c r="C292" s="4" t="s">
        <v>2839</v>
      </c>
      <c r="D292" s="5" t="s">
        <v>3451</v>
      </c>
      <c r="E292" s="6">
        <v>214.0</v>
      </c>
      <c r="F292" s="6" t="s">
        <v>12</v>
      </c>
      <c r="H292" s="4" t="s">
        <v>2852</v>
      </c>
      <c r="I292" s="3" t="s">
        <v>13</v>
      </c>
      <c r="J292" s="7" t="str">
        <f>IFERROR(__xludf.DUMMYFUNCTION("SPLIT($A292,""Rua"","""")")," Benedito Mancio")</f>
        <v> Benedito Mancio</v>
      </c>
    </row>
    <row r="293" ht="15.75" customHeight="1">
      <c r="A293" s="5" t="s">
        <v>3452</v>
      </c>
      <c r="B293" s="5" t="s">
        <v>3093</v>
      </c>
      <c r="C293" s="4" t="s">
        <v>2839</v>
      </c>
      <c r="D293" s="5" t="s">
        <v>3453</v>
      </c>
      <c r="E293" s="6">
        <v>214.0</v>
      </c>
      <c r="F293" s="6" t="s">
        <v>12</v>
      </c>
      <c r="H293" s="4" t="s">
        <v>2852</v>
      </c>
      <c r="I293" s="3" t="s">
        <v>13</v>
      </c>
      <c r="J293" s="7" t="str">
        <f>IFERROR(__xludf.DUMMYFUNCTION("SPLIT($A293,""Rua"","""")")," Benedito Martins Sampaio")</f>
        <v> Benedito Martins Sampaio</v>
      </c>
    </row>
    <row r="294" ht="15.75" customHeight="1">
      <c r="A294" s="5" t="s">
        <v>3454</v>
      </c>
      <c r="B294" s="5" t="s">
        <v>2969</v>
      </c>
      <c r="C294" s="4" t="s">
        <v>2839</v>
      </c>
      <c r="D294" s="5" t="s">
        <v>3455</v>
      </c>
      <c r="E294" s="6">
        <v>214.0</v>
      </c>
      <c r="F294" s="6" t="s">
        <v>12</v>
      </c>
      <c r="H294" s="4" t="s">
        <v>2852</v>
      </c>
      <c r="I294" s="3" t="s">
        <v>13</v>
      </c>
      <c r="J294" s="7" t="str">
        <f>IFERROR(__xludf.DUMMYFUNCTION("SPLIT($A294,""Rua"","""")")," Benedito Murback")</f>
        <v> Benedito Murback</v>
      </c>
    </row>
    <row r="295" ht="15.75" customHeight="1">
      <c r="A295" s="5" t="s">
        <v>3456</v>
      </c>
      <c r="B295" s="5" t="s">
        <v>2996</v>
      </c>
      <c r="C295" s="4" t="s">
        <v>2839</v>
      </c>
      <c r="D295" s="5" t="s">
        <v>3457</v>
      </c>
      <c r="E295" s="6">
        <v>214.0</v>
      </c>
      <c r="F295" s="6" t="s">
        <v>12</v>
      </c>
      <c r="H295" s="4" t="s">
        <v>2852</v>
      </c>
      <c r="I295" s="3" t="s">
        <v>13</v>
      </c>
      <c r="J295" s="7" t="str">
        <f>IFERROR(__xludf.DUMMYFUNCTION("SPLIT($A295,""Rua"","""")")," Benedito Pinto do Amaral")</f>
        <v> Benedito Pinto do Amaral</v>
      </c>
    </row>
    <row r="296" ht="15.75" customHeight="1">
      <c r="A296" s="5" t="s">
        <v>3458</v>
      </c>
      <c r="B296" s="5" t="s">
        <v>2959</v>
      </c>
      <c r="C296" s="4" t="s">
        <v>2839</v>
      </c>
      <c r="D296" s="5" t="s">
        <v>3459</v>
      </c>
      <c r="E296" s="6">
        <v>214.0</v>
      </c>
      <c r="F296" s="6" t="s">
        <v>12</v>
      </c>
      <c r="H296" s="4" t="s">
        <v>2852</v>
      </c>
      <c r="I296" s="3" t="s">
        <v>13</v>
      </c>
      <c r="J296" s="7" t="str">
        <f>IFERROR(__xludf.DUMMYFUNCTION("SPLIT($A296,""Rua"","""")")," Benedito Pires de Arruda")</f>
        <v> Benedito Pires de Arruda</v>
      </c>
    </row>
    <row r="297" ht="15.75" customHeight="1">
      <c r="A297" s="5" t="s">
        <v>3460</v>
      </c>
      <c r="B297" s="5" t="s">
        <v>3056</v>
      </c>
      <c r="C297" s="4" t="s">
        <v>2839</v>
      </c>
      <c r="D297" s="5" t="s">
        <v>3461</v>
      </c>
      <c r="E297" s="6">
        <v>214.0</v>
      </c>
      <c r="F297" s="6" t="s">
        <v>12</v>
      </c>
      <c r="H297" s="4" t="s">
        <v>2852</v>
      </c>
      <c r="I297" s="3" t="s">
        <v>13</v>
      </c>
      <c r="J297" s="7" t="str">
        <f>IFERROR(__xludf.DUMMYFUNCTION("SPLIT($A297,""Rua"","""")")," Benedito Prestes de Souza")</f>
        <v> Benedito Prestes de Souza</v>
      </c>
    </row>
    <row r="298" ht="15.75" customHeight="1">
      <c r="A298" s="5" t="s">
        <v>3462</v>
      </c>
      <c r="B298" s="5" t="s">
        <v>180</v>
      </c>
      <c r="C298" s="4" t="s">
        <v>2839</v>
      </c>
      <c r="D298" s="5" t="s">
        <v>3463</v>
      </c>
      <c r="E298" s="6">
        <v>214.0</v>
      </c>
      <c r="F298" s="6" t="s">
        <v>12</v>
      </c>
      <c r="H298" s="4" t="s">
        <v>2852</v>
      </c>
      <c r="I298" s="3" t="s">
        <v>13</v>
      </c>
      <c r="J298" s="7" t="str">
        <f>IFERROR(__xludf.DUMMYFUNCTION("SPLIT($A298,""Rua"","""")")," Benedito Stetner")</f>
        <v> Benedito Stetner</v>
      </c>
    </row>
    <row r="299" ht="15.75" customHeight="1">
      <c r="A299" s="5" t="s">
        <v>3464</v>
      </c>
      <c r="B299" s="5" t="s">
        <v>2959</v>
      </c>
      <c r="C299" s="4" t="s">
        <v>2839</v>
      </c>
      <c r="D299" s="5" t="s">
        <v>3465</v>
      </c>
      <c r="E299" s="6">
        <v>214.0</v>
      </c>
      <c r="F299" s="6" t="s">
        <v>12</v>
      </c>
      <c r="H299" s="4" t="s">
        <v>2852</v>
      </c>
      <c r="I299" s="3" t="s">
        <v>13</v>
      </c>
      <c r="J299" s="7" t="str">
        <f>IFERROR(__xludf.DUMMYFUNCTION("SPLIT($A299,""Rua"","""")")," Benedito Vaz Cardoso")</f>
        <v> Benedito Vaz Cardoso</v>
      </c>
    </row>
    <row r="300" ht="15.75" customHeight="1">
      <c r="A300" s="5" t="s">
        <v>3466</v>
      </c>
      <c r="B300" s="5" t="s">
        <v>3027</v>
      </c>
      <c r="C300" s="4" t="s">
        <v>2839</v>
      </c>
      <c r="D300" s="5" t="s">
        <v>3467</v>
      </c>
      <c r="E300" s="6">
        <v>214.0</v>
      </c>
      <c r="F300" s="6" t="s">
        <v>12</v>
      </c>
      <c r="H300" s="4" t="s">
        <v>2852</v>
      </c>
      <c r="I300" s="3" t="s">
        <v>13</v>
      </c>
      <c r="J300" s="7" t="str">
        <f>IFERROR(__xludf.DUMMYFUNCTION("SPLIT($A300,""Rua"","""")")," Boa Vista")</f>
        <v> Boa Vista</v>
      </c>
    </row>
    <row r="301" ht="15.75" customHeight="1">
      <c r="A301" s="5" t="s">
        <v>3468</v>
      </c>
      <c r="B301" s="5" t="s">
        <v>3107</v>
      </c>
      <c r="C301" s="4" t="s">
        <v>2839</v>
      </c>
      <c r="D301" s="5" t="s">
        <v>3469</v>
      </c>
      <c r="E301" s="6">
        <v>214.0</v>
      </c>
      <c r="F301" s="6" t="s">
        <v>12</v>
      </c>
      <c r="H301" s="4" t="s">
        <v>2852</v>
      </c>
      <c r="I301" s="3" t="s">
        <v>13</v>
      </c>
      <c r="J301" s="7" t="str">
        <f>IFERROR(__xludf.DUMMYFUNCTION("SPLIT($A301,""Rua"","""")")," Boituva")</f>
        <v> Boituva</v>
      </c>
    </row>
    <row r="302" ht="15.75" customHeight="1">
      <c r="A302" s="5" t="s">
        <v>3470</v>
      </c>
      <c r="B302" s="5" t="s">
        <v>3204</v>
      </c>
      <c r="C302" s="4" t="s">
        <v>2839</v>
      </c>
      <c r="D302" s="5" t="s">
        <v>3471</v>
      </c>
      <c r="E302" s="6">
        <v>214.0</v>
      </c>
      <c r="F302" s="6" t="s">
        <v>12</v>
      </c>
      <c r="H302" s="4" t="s">
        <v>2852</v>
      </c>
      <c r="I302" s="3" t="s">
        <v>13</v>
      </c>
      <c r="J302" s="7" t="str">
        <f>IFERROR(__xludf.DUMMYFUNCTION("SPLIT($A302,""Rua"","""")")," Bom Jesus")</f>
        <v> Bom Jesus</v>
      </c>
    </row>
    <row r="303" ht="15.75" customHeight="1">
      <c r="A303" s="5" t="s">
        <v>3472</v>
      </c>
      <c r="B303" s="5" t="s">
        <v>3204</v>
      </c>
      <c r="C303" s="4" t="s">
        <v>2839</v>
      </c>
      <c r="D303" s="5" t="s">
        <v>3473</v>
      </c>
      <c r="E303" s="6">
        <v>214.0</v>
      </c>
      <c r="F303" s="6" t="s">
        <v>12</v>
      </c>
      <c r="H303" s="4" t="s">
        <v>2852</v>
      </c>
      <c r="I303" s="3" t="s">
        <v>13</v>
      </c>
      <c r="J303" s="7" t="str">
        <f>IFERROR(__xludf.DUMMYFUNCTION("SPLIT($A303,""Rua"","""")")," Bom Pastor")</f>
        <v> Bom Pastor</v>
      </c>
    </row>
    <row r="304" ht="15.75" customHeight="1">
      <c r="A304" s="5" t="s">
        <v>3474</v>
      </c>
      <c r="B304" s="5" t="s">
        <v>3351</v>
      </c>
      <c r="C304" s="4" t="s">
        <v>2839</v>
      </c>
      <c r="D304" s="5" t="s">
        <v>3475</v>
      </c>
      <c r="E304" s="6">
        <v>214.0</v>
      </c>
      <c r="F304" s="6" t="s">
        <v>12</v>
      </c>
      <c r="H304" s="4" t="s">
        <v>2852</v>
      </c>
      <c r="I304" s="3" t="s">
        <v>13</v>
      </c>
      <c r="J304" s="7" t="str">
        <f>IFERROR(__xludf.DUMMYFUNCTION("SPLIT($A304,""Rua"","""")")," Borba Gato")</f>
        <v> Borba Gato</v>
      </c>
    </row>
    <row r="305" ht="15.75" customHeight="1">
      <c r="A305" s="5" t="s">
        <v>3476</v>
      </c>
      <c r="B305" s="5" t="s">
        <v>180</v>
      </c>
      <c r="C305" s="4" t="s">
        <v>2839</v>
      </c>
      <c r="D305" s="5" t="s">
        <v>3477</v>
      </c>
      <c r="E305" s="6">
        <v>214.0</v>
      </c>
      <c r="F305" s="6" t="s">
        <v>12</v>
      </c>
      <c r="H305" s="4" t="s">
        <v>2852</v>
      </c>
      <c r="I305" s="3" t="s">
        <v>13</v>
      </c>
      <c r="J305" s="7" t="str">
        <f>IFERROR(__xludf.DUMMYFUNCTION("SPLIT($A305,""Rua"","""")")," Brasil")</f>
        <v> Brasil</v>
      </c>
    </row>
    <row r="306" ht="15.75" customHeight="1">
      <c r="A306" s="5" t="s">
        <v>3478</v>
      </c>
      <c r="B306" s="5" t="s">
        <v>2977</v>
      </c>
      <c r="C306" s="4" t="s">
        <v>2839</v>
      </c>
      <c r="D306" s="5" t="s">
        <v>3479</v>
      </c>
      <c r="E306" s="6">
        <v>214.0</v>
      </c>
      <c r="F306" s="6" t="s">
        <v>12</v>
      </c>
      <c r="H306" s="4" t="s">
        <v>2852</v>
      </c>
      <c r="I306" s="3" t="s">
        <v>13</v>
      </c>
      <c r="J306" s="7" t="str">
        <f>IFERROR(__xludf.DUMMYFUNCTION("SPLIT($A306,""Rua"","""")")," Brasil Colônia")</f>
        <v> Brasil Colônia</v>
      </c>
    </row>
    <row r="307" ht="15.75" customHeight="1">
      <c r="A307" s="5" t="s">
        <v>3480</v>
      </c>
      <c r="B307" s="5" t="s">
        <v>3003</v>
      </c>
      <c r="C307" s="4" t="s">
        <v>2839</v>
      </c>
      <c r="D307" s="5" t="s">
        <v>3481</v>
      </c>
      <c r="E307" s="6">
        <v>214.0</v>
      </c>
      <c r="F307" s="6" t="s">
        <v>12</v>
      </c>
      <c r="H307" s="4" t="s">
        <v>2852</v>
      </c>
      <c r="I307" s="3" t="s">
        <v>13</v>
      </c>
      <c r="J307" s="7" t="str">
        <f>IFERROR(__xludf.DUMMYFUNCTION("SPLIT($A307,""Rua"","""")")," Braxister de Camargo")</f>
        <v> Braxister de Camargo</v>
      </c>
    </row>
    <row r="308" ht="15.75" customHeight="1">
      <c r="A308" s="5" t="s">
        <v>3482</v>
      </c>
      <c r="B308" s="5" t="s">
        <v>2980</v>
      </c>
      <c r="C308" s="4" t="s">
        <v>2839</v>
      </c>
      <c r="D308" s="5" t="s">
        <v>3483</v>
      </c>
      <c r="E308" s="6">
        <v>214.0</v>
      </c>
      <c r="F308" s="6" t="s">
        <v>12</v>
      </c>
      <c r="H308" s="4" t="s">
        <v>2852</v>
      </c>
      <c r="I308" s="3" t="s">
        <v>13</v>
      </c>
      <c r="J308" s="7" t="str">
        <f>IFERROR(__xludf.DUMMYFUNCTION("SPLIT($A308,""Rua"","""")")," C")</f>
        <v> C</v>
      </c>
    </row>
    <row r="309" ht="15.75" customHeight="1">
      <c r="A309" s="5" t="s">
        <v>3484</v>
      </c>
      <c r="B309" s="5" t="s">
        <v>3107</v>
      </c>
      <c r="C309" s="4" t="s">
        <v>2839</v>
      </c>
      <c r="D309" s="5" t="s">
        <v>3485</v>
      </c>
      <c r="E309" s="6">
        <v>214.0</v>
      </c>
      <c r="F309" s="6" t="s">
        <v>12</v>
      </c>
      <c r="H309" s="4" t="s">
        <v>2852</v>
      </c>
      <c r="I309" s="3" t="s">
        <v>13</v>
      </c>
      <c r="J309" s="7" t="str">
        <f>IFERROR(__xludf.DUMMYFUNCTION("SPLIT($A309,""Rua"","""")")," Cabreúva")</f>
        <v> Cabreúva</v>
      </c>
    </row>
    <row r="310" ht="15.75" customHeight="1">
      <c r="A310" s="5" t="s">
        <v>3486</v>
      </c>
      <c r="B310" s="5" t="s">
        <v>180</v>
      </c>
      <c r="C310" s="4" t="s">
        <v>2839</v>
      </c>
      <c r="D310" s="5" t="s">
        <v>3487</v>
      </c>
      <c r="E310" s="6">
        <v>214.0</v>
      </c>
      <c r="F310" s="6" t="s">
        <v>12</v>
      </c>
      <c r="H310" s="4" t="s">
        <v>2852</v>
      </c>
      <c r="I310" s="3" t="s">
        <v>13</v>
      </c>
      <c r="J310" s="7" t="str">
        <f>IFERROR(__xludf.DUMMYFUNCTION("SPLIT($A310,""Rua"","""")")," Campos Salles - até 102/103")</f>
        <v> Campos Salles - até 102/103</v>
      </c>
    </row>
    <row r="311" ht="15.75" customHeight="1">
      <c r="A311" s="5" t="s">
        <v>3488</v>
      </c>
      <c r="B311" s="5" t="s">
        <v>3489</v>
      </c>
      <c r="C311" s="4" t="s">
        <v>2839</v>
      </c>
      <c r="D311" s="5" t="s">
        <v>3490</v>
      </c>
      <c r="E311" s="6">
        <v>214.0</v>
      </c>
      <c r="F311" s="6" t="s">
        <v>12</v>
      </c>
      <c r="H311" s="4" t="s">
        <v>2852</v>
      </c>
      <c r="I311" s="3" t="s">
        <v>13</v>
      </c>
      <c r="J311" s="7" t="str">
        <f>IFERROR(__xludf.DUMMYFUNCTION("SPLIT($A311,""Rua"","""")")," Campos Salles - de 104/105 ao fim")</f>
        <v> Campos Salles - de 104/105 ao fim</v>
      </c>
    </row>
    <row r="312" ht="15.75" customHeight="1">
      <c r="A312" s="5" t="s">
        <v>3491</v>
      </c>
      <c r="B312" s="5" t="s">
        <v>3086</v>
      </c>
      <c r="C312" s="4" t="s">
        <v>2839</v>
      </c>
      <c r="D312" s="5" t="s">
        <v>3492</v>
      </c>
      <c r="E312" s="6">
        <v>214.0</v>
      </c>
      <c r="F312" s="6" t="s">
        <v>12</v>
      </c>
      <c r="H312" s="4" t="s">
        <v>2852</v>
      </c>
      <c r="I312" s="3" t="s">
        <v>13</v>
      </c>
      <c r="J312" s="7" t="str">
        <f>IFERROR(__xludf.DUMMYFUNCTION("SPLIT($A312,""Rua"","""")")," Cândida Seckler")</f>
        <v> Cândida Seckler</v>
      </c>
    </row>
    <row r="313" ht="15.75" customHeight="1">
      <c r="A313" s="5" t="s">
        <v>3493</v>
      </c>
      <c r="B313" s="5" t="s">
        <v>2959</v>
      </c>
      <c r="C313" s="4" t="s">
        <v>2839</v>
      </c>
      <c r="D313" s="5" t="s">
        <v>3494</v>
      </c>
      <c r="E313" s="6">
        <v>214.0</v>
      </c>
      <c r="F313" s="6" t="s">
        <v>12</v>
      </c>
      <c r="H313" s="4" t="s">
        <v>2852</v>
      </c>
      <c r="I313" s="3" t="s">
        <v>13</v>
      </c>
      <c r="J313" s="7" t="str">
        <f>IFERROR(__xludf.DUMMYFUNCTION("SPLIT($A313,""Rua"","""")")," Cândido de Oliveira")</f>
        <v> Cândido de Oliveira</v>
      </c>
    </row>
    <row r="314" ht="15.75" customHeight="1">
      <c r="A314" s="5" t="s">
        <v>3495</v>
      </c>
      <c r="B314" s="5" t="s">
        <v>180</v>
      </c>
      <c r="C314" s="4" t="s">
        <v>2839</v>
      </c>
      <c r="D314" s="5" t="s">
        <v>3496</v>
      </c>
      <c r="E314" s="6">
        <v>214.0</v>
      </c>
      <c r="F314" s="6" t="s">
        <v>12</v>
      </c>
      <c r="H314" s="4" t="s">
        <v>2852</v>
      </c>
      <c r="I314" s="3" t="s">
        <v>13</v>
      </c>
      <c r="J314" s="7" t="str">
        <f>IFERROR(__xludf.DUMMYFUNCTION("SPLIT($A314,""Rua"","""")")," Cândido Motta")</f>
        <v> Cândido Motta</v>
      </c>
    </row>
    <row r="315" ht="15.75" customHeight="1">
      <c r="A315" s="5" t="s">
        <v>3497</v>
      </c>
      <c r="B315" s="5" t="s">
        <v>3243</v>
      </c>
      <c r="C315" s="4" t="s">
        <v>2839</v>
      </c>
      <c r="D315" s="5" t="s">
        <v>3498</v>
      </c>
      <c r="E315" s="6">
        <v>214.0</v>
      </c>
      <c r="F315" s="6" t="s">
        <v>12</v>
      </c>
      <c r="H315" s="4" t="s">
        <v>2852</v>
      </c>
      <c r="I315" s="3" t="s">
        <v>13</v>
      </c>
      <c r="J315" s="7" t="str">
        <f>IFERROR(__xludf.DUMMYFUNCTION("SPLIT($A315,""Rua"","""")")," Cândido Portinari")</f>
        <v> Cândido Portinari</v>
      </c>
    </row>
    <row r="316" ht="15.75" customHeight="1">
      <c r="A316" s="5" t="s">
        <v>3499</v>
      </c>
      <c r="B316" s="5" t="s">
        <v>2945</v>
      </c>
      <c r="C316" s="4" t="s">
        <v>2839</v>
      </c>
      <c r="D316" s="5" t="s">
        <v>3500</v>
      </c>
      <c r="E316" s="6">
        <v>214.0</v>
      </c>
      <c r="F316" s="6" t="s">
        <v>12</v>
      </c>
      <c r="H316" s="4" t="s">
        <v>2852</v>
      </c>
      <c r="I316" s="3" t="s">
        <v>13</v>
      </c>
      <c r="J316" s="7" t="str">
        <f>IFERROR(__xludf.DUMMYFUNCTION("SPLIT($A316,""Rua"","""")")," Canões")</f>
        <v> Canões</v>
      </c>
    </row>
    <row r="317" ht="15.75" customHeight="1">
      <c r="A317" s="5" t="s">
        <v>3501</v>
      </c>
      <c r="B317" s="5" t="s">
        <v>3052</v>
      </c>
      <c r="C317" s="4" t="s">
        <v>2839</v>
      </c>
      <c r="D317" s="5" t="s">
        <v>3502</v>
      </c>
      <c r="E317" s="6">
        <v>214.0</v>
      </c>
      <c r="F317" s="6" t="s">
        <v>12</v>
      </c>
      <c r="H317" s="4" t="s">
        <v>2852</v>
      </c>
      <c r="I317" s="3" t="s">
        <v>13</v>
      </c>
      <c r="J317" s="7" t="str">
        <f>IFERROR(__xludf.DUMMYFUNCTION("SPLIT($A317,""Rua"","""")")," Cardoso Pimentel")</f>
        <v> Cardoso Pimentel</v>
      </c>
    </row>
    <row r="318" ht="15.75" customHeight="1">
      <c r="A318" s="5" t="s">
        <v>3501</v>
      </c>
      <c r="B318" s="5" t="s">
        <v>180</v>
      </c>
      <c r="C318" s="4" t="s">
        <v>2839</v>
      </c>
      <c r="D318" s="5" t="s">
        <v>3503</v>
      </c>
      <c r="E318" s="6">
        <v>214.0</v>
      </c>
      <c r="F318" s="6" t="s">
        <v>12</v>
      </c>
      <c r="H318" s="4" t="s">
        <v>2852</v>
      </c>
      <c r="I318" s="3" t="s">
        <v>13</v>
      </c>
      <c r="J318" s="7" t="str">
        <f>IFERROR(__xludf.DUMMYFUNCTION("SPLIT($A318,""Rua"","""")")," Cardoso Pimentel")</f>
        <v> Cardoso Pimentel</v>
      </c>
    </row>
    <row r="319" ht="15.75" customHeight="1">
      <c r="A319" s="5" t="s">
        <v>3501</v>
      </c>
      <c r="B319" s="5" t="s">
        <v>3504</v>
      </c>
      <c r="C319" s="4" t="s">
        <v>2839</v>
      </c>
      <c r="D319" s="5" t="s">
        <v>3505</v>
      </c>
      <c r="E319" s="6">
        <v>214.0</v>
      </c>
      <c r="F319" s="6" t="s">
        <v>12</v>
      </c>
      <c r="H319" s="4" t="s">
        <v>2852</v>
      </c>
      <c r="I319" s="3" t="s">
        <v>13</v>
      </c>
      <c r="J319" s="7" t="str">
        <f>IFERROR(__xludf.DUMMYFUNCTION("SPLIT($A319,""Rua"","""")")," Cardoso Pimentel")</f>
        <v> Cardoso Pimentel</v>
      </c>
    </row>
    <row r="320" ht="15.75" customHeight="1">
      <c r="A320" s="5" t="s">
        <v>3501</v>
      </c>
      <c r="B320" s="5" t="s">
        <v>3506</v>
      </c>
      <c r="C320" s="4" t="s">
        <v>2839</v>
      </c>
      <c r="D320" s="5" t="s">
        <v>3507</v>
      </c>
      <c r="E320" s="6">
        <v>214.0</v>
      </c>
      <c r="F320" s="6" t="s">
        <v>12</v>
      </c>
      <c r="H320" s="4" t="s">
        <v>2852</v>
      </c>
      <c r="I320" s="3" t="s">
        <v>13</v>
      </c>
      <c r="J320" s="7" t="str">
        <f>IFERROR(__xludf.DUMMYFUNCTION("SPLIT($A320,""Rua"","""")")," Cardoso Pimentel")</f>
        <v> Cardoso Pimentel</v>
      </c>
    </row>
    <row r="321" ht="15.75" customHeight="1">
      <c r="A321" s="5" t="s">
        <v>3501</v>
      </c>
      <c r="B321" s="5" t="s">
        <v>2969</v>
      </c>
      <c r="C321" s="4" t="s">
        <v>2839</v>
      </c>
      <c r="D321" s="5" t="s">
        <v>3508</v>
      </c>
      <c r="E321" s="6">
        <v>214.0</v>
      </c>
      <c r="F321" s="6" t="s">
        <v>12</v>
      </c>
      <c r="H321" s="4" t="s">
        <v>2852</v>
      </c>
      <c r="I321" s="3" t="s">
        <v>13</v>
      </c>
      <c r="J321" s="7" t="str">
        <f>IFERROR(__xludf.DUMMYFUNCTION("SPLIT($A321,""Rua"","""")")," Cardoso Pimentel")</f>
        <v> Cardoso Pimentel</v>
      </c>
    </row>
    <row r="322" ht="15.75" customHeight="1">
      <c r="A322" s="5" t="s">
        <v>3501</v>
      </c>
      <c r="B322" s="5" t="s">
        <v>3107</v>
      </c>
      <c r="C322" s="4" t="s">
        <v>2839</v>
      </c>
      <c r="D322" s="5" t="s">
        <v>3509</v>
      </c>
      <c r="E322" s="6">
        <v>214.0</v>
      </c>
      <c r="F322" s="6" t="s">
        <v>12</v>
      </c>
      <c r="H322" s="4" t="s">
        <v>2852</v>
      </c>
      <c r="I322" s="3" t="s">
        <v>13</v>
      </c>
      <c r="J322" s="7" t="str">
        <f>IFERROR(__xludf.DUMMYFUNCTION("SPLIT($A322,""Rua"","""")")," Cardoso Pimentel")</f>
        <v> Cardoso Pimentel</v>
      </c>
    </row>
    <row r="323" ht="15.75" customHeight="1">
      <c r="A323" s="5" t="s">
        <v>3501</v>
      </c>
      <c r="B323" s="5" t="s">
        <v>3058</v>
      </c>
      <c r="C323" s="4" t="s">
        <v>2839</v>
      </c>
      <c r="D323" s="5" t="s">
        <v>3510</v>
      </c>
      <c r="E323" s="6">
        <v>214.0</v>
      </c>
      <c r="F323" s="6" t="s">
        <v>12</v>
      </c>
      <c r="H323" s="4" t="s">
        <v>2852</v>
      </c>
      <c r="I323" s="3" t="s">
        <v>13</v>
      </c>
      <c r="J323" s="7" t="str">
        <f>IFERROR(__xludf.DUMMYFUNCTION("SPLIT($A323,""Rua"","""")")," Cardoso Pimentel")</f>
        <v> Cardoso Pimentel</v>
      </c>
    </row>
    <row r="324" ht="15.75" customHeight="1">
      <c r="A324" s="5" t="s">
        <v>3501</v>
      </c>
      <c r="B324" s="5" t="s">
        <v>3299</v>
      </c>
      <c r="C324" s="4" t="s">
        <v>2839</v>
      </c>
      <c r="D324" s="5" t="s">
        <v>3511</v>
      </c>
      <c r="E324" s="6">
        <v>214.0</v>
      </c>
      <c r="F324" s="6" t="s">
        <v>12</v>
      </c>
      <c r="H324" s="4" t="s">
        <v>2852</v>
      </c>
      <c r="I324" s="3" t="s">
        <v>13</v>
      </c>
      <c r="J324" s="7" t="str">
        <f>IFERROR(__xludf.DUMMYFUNCTION("SPLIT($A324,""Rua"","""")")," Cardoso Pimentel")</f>
        <v> Cardoso Pimentel</v>
      </c>
    </row>
    <row r="325" ht="15.75" customHeight="1">
      <c r="A325" s="5" t="s">
        <v>3501</v>
      </c>
      <c r="B325" s="5" t="s">
        <v>3512</v>
      </c>
      <c r="C325" s="4" t="s">
        <v>2839</v>
      </c>
      <c r="D325" s="5" t="s">
        <v>3513</v>
      </c>
      <c r="E325" s="6">
        <v>214.0</v>
      </c>
      <c r="F325" s="6" t="s">
        <v>12</v>
      </c>
      <c r="H325" s="4" t="s">
        <v>2852</v>
      </c>
      <c r="I325" s="3" t="s">
        <v>13</v>
      </c>
      <c r="J325" s="7" t="str">
        <f>IFERROR(__xludf.DUMMYFUNCTION("SPLIT($A325,""Rua"","""")")," Cardoso Pimentel")</f>
        <v> Cardoso Pimentel</v>
      </c>
    </row>
    <row r="326" ht="15.75" customHeight="1">
      <c r="A326" s="5" t="s">
        <v>3501</v>
      </c>
      <c r="B326" s="5" t="s">
        <v>3065</v>
      </c>
      <c r="C326" s="4" t="s">
        <v>2839</v>
      </c>
      <c r="D326" s="5" t="s">
        <v>3514</v>
      </c>
      <c r="E326" s="6">
        <v>214.0</v>
      </c>
      <c r="F326" s="6" t="s">
        <v>12</v>
      </c>
      <c r="H326" s="4" t="s">
        <v>2852</v>
      </c>
      <c r="I326" s="3" t="s">
        <v>13</v>
      </c>
      <c r="J326" s="7" t="str">
        <f>IFERROR(__xludf.DUMMYFUNCTION("SPLIT($A326,""Rua"","""")")," Cardoso Pimentel")</f>
        <v> Cardoso Pimentel</v>
      </c>
    </row>
    <row r="327" ht="15.75" customHeight="1">
      <c r="A327" s="13" t="s">
        <v>3515</v>
      </c>
      <c r="B327" s="13" t="s">
        <v>3027</v>
      </c>
      <c r="C327" s="4" t="s">
        <v>2839</v>
      </c>
      <c r="D327" s="13" t="s">
        <v>3516</v>
      </c>
      <c r="E327" s="6">
        <v>214.0</v>
      </c>
      <c r="F327" s="6" t="s">
        <v>12</v>
      </c>
      <c r="H327" s="4" t="s">
        <v>2852</v>
      </c>
      <c r="I327" s="3" t="s">
        <v>13</v>
      </c>
      <c r="J327" s="7" t="str">
        <f>IFERROR(__xludf.DUMMYFUNCTION("SPLIT($A327,""Rua"","""")")," Carlos Gomes")</f>
        <v> Carlos Gomes</v>
      </c>
    </row>
    <row r="328" ht="15.75" customHeight="1">
      <c r="A328" s="5" t="s">
        <v>3517</v>
      </c>
      <c r="B328" s="5" t="s">
        <v>3518</v>
      </c>
      <c r="C328" s="4" t="s">
        <v>2839</v>
      </c>
      <c r="D328" s="5" t="s">
        <v>3519</v>
      </c>
      <c r="E328" s="6">
        <v>214.0</v>
      </c>
      <c r="F328" s="6" t="s">
        <v>12</v>
      </c>
      <c r="H328" s="4" t="s">
        <v>2852</v>
      </c>
      <c r="I328" s="3" t="s">
        <v>13</v>
      </c>
      <c r="J328" s="7" t="str">
        <f>IFERROR(__xludf.DUMMYFUNCTION("SPLIT($A328,""Rua"","""")")," Carlos Magalhães")</f>
        <v> Carlos Magalhães</v>
      </c>
    </row>
    <row r="329" ht="15.75" customHeight="1">
      <c r="A329" s="5" t="s">
        <v>3520</v>
      </c>
      <c r="B329" s="5" t="s">
        <v>2945</v>
      </c>
      <c r="C329" s="4" t="s">
        <v>2839</v>
      </c>
      <c r="D329" s="5" t="s">
        <v>3521</v>
      </c>
      <c r="E329" s="6">
        <v>214.0</v>
      </c>
      <c r="F329" s="6" t="s">
        <v>12</v>
      </c>
      <c r="H329" s="4" t="s">
        <v>2852</v>
      </c>
      <c r="I329" s="3" t="s">
        <v>13</v>
      </c>
      <c r="J329" s="7" t="str">
        <f>IFERROR(__xludf.DUMMYFUNCTION("SPLIT($A329,""Rua"","""")")," Ceci")</f>
        <v> Ceci</v>
      </c>
    </row>
    <row r="330" ht="15.75" customHeight="1">
      <c r="A330" s="5" t="s">
        <v>3522</v>
      </c>
      <c r="B330" s="5" t="s">
        <v>3107</v>
      </c>
      <c r="C330" s="4" t="s">
        <v>2839</v>
      </c>
      <c r="D330" s="5" t="s">
        <v>3523</v>
      </c>
      <c r="E330" s="6">
        <v>214.0</v>
      </c>
      <c r="F330" s="6" t="s">
        <v>12</v>
      </c>
      <c r="H330" s="4" t="s">
        <v>2852</v>
      </c>
      <c r="I330" s="3" t="s">
        <v>13</v>
      </c>
      <c r="J330" s="7" t="str">
        <f>IFERROR(__xludf.DUMMYFUNCTION("SPLIT($A330,""Rua"","""")")," Cerquilho")</f>
        <v> Cerquilho</v>
      </c>
    </row>
    <row r="331" ht="15.75" customHeight="1">
      <c r="A331" s="5" t="s">
        <v>3524</v>
      </c>
      <c r="B331" s="5" t="s">
        <v>2996</v>
      </c>
      <c r="C331" s="4" t="s">
        <v>2839</v>
      </c>
      <c r="D331" s="5" t="s">
        <v>3525</v>
      </c>
      <c r="E331" s="6">
        <v>214.0</v>
      </c>
      <c r="F331" s="6" t="s">
        <v>12</v>
      </c>
      <c r="H331" s="4" t="s">
        <v>2852</v>
      </c>
      <c r="I331" s="3" t="s">
        <v>13</v>
      </c>
      <c r="J331" s="7" t="str">
        <f>IFERROR(__xludf.DUMMYFUNCTION("SPLIT($A331,""Rua"","""")")," Cesário Leroy")</f>
        <v> Cesário Leroy</v>
      </c>
    </row>
    <row r="332" ht="15.75" customHeight="1">
      <c r="A332" s="5" t="s">
        <v>3526</v>
      </c>
      <c r="B332" s="5" t="s">
        <v>180</v>
      </c>
      <c r="C332" s="4" t="s">
        <v>2839</v>
      </c>
      <c r="D332" s="5" t="s">
        <v>3527</v>
      </c>
      <c r="E332" s="6">
        <v>214.0</v>
      </c>
      <c r="F332" s="6" t="s">
        <v>12</v>
      </c>
      <c r="H332" s="4" t="s">
        <v>2852</v>
      </c>
      <c r="I332" s="3" t="s">
        <v>13</v>
      </c>
      <c r="J332" s="7" t="str">
        <f>IFERROR(__xludf.DUMMYFUNCTION("SPLIT($A332,""Rua"","""")")," Cesário Motta")</f>
        <v> Cesário Motta</v>
      </c>
    </row>
    <row r="333" ht="15.75" customHeight="1">
      <c r="A333" s="5" t="s">
        <v>3528</v>
      </c>
      <c r="B333" s="5" t="s">
        <v>2969</v>
      </c>
      <c r="C333" s="4" t="s">
        <v>2839</v>
      </c>
      <c r="D333" s="5" t="s">
        <v>3529</v>
      </c>
      <c r="E333" s="6">
        <v>214.0</v>
      </c>
      <c r="F333" s="6" t="s">
        <v>12</v>
      </c>
      <c r="H333" s="4" t="s">
        <v>2852</v>
      </c>
      <c r="I333" s="3" t="s">
        <v>13</v>
      </c>
      <c r="J333" s="7" t="str">
        <f>IFERROR(__xludf.DUMMYFUNCTION("SPLIT($A333,""Rua"","""")")," Chafic Salem")</f>
        <v> Chafic Salem</v>
      </c>
    </row>
    <row r="334" ht="15.75" customHeight="1">
      <c r="A334" s="5" t="s">
        <v>3530</v>
      </c>
      <c r="B334" s="5" t="s">
        <v>2994</v>
      </c>
      <c r="C334" s="4" t="s">
        <v>2839</v>
      </c>
      <c r="D334" s="5" t="s">
        <v>3531</v>
      </c>
      <c r="E334" s="6">
        <v>214.0</v>
      </c>
      <c r="F334" s="6" t="s">
        <v>12</v>
      </c>
      <c r="H334" s="4" t="s">
        <v>2852</v>
      </c>
      <c r="I334" s="3" t="s">
        <v>13</v>
      </c>
      <c r="J334" s="7" t="str">
        <f>IFERROR(__xludf.DUMMYFUNCTION("SPLIT($A334,""Rua"","""")")," Cinco")</f>
        <v> Cinco</v>
      </c>
    </row>
    <row r="335" ht="15.75" customHeight="1">
      <c r="A335" s="5" t="s">
        <v>3530</v>
      </c>
      <c r="B335" s="5" t="s">
        <v>3069</v>
      </c>
      <c r="C335" s="4" t="s">
        <v>2839</v>
      </c>
      <c r="D335" s="5" t="s">
        <v>3532</v>
      </c>
      <c r="E335" s="6">
        <v>214.0</v>
      </c>
      <c r="F335" s="6" t="s">
        <v>12</v>
      </c>
      <c r="H335" s="4" t="s">
        <v>2852</v>
      </c>
      <c r="I335" s="3" t="s">
        <v>13</v>
      </c>
      <c r="J335" s="7" t="str">
        <f>IFERROR(__xludf.DUMMYFUNCTION("SPLIT($A335,""Rua"","""")")," Cinco")</f>
        <v> Cinco</v>
      </c>
    </row>
    <row r="336" ht="15.75" customHeight="1">
      <c r="A336" s="5" t="s">
        <v>3530</v>
      </c>
      <c r="B336" s="5" t="s">
        <v>3533</v>
      </c>
      <c r="C336" s="4" t="s">
        <v>2839</v>
      </c>
      <c r="D336" s="5" t="s">
        <v>3534</v>
      </c>
      <c r="E336" s="6">
        <v>214.0</v>
      </c>
      <c r="F336" s="6" t="s">
        <v>12</v>
      </c>
      <c r="H336" s="4" t="s">
        <v>2852</v>
      </c>
      <c r="I336" s="3" t="s">
        <v>13</v>
      </c>
      <c r="J336" s="7" t="str">
        <f>IFERROR(__xludf.DUMMYFUNCTION("SPLIT($A336,""Rua"","""")")," Cinco")</f>
        <v> Cinco</v>
      </c>
    </row>
    <row r="337" ht="15.75" customHeight="1">
      <c r="A337" s="5" t="s">
        <v>3530</v>
      </c>
      <c r="B337" s="5" t="s">
        <v>3535</v>
      </c>
      <c r="C337" s="4" t="s">
        <v>2839</v>
      </c>
      <c r="D337" s="5" t="s">
        <v>3536</v>
      </c>
      <c r="E337" s="6">
        <v>214.0</v>
      </c>
      <c r="F337" s="6" t="s">
        <v>12</v>
      </c>
      <c r="H337" s="4" t="s">
        <v>2852</v>
      </c>
      <c r="I337" s="3" t="s">
        <v>13</v>
      </c>
      <c r="J337" s="7" t="str">
        <f>IFERROR(__xludf.DUMMYFUNCTION("SPLIT($A337,""Rua"","""")")," Cinco")</f>
        <v> Cinco</v>
      </c>
    </row>
    <row r="338" ht="15.75" customHeight="1">
      <c r="A338" s="5" t="s">
        <v>3537</v>
      </c>
      <c r="B338" s="5" t="s">
        <v>3058</v>
      </c>
      <c r="C338" s="4" t="s">
        <v>2839</v>
      </c>
      <c r="D338" s="5" t="s">
        <v>3538</v>
      </c>
      <c r="E338" s="6">
        <v>214.0</v>
      </c>
      <c r="F338" s="6" t="s">
        <v>12</v>
      </c>
      <c r="H338" s="4" t="s">
        <v>2852</v>
      </c>
      <c r="I338" s="3" t="s">
        <v>13</v>
      </c>
      <c r="J338" s="7" t="str">
        <f>IFERROR(__xludf.DUMMYFUNCTION("SPLIT($A338,""Rua"","""")")," Cleiton Bazzo Cuchera")</f>
        <v> Cleiton Bazzo Cuchera</v>
      </c>
    </row>
    <row r="339" ht="15.75" customHeight="1">
      <c r="A339" s="5" t="s">
        <v>3539</v>
      </c>
      <c r="B339" s="5" t="s">
        <v>3018</v>
      </c>
      <c r="C339" s="4" t="s">
        <v>2839</v>
      </c>
      <c r="D339" s="5" t="s">
        <v>3540</v>
      </c>
      <c r="E339" s="6">
        <v>214.0</v>
      </c>
      <c r="F339" s="6" t="s">
        <v>12</v>
      </c>
      <c r="H339" s="4" t="s">
        <v>2852</v>
      </c>
      <c r="I339" s="3" t="s">
        <v>13</v>
      </c>
      <c r="J339" s="7" t="str">
        <f>IFERROR(__xludf.DUMMYFUNCTION("SPLIT($A339,""Rua"","""")")," Clotilde Russo Ayres")</f>
        <v> Clotilde Russo Ayres</v>
      </c>
    </row>
    <row r="340" ht="15.75" customHeight="1">
      <c r="A340" s="5" t="s">
        <v>3541</v>
      </c>
      <c r="B340" s="5" t="s">
        <v>3194</v>
      </c>
      <c r="C340" s="4" t="s">
        <v>2839</v>
      </c>
      <c r="D340" s="5" t="s">
        <v>3542</v>
      </c>
      <c r="E340" s="6">
        <v>214.0</v>
      </c>
      <c r="F340" s="6" t="s">
        <v>12</v>
      </c>
      <c r="H340" s="4" t="s">
        <v>2852</v>
      </c>
      <c r="I340" s="3" t="s">
        <v>13</v>
      </c>
      <c r="J340" s="7" t="str">
        <f>IFERROR(__xludf.DUMMYFUNCTION("SPLIT($A340,""Rua"","""")")," Conde Azambuja")</f>
        <v> Conde Azambuja</v>
      </c>
    </row>
    <row r="341" ht="15.75" customHeight="1">
      <c r="A341" s="5" t="s">
        <v>3543</v>
      </c>
      <c r="B341" s="5" t="s">
        <v>180</v>
      </c>
      <c r="C341" s="4" t="s">
        <v>2839</v>
      </c>
      <c r="D341" s="5" t="s">
        <v>3544</v>
      </c>
      <c r="E341" s="6">
        <v>214.0</v>
      </c>
      <c r="F341" s="6" t="s">
        <v>12</v>
      </c>
      <c r="H341" s="4" t="s">
        <v>2852</v>
      </c>
      <c r="I341" s="3" t="s">
        <v>13</v>
      </c>
      <c r="J341" s="7" t="str">
        <f>IFERROR(__xludf.DUMMYFUNCTION("SPLIT($A341,""Rua"","""")")," Cônego Belotti")</f>
        <v> Cônego Belotti</v>
      </c>
    </row>
    <row r="342" ht="15.75" customHeight="1">
      <c r="A342" s="5" t="s">
        <v>3545</v>
      </c>
      <c r="B342" s="5" t="s">
        <v>3512</v>
      </c>
      <c r="C342" s="4" t="s">
        <v>2839</v>
      </c>
      <c r="D342" s="5" t="s">
        <v>3546</v>
      </c>
      <c r="E342" s="6">
        <v>214.0</v>
      </c>
      <c r="F342" s="6" t="s">
        <v>12</v>
      </c>
      <c r="H342" s="4" t="s">
        <v>2852</v>
      </c>
      <c r="I342" s="3" t="s">
        <v>13</v>
      </c>
      <c r="J342" s="7" t="str">
        <f>IFERROR(__xludf.DUMMYFUNCTION("SPLIT($A342,""Rua"","""")")," Cônego Humberto Ghizzi")</f>
        <v> Cônego Humberto Ghizzi</v>
      </c>
    </row>
    <row r="343" ht="15.75" customHeight="1">
      <c r="A343" s="5" t="s">
        <v>3547</v>
      </c>
      <c r="B343" s="5" t="s">
        <v>3061</v>
      </c>
      <c r="C343" s="4" t="s">
        <v>2839</v>
      </c>
      <c r="D343" s="5" t="s">
        <v>3548</v>
      </c>
      <c r="E343" s="6">
        <v>214.0</v>
      </c>
      <c r="F343" s="6" t="s">
        <v>12</v>
      </c>
      <c r="H343" s="4" t="s">
        <v>2852</v>
      </c>
      <c r="I343" s="3" t="s">
        <v>13</v>
      </c>
      <c r="J343" s="7" t="str">
        <f>IFERROR(__xludf.DUMMYFUNCTION("SPLIT($A343,""Rua"","""")")," Conrado Angelieiri")</f>
        <v> Conrado Angelieiri</v>
      </c>
    </row>
    <row r="344" ht="15.75" customHeight="1">
      <c r="A344" s="5" t="s">
        <v>3549</v>
      </c>
      <c r="B344" s="5" t="s">
        <v>3091</v>
      </c>
      <c r="C344" s="4" t="s">
        <v>2839</v>
      </c>
      <c r="D344" s="5" t="s">
        <v>3550</v>
      </c>
      <c r="E344" s="6">
        <v>214.0</v>
      </c>
      <c r="F344" s="6" t="s">
        <v>12</v>
      </c>
      <c r="H344" s="4" t="s">
        <v>2852</v>
      </c>
      <c r="I344" s="3" t="s">
        <v>13</v>
      </c>
      <c r="J344" s="7" t="str">
        <f>IFERROR(__xludf.DUMMYFUNCTION("SPLIT($A344,""Rua"","""")")," Conrado Caruba")</f>
        <v> Conrado Caruba</v>
      </c>
    </row>
    <row r="345" ht="15.75" customHeight="1">
      <c r="A345" s="5" t="s">
        <v>3551</v>
      </c>
      <c r="B345" s="5" t="s">
        <v>3003</v>
      </c>
      <c r="C345" s="4" t="s">
        <v>2839</v>
      </c>
      <c r="D345" s="5" t="s">
        <v>3552</v>
      </c>
      <c r="E345" s="6">
        <v>214.0</v>
      </c>
      <c r="F345" s="6" t="s">
        <v>12</v>
      </c>
      <c r="H345" s="4" t="s">
        <v>2852</v>
      </c>
      <c r="I345" s="3" t="s">
        <v>13</v>
      </c>
      <c r="J345" s="7" t="str">
        <f>IFERROR(__xludf.DUMMYFUNCTION("SPLIT($A345,""Rua"","""")")," Conselheiro Manoel Dias de Toledo")</f>
        <v> Conselheiro Manoel Dias de Toledo</v>
      </c>
    </row>
    <row r="346" ht="15.75" customHeight="1">
      <c r="A346" s="5" t="s">
        <v>3551</v>
      </c>
      <c r="B346" s="5" t="s">
        <v>3211</v>
      </c>
      <c r="C346" s="4" t="s">
        <v>2839</v>
      </c>
      <c r="D346" s="5" t="s">
        <v>3553</v>
      </c>
      <c r="E346" s="6">
        <v>214.0</v>
      </c>
      <c r="F346" s="6" t="s">
        <v>12</v>
      </c>
      <c r="H346" s="4" t="s">
        <v>2852</v>
      </c>
      <c r="I346" s="3" t="s">
        <v>13</v>
      </c>
      <c r="J346" s="7" t="str">
        <f>IFERROR(__xludf.DUMMYFUNCTION("SPLIT($A346,""Rua"","""")")," Conselheiro Manoel Dias de Toledo")</f>
        <v> Conselheiro Manoel Dias de Toledo</v>
      </c>
    </row>
    <row r="347" ht="15.75" customHeight="1">
      <c r="A347" s="5" t="s">
        <v>3554</v>
      </c>
      <c r="B347" s="5" t="s">
        <v>180</v>
      </c>
      <c r="C347" s="4" t="s">
        <v>2839</v>
      </c>
      <c r="D347" s="5" t="s">
        <v>3555</v>
      </c>
      <c r="E347" s="6">
        <v>214.0</v>
      </c>
      <c r="F347" s="6" t="s">
        <v>12</v>
      </c>
      <c r="H347" s="4" t="s">
        <v>2852</v>
      </c>
      <c r="I347" s="3" t="s">
        <v>13</v>
      </c>
      <c r="J347" s="7" t="str">
        <f>IFERROR(__xludf.DUMMYFUNCTION("SPLIT($A347,""Rua"","""")")," Constantino Guarini")</f>
        <v> Constantino Guarini</v>
      </c>
    </row>
    <row r="348" ht="15.75" customHeight="1">
      <c r="A348" s="5" t="s">
        <v>3556</v>
      </c>
      <c r="B348" s="5" t="s">
        <v>3243</v>
      </c>
      <c r="C348" s="4" t="s">
        <v>2839</v>
      </c>
      <c r="D348" s="5" t="s">
        <v>3557</v>
      </c>
      <c r="E348" s="6">
        <v>214.0</v>
      </c>
      <c r="F348" s="6" t="s">
        <v>12</v>
      </c>
      <c r="H348" s="4" t="s">
        <v>2852</v>
      </c>
      <c r="I348" s="3" t="s">
        <v>13</v>
      </c>
      <c r="J348" s="7" t="str">
        <f>IFERROR(__xludf.DUMMYFUNCTION("SPLIT($A348,""Rua"","""")")," Cornélio Pires")</f>
        <v> Cornélio Pires</v>
      </c>
    </row>
    <row r="349" ht="15.75" customHeight="1">
      <c r="A349" s="5" t="s">
        <v>3558</v>
      </c>
      <c r="B349" s="5" t="s">
        <v>3034</v>
      </c>
      <c r="C349" s="4" t="s">
        <v>2839</v>
      </c>
      <c r="D349" s="5" t="s">
        <v>3559</v>
      </c>
      <c r="E349" s="6">
        <v>214.0</v>
      </c>
      <c r="F349" s="6" t="s">
        <v>12</v>
      </c>
      <c r="H349" s="4" t="s">
        <v>2852</v>
      </c>
      <c r="I349" s="3" t="s">
        <v>13</v>
      </c>
      <c r="J349" s="7" t="str">
        <f>IFERROR(__xludf.DUMMYFUNCTION("SPLIT($A349,""Rua"","""")")," Coronel Bráulio Guimarães")</f>
        <v> Coronel Bráulio Guimarães</v>
      </c>
    </row>
    <row r="350" ht="15.75" customHeight="1">
      <c r="A350" s="5" t="s">
        <v>3560</v>
      </c>
      <c r="B350" s="5" t="s">
        <v>2977</v>
      </c>
      <c r="C350" s="4" t="s">
        <v>2839</v>
      </c>
      <c r="D350" s="5" t="s">
        <v>3561</v>
      </c>
      <c r="E350" s="6">
        <v>214.0</v>
      </c>
      <c r="F350" s="6" t="s">
        <v>12</v>
      </c>
      <c r="H350" s="4" t="s">
        <v>2852</v>
      </c>
      <c r="I350" s="3" t="s">
        <v>13</v>
      </c>
      <c r="J350" s="7" t="str">
        <f>IFERROR(__xludf.DUMMYFUNCTION("SPLIT($A350,""Rua"","""")")," Cuiabá")</f>
        <v> Cuiabá</v>
      </c>
    </row>
    <row r="351" ht="15.75" customHeight="1">
      <c r="A351" s="5" t="s">
        <v>3562</v>
      </c>
      <c r="B351" s="5" t="s">
        <v>180</v>
      </c>
      <c r="C351" s="4" t="s">
        <v>2839</v>
      </c>
      <c r="D351" s="5" t="s">
        <v>3563</v>
      </c>
      <c r="E351" s="6">
        <v>214.0</v>
      </c>
      <c r="F351" s="6" t="s">
        <v>12</v>
      </c>
      <c r="H351" s="4" t="s">
        <v>2852</v>
      </c>
      <c r="I351" s="3" t="s">
        <v>13</v>
      </c>
      <c r="J351" s="7" t="str">
        <f>IFERROR(__xludf.DUMMYFUNCTION("SPLIT($A351,""Rua"","""")")," Custódia Sacramento Perpétuo")</f>
        <v> Custódia Sacramento Perpétuo</v>
      </c>
    </row>
    <row r="352" ht="15.75" customHeight="1">
      <c r="A352" s="5" t="s">
        <v>3564</v>
      </c>
      <c r="B352" s="5" t="s">
        <v>2980</v>
      </c>
      <c r="C352" s="4" t="s">
        <v>2839</v>
      </c>
      <c r="D352" s="5" t="s">
        <v>3565</v>
      </c>
      <c r="E352" s="6">
        <v>214.0</v>
      </c>
      <c r="F352" s="6" t="s">
        <v>12</v>
      </c>
      <c r="H352" s="4" t="s">
        <v>2852</v>
      </c>
      <c r="I352" s="3" t="s">
        <v>13</v>
      </c>
      <c r="J352" s="7" t="str">
        <f>IFERROR(__xludf.DUMMYFUNCTION("SPLIT($A352,""Rua"","""")")," D")</f>
        <v> D</v>
      </c>
    </row>
    <row r="353" ht="15.75" customHeight="1">
      <c r="A353" s="5" t="s">
        <v>3566</v>
      </c>
      <c r="B353" s="5" t="s">
        <v>2977</v>
      </c>
      <c r="C353" s="4" t="s">
        <v>2839</v>
      </c>
      <c r="D353" s="5" t="s">
        <v>3567</v>
      </c>
      <c r="E353" s="6">
        <v>214.0</v>
      </c>
      <c r="F353" s="6" t="s">
        <v>12</v>
      </c>
      <c r="H353" s="4" t="s">
        <v>2852</v>
      </c>
      <c r="I353" s="3" t="s">
        <v>13</v>
      </c>
      <c r="J353" s="7" t="str">
        <f>IFERROR(__xludf.DUMMYFUNCTION("SPLIT($A353,""Rua"","""")")," da Alfândega")</f>
        <v> da Alfândega</v>
      </c>
    </row>
    <row r="354" ht="15.75" customHeight="1">
      <c r="A354" s="5" t="s">
        <v>3568</v>
      </c>
      <c r="B354" s="5" t="s">
        <v>2977</v>
      </c>
      <c r="C354" s="4" t="s">
        <v>2839</v>
      </c>
      <c r="D354" s="5" t="s">
        <v>3569</v>
      </c>
      <c r="E354" s="6">
        <v>214.0</v>
      </c>
      <c r="F354" s="6" t="s">
        <v>12</v>
      </c>
      <c r="H354" s="4" t="s">
        <v>2852</v>
      </c>
      <c r="I354" s="3" t="s">
        <v>13</v>
      </c>
      <c r="J354" s="7" t="str">
        <f>IFERROR(__xludf.DUMMYFUNCTION("SPLIT($A354,""Rua"","""")")," da Capitania")</f>
        <v> da Capitania</v>
      </c>
    </row>
    <row r="355" ht="15.75" customHeight="1">
      <c r="A355" s="5" t="s">
        <v>3570</v>
      </c>
      <c r="B355" s="5" t="s">
        <v>2977</v>
      </c>
      <c r="C355" s="4" t="s">
        <v>2839</v>
      </c>
      <c r="D355" s="5" t="s">
        <v>3571</v>
      </c>
      <c r="E355" s="6">
        <v>214.0</v>
      </c>
      <c r="F355" s="6" t="s">
        <v>12</v>
      </c>
      <c r="H355" s="4" t="s">
        <v>2852</v>
      </c>
      <c r="I355" s="3" t="s">
        <v>13</v>
      </c>
      <c r="J355" s="7" t="str">
        <f>IFERROR(__xludf.DUMMYFUNCTION("SPLIT($A355,""Rua"","""")")," da Freguesia")</f>
        <v> da Freguesia</v>
      </c>
    </row>
    <row r="356" ht="15.75" customHeight="1">
      <c r="A356" s="5" t="s">
        <v>3572</v>
      </c>
      <c r="B356" s="5" t="s">
        <v>2945</v>
      </c>
      <c r="C356" s="4" t="s">
        <v>2839</v>
      </c>
      <c r="D356" s="5" t="s">
        <v>3573</v>
      </c>
      <c r="E356" s="6">
        <v>214.0</v>
      </c>
      <c r="F356" s="6" t="s">
        <v>12</v>
      </c>
      <c r="H356" s="4" t="s">
        <v>2852</v>
      </c>
      <c r="I356" s="3" t="s">
        <v>13</v>
      </c>
      <c r="J356" s="7" t="str">
        <f>IFERROR(__xludf.DUMMYFUNCTION("SPLIT($A356,""Rua"","""")")," da Nogueira")</f>
        <v> da Nogueira</v>
      </c>
    </row>
    <row r="357" ht="15.75" customHeight="1">
      <c r="A357" s="5" t="s">
        <v>3574</v>
      </c>
      <c r="B357" s="5" t="s">
        <v>2945</v>
      </c>
      <c r="C357" s="4" t="s">
        <v>2839</v>
      </c>
      <c r="D357" s="5" t="s">
        <v>3575</v>
      </c>
      <c r="E357" s="6">
        <v>214.0</v>
      </c>
      <c r="F357" s="6" t="s">
        <v>12</v>
      </c>
      <c r="H357" s="4" t="s">
        <v>2852</v>
      </c>
      <c r="I357" s="3" t="s">
        <v>13</v>
      </c>
      <c r="J357" s="7" t="str">
        <f>IFERROR(__xludf.DUMMYFUNCTION("SPLIT($A357,""Rua"","""")")," da Paineira")</f>
        <v> da Paineira</v>
      </c>
    </row>
    <row r="358" ht="15.75" customHeight="1">
      <c r="A358" s="5" t="s">
        <v>3576</v>
      </c>
      <c r="B358" s="5" t="s">
        <v>2977</v>
      </c>
      <c r="C358" s="4" t="s">
        <v>2839</v>
      </c>
      <c r="D358" s="5" t="s">
        <v>3577</v>
      </c>
      <c r="E358" s="6">
        <v>214.0</v>
      </c>
      <c r="F358" s="6" t="s">
        <v>12</v>
      </c>
      <c r="H358" s="4" t="s">
        <v>2852</v>
      </c>
      <c r="I358" s="3" t="s">
        <v>13</v>
      </c>
      <c r="J358" s="7" t="str">
        <f>IFERROR(__xludf.DUMMYFUNCTION("SPLIT($A358,""Rua"","""")")," da Regência")</f>
        <v> da Regência</v>
      </c>
    </row>
    <row r="359" ht="15.75" customHeight="1">
      <c r="A359" s="5" t="s">
        <v>3578</v>
      </c>
      <c r="B359" s="5" t="s">
        <v>3579</v>
      </c>
      <c r="C359" s="4" t="s">
        <v>2839</v>
      </c>
      <c r="D359" s="5" t="s">
        <v>3580</v>
      </c>
      <c r="E359" s="6">
        <v>214.0</v>
      </c>
      <c r="F359" s="6" t="s">
        <v>12</v>
      </c>
      <c r="H359" s="4" t="s">
        <v>2852</v>
      </c>
      <c r="I359" s="3" t="s">
        <v>13</v>
      </c>
      <c r="J359" s="7" t="str">
        <f>IFERROR(__xludf.DUMMYFUNCTION("SPLIT($A359,""Rua"","""")")," Daniel da Silva Braga")</f>
        <v> Daniel da Silva Braga</v>
      </c>
    </row>
    <row r="360" ht="15.75" customHeight="1">
      <c r="A360" s="5" t="s">
        <v>3581</v>
      </c>
      <c r="B360" s="5" t="s">
        <v>3277</v>
      </c>
      <c r="C360" s="4" t="s">
        <v>2839</v>
      </c>
      <c r="D360" s="5" t="s">
        <v>3582</v>
      </c>
      <c r="E360" s="6">
        <v>214.0</v>
      </c>
      <c r="F360" s="6" t="s">
        <v>12</v>
      </c>
      <c r="H360" s="4" t="s">
        <v>2852</v>
      </c>
      <c r="I360" s="3" t="s">
        <v>13</v>
      </c>
      <c r="J360" s="7" t="str">
        <f>IFERROR(__xludf.DUMMYFUNCTION("SPLIT($A360,""Rua"","""")")," Daniel de Camargo Taborda - até 174/175")</f>
        <v> Daniel de Camargo Taborda - até 174/175</v>
      </c>
    </row>
    <row r="361" ht="15.75" customHeight="1">
      <c r="A361" s="5" t="s">
        <v>3583</v>
      </c>
      <c r="B361" s="5" t="s">
        <v>3063</v>
      </c>
      <c r="C361" s="4" t="s">
        <v>2839</v>
      </c>
      <c r="D361" s="5" t="s">
        <v>3584</v>
      </c>
      <c r="E361" s="6">
        <v>214.0</v>
      </c>
      <c r="F361" s="6" t="s">
        <v>12</v>
      </c>
      <c r="H361" s="4" t="s">
        <v>2852</v>
      </c>
      <c r="I361" s="3" t="s">
        <v>13</v>
      </c>
      <c r="J361" s="7" t="str">
        <f>IFERROR(__xludf.DUMMYFUNCTION("SPLIT($A361,""Rua"","""")")," Daniel de Camargo Taborda - de 1/2 ao fim")</f>
        <v> Daniel de Camargo Taborda - de 1/2 ao fim</v>
      </c>
    </row>
    <row r="362" ht="15.75" customHeight="1">
      <c r="A362" s="5" t="s">
        <v>3585</v>
      </c>
      <c r="B362" s="5" t="s">
        <v>3586</v>
      </c>
      <c r="C362" s="4" t="s">
        <v>2839</v>
      </c>
      <c r="D362" s="5" t="s">
        <v>3587</v>
      </c>
      <c r="E362" s="6">
        <v>214.0</v>
      </c>
      <c r="F362" s="6" t="s">
        <v>12</v>
      </c>
      <c r="H362" s="4" t="s">
        <v>2852</v>
      </c>
      <c r="I362" s="3" t="s">
        <v>13</v>
      </c>
      <c r="J362" s="7" t="str">
        <f>IFERROR(__xludf.DUMMYFUNCTION("SPLIT($A362,""Rua"","""")")," Daniel de Camargo Taborda - de 176/177 a 588/589")</f>
        <v> Daniel de Camargo Taborda - de 176/177 a 588/589</v>
      </c>
    </row>
    <row r="363" ht="15.75" customHeight="1">
      <c r="A363" s="5" t="s">
        <v>3588</v>
      </c>
      <c r="B363" s="5" t="s">
        <v>3063</v>
      </c>
      <c r="C363" s="4" t="s">
        <v>2839</v>
      </c>
      <c r="D363" s="5" t="s">
        <v>3589</v>
      </c>
      <c r="E363" s="6">
        <v>214.0</v>
      </c>
      <c r="F363" s="6" t="s">
        <v>12</v>
      </c>
      <c r="H363" s="4" t="s">
        <v>2852</v>
      </c>
      <c r="I363" s="3" t="s">
        <v>13</v>
      </c>
      <c r="J363" s="7" t="str">
        <f>IFERROR(__xludf.DUMMYFUNCTION("SPLIT($A363,""Rua"","""")")," Dante Carezia")</f>
        <v> Dante Carezia</v>
      </c>
    </row>
    <row r="364" ht="15.75" customHeight="1">
      <c r="A364" s="5" t="s">
        <v>3590</v>
      </c>
      <c r="B364" s="5" t="s">
        <v>3591</v>
      </c>
      <c r="C364" s="4" t="s">
        <v>2839</v>
      </c>
      <c r="D364" s="5" t="s">
        <v>3592</v>
      </c>
      <c r="E364" s="6">
        <v>214.0</v>
      </c>
      <c r="F364" s="6" t="s">
        <v>12</v>
      </c>
      <c r="H364" s="4" t="s">
        <v>2852</v>
      </c>
      <c r="I364" s="3" t="s">
        <v>13</v>
      </c>
      <c r="J364" s="7" t="str">
        <f>IFERROR(__xludf.DUMMYFUNCTION("SPLIT($A364,""Rua"","""")")," Dario Martelli")</f>
        <v> Dario Martelli</v>
      </c>
    </row>
    <row r="365" ht="15.75" customHeight="1">
      <c r="A365" s="5" t="s">
        <v>3593</v>
      </c>
      <c r="B365" s="5" t="s">
        <v>2977</v>
      </c>
      <c r="C365" s="4" t="s">
        <v>2839</v>
      </c>
      <c r="D365" s="5" t="s">
        <v>3594</v>
      </c>
      <c r="E365" s="6">
        <v>214.0</v>
      </c>
      <c r="F365" s="6" t="s">
        <v>12</v>
      </c>
      <c r="H365" s="4" t="s">
        <v>2852</v>
      </c>
      <c r="I365" s="3" t="s">
        <v>13</v>
      </c>
      <c r="J365" s="7" t="str">
        <f>IFERROR(__xludf.DUMMYFUNCTION("SPLIT($A365,""Rua"","""")")," das Araras")</f>
        <v> das Araras</v>
      </c>
    </row>
    <row r="366" ht="15.75" customHeight="1">
      <c r="A366" s="5" t="s">
        <v>3595</v>
      </c>
      <c r="B366" s="5" t="s">
        <v>3518</v>
      </c>
      <c r="C366" s="4" t="s">
        <v>2839</v>
      </c>
      <c r="D366" s="5" t="s">
        <v>3596</v>
      </c>
      <c r="E366" s="6">
        <v>214.0</v>
      </c>
      <c r="F366" s="6" t="s">
        <v>12</v>
      </c>
      <c r="H366" s="4" t="s">
        <v>2852</v>
      </c>
      <c r="I366" s="3" t="s">
        <v>13</v>
      </c>
      <c r="J366" s="7" t="str">
        <f>IFERROR(__xludf.DUMMYFUNCTION("SPLIT($A366,""Rua"","""")")," das Avencas")</f>
        <v> das Avencas</v>
      </c>
    </row>
    <row r="367" ht="15.75" customHeight="1">
      <c r="A367" s="5" t="s">
        <v>3597</v>
      </c>
      <c r="B367" s="5" t="s">
        <v>3518</v>
      </c>
      <c r="C367" s="4" t="s">
        <v>2839</v>
      </c>
      <c r="D367" s="5" t="s">
        <v>3598</v>
      </c>
      <c r="E367" s="6">
        <v>214.0</v>
      </c>
      <c r="F367" s="6" t="s">
        <v>12</v>
      </c>
      <c r="H367" s="4" t="s">
        <v>2852</v>
      </c>
      <c r="I367" s="3" t="s">
        <v>13</v>
      </c>
      <c r="J367" s="7" t="str">
        <f>IFERROR(__xludf.DUMMYFUNCTION("SPLIT($A367,""Rua"","""")")," das Azaléas")</f>
        <v> das Azaléas</v>
      </c>
    </row>
    <row r="368" ht="15.75" customHeight="1">
      <c r="A368" s="5" t="s">
        <v>3599</v>
      </c>
      <c r="B368" s="5" t="s">
        <v>3518</v>
      </c>
      <c r="C368" s="4" t="s">
        <v>2839</v>
      </c>
      <c r="D368" s="5" t="s">
        <v>3600</v>
      </c>
      <c r="E368" s="6">
        <v>214.0</v>
      </c>
      <c r="F368" s="6" t="s">
        <v>12</v>
      </c>
      <c r="H368" s="4" t="s">
        <v>2852</v>
      </c>
      <c r="I368" s="3" t="s">
        <v>13</v>
      </c>
      <c r="J368" s="7" t="str">
        <f>IFERROR(__xludf.DUMMYFUNCTION("SPLIT($A368,""Rua"","""")")," das Camélias")</f>
        <v> das Camélias</v>
      </c>
    </row>
    <row r="369" ht="15.75" customHeight="1">
      <c r="A369" s="5" t="s">
        <v>3601</v>
      </c>
      <c r="B369" s="5" t="s">
        <v>3518</v>
      </c>
      <c r="C369" s="4" t="s">
        <v>2839</v>
      </c>
      <c r="D369" s="5" t="s">
        <v>3602</v>
      </c>
      <c r="E369" s="6">
        <v>214.0</v>
      </c>
      <c r="F369" s="6" t="s">
        <v>12</v>
      </c>
      <c r="H369" s="4" t="s">
        <v>2852</v>
      </c>
      <c r="I369" s="3" t="s">
        <v>13</v>
      </c>
      <c r="J369" s="7" t="str">
        <f>IFERROR(__xludf.DUMMYFUNCTION("SPLIT($A369,""Rua"","""")")," das Dálias")</f>
        <v> das Dálias</v>
      </c>
    </row>
    <row r="370" ht="15.75" customHeight="1">
      <c r="A370" s="5" t="s">
        <v>3603</v>
      </c>
      <c r="B370" s="5" t="s">
        <v>2977</v>
      </c>
      <c r="C370" s="4" t="s">
        <v>2839</v>
      </c>
      <c r="D370" s="5" t="s">
        <v>3604</v>
      </c>
      <c r="E370" s="6">
        <v>214.0</v>
      </c>
      <c r="F370" s="6" t="s">
        <v>12</v>
      </c>
      <c r="H370" s="4" t="s">
        <v>2852</v>
      </c>
      <c r="I370" s="3" t="s">
        <v>13</v>
      </c>
      <c r="J370" s="7" t="str">
        <f>IFERROR(__xludf.DUMMYFUNCTION("SPLIT($A370,""Rua"","""")")," das Especiarias")</f>
        <v> das Especiarias</v>
      </c>
    </row>
    <row r="371" ht="15.75" customHeight="1">
      <c r="A371" s="5" t="s">
        <v>3605</v>
      </c>
      <c r="B371" s="5" t="s">
        <v>3518</v>
      </c>
      <c r="C371" s="4" t="s">
        <v>2839</v>
      </c>
      <c r="D371" s="5" t="s">
        <v>3606</v>
      </c>
      <c r="E371" s="6">
        <v>214.0</v>
      </c>
      <c r="F371" s="6" t="s">
        <v>12</v>
      </c>
      <c r="H371" s="4" t="s">
        <v>2852</v>
      </c>
      <c r="I371" s="3" t="s">
        <v>13</v>
      </c>
      <c r="J371" s="7" t="str">
        <f>IFERROR(__xludf.DUMMYFUNCTION("SPLIT($A371,""Rua"","""")")," das Hortências")</f>
        <v> das Hortências</v>
      </c>
    </row>
    <row r="372" ht="15.75" customHeight="1">
      <c r="A372" s="5" t="s">
        <v>3607</v>
      </c>
      <c r="B372" s="5" t="s">
        <v>3608</v>
      </c>
      <c r="C372" s="4" t="s">
        <v>2839</v>
      </c>
      <c r="D372" s="5" t="s">
        <v>3609</v>
      </c>
      <c r="E372" s="6">
        <v>214.0</v>
      </c>
      <c r="F372" s="6" t="s">
        <v>12</v>
      </c>
      <c r="H372" s="4" t="s">
        <v>2852</v>
      </c>
      <c r="I372" s="3" t="s">
        <v>13</v>
      </c>
      <c r="J372" s="7" t="str">
        <f>IFERROR(__xludf.DUMMYFUNCTION("SPLIT($A372,""Rua"","""")")," das Laranjeiras")</f>
        <v> das Laranjeiras</v>
      </c>
    </row>
    <row r="373" ht="15.75" customHeight="1">
      <c r="A373" s="5" t="s">
        <v>3610</v>
      </c>
      <c r="B373" s="5" t="s">
        <v>3518</v>
      </c>
      <c r="C373" s="4" t="s">
        <v>2839</v>
      </c>
      <c r="D373" s="5" t="s">
        <v>3611</v>
      </c>
      <c r="E373" s="6">
        <v>214.0</v>
      </c>
      <c r="F373" s="6" t="s">
        <v>12</v>
      </c>
      <c r="H373" s="4" t="s">
        <v>2852</v>
      </c>
      <c r="I373" s="3" t="s">
        <v>13</v>
      </c>
      <c r="J373" s="7" t="str">
        <f>IFERROR(__xludf.DUMMYFUNCTION("SPLIT($A373,""Rua"","""")")," das Margaridas")</f>
        <v> das Margaridas</v>
      </c>
    </row>
    <row r="374" ht="15.75" customHeight="1">
      <c r="A374" s="5" t="s">
        <v>3612</v>
      </c>
      <c r="B374" s="5" t="s">
        <v>3518</v>
      </c>
      <c r="C374" s="4" t="s">
        <v>2839</v>
      </c>
      <c r="D374" s="5" t="s">
        <v>3613</v>
      </c>
      <c r="E374" s="6">
        <v>214.0</v>
      </c>
      <c r="F374" s="6" t="s">
        <v>12</v>
      </c>
      <c r="H374" s="4" t="s">
        <v>2852</v>
      </c>
      <c r="I374" s="3" t="s">
        <v>13</v>
      </c>
      <c r="J374" s="7" t="str">
        <f>IFERROR(__xludf.DUMMYFUNCTION("SPLIT($A374,""Rua"","""")")," das Orquídeas")</f>
        <v> das Orquídeas</v>
      </c>
    </row>
    <row r="375" ht="15.75" customHeight="1">
      <c r="A375" s="5" t="s">
        <v>3614</v>
      </c>
      <c r="B375" s="5" t="s">
        <v>3518</v>
      </c>
      <c r="C375" s="4" t="s">
        <v>2839</v>
      </c>
      <c r="D375" s="5" t="s">
        <v>3615</v>
      </c>
      <c r="E375" s="6">
        <v>214.0</v>
      </c>
      <c r="F375" s="6" t="s">
        <v>12</v>
      </c>
      <c r="H375" s="4" t="s">
        <v>2852</v>
      </c>
      <c r="I375" s="3" t="s">
        <v>13</v>
      </c>
      <c r="J375" s="7" t="str">
        <f>IFERROR(__xludf.DUMMYFUNCTION("SPLIT($A375,""Rua"","""")")," das Rosas")</f>
        <v> das Rosas</v>
      </c>
    </row>
    <row r="376" ht="15.75" customHeight="1">
      <c r="A376" s="5" t="s">
        <v>3616</v>
      </c>
      <c r="B376" s="5" t="s">
        <v>3608</v>
      </c>
      <c r="C376" s="4" t="s">
        <v>2839</v>
      </c>
      <c r="D376" s="5" t="s">
        <v>3617</v>
      </c>
      <c r="E376" s="6">
        <v>214.0</v>
      </c>
      <c r="F376" s="6" t="s">
        <v>12</v>
      </c>
      <c r="H376" s="4" t="s">
        <v>2852</v>
      </c>
      <c r="I376" s="3" t="s">
        <v>13</v>
      </c>
      <c r="J376" s="7" t="str">
        <f>IFERROR(__xludf.DUMMYFUNCTION("SPLIT($A376,""Rua"","""")")," das Tangerinas")</f>
        <v> das Tangerinas</v>
      </c>
    </row>
    <row r="377" ht="15.75" customHeight="1">
      <c r="A377" s="13" t="s">
        <v>3618</v>
      </c>
      <c r="B377" s="13" t="s">
        <v>2977</v>
      </c>
      <c r="C377" s="4" t="s">
        <v>2839</v>
      </c>
      <c r="D377" s="13" t="s">
        <v>3619</v>
      </c>
      <c r="E377" s="6">
        <v>214.0</v>
      </c>
      <c r="F377" s="6" t="s">
        <v>12</v>
      </c>
      <c r="H377" s="4" t="s">
        <v>2852</v>
      </c>
      <c r="I377" s="3" t="s">
        <v>13</v>
      </c>
      <c r="J377" s="7" t="str">
        <f>IFERROR(__xludf.DUMMYFUNCTION("SPLIT($A377,""Rua"","""")")," das Tordesilhas")</f>
        <v> das Tordesilhas</v>
      </c>
    </row>
    <row r="378" ht="15.75" customHeight="1">
      <c r="A378" s="5" t="s">
        <v>3620</v>
      </c>
      <c r="B378" s="5" t="s">
        <v>3518</v>
      </c>
      <c r="C378" s="4" t="s">
        <v>2839</v>
      </c>
      <c r="D378" s="5" t="s">
        <v>3621</v>
      </c>
      <c r="E378" s="6">
        <v>214.0</v>
      </c>
      <c r="F378" s="6" t="s">
        <v>12</v>
      </c>
      <c r="H378" s="4" t="s">
        <v>2852</v>
      </c>
      <c r="I378" s="3" t="s">
        <v>13</v>
      </c>
      <c r="J378" s="7" t="str">
        <f>IFERROR(__xludf.DUMMYFUNCTION("SPLIT($A378,""Rua"","""")")," das Tulipas")</f>
        <v> das Tulipas</v>
      </c>
    </row>
    <row r="379" ht="15.75" customHeight="1">
      <c r="A379" s="5" t="s">
        <v>3622</v>
      </c>
      <c r="B379" s="5" t="s">
        <v>3518</v>
      </c>
      <c r="C379" s="4" t="s">
        <v>2839</v>
      </c>
      <c r="D379" s="5" t="s">
        <v>3623</v>
      </c>
      <c r="E379" s="6">
        <v>214.0</v>
      </c>
      <c r="F379" s="6" t="s">
        <v>12</v>
      </c>
      <c r="H379" s="4" t="s">
        <v>2852</v>
      </c>
      <c r="I379" s="3" t="s">
        <v>13</v>
      </c>
      <c r="J379" s="7" t="str">
        <f>IFERROR(__xludf.DUMMYFUNCTION("SPLIT($A379,""Rua"","""")")," das Violetas")</f>
        <v> das Violetas</v>
      </c>
    </row>
    <row r="380" ht="15.75" customHeight="1">
      <c r="A380" s="5" t="s">
        <v>3624</v>
      </c>
      <c r="B380" s="5" t="s">
        <v>3061</v>
      </c>
      <c r="C380" s="4" t="s">
        <v>2839</v>
      </c>
      <c r="D380" s="5" t="s">
        <v>3625</v>
      </c>
      <c r="E380" s="6">
        <v>214.0</v>
      </c>
      <c r="F380" s="6" t="s">
        <v>12</v>
      </c>
      <c r="H380" s="4" t="s">
        <v>2852</v>
      </c>
      <c r="I380" s="3" t="s">
        <v>13</v>
      </c>
      <c r="J380" s="7" t="str">
        <f>IFERROR(__xludf.DUMMYFUNCTION("SPLIT($A380,""Rua"","""")")," Dayse Aparecida Leite Nasrallah")</f>
        <v> Dayse Aparecida Leite Nasrallah</v>
      </c>
    </row>
    <row r="381" ht="15.75" customHeight="1">
      <c r="A381" s="5" t="s">
        <v>3626</v>
      </c>
      <c r="B381" s="5" t="s">
        <v>2994</v>
      </c>
      <c r="C381" s="4" t="s">
        <v>2839</v>
      </c>
      <c r="D381" s="5" t="s">
        <v>3627</v>
      </c>
      <c r="E381" s="6">
        <v>214.0</v>
      </c>
      <c r="F381" s="6" t="s">
        <v>12</v>
      </c>
      <c r="H381" s="4" t="s">
        <v>2852</v>
      </c>
      <c r="I381" s="3" t="s">
        <v>13</v>
      </c>
      <c r="J381" s="7" t="str">
        <f>IFERROR(__xludf.DUMMYFUNCTION("SPLIT($A381,""Rua"","""")")," Dez")</f>
        <v> Dez</v>
      </c>
    </row>
    <row r="382" ht="15.75" customHeight="1">
      <c r="A382" s="5" t="s">
        <v>3626</v>
      </c>
      <c r="B382" s="5" t="s">
        <v>3069</v>
      </c>
      <c r="C382" s="4" t="s">
        <v>2839</v>
      </c>
      <c r="D382" s="5" t="s">
        <v>3628</v>
      </c>
      <c r="E382" s="6">
        <v>214.0</v>
      </c>
      <c r="F382" s="6" t="s">
        <v>12</v>
      </c>
      <c r="H382" s="4" t="s">
        <v>2852</v>
      </c>
      <c r="I382" s="3" t="s">
        <v>13</v>
      </c>
      <c r="J382" s="7" t="str">
        <f>IFERROR(__xludf.DUMMYFUNCTION("SPLIT($A382,""Rua"","""")")," Dez")</f>
        <v> Dez</v>
      </c>
    </row>
    <row r="383" ht="15.75" customHeight="1">
      <c r="A383" s="5" t="s">
        <v>3626</v>
      </c>
      <c r="B383" s="5" t="s">
        <v>3535</v>
      </c>
      <c r="C383" s="4" t="s">
        <v>2839</v>
      </c>
      <c r="D383" s="5" t="s">
        <v>3629</v>
      </c>
      <c r="E383" s="6">
        <v>214.0</v>
      </c>
      <c r="F383" s="6" t="s">
        <v>12</v>
      </c>
      <c r="H383" s="4" t="s">
        <v>2852</v>
      </c>
      <c r="I383" s="3" t="s">
        <v>13</v>
      </c>
      <c r="J383" s="7" t="str">
        <f>IFERROR(__xludf.DUMMYFUNCTION("SPLIT($A383,""Rua"","""")")," Dez")</f>
        <v> Dez</v>
      </c>
    </row>
    <row r="384" ht="15.75" customHeight="1">
      <c r="A384" s="5" t="s">
        <v>3630</v>
      </c>
      <c r="B384" s="5" t="s">
        <v>3069</v>
      </c>
      <c r="C384" s="4" t="s">
        <v>2839</v>
      </c>
      <c r="D384" s="5" t="s">
        <v>3631</v>
      </c>
      <c r="E384" s="6">
        <v>214.0</v>
      </c>
      <c r="F384" s="6" t="s">
        <v>12</v>
      </c>
      <c r="H384" s="4" t="s">
        <v>2852</v>
      </c>
      <c r="I384" s="3" t="s">
        <v>13</v>
      </c>
      <c r="J384" s="7" t="str">
        <f>IFERROR(__xludf.DUMMYFUNCTION("SPLIT($A384,""Rua"","""")")," Dezesseis")</f>
        <v> Dezesseis</v>
      </c>
    </row>
    <row r="385" ht="15.75" customHeight="1">
      <c r="A385" s="5" t="s">
        <v>3632</v>
      </c>
      <c r="B385" s="5" t="s">
        <v>3069</v>
      </c>
      <c r="C385" s="4" t="s">
        <v>2839</v>
      </c>
      <c r="D385" s="5" t="s">
        <v>3633</v>
      </c>
      <c r="E385" s="6">
        <v>214.0</v>
      </c>
      <c r="F385" s="6" t="s">
        <v>12</v>
      </c>
      <c r="H385" s="4" t="s">
        <v>2852</v>
      </c>
      <c r="I385" s="3" t="s">
        <v>13</v>
      </c>
      <c r="J385" s="7" t="str">
        <f>IFERROR(__xludf.DUMMYFUNCTION("SPLIT($A385,""Rua"","""")")," Dezessete")</f>
        <v> Dezessete</v>
      </c>
    </row>
    <row r="386" ht="15.75" customHeight="1">
      <c r="A386" s="5" t="s">
        <v>3634</v>
      </c>
      <c r="B386" s="5" t="s">
        <v>3069</v>
      </c>
      <c r="C386" s="4" t="s">
        <v>2839</v>
      </c>
      <c r="D386" s="5" t="s">
        <v>3635</v>
      </c>
      <c r="E386" s="6">
        <v>214.0</v>
      </c>
      <c r="F386" s="6" t="s">
        <v>12</v>
      </c>
      <c r="H386" s="4" t="s">
        <v>2852</v>
      </c>
      <c r="I386" s="3" t="s">
        <v>13</v>
      </c>
      <c r="J386" s="7" t="str">
        <f>IFERROR(__xludf.DUMMYFUNCTION("SPLIT($A386,""Rua"","""")")," Dezoito")</f>
        <v> Dezoito</v>
      </c>
    </row>
    <row r="387" ht="15.75" customHeight="1">
      <c r="A387" s="5" t="s">
        <v>3636</v>
      </c>
      <c r="B387" s="5" t="s">
        <v>3243</v>
      </c>
      <c r="C387" s="4" t="s">
        <v>2839</v>
      </c>
      <c r="D387" s="5" t="s">
        <v>3637</v>
      </c>
      <c r="E387" s="6">
        <v>214.0</v>
      </c>
      <c r="F387" s="6" t="s">
        <v>12</v>
      </c>
      <c r="H387" s="4" t="s">
        <v>2852</v>
      </c>
      <c r="I387" s="3" t="s">
        <v>13</v>
      </c>
      <c r="J387" s="7" t="str">
        <f>IFERROR(__xludf.DUMMYFUNCTION("SPLIT($A387,""Rua"","""")")," Diogo Antônio Feijó")</f>
        <v> Diogo Antônio Feijó</v>
      </c>
    </row>
    <row r="388" ht="15.75" customHeight="1">
      <c r="A388" s="5" t="s">
        <v>3638</v>
      </c>
      <c r="B388" s="5" t="s">
        <v>3061</v>
      </c>
      <c r="C388" s="4" t="s">
        <v>2839</v>
      </c>
      <c r="D388" s="5" t="s">
        <v>3639</v>
      </c>
      <c r="E388" s="6">
        <v>214.0</v>
      </c>
      <c r="F388" s="6" t="s">
        <v>12</v>
      </c>
      <c r="H388" s="4" t="s">
        <v>2852</v>
      </c>
      <c r="I388" s="3" t="s">
        <v>13</v>
      </c>
      <c r="J388" s="7" t="str">
        <f>IFERROR(__xludf.DUMMYFUNCTION("SPLIT($A388,""Rua"","""")")," Dirceu Maria Stettner")</f>
        <v> Dirceu Maria Stettner</v>
      </c>
    </row>
    <row r="389" ht="15.75" customHeight="1">
      <c r="A389" s="5" t="s">
        <v>3640</v>
      </c>
      <c r="B389" s="5" t="s">
        <v>3034</v>
      </c>
      <c r="C389" s="4" t="s">
        <v>2839</v>
      </c>
      <c r="D389" s="5" t="s">
        <v>3641</v>
      </c>
      <c r="E389" s="6">
        <v>214.0</v>
      </c>
      <c r="F389" s="6" t="s">
        <v>12</v>
      </c>
      <c r="H389" s="4" t="s">
        <v>2852</v>
      </c>
      <c r="I389" s="3" t="s">
        <v>13</v>
      </c>
      <c r="J389" s="7" t="str">
        <f>IFERROR(__xludf.DUMMYFUNCTION("SPLIT($A389,""Rua"","""")")," Dirceu Pompeu da Silva")</f>
        <v> Dirceu Pompeu da Silva</v>
      </c>
    </row>
    <row r="390" ht="15.75" customHeight="1">
      <c r="A390" s="5" t="s">
        <v>3642</v>
      </c>
      <c r="B390" s="5" t="s">
        <v>3643</v>
      </c>
      <c r="C390" s="4" t="s">
        <v>2839</v>
      </c>
      <c r="D390" s="5" t="s">
        <v>3644</v>
      </c>
      <c r="E390" s="6">
        <v>214.0</v>
      </c>
      <c r="F390" s="6" t="s">
        <v>12</v>
      </c>
      <c r="H390" s="4" t="s">
        <v>2852</v>
      </c>
      <c r="I390" s="3" t="s">
        <v>13</v>
      </c>
      <c r="J390" s="7" t="str">
        <f>IFERROR(__xludf.DUMMYFUNCTION("SPLIT($A390,""Rua"","""")")," Djalma de Oliveira")</f>
        <v> Djalma de Oliveira</v>
      </c>
    </row>
    <row r="391" ht="15.75" customHeight="1">
      <c r="A391" s="5" t="s">
        <v>3645</v>
      </c>
      <c r="B391" s="5" t="s">
        <v>2945</v>
      </c>
      <c r="C391" s="4" t="s">
        <v>2839</v>
      </c>
      <c r="D391" s="5" t="s">
        <v>3646</v>
      </c>
      <c r="E391" s="6">
        <v>214.0</v>
      </c>
      <c r="F391" s="6" t="s">
        <v>12</v>
      </c>
      <c r="H391" s="4" t="s">
        <v>2852</v>
      </c>
      <c r="I391" s="3" t="s">
        <v>13</v>
      </c>
      <c r="J391" s="7" t="str">
        <f>IFERROR(__xludf.DUMMYFUNCTION("SPLIT($A391,""Rua"","""")")," do Lago")</f>
        <v> do Lago</v>
      </c>
    </row>
    <row r="392" ht="15.75" customHeight="1">
      <c r="A392" s="5" t="s">
        <v>3647</v>
      </c>
      <c r="B392" s="5" t="s">
        <v>2994</v>
      </c>
      <c r="C392" s="4" t="s">
        <v>2839</v>
      </c>
      <c r="D392" s="5" t="s">
        <v>3648</v>
      </c>
      <c r="E392" s="6">
        <v>214.0</v>
      </c>
      <c r="F392" s="6" t="s">
        <v>12</v>
      </c>
      <c r="H392" s="4" t="s">
        <v>2852</v>
      </c>
      <c r="I392" s="3" t="s">
        <v>13</v>
      </c>
      <c r="J392" s="7" t="str">
        <f>IFERROR(__xludf.DUMMYFUNCTION("SPLIT($A392,""Rua"","""")")," Dois")</f>
        <v> Dois</v>
      </c>
    </row>
    <row r="393" ht="15.75" customHeight="1">
      <c r="A393" s="5" t="s">
        <v>3647</v>
      </c>
      <c r="B393" s="5" t="s">
        <v>3649</v>
      </c>
      <c r="C393" s="4" t="s">
        <v>2839</v>
      </c>
      <c r="D393" s="5" t="s">
        <v>3650</v>
      </c>
      <c r="E393" s="6">
        <v>214.0</v>
      </c>
      <c r="F393" s="6" t="s">
        <v>12</v>
      </c>
      <c r="H393" s="4" t="s">
        <v>2852</v>
      </c>
      <c r="I393" s="3" t="s">
        <v>13</v>
      </c>
      <c r="J393" s="7" t="str">
        <f>IFERROR(__xludf.DUMMYFUNCTION("SPLIT($A393,""Rua"","""")")," Dois")</f>
        <v> Dois</v>
      </c>
    </row>
    <row r="394" ht="15.75" customHeight="1">
      <c r="A394" s="5" t="s">
        <v>3647</v>
      </c>
      <c r="B394" s="5" t="s">
        <v>3069</v>
      </c>
      <c r="C394" s="4" t="s">
        <v>2839</v>
      </c>
      <c r="D394" s="5" t="s">
        <v>3651</v>
      </c>
      <c r="E394" s="6">
        <v>214.0</v>
      </c>
      <c r="F394" s="6" t="s">
        <v>12</v>
      </c>
      <c r="H394" s="4" t="s">
        <v>2852</v>
      </c>
      <c r="I394" s="3" t="s">
        <v>13</v>
      </c>
      <c r="J394" s="7" t="str">
        <f>IFERROR(__xludf.DUMMYFUNCTION("SPLIT($A394,""Rua"","""")")," Dois")</f>
        <v> Dois</v>
      </c>
    </row>
    <row r="395" ht="15.75" customHeight="1">
      <c r="A395" s="5" t="s">
        <v>3647</v>
      </c>
      <c r="B395" s="5" t="s">
        <v>3533</v>
      </c>
      <c r="C395" s="4" t="s">
        <v>2839</v>
      </c>
      <c r="D395" s="5" t="s">
        <v>3652</v>
      </c>
      <c r="E395" s="6">
        <v>214.0</v>
      </c>
      <c r="F395" s="6" t="s">
        <v>12</v>
      </c>
      <c r="H395" s="4" t="s">
        <v>2852</v>
      </c>
      <c r="I395" s="3" t="s">
        <v>13</v>
      </c>
      <c r="J395" s="7" t="str">
        <f>IFERROR(__xludf.DUMMYFUNCTION("SPLIT($A395,""Rua"","""")")," Dois")</f>
        <v> Dois</v>
      </c>
    </row>
    <row r="396" ht="15.75" customHeight="1">
      <c r="A396" s="5" t="s">
        <v>3647</v>
      </c>
      <c r="B396" s="5" t="s">
        <v>3535</v>
      </c>
      <c r="C396" s="4" t="s">
        <v>2839</v>
      </c>
      <c r="D396" s="5" t="s">
        <v>3653</v>
      </c>
      <c r="E396" s="6">
        <v>214.0</v>
      </c>
      <c r="F396" s="6" t="s">
        <v>12</v>
      </c>
      <c r="H396" s="4" t="s">
        <v>2852</v>
      </c>
      <c r="I396" s="3" t="s">
        <v>13</v>
      </c>
      <c r="J396" s="7" t="str">
        <f>IFERROR(__xludf.DUMMYFUNCTION("SPLIT($A396,""Rua"","""")")," Dois")</f>
        <v> Dois</v>
      </c>
    </row>
    <row r="397" ht="15.75" customHeight="1">
      <c r="A397" s="5" t="s">
        <v>3654</v>
      </c>
      <c r="B397" s="5" t="s">
        <v>3226</v>
      </c>
      <c r="C397" s="4" t="s">
        <v>2839</v>
      </c>
      <c r="D397" s="5" t="s">
        <v>3655</v>
      </c>
      <c r="E397" s="6">
        <v>214.0</v>
      </c>
      <c r="F397" s="6" t="s">
        <v>12</v>
      </c>
      <c r="H397" s="4" t="s">
        <v>2852</v>
      </c>
      <c r="I397" s="3" t="s">
        <v>13</v>
      </c>
      <c r="J397" s="7" t="str">
        <f>IFERROR(__xludf.DUMMYFUNCTION("SPLIT($A397,""Rua"","""")")," Dolores Garcia Alcalá")</f>
        <v> Dolores Garcia Alcalá</v>
      </c>
    </row>
    <row r="398" ht="15.75" customHeight="1">
      <c r="A398" s="5" t="s">
        <v>3656</v>
      </c>
      <c r="B398" s="5" t="s">
        <v>3056</v>
      </c>
      <c r="C398" s="4" t="s">
        <v>2839</v>
      </c>
      <c r="D398" s="5" t="s">
        <v>3657</v>
      </c>
      <c r="E398" s="6">
        <v>214.0</v>
      </c>
      <c r="F398" s="6" t="s">
        <v>12</v>
      </c>
      <c r="H398" s="4" t="s">
        <v>2852</v>
      </c>
      <c r="I398" s="3" t="s">
        <v>13</v>
      </c>
      <c r="J398" s="7" t="str">
        <f>IFERROR(__xludf.DUMMYFUNCTION("SPLIT($A398,""Rua"","""")")," Domingos Albiero")</f>
        <v> Domingos Albiero</v>
      </c>
    </row>
    <row r="399" ht="15.75" customHeight="1">
      <c r="A399" s="5" t="s">
        <v>3658</v>
      </c>
      <c r="B399" s="5" t="s">
        <v>3351</v>
      </c>
      <c r="C399" s="4" t="s">
        <v>2839</v>
      </c>
      <c r="D399" s="5" t="s">
        <v>3659</v>
      </c>
      <c r="E399" s="6">
        <v>214.0</v>
      </c>
      <c r="F399" s="6" t="s">
        <v>12</v>
      </c>
      <c r="H399" s="4" t="s">
        <v>2852</v>
      </c>
      <c r="I399" s="3" t="s">
        <v>13</v>
      </c>
      <c r="J399" s="7" t="str">
        <f>IFERROR(__xludf.DUMMYFUNCTION("SPLIT($A399,""Rua"","""")")," Domingos Jorge Velho")</f>
        <v> Domingos Jorge Velho</v>
      </c>
    </row>
    <row r="400" ht="15.75" customHeight="1">
      <c r="A400" s="5" t="s">
        <v>3660</v>
      </c>
      <c r="B400" s="5" t="s">
        <v>180</v>
      </c>
      <c r="C400" s="4" t="s">
        <v>2839</v>
      </c>
      <c r="D400" s="5" t="s">
        <v>3661</v>
      </c>
      <c r="E400" s="6">
        <v>214.0</v>
      </c>
      <c r="F400" s="6" t="s">
        <v>12</v>
      </c>
      <c r="H400" s="4" t="s">
        <v>2852</v>
      </c>
      <c r="I400" s="3" t="s">
        <v>13</v>
      </c>
      <c r="J400" s="7" t="str">
        <f>IFERROR(__xludf.DUMMYFUNCTION("SPLIT($A400,""Rua"","""")")," Domingos Maurino")</f>
        <v> Domingos Maurino</v>
      </c>
    </row>
    <row r="401" ht="15.75" customHeight="1">
      <c r="A401" s="5" t="s">
        <v>3662</v>
      </c>
      <c r="B401" s="5" t="s">
        <v>3216</v>
      </c>
      <c r="C401" s="4" t="s">
        <v>2839</v>
      </c>
      <c r="D401" s="5" t="s">
        <v>3663</v>
      </c>
      <c r="E401" s="6">
        <v>214.0</v>
      </c>
      <c r="F401" s="6" t="s">
        <v>12</v>
      </c>
      <c r="H401" s="4" t="s">
        <v>2852</v>
      </c>
      <c r="I401" s="3" t="s">
        <v>13</v>
      </c>
      <c r="J401" s="7" t="str">
        <f>IFERROR(__xludf.DUMMYFUNCTION("SPLIT($A401,""Rua"","""")")," Domingos Rodrigues Martins")</f>
        <v> Domingos Rodrigues Martins</v>
      </c>
    </row>
    <row r="402" ht="15.75" customHeight="1">
      <c r="A402" s="5" t="s">
        <v>3664</v>
      </c>
      <c r="B402" s="5" t="s">
        <v>3034</v>
      </c>
      <c r="C402" s="4" t="s">
        <v>2839</v>
      </c>
      <c r="D402" s="5" t="s">
        <v>3665</v>
      </c>
      <c r="E402" s="6">
        <v>214.0</v>
      </c>
      <c r="F402" s="6" t="s">
        <v>12</v>
      </c>
      <c r="H402" s="4" t="s">
        <v>2852</v>
      </c>
      <c r="I402" s="3" t="s">
        <v>13</v>
      </c>
      <c r="J402" s="7" t="str">
        <f>IFERROR(__xludf.DUMMYFUNCTION("SPLIT($A402,""Rua"","""")")," Domingos Thomé")</f>
        <v> Domingos Thomé</v>
      </c>
    </row>
    <row r="403" ht="15.75" customHeight="1">
      <c r="A403" s="5" t="s">
        <v>3666</v>
      </c>
      <c r="B403" s="5" t="s">
        <v>2945</v>
      </c>
      <c r="C403" s="4" t="s">
        <v>2839</v>
      </c>
      <c r="D403" s="5" t="s">
        <v>3667</v>
      </c>
      <c r="E403" s="6">
        <v>214.0</v>
      </c>
      <c r="F403" s="6" t="s">
        <v>12</v>
      </c>
      <c r="H403" s="4" t="s">
        <v>2852</v>
      </c>
      <c r="I403" s="3" t="s">
        <v>13</v>
      </c>
      <c r="J403" s="7" t="str">
        <f>IFERROR(__xludf.DUMMYFUNCTION("SPLIT($A403,""Rua"","""")")," dos Arcos")</f>
        <v> dos Arcos</v>
      </c>
    </row>
    <row r="404" ht="15.75" customHeight="1">
      <c r="A404" s="5" t="s">
        <v>3668</v>
      </c>
      <c r="B404" s="5" t="s">
        <v>2977</v>
      </c>
      <c r="C404" s="4" t="s">
        <v>2839</v>
      </c>
      <c r="D404" s="5" t="s">
        <v>3669</v>
      </c>
      <c r="E404" s="6">
        <v>214.0</v>
      </c>
      <c r="F404" s="6" t="s">
        <v>12</v>
      </c>
      <c r="H404" s="4" t="s">
        <v>2852</v>
      </c>
      <c r="I404" s="3" t="s">
        <v>13</v>
      </c>
      <c r="J404" s="7" t="str">
        <f>IFERROR(__xludf.DUMMYFUNCTION("SPLIT($A404,""Rua"","""")")," dos Batelões")</f>
        <v> dos Batelões</v>
      </c>
    </row>
    <row r="405" ht="15.75" customHeight="1">
      <c r="A405" s="5" t="s">
        <v>3670</v>
      </c>
      <c r="B405" s="5" t="s">
        <v>2945</v>
      </c>
      <c r="C405" s="4" t="s">
        <v>2839</v>
      </c>
      <c r="D405" s="5" t="s">
        <v>3671</v>
      </c>
      <c r="E405" s="6">
        <v>214.0</v>
      </c>
      <c r="F405" s="6" t="s">
        <v>12</v>
      </c>
      <c r="H405" s="4" t="s">
        <v>2852</v>
      </c>
      <c r="I405" s="3" t="s">
        <v>13</v>
      </c>
      <c r="J405" s="7" t="str">
        <f>IFERROR(__xludf.DUMMYFUNCTION("SPLIT($A405,""Rua"","""")")," dos Carinans")</f>
        <v> dos Carinans</v>
      </c>
    </row>
    <row r="406" ht="15.75" customHeight="1">
      <c r="A406" s="5" t="s">
        <v>3672</v>
      </c>
      <c r="B406" s="5" t="s">
        <v>2945</v>
      </c>
      <c r="C406" s="4" t="s">
        <v>2839</v>
      </c>
      <c r="D406" s="5" t="s">
        <v>3673</v>
      </c>
      <c r="E406" s="6">
        <v>214.0</v>
      </c>
      <c r="F406" s="6" t="s">
        <v>12</v>
      </c>
      <c r="H406" s="4" t="s">
        <v>2852</v>
      </c>
      <c r="I406" s="3" t="s">
        <v>13</v>
      </c>
      <c r="J406" s="7" t="str">
        <f>IFERROR(__xludf.DUMMYFUNCTION("SPLIT($A406,""Rua"","""")")," dos Chavantes")</f>
        <v> dos Chavantes</v>
      </c>
    </row>
    <row r="407" ht="15.75" customHeight="1">
      <c r="A407" s="5" t="s">
        <v>3674</v>
      </c>
      <c r="B407" s="5" t="s">
        <v>2945</v>
      </c>
      <c r="C407" s="4" t="s">
        <v>2839</v>
      </c>
      <c r="D407" s="5" t="s">
        <v>3675</v>
      </c>
      <c r="E407" s="6">
        <v>214.0</v>
      </c>
      <c r="F407" s="6" t="s">
        <v>12</v>
      </c>
      <c r="H407" s="4" t="s">
        <v>2852</v>
      </c>
      <c r="I407" s="3" t="s">
        <v>13</v>
      </c>
      <c r="J407" s="7" t="str">
        <f>IFERROR(__xludf.DUMMYFUNCTION("SPLIT($A407,""Rua"","""")")," dos Cocares")</f>
        <v> dos Cocares</v>
      </c>
    </row>
    <row r="408" ht="15.75" customHeight="1">
      <c r="A408" s="5" t="s">
        <v>3676</v>
      </c>
      <c r="B408" s="5" t="s">
        <v>3518</v>
      </c>
      <c r="C408" s="4" t="s">
        <v>2839</v>
      </c>
      <c r="D408" s="5" t="s">
        <v>3677</v>
      </c>
      <c r="E408" s="6">
        <v>214.0</v>
      </c>
      <c r="F408" s="6" t="s">
        <v>12</v>
      </c>
      <c r="H408" s="4" t="s">
        <v>2852</v>
      </c>
      <c r="I408" s="3" t="s">
        <v>13</v>
      </c>
      <c r="J408" s="7" t="str">
        <f>IFERROR(__xludf.DUMMYFUNCTION("SPLIT($A408,""Rua"","""")")," dos Cravos")</f>
        <v> dos Cravos</v>
      </c>
    </row>
    <row r="409" ht="15.75" customHeight="1">
      <c r="A409" s="5" t="s">
        <v>3678</v>
      </c>
      <c r="B409" s="5" t="s">
        <v>3518</v>
      </c>
      <c r="C409" s="4" t="s">
        <v>2839</v>
      </c>
      <c r="D409" s="5" t="s">
        <v>3679</v>
      </c>
      <c r="E409" s="6">
        <v>214.0</v>
      </c>
      <c r="F409" s="6" t="s">
        <v>12</v>
      </c>
      <c r="H409" s="4" t="s">
        <v>2852</v>
      </c>
      <c r="I409" s="3" t="s">
        <v>13</v>
      </c>
      <c r="J409" s="7" t="str">
        <f>IFERROR(__xludf.DUMMYFUNCTION("SPLIT($A409,""Rua"","""")")," dos Crisântemos")</f>
        <v> dos Crisântemos</v>
      </c>
    </row>
    <row r="410" ht="15.75" customHeight="1">
      <c r="A410" s="5" t="s">
        <v>3680</v>
      </c>
      <c r="B410" s="5" t="s">
        <v>2874</v>
      </c>
      <c r="C410" s="4" t="s">
        <v>2839</v>
      </c>
      <c r="D410" s="5" t="s">
        <v>3681</v>
      </c>
      <c r="E410" s="6">
        <v>214.0</v>
      </c>
      <c r="F410" s="6" t="s">
        <v>12</v>
      </c>
      <c r="H410" s="4" t="s">
        <v>2852</v>
      </c>
      <c r="I410" s="3" t="s">
        <v>13</v>
      </c>
      <c r="J410" s="7" t="str">
        <f>IFERROR(__xludf.DUMMYFUNCTION("SPLIT($A410,""Rua"","""")")," dos Curiós")</f>
        <v> dos Curiós</v>
      </c>
    </row>
    <row r="411" ht="15.75" customHeight="1">
      <c r="A411" s="5" t="s">
        <v>3682</v>
      </c>
      <c r="B411" s="5" t="s">
        <v>2945</v>
      </c>
      <c r="C411" s="4" t="s">
        <v>2839</v>
      </c>
      <c r="D411" s="5" t="s">
        <v>3683</v>
      </c>
      <c r="E411" s="6">
        <v>214.0</v>
      </c>
      <c r="F411" s="6" t="s">
        <v>12</v>
      </c>
      <c r="H411" s="4" t="s">
        <v>2852</v>
      </c>
      <c r="I411" s="3" t="s">
        <v>13</v>
      </c>
      <c r="J411" s="7" t="str">
        <f>IFERROR(__xludf.DUMMYFUNCTION("SPLIT($A411,""Rua"","""")")," dos Emboabas")</f>
        <v> dos Emboabas</v>
      </c>
    </row>
    <row r="412" ht="15.75" customHeight="1">
      <c r="A412" s="5" t="s">
        <v>3684</v>
      </c>
      <c r="B412" s="5" t="s">
        <v>3518</v>
      </c>
      <c r="C412" s="4" t="s">
        <v>2839</v>
      </c>
      <c r="D412" s="5" t="s">
        <v>3685</v>
      </c>
      <c r="E412" s="6">
        <v>214.0</v>
      </c>
      <c r="F412" s="6" t="s">
        <v>12</v>
      </c>
      <c r="H412" s="4" t="s">
        <v>2852</v>
      </c>
      <c r="I412" s="3" t="s">
        <v>13</v>
      </c>
      <c r="J412" s="7" t="str">
        <f>IFERROR(__xludf.DUMMYFUNCTION("SPLIT($A412,""Rua"","""")")," dos Gerânios")</f>
        <v> dos Gerânios</v>
      </c>
    </row>
    <row r="413" ht="15.75" customHeight="1">
      <c r="A413" s="5" t="s">
        <v>3686</v>
      </c>
      <c r="B413" s="5" t="s">
        <v>3518</v>
      </c>
      <c r="C413" s="4" t="s">
        <v>2839</v>
      </c>
      <c r="D413" s="5" t="s">
        <v>3687</v>
      </c>
      <c r="E413" s="6">
        <v>214.0</v>
      </c>
      <c r="F413" s="6" t="s">
        <v>12</v>
      </c>
      <c r="H413" s="4" t="s">
        <v>2852</v>
      </c>
      <c r="I413" s="3" t="s">
        <v>13</v>
      </c>
      <c r="J413" s="7" t="str">
        <f>IFERROR(__xludf.DUMMYFUNCTION("SPLIT($A413,""Rua"","""")")," dos Girassóis")</f>
        <v> dos Girassóis</v>
      </c>
    </row>
    <row r="414" ht="15.75" customHeight="1">
      <c r="A414" s="5" t="s">
        <v>3688</v>
      </c>
      <c r="B414" s="5" t="s">
        <v>2945</v>
      </c>
      <c r="C414" s="4" t="s">
        <v>2839</v>
      </c>
      <c r="D414" s="5" t="s">
        <v>3689</v>
      </c>
      <c r="E414" s="6">
        <v>214.0</v>
      </c>
      <c r="F414" s="6" t="s">
        <v>12</v>
      </c>
      <c r="H414" s="4" t="s">
        <v>2852</v>
      </c>
      <c r="I414" s="3" t="s">
        <v>13</v>
      </c>
      <c r="J414" s="7" t="str">
        <f>IFERROR(__xludf.DUMMYFUNCTION("SPLIT($A414,""Rua"","""")")," dos Guaranis")</f>
        <v> dos Guaranis</v>
      </c>
    </row>
    <row r="415" ht="15.75" customHeight="1">
      <c r="A415" s="5" t="s">
        <v>3690</v>
      </c>
      <c r="B415" s="5" t="s">
        <v>2945</v>
      </c>
      <c r="C415" s="4" t="s">
        <v>2839</v>
      </c>
      <c r="D415" s="5" t="s">
        <v>3691</v>
      </c>
      <c r="E415" s="6">
        <v>214.0</v>
      </c>
      <c r="F415" s="6" t="s">
        <v>12</v>
      </c>
      <c r="H415" s="4" t="s">
        <v>2852</v>
      </c>
      <c r="I415" s="3" t="s">
        <v>13</v>
      </c>
      <c r="J415" s="7" t="str">
        <f>IFERROR(__xludf.DUMMYFUNCTION("SPLIT($A415,""Rua"","""")")," dos Jamaris")</f>
        <v> dos Jamaris</v>
      </c>
    </row>
    <row r="416" ht="15.75" customHeight="1">
      <c r="A416" s="5" t="s">
        <v>3692</v>
      </c>
      <c r="B416" s="5" t="s">
        <v>2977</v>
      </c>
      <c r="C416" s="4" t="s">
        <v>2839</v>
      </c>
      <c r="D416" s="5" t="s">
        <v>3693</v>
      </c>
      <c r="E416" s="6">
        <v>214.0</v>
      </c>
      <c r="F416" s="6" t="s">
        <v>12</v>
      </c>
      <c r="H416" s="4" t="s">
        <v>2852</v>
      </c>
      <c r="I416" s="3" t="s">
        <v>13</v>
      </c>
      <c r="J416" s="7" t="str">
        <f>IFERROR(__xludf.DUMMYFUNCTION("SPLIT($A416,""Rua"","""")")," dos Jesuítas")</f>
        <v> dos Jesuítas</v>
      </c>
    </row>
    <row r="417" ht="15.75" customHeight="1">
      <c r="A417" s="5" t="s">
        <v>3694</v>
      </c>
      <c r="B417" s="5" t="s">
        <v>3608</v>
      </c>
      <c r="C417" s="4" t="s">
        <v>2839</v>
      </c>
      <c r="D417" s="5" t="s">
        <v>3695</v>
      </c>
      <c r="E417" s="6">
        <v>214.0</v>
      </c>
      <c r="F417" s="6" t="s">
        <v>12</v>
      </c>
      <c r="H417" s="4" t="s">
        <v>2852</v>
      </c>
      <c r="I417" s="3" t="s">
        <v>13</v>
      </c>
      <c r="J417" s="7" t="str">
        <f>IFERROR(__xludf.DUMMYFUNCTION("SPLIT($A417,""Rua"","""")")," dos Limoeiros")</f>
        <v> dos Limoeiros</v>
      </c>
    </row>
    <row r="418" ht="15.75" customHeight="1">
      <c r="A418" s="5" t="s">
        <v>3696</v>
      </c>
      <c r="B418" s="5" t="s">
        <v>3518</v>
      </c>
      <c r="C418" s="4" t="s">
        <v>2839</v>
      </c>
      <c r="D418" s="5" t="s">
        <v>3697</v>
      </c>
      <c r="E418" s="6">
        <v>214.0</v>
      </c>
      <c r="F418" s="6" t="s">
        <v>12</v>
      </c>
      <c r="H418" s="4" t="s">
        <v>2852</v>
      </c>
      <c r="I418" s="3" t="s">
        <v>13</v>
      </c>
      <c r="J418" s="7" t="str">
        <f>IFERROR(__xludf.DUMMYFUNCTION("SPLIT($A418,""Rua"","""")")," dos Lírios")</f>
        <v> dos Lírios</v>
      </c>
    </row>
    <row r="419" ht="15.75" customHeight="1">
      <c r="A419" s="5" t="s">
        <v>3698</v>
      </c>
      <c r="B419" s="5" t="s">
        <v>2945</v>
      </c>
      <c r="C419" s="4" t="s">
        <v>2839</v>
      </c>
      <c r="D419" s="5" t="s">
        <v>3699</v>
      </c>
      <c r="E419" s="6">
        <v>214.0</v>
      </c>
      <c r="F419" s="6" t="s">
        <v>12</v>
      </c>
      <c r="H419" s="4" t="s">
        <v>2852</v>
      </c>
      <c r="I419" s="3" t="s">
        <v>13</v>
      </c>
      <c r="J419" s="7" t="str">
        <f>IFERROR(__xludf.DUMMYFUNCTION("SPLIT($A419,""Rua"","""")")," dos Maracatins")</f>
        <v> dos Maracatins</v>
      </c>
    </row>
    <row r="420" ht="15.75" customHeight="1">
      <c r="A420" s="5" t="s">
        <v>3700</v>
      </c>
      <c r="B420" s="5" t="s">
        <v>3518</v>
      </c>
      <c r="C420" s="4" t="s">
        <v>2839</v>
      </c>
      <c r="D420" s="5" t="s">
        <v>3701</v>
      </c>
      <c r="E420" s="6">
        <v>214.0</v>
      </c>
      <c r="F420" s="6" t="s">
        <v>12</v>
      </c>
      <c r="H420" s="4" t="s">
        <v>2852</v>
      </c>
      <c r="I420" s="3" t="s">
        <v>13</v>
      </c>
      <c r="J420" s="7" t="str">
        <f>IFERROR(__xludf.DUMMYFUNCTION("SPLIT($A420,""Rua"","""")")," dos Miosótis")</f>
        <v> dos Miosótis</v>
      </c>
    </row>
    <row r="421" ht="15.75" customHeight="1">
      <c r="A421" s="5" t="s">
        <v>3702</v>
      </c>
      <c r="B421" s="5" t="s">
        <v>2945</v>
      </c>
      <c r="C421" s="4" t="s">
        <v>2839</v>
      </c>
      <c r="D421" s="5" t="s">
        <v>3703</v>
      </c>
      <c r="E421" s="6">
        <v>214.0</v>
      </c>
      <c r="F421" s="6" t="s">
        <v>12</v>
      </c>
      <c r="H421" s="4" t="s">
        <v>2852</v>
      </c>
      <c r="I421" s="3" t="s">
        <v>13</v>
      </c>
      <c r="J421" s="7" t="str">
        <f>IFERROR(__xludf.DUMMYFUNCTION("SPLIT($A421,""Rua"","""")")," dos Tamôios")</f>
        <v> dos Tamôios</v>
      </c>
    </row>
    <row r="422" ht="15.75" customHeight="1">
      <c r="A422" s="5" t="s">
        <v>3704</v>
      </c>
      <c r="B422" s="5" t="s">
        <v>2945</v>
      </c>
      <c r="C422" s="4" t="s">
        <v>2839</v>
      </c>
      <c r="D422" s="5" t="s">
        <v>3705</v>
      </c>
      <c r="E422" s="6">
        <v>214.0</v>
      </c>
      <c r="F422" s="6" t="s">
        <v>12</v>
      </c>
      <c r="H422" s="4" t="s">
        <v>2852</v>
      </c>
      <c r="I422" s="3" t="s">
        <v>13</v>
      </c>
      <c r="J422" s="7" t="str">
        <f>IFERROR(__xludf.DUMMYFUNCTION("SPLIT($A422,""Rua"","""")")," dos Tupis")</f>
        <v> dos Tupis</v>
      </c>
    </row>
    <row r="423" ht="15.75" customHeight="1">
      <c r="A423" s="5" t="s">
        <v>3706</v>
      </c>
      <c r="B423" s="5" t="s">
        <v>180</v>
      </c>
      <c r="C423" s="4" t="s">
        <v>2839</v>
      </c>
      <c r="D423" s="5" t="s">
        <v>3707</v>
      </c>
      <c r="E423" s="6">
        <v>214.0</v>
      </c>
      <c r="F423" s="6" t="s">
        <v>12</v>
      </c>
      <c r="H423" s="4" t="s">
        <v>2852</v>
      </c>
      <c r="I423" s="3" t="s">
        <v>13</v>
      </c>
      <c r="J423" s="7" t="str">
        <f>IFERROR(__xludf.DUMMYFUNCTION("SPLIT($A423,""Rua"","""")")," Doutor Adhemar de Barros")</f>
        <v> Doutor Adhemar de Barros</v>
      </c>
    </row>
    <row r="424" ht="15.75" customHeight="1">
      <c r="A424" s="5" t="s">
        <v>3708</v>
      </c>
      <c r="B424" s="5" t="s">
        <v>180</v>
      </c>
      <c r="C424" s="4" t="s">
        <v>2839</v>
      </c>
      <c r="D424" s="5" t="s">
        <v>3709</v>
      </c>
      <c r="E424" s="6">
        <v>214.0</v>
      </c>
      <c r="F424" s="6" t="s">
        <v>12</v>
      </c>
      <c r="H424" s="4" t="s">
        <v>2852</v>
      </c>
      <c r="I424" s="3" t="s">
        <v>13</v>
      </c>
      <c r="J424" s="7" t="str">
        <f>IFERROR(__xludf.DUMMYFUNCTION("SPLIT($A424,""Rua"","""")")," Doutor Alvim")</f>
        <v> Doutor Alvim</v>
      </c>
    </row>
    <row r="425" ht="15.75" customHeight="1">
      <c r="A425" s="5" t="s">
        <v>3710</v>
      </c>
      <c r="B425" s="5" t="s">
        <v>3063</v>
      </c>
      <c r="C425" s="4" t="s">
        <v>2839</v>
      </c>
      <c r="D425" s="5" t="s">
        <v>3711</v>
      </c>
      <c r="E425" s="6">
        <v>214.0</v>
      </c>
      <c r="F425" s="6" t="s">
        <v>12</v>
      </c>
      <c r="H425" s="4" t="s">
        <v>2852</v>
      </c>
      <c r="I425" s="3" t="s">
        <v>13</v>
      </c>
      <c r="J425" s="7" t="str">
        <f>IFERROR(__xludf.DUMMYFUNCTION("SPLIT($A425,""Rua"","""")")," Doutor Célio Prado")</f>
        <v> Doutor Célio Prado</v>
      </c>
    </row>
    <row r="426" ht="15.75" customHeight="1">
      <c r="A426" s="5" t="s">
        <v>3712</v>
      </c>
      <c r="B426" s="5" t="s">
        <v>180</v>
      </c>
      <c r="C426" s="4" t="s">
        <v>2839</v>
      </c>
      <c r="D426" s="5" t="s">
        <v>3713</v>
      </c>
      <c r="E426" s="6">
        <v>214.0</v>
      </c>
      <c r="F426" s="6" t="s">
        <v>12</v>
      </c>
      <c r="H426" s="4" t="s">
        <v>2852</v>
      </c>
      <c r="I426" s="3" t="s">
        <v>13</v>
      </c>
      <c r="J426" s="7" t="str">
        <f>IFERROR(__xludf.DUMMYFUNCTION("SPLIT($A426,""Rua"","""")")," Doutor Draco de Albuquerque")</f>
        <v> Doutor Draco de Albuquerque</v>
      </c>
    </row>
    <row r="427" ht="15.75" customHeight="1">
      <c r="A427" s="13" t="s">
        <v>3714</v>
      </c>
      <c r="B427" s="13" t="s">
        <v>3489</v>
      </c>
      <c r="C427" s="4" t="s">
        <v>2839</v>
      </c>
      <c r="D427" s="13" t="s">
        <v>3715</v>
      </c>
      <c r="E427" s="6">
        <v>214.0</v>
      </c>
      <c r="F427" s="6" t="s">
        <v>12</v>
      </c>
      <c r="H427" s="4" t="s">
        <v>2852</v>
      </c>
      <c r="I427" s="3" t="s">
        <v>13</v>
      </c>
      <c r="J427" s="7" t="str">
        <f>IFERROR(__xludf.DUMMYFUNCTION("SPLIT($A427,""Rua"","""")")," Doutor Francisco Moreira Junior")</f>
        <v> Doutor Francisco Moreira Junior</v>
      </c>
    </row>
    <row r="428" ht="15.75" customHeight="1">
      <c r="A428" s="5" t="s">
        <v>3714</v>
      </c>
      <c r="B428" s="5" t="s">
        <v>3506</v>
      </c>
      <c r="C428" s="4" t="s">
        <v>2839</v>
      </c>
      <c r="D428" s="5" t="s">
        <v>3716</v>
      </c>
      <c r="E428" s="6">
        <v>214.0</v>
      </c>
      <c r="F428" s="6" t="s">
        <v>12</v>
      </c>
      <c r="H428" s="4" t="s">
        <v>2852</v>
      </c>
      <c r="I428" s="3" t="s">
        <v>13</v>
      </c>
      <c r="J428" s="7" t="str">
        <f>IFERROR(__xludf.DUMMYFUNCTION("SPLIT($A428,""Rua"","""")")," Doutor Francisco Moreira Junior")</f>
        <v> Doutor Francisco Moreira Junior</v>
      </c>
    </row>
    <row r="429" ht="15.75" customHeight="1">
      <c r="A429" s="5" t="s">
        <v>3717</v>
      </c>
      <c r="B429" s="5" t="s">
        <v>3072</v>
      </c>
      <c r="C429" s="4" t="s">
        <v>2839</v>
      </c>
      <c r="D429" s="5" t="s">
        <v>3718</v>
      </c>
      <c r="E429" s="6">
        <v>214.0</v>
      </c>
      <c r="F429" s="6" t="s">
        <v>12</v>
      </c>
      <c r="H429" s="4" t="s">
        <v>2852</v>
      </c>
      <c r="I429" s="3" t="s">
        <v>13</v>
      </c>
      <c r="J429" s="7" t="str">
        <f>IFERROR(__xludf.DUMMYFUNCTION("SPLIT($A429,""Rua"","""")")," Doutor Israel Vieira Ferreira")</f>
        <v> Doutor Israel Vieira Ferreira</v>
      </c>
    </row>
    <row r="430" ht="15.75" customHeight="1">
      <c r="A430" s="5" t="s">
        <v>3719</v>
      </c>
      <c r="B430" s="5" t="s">
        <v>3197</v>
      </c>
      <c r="C430" s="4" t="s">
        <v>2839</v>
      </c>
      <c r="D430" s="5" t="s">
        <v>3720</v>
      </c>
      <c r="E430" s="6">
        <v>214.0</v>
      </c>
      <c r="F430" s="6" t="s">
        <v>12</v>
      </c>
      <c r="H430" s="4" t="s">
        <v>2852</v>
      </c>
      <c r="I430" s="3" t="s">
        <v>13</v>
      </c>
      <c r="J430" s="7" t="str">
        <f>IFERROR(__xludf.DUMMYFUNCTION("SPLIT($A430,""Rua"","""")")," Doutor Julien Fouqué")</f>
        <v> Doutor Julien Fouqué</v>
      </c>
    </row>
    <row r="431" ht="15.75" customHeight="1">
      <c r="A431" s="5" t="s">
        <v>3721</v>
      </c>
      <c r="B431" s="5" t="s">
        <v>3072</v>
      </c>
      <c r="C431" s="4" t="s">
        <v>2839</v>
      </c>
      <c r="D431" s="5" t="s">
        <v>3722</v>
      </c>
      <c r="E431" s="6">
        <v>214.0</v>
      </c>
      <c r="F431" s="6" t="s">
        <v>12</v>
      </c>
      <c r="H431" s="4" t="s">
        <v>2852</v>
      </c>
      <c r="I431" s="3" t="s">
        <v>13</v>
      </c>
      <c r="J431" s="7" t="str">
        <f>IFERROR(__xludf.DUMMYFUNCTION("SPLIT($A431,""Rua"","""")")," Doutor Miguel Vieira Ferreira")</f>
        <v> Doutor Miguel Vieira Ferreira</v>
      </c>
    </row>
    <row r="432" ht="15.75" customHeight="1">
      <c r="A432" s="5" t="s">
        <v>3723</v>
      </c>
      <c r="B432" s="5" t="s">
        <v>3274</v>
      </c>
      <c r="C432" s="4" t="s">
        <v>2839</v>
      </c>
      <c r="D432" s="5" t="s">
        <v>3724</v>
      </c>
      <c r="E432" s="6">
        <v>214.0</v>
      </c>
      <c r="F432" s="6" t="s">
        <v>12</v>
      </c>
      <c r="H432" s="4" t="s">
        <v>2852</v>
      </c>
      <c r="I432" s="3" t="s">
        <v>13</v>
      </c>
      <c r="J432" s="7" t="str">
        <f>IFERROR(__xludf.DUMMYFUNCTION("SPLIT($A432,""Rua"","""")")," Doutor Walter Castelucci")</f>
        <v> Doutor Walter Castelucci</v>
      </c>
    </row>
    <row r="433" ht="15.75" customHeight="1">
      <c r="A433" s="5" t="s">
        <v>3725</v>
      </c>
      <c r="B433" s="5" t="s">
        <v>3069</v>
      </c>
      <c r="C433" s="4" t="s">
        <v>2839</v>
      </c>
      <c r="D433" s="5" t="s">
        <v>3726</v>
      </c>
      <c r="E433" s="6">
        <v>214.0</v>
      </c>
      <c r="F433" s="6" t="s">
        <v>12</v>
      </c>
      <c r="H433" s="4" t="s">
        <v>2852</v>
      </c>
      <c r="I433" s="3" t="s">
        <v>13</v>
      </c>
      <c r="J433" s="7" t="str">
        <f>IFERROR(__xludf.DUMMYFUNCTION("SPLIT($A433,""Rua"","""")")," Doze")</f>
        <v> Doze</v>
      </c>
    </row>
    <row r="434" ht="15.75" customHeight="1">
      <c r="A434" s="5" t="s">
        <v>3727</v>
      </c>
      <c r="B434" s="5" t="s">
        <v>2980</v>
      </c>
      <c r="C434" s="4" t="s">
        <v>2839</v>
      </c>
      <c r="D434" s="5" t="s">
        <v>3728</v>
      </c>
      <c r="E434" s="6">
        <v>214.0</v>
      </c>
      <c r="F434" s="6" t="s">
        <v>12</v>
      </c>
      <c r="H434" s="4" t="s">
        <v>2852</v>
      </c>
      <c r="I434" s="3" t="s">
        <v>13</v>
      </c>
      <c r="J434" s="7" t="str">
        <f>IFERROR(__xludf.DUMMYFUNCTION("SPLIT($A434,""Rua"","""")")," E")</f>
        <v> E</v>
      </c>
    </row>
    <row r="435" ht="15.75" customHeight="1">
      <c r="A435" s="5" t="s">
        <v>3729</v>
      </c>
      <c r="B435" s="5" t="s">
        <v>3042</v>
      </c>
      <c r="C435" s="4" t="s">
        <v>2839</v>
      </c>
      <c r="D435" s="5" t="s">
        <v>3730</v>
      </c>
      <c r="E435" s="6">
        <v>214.0</v>
      </c>
      <c r="F435" s="6" t="s">
        <v>12</v>
      </c>
      <c r="H435" s="4" t="s">
        <v>2852</v>
      </c>
      <c r="I435" s="3" t="s">
        <v>13</v>
      </c>
      <c r="J435" s="7" t="str">
        <f>IFERROR(__xludf.DUMMYFUNCTION("SPLIT($A435,""Rua"","""")")," Edgar Leandro de Oliveira")</f>
        <v> Edgar Leandro de Oliveira</v>
      </c>
    </row>
    <row r="436" ht="15.75" customHeight="1">
      <c r="A436" s="5" t="s">
        <v>3731</v>
      </c>
      <c r="B436" s="5" t="s">
        <v>3063</v>
      </c>
      <c r="C436" s="4" t="s">
        <v>2839</v>
      </c>
      <c r="D436" s="5" t="s">
        <v>3732</v>
      </c>
      <c r="E436" s="6">
        <v>214.0</v>
      </c>
      <c r="F436" s="6" t="s">
        <v>12</v>
      </c>
      <c r="H436" s="4" t="s">
        <v>2852</v>
      </c>
      <c r="I436" s="3" t="s">
        <v>13</v>
      </c>
      <c r="J436" s="7" t="str">
        <f>IFERROR(__xludf.DUMMYFUNCTION("SPLIT($A436,""Rua"","""")")," Edgar Moraes")</f>
        <v> Edgar Moraes</v>
      </c>
    </row>
    <row r="437" ht="15.75" customHeight="1">
      <c r="A437" s="5" t="s">
        <v>3733</v>
      </c>
      <c r="B437" s="5" t="s">
        <v>3216</v>
      </c>
      <c r="C437" s="4" t="s">
        <v>2839</v>
      </c>
      <c r="D437" s="5" t="s">
        <v>3734</v>
      </c>
      <c r="E437" s="6">
        <v>214.0</v>
      </c>
      <c r="F437" s="6" t="s">
        <v>12</v>
      </c>
      <c r="H437" s="4" t="s">
        <v>2852</v>
      </c>
      <c r="I437" s="3" t="s">
        <v>13</v>
      </c>
      <c r="J437" s="7" t="str">
        <f>IFERROR(__xludf.DUMMYFUNCTION("SPLIT($A437,""Rua"","""")")," Edison Bicudo Almeida")</f>
        <v> Edison Bicudo Almeida</v>
      </c>
    </row>
    <row r="438" ht="15.75" customHeight="1">
      <c r="A438" s="5" t="s">
        <v>3735</v>
      </c>
      <c r="B438" s="5" t="s">
        <v>2969</v>
      </c>
      <c r="C438" s="4" t="s">
        <v>2839</v>
      </c>
      <c r="D438" s="5" t="s">
        <v>3736</v>
      </c>
      <c r="E438" s="6">
        <v>214.0</v>
      </c>
      <c r="F438" s="6" t="s">
        <v>12</v>
      </c>
      <c r="H438" s="4" t="s">
        <v>2852</v>
      </c>
      <c r="I438" s="3" t="s">
        <v>13</v>
      </c>
      <c r="J438" s="7" t="str">
        <f>IFERROR(__xludf.DUMMYFUNCTION("SPLIT($A438,""Rua"","""")")," Edson Stetner")</f>
        <v> Edson Stetner</v>
      </c>
    </row>
    <row r="439" ht="15.75" customHeight="1">
      <c r="A439" s="5" t="s">
        <v>3737</v>
      </c>
      <c r="B439" s="5" t="s">
        <v>3177</v>
      </c>
      <c r="C439" s="4" t="s">
        <v>2839</v>
      </c>
      <c r="D439" s="5" t="s">
        <v>3738</v>
      </c>
      <c r="E439" s="6">
        <v>214.0</v>
      </c>
      <c r="F439" s="6" t="s">
        <v>12</v>
      </c>
      <c r="H439" s="4" t="s">
        <v>2852</v>
      </c>
      <c r="I439" s="3" t="s">
        <v>13</v>
      </c>
      <c r="J439" s="7" t="str">
        <f>IFERROR(__xludf.DUMMYFUNCTION("SPLIT($A439,""Rua"","""")")," Eduardo Lucchese")</f>
        <v> Eduardo Lucchese</v>
      </c>
    </row>
    <row r="440" ht="15.75" customHeight="1">
      <c r="A440" s="5" t="s">
        <v>3739</v>
      </c>
      <c r="B440" s="5" t="s">
        <v>3072</v>
      </c>
      <c r="C440" s="4" t="s">
        <v>2839</v>
      </c>
      <c r="D440" s="5" t="s">
        <v>3740</v>
      </c>
      <c r="E440" s="6">
        <v>214.0</v>
      </c>
      <c r="F440" s="6" t="s">
        <v>12</v>
      </c>
      <c r="H440" s="4" t="s">
        <v>2852</v>
      </c>
      <c r="I440" s="3" t="s">
        <v>13</v>
      </c>
      <c r="J440" s="7" t="str">
        <f>IFERROR(__xludf.DUMMYFUNCTION("SPLIT($A440,""Rua"","""")")," Egídio Previtali")</f>
        <v> Egídio Previtali</v>
      </c>
    </row>
    <row r="441" ht="15.75" customHeight="1">
      <c r="A441" s="5" t="s">
        <v>3741</v>
      </c>
      <c r="B441" s="5" t="s">
        <v>3260</v>
      </c>
      <c r="C441" s="4" t="s">
        <v>2839</v>
      </c>
      <c r="D441" s="5" t="s">
        <v>3742</v>
      </c>
      <c r="E441" s="6">
        <v>214.0</v>
      </c>
      <c r="F441" s="6" t="s">
        <v>12</v>
      </c>
      <c r="H441" s="4" t="s">
        <v>2852</v>
      </c>
      <c r="I441" s="3" t="s">
        <v>13</v>
      </c>
      <c r="J441" s="7" t="str">
        <f>IFERROR(__xludf.DUMMYFUNCTION("SPLIT($A441,""Rua"","""")")," Elcio Correa de Moraes")</f>
        <v> Elcio Correa de Moraes</v>
      </c>
    </row>
    <row r="442" ht="15.75" customHeight="1">
      <c r="A442" s="5" t="s">
        <v>3743</v>
      </c>
      <c r="B442" s="5" t="s">
        <v>3260</v>
      </c>
      <c r="C442" s="4" t="s">
        <v>2839</v>
      </c>
      <c r="D442" s="5" t="s">
        <v>3744</v>
      </c>
      <c r="E442" s="6">
        <v>214.0</v>
      </c>
      <c r="F442" s="6" t="s">
        <v>12</v>
      </c>
      <c r="H442" s="4" t="s">
        <v>2852</v>
      </c>
      <c r="I442" s="3" t="s">
        <v>13</v>
      </c>
      <c r="J442" s="7" t="str">
        <f>IFERROR(__xludf.DUMMYFUNCTION("SPLIT($A442,""Rua"","""")")," Eliane Bertonceli Sampaio")</f>
        <v> Eliane Bertonceli Sampaio</v>
      </c>
    </row>
    <row r="443" ht="15.75" customHeight="1">
      <c r="A443" s="5" t="s">
        <v>3745</v>
      </c>
      <c r="B443" s="5" t="s">
        <v>180</v>
      </c>
      <c r="C443" s="4" t="s">
        <v>2839</v>
      </c>
      <c r="D443" s="5" t="s">
        <v>3746</v>
      </c>
      <c r="E443" s="6">
        <v>214.0</v>
      </c>
      <c r="F443" s="6" t="s">
        <v>12</v>
      </c>
      <c r="H443" s="4" t="s">
        <v>2852</v>
      </c>
      <c r="I443" s="3" t="s">
        <v>13</v>
      </c>
      <c r="J443" s="7" t="str">
        <f>IFERROR(__xludf.DUMMYFUNCTION("SPLIT($A443,""Rua"","""")")," Emília Veroneze")</f>
        <v> Emília Veroneze</v>
      </c>
    </row>
    <row r="444" ht="15.75" customHeight="1">
      <c r="A444" s="5" t="s">
        <v>3747</v>
      </c>
      <c r="B444" s="5" t="s">
        <v>3294</v>
      </c>
      <c r="C444" s="4" t="s">
        <v>2839</v>
      </c>
      <c r="D444" s="5" t="s">
        <v>3748</v>
      </c>
      <c r="E444" s="6">
        <v>214.0</v>
      </c>
      <c r="F444" s="6" t="s">
        <v>12</v>
      </c>
      <c r="H444" s="4" t="s">
        <v>2852</v>
      </c>
      <c r="I444" s="3" t="s">
        <v>13</v>
      </c>
      <c r="J444" s="7" t="str">
        <f>IFERROR(__xludf.DUMMYFUNCTION("SPLIT($A444,""Rua"","""")")," Emílio Coli")</f>
        <v> Emílio Coli</v>
      </c>
    </row>
    <row r="445" ht="15.75" customHeight="1">
      <c r="A445" s="5" t="s">
        <v>3749</v>
      </c>
      <c r="B445" s="5" t="s">
        <v>3243</v>
      </c>
      <c r="C445" s="4" t="s">
        <v>2839</v>
      </c>
      <c r="D445" s="5" t="s">
        <v>3750</v>
      </c>
      <c r="E445" s="6">
        <v>214.0</v>
      </c>
      <c r="F445" s="6" t="s">
        <v>12</v>
      </c>
      <c r="H445" s="4" t="s">
        <v>2852</v>
      </c>
      <c r="I445" s="3" t="s">
        <v>13</v>
      </c>
      <c r="J445" s="7" t="str">
        <f>IFERROR(__xludf.DUMMYFUNCTION("SPLIT($A445,""Rua"","""")")," Emílio Ribas")</f>
        <v> Emílio Ribas</v>
      </c>
    </row>
    <row r="446" ht="15.75" customHeight="1">
      <c r="A446" s="5" t="s">
        <v>3751</v>
      </c>
      <c r="B446" s="5" t="s">
        <v>3034</v>
      </c>
      <c r="C446" s="4" t="s">
        <v>2839</v>
      </c>
      <c r="D446" s="5" t="s">
        <v>3752</v>
      </c>
      <c r="E446" s="6">
        <v>214.0</v>
      </c>
      <c r="F446" s="6" t="s">
        <v>12</v>
      </c>
      <c r="H446" s="4" t="s">
        <v>2852</v>
      </c>
      <c r="I446" s="3" t="s">
        <v>13</v>
      </c>
      <c r="J446" s="7" t="str">
        <f>IFERROR(__xludf.DUMMYFUNCTION("SPLIT($A446,""Rua"","""")")," Ernesto Dalsoglio")</f>
        <v> Ernesto Dalsoglio</v>
      </c>
    </row>
    <row r="447" ht="15.75" customHeight="1">
      <c r="A447" s="5" t="s">
        <v>3753</v>
      </c>
      <c r="B447" s="5" t="s">
        <v>3643</v>
      </c>
      <c r="C447" s="4" t="s">
        <v>2839</v>
      </c>
      <c r="D447" s="5" t="s">
        <v>3754</v>
      </c>
      <c r="E447" s="6">
        <v>214.0</v>
      </c>
      <c r="F447" s="6" t="s">
        <v>12</v>
      </c>
      <c r="H447" s="4" t="s">
        <v>2852</v>
      </c>
      <c r="I447" s="3" t="s">
        <v>13</v>
      </c>
      <c r="J447" s="7" t="str">
        <f>IFERROR(__xludf.DUMMYFUNCTION("SPLIT($A447,""Rua"","""")")," Ester Antonelli de Almeida")</f>
        <v> Ester Antonelli de Almeida</v>
      </c>
    </row>
    <row r="448" ht="15.75" customHeight="1">
      <c r="A448" s="5" t="s">
        <v>3755</v>
      </c>
      <c r="B448" s="5" t="s">
        <v>3226</v>
      </c>
      <c r="C448" s="4" t="s">
        <v>2839</v>
      </c>
      <c r="D448" s="5" t="s">
        <v>3756</v>
      </c>
      <c r="E448" s="6">
        <v>214.0</v>
      </c>
      <c r="F448" s="6" t="s">
        <v>12</v>
      </c>
      <c r="H448" s="4" t="s">
        <v>2852</v>
      </c>
      <c r="I448" s="3" t="s">
        <v>13</v>
      </c>
      <c r="J448" s="7" t="str">
        <f>IFERROR(__xludf.DUMMYFUNCTION("SPLIT($A448,""Rua"","""")")," Eugênio Egídio Alcalá")</f>
        <v> Eugênio Egídio Alcalá</v>
      </c>
    </row>
    <row r="449" ht="15.75" customHeight="1">
      <c r="A449" s="5" t="s">
        <v>3757</v>
      </c>
      <c r="B449" s="5" t="s">
        <v>3025</v>
      </c>
      <c r="C449" s="4" t="s">
        <v>2839</v>
      </c>
      <c r="D449" s="5" t="s">
        <v>3758</v>
      </c>
      <c r="E449" s="6">
        <v>214.0</v>
      </c>
      <c r="F449" s="6" t="s">
        <v>12</v>
      </c>
      <c r="H449" s="4" t="s">
        <v>2852</v>
      </c>
      <c r="I449" s="3" t="s">
        <v>13</v>
      </c>
      <c r="J449" s="7" t="str">
        <f>IFERROR(__xludf.DUMMYFUNCTION("SPLIT($A449,""Rua"","""")")," Evair de Oliveira")</f>
        <v> Evair de Oliveira</v>
      </c>
    </row>
    <row r="450" ht="15.75" customHeight="1">
      <c r="A450" s="5" t="s">
        <v>3759</v>
      </c>
      <c r="B450" s="5" t="s">
        <v>3299</v>
      </c>
      <c r="C450" s="4" t="s">
        <v>2839</v>
      </c>
      <c r="D450" s="5" t="s">
        <v>3760</v>
      </c>
      <c r="E450" s="6">
        <v>214.0</v>
      </c>
      <c r="F450" s="6" t="s">
        <v>12</v>
      </c>
      <c r="H450" s="4" t="s">
        <v>2852</v>
      </c>
      <c r="I450" s="3" t="s">
        <v>13</v>
      </c>
      <c r="J450" s="7" t="str">
        <f>IFERROR(__xludf.DUMMYFUNCTION("SPLIT($A450,""Rua"","""")")," Evaristo Baptistella")</f>
        <v> Evaristo Baptistella</v>
      </c>
    </row>
    <row r="451" ht="15.75" customHeight="1">
      <c r="A451" s="5" t="s">
        <v>3761</v>
      </c>
      <c r="B451" s="5" t="s">
        <v>3319</v>
      </c>
      <c r="C451" s="4" t="s">
        <v>2839</v>
      </c>
      <c r="D451" s="5" t="s">
        <v>3762</v>
      </c>
      <c r="E451" s="6">
        <v>214.0</v>
      </c>
      <c r="F451" s="6" t="s">
        <v>12</v>
      </c>
      <c r="H451" s="4" t="s">
        <v>2852</v>
      </c>
      <c r="I451" s="3" t="s">
        <v>13</v>
      </c>
      <c r="J451" s="7" t="str">
        <f>IFERROR(__xludf.DUMMYFUNCTION("SPLIT($A451,""Rua"","""")")," Fábio Sentieiro Borges")</f>
        <v> Fábio Sentieiro Borges</v>
      </c>
    </row>
    <row r="452" ht="15.75" customHeight="1">
      <c r="A452" s="5" t="s">
        <v>3763</v>
      </c>
      <c r="B452" s="5" t="s">
        <v>3328</v>
      </c>
      <c r="C452" s="4" t="s">
        <v>2839</v>
      </c>
      <c r="D452" s="5" t="s">
        <v>3764</v>
      </c>
      <c r="E452" s="6">
        <v>214.0</v>
      </c>
      <c r="F452" s="6" t="s">
        <v>12</v>
      </c>
      <c r="H452" s="4" t="s">
        <v>2852</v>
      </c>
      <c r="I452" s="3" t="s">
        <v>13</v>
      </c>
      <c r="J452" s="7" t="str">
        <f>IFERROR(__xludf.DUMMYFUNCTION("SPLIT($A452,""Rua"","""")")," Felício Castelucci")</f>
        <v> Felício Castelucci</v>
      </c>
    </row>
    <row r="453" ht="15.75" customHeight="1">
      <c r="A453" s="5" t="s">
        <v>3765</v>
      </c>
      <c r="B453" s="5" t="s">
        <v>3766</v>
      </c>
      <c r="C453" s="4" t="s">
        <v>2839</v>
      </c>
      <c r="D453" s="5" t="s">
        <v>3767</v>
      </c>
      <c r="E453" s="6">
        <v>214.0</v>
      </c>
      <c r="F453" s="6" t="s">
        <v>12</v>
      </c>
      <c r="H453" s="4" t="s">
        <v>2852</v>
      </c>
      <c r="I453" s="3" t="s">
        <v>13</v>
      </c>
      <c r="J453" s="7" t="str">
        <f>IFERROR(__xludf.DUMMYFUNCTION("SPLIT($A453,""Rua"","""")")," Felipe Felix")</f>
        <v> Felipe Felix</v>
      </c>
    </row>
    <row r="454" ht="15.75" customHeight="1">
      <c r="A454" s="5" t="s">
        <v>3768</v>
      </c>
      <c r="B454" s="5" t="s">
        <v>3034</v>
      </c>
      <c r="C454" s="4" t="s">
        <v>2839</v>
      </c>
      <c r="D454" s="5" t="s">
        <v>3769</v>
      </c>
      <c r="E454" s="6">
        <v>214.0</v>
      </c>
      <c r="F454" s="6" t="s">
        <v>12</v>
      </c>
      <c r="H454" s="4" t="s">
        <v>2852</v>
      </c>
      <c r="I454" s="3" t="s">
        <v>13</v>
      </c>
      <c r="J454" s="7" t="str">
        <f>IFERROR(__xludf.DUMMYFUNCTION("SPLIT($A454,""Rua"","""")")," Felix Rocco")</f>
        <v> Felix Rocco</v>
      </c>
    </row>
    <row r="455" ht="15.75" customHeight="1">
      <c r="A455" s="5" t="s">
        <v>3770</v>
      </c>
      <c r="B455" s="5" t="s">
        <v>3766</v>
      </c>
      <c r="C455" s="4" t="s">
        <v>2839</v>
      </c>
      <c r="D455" s="5" t="s">
        <v>3771</v>
      </c>
      <c r="E455" s="6">
        <v>214.0</v>
      </c>
      <c r="F455" s="6" t="s">
        <v>12</v>
      </c>
      <c r="H455" s="4" t="s">
        <v>2852</v>
      </c>
      <c r="I455" s="3" t="s">
        <v>13</v>
      </c>
      <c r="J455" s="7" t="str">
        <f>IFERROR(__xludf.DUMMYFUNCTION("SPLIT($A455,""Rua"","""")")," Fernando Stecca")</f>
        <v> Fernando Stecca</v>
      </c>
    </row>
    <row r="456" ht="15.75" customHeight="1">
      <c r="A456" s="5" t="s">
        <v>3772</v>
      </c>
      <c r="B456" s="5" t="s">
        <v>3351</v>
      </c>
      <c r="C456" s="4" t="s">
        <v>2839</v>
      </c>
      <c r="D456" s="5" t="s">
        <v>3773</v>
      </c>
      <c r="E456" s="6">
        <v>214.0</v>
      </c>
      <c r="F456" s="6" t="s">
        <v>12</v>
      </c>
      <c r="H456" s="4" t="s">
        <v>2852</v>
      </c>
      <c r="I456" s="3" t="s">
        <v>13</v>
      </c>
      <c r="J456" s="7" t="str">
        <f>IFERROR(__xludf.DUMMYFUNCTION("SPLIT($A456,""Rua"","""")")," Fernão Dias")</f>
        <v> Fernão Dias</v>
      </c>
    </row>
    <row r="457" ht="15.75" customHeight="1">
      <c r="A457" s="5" t="s">
        <v>3774</v>
      </c>
      <c r="B457" s="5" t="s">
        <v>3065</v>
      </c>
      <c r="C457" s="4" t="s">
        <v>2839</v>
      </c>
      <c r="D457" s="5" t="s">
        <v>3775</v>
      </c>
      <c r="E457" s="6">
        <v>214.0</v>
      </c>
      <c r="F457" s="6" t="s">
        <v>12</v>
      </c>
      <c r="H457" s="4" t="s">
        <v>2852</v>
      </c>
      <c r="I457" s="3" t="s">
        <v>13</v>
      </c>
      <c r="J457" s="7" t="str">
        <f>IFERROR(__xludf.DUMMYFUNCTION("SPLIT($A457,""Rua"","""")")," Fioravante Mietto")</f>
        <v> Fioravante Mietto</v>
      </c>
    </row>
    <row r="458" ht="15.75" customHeight="1">
      <c r="A458" s="5" t="s">
        <v>3776</v>
      </c>
      <c r="B458" s="5" t="s">
        <v>3052</v>
      </c>
      <c r="C458" s="4" t="s">
        <v>2839</v>
      </c>
      <c r="D458" s="5" t="s">
        <v>3777</v>
      </c>
      <c r="E458" s="6">
        <v>214.0</v>
      </c>
      <c r="F458" s="6" t="s">
        <v>12</v>
      </c>
      <c r="H458" s="4" t="s">
        <v>2852</v>
      </c>
      <c r="I458" s="3" t="s">
        <v>13</v>
      </c>
      <c r="J458" s="7" t="str">
        <f>IFERROR(__xludf.DUMMYFUNCTION("SPLIT($A458,""Rua"","""")")," Flávia Sampaio Bello")</f>
        <v> Flávia Sampaio Bello</v>
      </c>
    </row>
    <row r="459" ht="15.75" customHeight="1">
      <c r="A459" s="5" t="s">
        <v>3778</v>
      </c>
      <c r="B459" s="5" t="s">
        <v>3065</v>
      </c>
      <c r="C459" s="4" t="s">
        <v>2839</v>
      </c>
      <c r="D459" s="5" t="s">
        <v>3779</v>
      </c>
      <c r="E459" s="6">
        <v>214.0</v>
      </c>
      <c r="F459" s="6" t="s">
        <v>12</v>
      </c>
      <c r="H459" s="4" t="s">
        <v>2852</v>
      </c>
      <c r="I459" s="3" t="s">
        <v>13</v>
      </c>
      <c r="J459" s="7" t="str">
        <f>IFERROR(__xludf.DUMMYFUNCTION("SPLIT($A459,""Rua"","""")")," Flávio de Sampaio")</f>
        <v> Flávio de Sampaio</v>
      </c>
    </row>
    <row r="460" ht="15.75" customHeight="1">
      <c r="A460" s="5" t="s">
        <v>3780</v>
      </c>
      <c r="B460" s="5" t="s">
        <v>180</v>
      </c>
      <c r="C460" s="4" t="s">
        <v>2839</v>
      </c>
      <c r="D460" s="5" t="s">
        <v>3781</v>
      </c>
      <c r="E460" s="6">
        <v>214.0</v>
      </c>
      <c r="F460" s="6" t="s">
        <v>12</v>
      </c>
      <c r="H460" s="4" t="s">
        <v>2852</v>
      </c>
      <c r="I460" s="3" t="s">
        <v>13</v>
      </c>
      <c r="J460" s="7" t="str">
        <f>IFERROR(__xludf.DUMMYFUNCTION("SPLIT($A460,""Rua"","""")")," Flodoardo Bueno de Camargo - até 122/123")</f>
        <v> Flodoardo Bueno de Camargo - até 122/123</v>
      </c>
    </row>
    <row r="461" ht="15.75" customHeight="1">
      <c r="A461" s="5" t="s">
        <v>3782</v>
      </c>
      <c r="B461" s="5" t="s">
        <v>2969</v>
      </c>
      <c r="C461" s="4" t="s">
        <v>2839</v>
      </c>
      <c r="D461" s="5" t="s">
        <v>3783</v>
      </c>
      <c r="E461" s="6">
        <v>214.0</v>
      </c>
      <c r="F461" s="6" t="s">
        <v>12</v>
      </c>
      <c r="H461" s="4" t="s">
        <v>2852</v>
      </c>
      <c r="I461" s="3" t="s">
        <v>13</v>
      </c>
      <c r="J461" s="7" t="str">
        <f>IFERROR(__xludf.DUMMYFUNCTION("SPLIT($A461,""Rua"","""")")," Flodoardo Bueno de Camargo - de 124/125 ao fim")</f>
        <v> Flodoardo Bueno de Camargo - de 124/125 ao fim</v>
      </c>
    </row>
    <row r="462" ht="15.75" customHeight="1">
      <c r="A462" s="5" t="s">
        <v>3784</v>
      </c>
      <c r="B462" s="5" t="s">
        <v>3512</v>
      </c>
      <c r="C462" s="4" t="s">
        <v>2839</v>
      </c>
      <c r="D462" s="5" t="s">
        <v>3785</v>
      </c>
      <c r="E462" s="6">
        <v>214.0</v>
      </c>
      <c r="F462" s="6" t="s">
        <v>12</v>
      </c>
      <c r="H462" s="4" t="s">
        <v>2852</v>
      </c>
      <c r="I462" s="3" t="s">
        <v>13</v>
      </c>
      <c r="J462" s="7" t="str">
        <f>IFERROR(__xludf.DUMMYFUNCTION("SPLIT($A462,""Rua"","""")")," Floriano Pires")</f>
        <v> Floriano Pires</v>
      </c>
    </row>
    <row r="463" ht="15.75" customHeight="1">
      <c r="A463" s="5" t="s">
        <v>3786</v>
      </c>
      <c r="B463" s="5" t="s">
        <v>3054</v>
      </c>
      <c r="C463" s="4" t="s">
        <v>2839</v>
      </c>
      <c r="D463" s="5" t="s">
        <v>3787</v>
      </c>
      <c r="E463" s="6">
        <v>214.0</v>
      </c>
      <c r="F463" s="6" t="s">
        <v>12</v>
      </c>
      <c r="H463" s="4" t="s">
        <v>2852</v>
      </c>
      <c r="I463" s="3" t="s">
        <v>13</v>
      </c>
      <c r="J463" s="7" t="str">
        <f>IFERROR(__xludf.DUMMYFUNCTION("SPLIT($A463,""Rua"","""")")," Floriano Torres")</f>
        <v> Floriano Torres</v>
      </c>
    </row>
    <row r="464" ht="15.75" customHeight="1">
      <c r="A464" s="5" t="s">
        <v>3788</v>
      </c>
      <c r="B464" s="5" t="s">
        <v>3061</v>
      </c>
      <c r="C464" s="4" t="s">
        <v>2839</v>
      </c>
      <c r="D464" s="5" t="s">
        <v>3789</v>
      </c>
      <c r="E464" s="6">
        <v>214.0</v>
      </c>
      <c r="F464" s="6" t="s">
        <v>12</v>
      </c>
      <c r="H464" s="4" t="s">
        <v>2852</v>
      </c>
      <c r="I464" s="3" t="s">
        <v>13</v>
      </c>
      <c r="J464" s="7" t="str">
        <f>IFERROR(__xludf.DUMMYFUNCTION("SPLIT($A464,""Rua"","""")")," Francisco Abibe")</f>
        <v> Francisco Abibe</v>
      </c>
    </row>
    <row r="465" ht="15.75" customHeight="1">
      <c r="A465" s="5" t="s">
        <v>3790</v>
      </c>
      <c r="B465" s="5" t="s">
        <v>2977</v>
      </c>
      <c r="C465" s="4" t="s">
        <v>2839</v>
      </c>
      <c r="D465" s="5" t="s">
        <v>3791</v>
      </c>
      <c r="E465" s="6">
        <v>214.0</v>
      </c>
      <c r="F465" s="6" t="s">
        <v>12</v>
      </c>
      <c r="H465" s="4" t="s">
        <v>2852</v>
      </c>
      <c r="I465" s="3" t="s">
        <v>13</v>
      </c>
      <c r="J465" s="7" t="str">
        <f>IFERROR(__xludf.DUMMYFUNCTION("SPLIT($A465,""Rua"","""")")," Francisco Corrêa de Moraes")</f>
        <v> Francisco Corrêa de Moraes</v>
      </c>
    </row>
    <row r="466" ht="15.75" customHeight="1">
      <c r="A466" s="5" t="s">
        <v>3792</v>
      </c>
      <c r="B466" s="5" t="s">
        <v>3014</v>
      </c>
      <c r="C466" s="4" t="s">
        <v>2839</v>
      </c>
      <c r="D466" s="5" t="s">
        <v>3793</v>
      </c>
      <c r="E466" s="6">
        <v>214.0</v>
      </c>
      <c r="F466" s="6" t="s">
        <v>12</v>
      </c>
      <c r="H466" s="4" t="s">
        <v>2852</v>
      </c>
      <c r="I466" s="3" t="s">
        <v>13</v>
      </c>
      <c r="J466" s="7" t="str">
        <f>IFERROR(__xludf.DUMMYFUNCTION("SPLIT($A466,""Rua"","""")")," Francisco de Oliveira Lima - até 110/111")</f>
        <v> Francisco de Oliveira Lima - até 110/111</v>
      </c>
    </row>
    <row r="467" ht="15.75" customHeight="1">
      <c r="A467" s="5" t="s">
        <v>3794</v>
      </c>
      <c r="B467" s="5" t="s">
        <v>3020</v>
      </c>
      <c r="C467" s="4" t="s">
        <v>2839</v>
      </c>
      <c r="D467" s="5" t="s">
        <v>3795</v>
      </c>
      <c r="E467" s="6">
        <v>214.0</v>
      </c>
      <c r="F467" s="6" t="s">
        <v>12</v>
      </c>
      <c r="H467" s="4" t="s">
        <v>2852</v>
      </c>
      <c r="I467" s="3" t="s">
        <v>13</v>
      </c>
      <c r="J467" s="7" t="str">
        <f>IFERROR(__xludf.DUMMYFUNCTION("SPLIT($A467,""Rua"","""")")," Francisco de Oliveira Lima - de 112/113 ao fim")</f>
        <v> Francisco de Oliveira Lima - de 112/113 ao fim</v>
      </c>
    </row>
    <row r="468" ht="15.75" customHeight="1">
      <c r="A468" s="5" t="s">
        <v>3796</v>
      </c>
      <c r="B468" s="5" t="s">
        <v>3518</v>
      </c>
      <c r="C468" s="4" t="s">
        <v>2839</v>
      </c>
      <c r="D468" s="5" t="s">
        <v>3797</v>
      </c>
      <c r="E468" s="6">
        <v>214.0</v>
      </c>
      <c r="F468" s="6" t="s">
        <v>12</v>
      </c>
      <c r="H468" s="4" t="s">
        <v>2852</v>
      </c>
      <c r="I468" s="3" t="s">
        <v>13</v>
      </c>
      <c r="J468" s="7" t="str">
        <f>IFERROR(__xludf.DUMMYFUNCTION("SPLIT($A468,""Rua"","""")")," Francisco de Souza Moraes")</f>
        <v> Francisco de Souza Moraes</v>
      </c>
    </row>
    <row r="469" ht="15.75" customHeight="1">
      <c r="A469" s="5" t="s">
        <v>3796</v>
      </c>
      <c r="B469" s="5" t="s">
        <v>3072</v>
      </c>
      <c r="C469" s="4" t="s">
        <v>2839</v>
      </c>
      <c r="D469" s="5" t="s">
        <v>3798</v>
      </c>
      <c r="E469" s="6">
        <v>214.0</v>
      </c>
      <c r="F469" s="6" t="s">
        <v>12</v>
      </c>
      <c r="H469" s="4" t="s">
        <v>2852</v>
      </c>
      <c r="I469" s="3" t="s">
        <v>13</v>
      </c>
      <c r="J469" s="7" t="str">
        <f>IFERROR(__xludf.DUMMYFUNCTION("SPLIT($A469,""Rua"","""")")," Francisco de Souza Moraes")</f>
        <v> Francisco de Souza Moraes</v>
      </c>
    </row>
    <row r="470" ht="15.75" customHeight="1">
      <c r="A470" s="5" t="s">
        <v>3796</v>
      </c>
      <c r="B470" s="5" t="s">
        <v>3091</v>
      </c>
      <c r="C470" s="4" t="s">
        <v>2839</v>
      </c>
      <c r="D470" s="5" t="s">
        <v>3799</v>
      </c>
      <c r="E470" s="6">
        <v>214.0</v>
      </c>
      <c r="F470" s="6" t="s">
        <v>12</v>
      </c>
      <c r="H470" s="4" t="s">
        <v>2852</v>
      </c>
      <c r="I470" s="3" t="s">
        <v>13</v>
      </c>
      <c r="J470" s="7" t="str">
        <f>IFERROR(__xludf.DUMMYFUNCTION("SPLIT($A470,""Rua"","""")")," Francisco de Souza Moraes")</f>
        <v> Francisco de Souza Moraes</v>
      </c>
    </row>
    <row r="471" ht="15.75" customHeight="1">
      <c r="A471" s="5" t="s">
        <v>3800</v>
      </c>
      <c r="B471" s="5" t="s">
        <v>3189</v>
      </c>
      <c r="C471" s="4" t="s">
        <v>2839</v>
      </c>
      <c r="D471" s="5" t="s">
        <v>3801</v>
      </c>
      <c r="E471" s="6">
        <v>214.0</v>
      </c>
      <c r="F471" s="6" t="s">
        <v>12</v>
      </c>
      <c r="H471" s="4" t="s">
        <v>2852</v>
      </c>
      <c r="I471" s="3" t="s">
        <v>13</v>
      </c>
      <c r="J471" s="7" t="str">
        <f>IFERROR(__xludf.DUMMYFUNCTION("SPLIT($A471,""Rua"","""")")," Francisco Ferraz de Oliveira")</f>
        <v> Francisco Ferraz de Oliveira</v>
      </c>
    </row>
    <row r="472" ht="15.75" customHeight="1">
      <c r="A472" s="5" t="s">
        <v>3802</v>
      </c>
      <c r="B472" s="5" t="s">
        <v>3027</v>
      </c>
      <c r="C472" s="4" t="s">
        <v>2839</v>
      </c>
      <c r="D472" s="5" t="s">
        <v>3803</v>
      </c>
      <c r="E472" s="6">
        <v>214.0</v>
      </c>
      <c r="F472" s="6" t="s">
        <v>12</v>
      </c>
      <c r="H472" s="4" t="s">
        <v>2852</v>
      </c>
      <c r="I472" s="3" t="s">
        <v>13</v>
      </c>
      <c r="J472" s="7" t="str">
        <f>IFERROR(__xludf.DUMMYFUNCTION("SPLIT($A472,""Rua"","""")")," Francisco Gomes de Toledo - até 545/546")</f>
        <v> Francisco Gomes de Toledo - até 545/546</v>
      </c>
    </row>
    <row r="473" ht="15.75" customHeight="1">
      <c r="A473" s="5" t="s">
        <v>3804</v>
      </c>
      <c r="B473" s="5" t="s">
        <v>3294</v>
      </c>
      <c r="C473" s="4" t="s">
        <v>2839</v>
      </c>
      <c r="D473" s="5" t="s">
        <v>3805</v>
      </c>
      <c r="E473" s="6">
        <v>214.0</v>
      </c>
      <c r="F473" s="6" t="s">
        <v>12</v>
      </c>
      <c r="H473" s="4" t="s">
        <v>2852</v>
      </c>
      <c r="I473" s="3" t="s">
        <v>13</v>
      </c>
      <c r="J473" s="7" t="str">
        <f>IFERROR(__xludf.DUMMYFUNCTION("SPLIT($A473,""Rua"","""")")," Francisco Gomes de Toledo - de 547/548 ao fim")</f>
        <v> Francisco Gomes de Toledo - de 547/548 ao fim</v>
      </c>
    </row>
    <row r="474" ht="15.75" customHeight="1">
      <c r="A474" s="5" t="s">
        <v>3806</v>
      </c>
      <c r="B474" s="5" t="s">
        <v>3579</v>
      </c>
      <c r="C474" s="4" t="s">
        <v>2839</v>
      </c>
      <c r="D474" s="5" t="s">
        <v>3807</v>
      </c>
      <c r="E474" s="6">
        <v>214.0</v>
      </c>
      <c r="F474" s="6" t="s">
        <v>12</v>
      </c>
      <c r="H474" s="4" t="s">
        <v>2852</v>
      </c>
      <c r="I474" s="3" t="s">
        <v>13</v>
      </c>
      <c r="J474" s="7" t="str">
        <f>IFERROR(__xludf.DUMMYFUNCTION("SPLIT($A474,""Rua"","""")")," Francisco Miguel Macedo")</f>
        <v> Francisco Miguel Macedo</v>
      </c>
    </row>
    <row r="475" ht="15.75" customHeight="1">
      <c r="A475" s="5" t="s">
        <v>3808</v>
      </c>
      <c r="B475" s="5" t="s">
        <v>3088</v>
      </c>
      <c r="C475" s="4" t="s">
        <v>2839</v>
      </c>
      <c r="D475" s="5" t="s">
        <v>3809</v>
      </c>
      <c r="E475" s="6">
        <v>214.0</v>
      </c>
      <c r="F475" s="6" t="s">
        <v>12</v>
      </c>
      <c r="H475" s="4" t="s">
        <v>2852</v>
      </c>
      <c r="I475" s="3" t="s">
        <v>13</v>
      </c>
      <c r="J475" s="7" t="str">
        <f>IFERROR(__xludf.DUMMYFUNCTION("SPLIT($A475,""Rua"","""")")," Francisco Nunes Seckler")</f>
        <v> Francisco Nunes Seckler</v>
      </c>
    </row>
    <row r="476" ht="15.75" customHeight="1">
      <c r="A476" s="5" t="s">
        <v>3810</v>
      </c>
      <c r="B476" s="5" t="s">
        <v>3243</v>
      </c>
      <c r="C476" s="4" t="s">
        <v>2839</v>
      </c>
      <c r="D476" s="5" t="s">
        <v>3811</v>
      </c>
      <c r="E476" s="6">
        <v>214.0</v>
      </c>
      <c r="F476" s="6" t="s">
        <v>12</v>
      </c>
      <c r="H476" s="4" t="s">
        <v>2852</v>
      </c>
      <c r="I476" s="3" t="s">
        <v>13</v>
      </c>
      <c r="J476" s="7" t="str">
        <f>IFERROR(__xludf.DUMMYFUNCTION("SPLIT($A476,""Rua"","""")")," Francisco Picciochi")</f>
        <v> Francisco Picciochi</v>
      </c>
    </row>
    <row r="477" ht="15.75" customHeight="1">
      <c r="A477" s="13" t="s">
        <v>3812</v>
      </c>
      <c r="B477" s="13" t="s">
        <v>3211</v>
      </c>
      <c r="C477" s="4" t="s">
        <v>2839</v>
      </c>
      <c r="D477" s="13" t="s">
        <v>3813</v>
      </c>
      <c r="E477" s="6">
        <v>214.0</v>
      </c>
      <c r="F477" s="6" t="s">
        <v>12</v>
      </c>
      <c r="H477" s="4" t="s">
        <v>2852</v>
      </c>
      <c r="I477" s="3" t="s">
        <v>13</v>
      </c>
      <c r="J477" s="7" t="str">
        <f>IFERROR(__xludf.DUMMYFUNCTION("SPLIT($A477,""Rua"","""")")," Francisco Rocha")</f>
        <v> Francisco Rocha</v>
      </c>
    </row>
    <row r="478" ht="15.75" customHeight="1">
      <c r="A478" s="5" t="s">
        <v>3814</v>
      </c>
      <c r="B478" s="5" t="s">
        <v>2996</v>
      </c>
      <c r="C478" s="4" t="s">
        <v>2839</v>
      </c>
      <c r="D478" s="5" t="s">
        <v>3815</v>
      </c>
      <c r="E478" s="6">
        <v>214.0</v>
      </c>
      <c r="F478" s="6" t="s">
        <v>12</v>
      </c>
      <c r="H478" s="4" t="s">
        <v>2852</v>
      </c>
      <c r="I478" s="3" t="s">
        <v>13</v>
      </c>
      <c r="J478" s="7" t="str">
        <f>IFERROR(__xludf.DUMMYFUNCTION("SPLIT($A478,""Rua"","""")")," Frederico Brand")</f>
        <v> Frederico Brand</v>
      </c>
    </row>
    <row r="479" ht="15.75" customHeight="1">
      <c r="A479" s="5" t="s">
        <v>3816</v>
      </c>
      <c r="B479" s="5" t="s">
        <v>3001</v>
      </c>
      <c r="C479" s="4" t="s">
        <v>2839</v>
      </c>
      <c r="D479" s="5" t="s">
        <v>3817</v>
      </c>
      <c r="E479" s="6">
        <v>214.0</v>
      </c>
      <c r="F479" s="6" t="s">
        <v>12</v>
      </c>
      <c r="H479" s="4" t="s">
        <v>2852</v>
      </c>
      <c r="I479" s="3" t="s">
        <v>13</v>
      </c>
      <c r="J479" s="7" t="str">
        <f>IFERROR(__xludf.DUMMYFUNCTION("SPLIT($A479,""Rua"","""")")," Frederico Palmieri")</f>
        <v> Frederico Palmieri</v>
      </c>
    </row>
    <row r="480" ht="15.75" customHeight="1">
      <c r="A480" s="5" t="s">
        <v>3818</v>
      </c>
      <c r="B480" s="5" t="s">
        <v>3072</v>
      </c>
      <c r="C480" s="4" t="s">
        <v>2839</v>
      </c>
      <c r="D480" s="5" t="s">
        <v>3819</v>
      </c>
      <c r="E480" s="6">
        <v>214.0</v>
      </c>
      <c r="F480" s="6" t="s">
        <v>12</v>
      </c>
      <c r="H480" s="4" t="s">
        <v>2852</v>
      </c>
      <c r="I480" s="3" t="s">
        <v>13</v>
      </c>
      <c r="J480" s="7" t="str">
        <f>IFERROR(__xludf.DUMMYFUNCTION("SPLIT($A480,""Rua"","""")")," Gabriel Antônio de Carvalho")</f>
        <v> Gabriel Antônio de Carvalho</v>
      </c>
    </row>
    <row r="481" ht="15.75" customHeight="1">
      <c r="A481" s="5" t="s">
        <v>3820</v>
      </c>
      <c r="B481" s="5" t="s">
        <v>3061</v>
      </c>
      <c r="C481" s="4" t="s">
        <v>2839</v>
      </c>
      <c r="D481" s="5" t="s">
        <v>3821</v>
      </c>
      <c r="E481" s="6">
        <v>214.0</v>
      </c>
      <c r="F481" s="6" t="s">
        <v>12</v>
      </c>
      <c r="H481" s="4" t="s">
        <v>2852</v>
      </c>
      <c r="I481" s="3" t="s">
        <v>13</v>
      </c>
      <c r="J481" s="7" t="str">
        <f>IFERROR(__xludf.DUMMYFUNCTION("SPLIT($A481,""Rua"","""")")," Gabriel Simeira")</f>
        <v> Gabriel Simeira</v>
      </c>
    </row>
    <row r="482" ht="15.75" customHeight="1">
      <c r="A482" s="5" t="s">
        <v>3822</v>
      </c>
      <c r="B482" s="5" t="s">
        <v>180</v>
      </c>
      <c r="C482" s="4" t="s">
        <v>2839</v>
      </c>
      <c r="D482" s="5" t="s">
        <v>3823</v>
      </c>
      <c r="E482" s="6">
        <v>214.0</v>
      </c>
      <c r="F482" s="6" t="s">
        <v>12</v>
      </c>
      <c r="H482" s="4" t="s">
        <v>2852</v>
      </c>
      <c r="I482" s="3" t="s">
        <v>13</v>
      </c>
      <c r="J482" s="7" t="str">
        <f>IFERROR(__xludf.DUMMYFUNCTION("SPLIT($A482,""Rua"","""")")," Gastão Vidigal")</f>
        <v> Gastão Vidigal</v>
      </c>
    </row>
    <row r="483" ht="15.75" customHeight="1">
      <c r="A483" s="5" t="s">
        <v>3824</v>
      </c>
      <c r="B483" s="5" t="s">
        <v>3825</v>
      </c>
      <c r="C483" s="4" t="s">
        <v>2839</v>
      </c>
      <c r="D483" s="5" t="s">
        <v>3826</v>
      </c>
      <c r="E483" s="6">
        <v>214.0</v>
      </c>
      <c r="F483" s="6" t="s">
        <v>12</v>
      </c>
      <c r="H483" s="4" t="s">
        <v>2852</v>
      </c>
      <c r="I483" s="3" t="s">
        <v>13</v>
      </c>
      <c r="J483" s="7" t="str">
        <f>IFERROR(__xludf.DUMMYFUNCTION("SPLIT($A483,""Rua"","""")")," Genésio Azoline")</f>
        <v> Genésio Azoline</v>
      </c>
    </row>
    <row r="484" ht="15.75" customHeight="1">
      <c r="A484" s="5" t="s">
        <v>3827</v>
      </c>
      <c r="B484" s="5" t="s">
        <v>2959</v>
      </c>
      <c r="C484" s="4" t="s">
        <v>2839</v>
      </c>
      <c r="D484" s="5" t="s">
        <v>3828</v>
      </c>
      <c r="E484" s="6">
        <v>214.0</v>
      </c>
      <c r="F484" s="6" t="s">
        <v>12</v>
      </c>
      <c r="H484" s="4" t="s">
        <v>2852</v>
      </c>
      <c r="I484" s="3" t="s">
        <v>13</v>
      </c>
      <c r="J484" s="7" t="str">
        <f>IFERROR(__xludf.DUMMYFUNCTION("SPLIT($A484,""Rua"","""")")," Genésio Rodrigues")</f>
        <v> Genésio Rodrigues</v>
      </c>
    </row>
    <row r="485" ht="15.75" customHeight="1">
      <c r="A485" s="5" t="s">
        <v>3829</v>
      </c>
      <c r="B485" s="5" t="s">
        <v>3003</v>
      </c>
      <c r="C485" s="4" t="s">
        <v>2839</v>
      </c>
      <c r="D485" s="5" t="s">
        <v>3830</v>
      </c>
      <c r="E485" s="6">
        <v>214.0</v>
      </c>
      <c r="F485" s="6" t="s">
        <v>12</v>
      </c>
      <c r="H485" s="4" t="s">
        <v>2852</v>
      </c>
      <c r="I485" s="3" t="s">
        <v>13</v>
      </c>
      <c r="J485" s="7" t="str">
        <f>IFERROR(__xludf.DUMMYFUNCTION("SPLIT($A485,""Rua"","""")")," Gentil de Arruda")</f>
        <v> Gentil de Arruda</v>
      </c>
    </row>
    <row r="486" ht="15.75" customHeight="1">
      <c r="A486" s="5" t="s">
        <v>3831</v>
      </c>
      <c r="B486" s="5" t="s">
        <v>3832</v>
      </c>
      <c r="C486" s="4" t="s">
        <v>2839</v>
      </c>
      <c r="D486" s="5" t="s">
        <v>3833</v>
      </c>
      <c r="E486" s="6">
        <v>214.0</v>
      </c>
      <c r="F486" s="6" t="s">
        <v>12</v>
      </c>
      <c r="H486" s="4" t="s">
        <v>2852</v>
      </c>
      <c r="I486" s="3" t="s">
        <v>13</v>
      </c>
      <c r="J486" s="7" t="str">
        <f>IFERROR(__xludf.DUMMYFUNCTION("SPLIT($A486,""Rua"","""")")," Geraldo Clemente da Costa")</f>
        <v> Geraldo Clemente da Costa</v>
      </c>
    </row>
    <row r="487" ht="15.75" customHeight="1">
      <c r="A487" s="5" t="s">
        <v>3834</v>
      </c>
      <c r="B487" s="5" t="s">
        <v>180</v>
      </c>
      <c r="C487" s="4" t="s">
        <v>2839</v>
      </c>
      <c r="D487" s="5" t="s">
        <v>3835</v>
      </c>
      <c r="E487" s="6">
        <v>214.0</v>
      </c>
      <c r="F487" s="6" t="s">
        <v>12</v>
      </c>
      <c r="H487" s="4" t="s">
        <v>2852</v>
      </c>
      <c r="I487" s="3" t="s">
        <v>13</v>
      </c>
      <c r="J487" s="7" t="str">
        <f>IFERROR(__xludf.DUMMYFUNCTION("SPLIT($A487,""Rua"","""")")," Geraldo Esmédio Pires")</f>
        <v> Geraldo Esmédio Pires</v>
      </c>
    </row>
    <row r="488" ht="15.75" customHeight="1">
      <c r="A488" s="5" t="s">
        <v>3836</v>
      </c>
      <c r="B488" s="5" t="s">
        <v>3591</v>
      </c>
      <c r="C488" s="4" t="s">
        <v>2839</v>
      </c>
      <c r="D488" s="5" t="s">
        <v>3837</v>
      </c>
      <c r="E488" s="6">
        <v>214.0</v>
      </c>
      <c r="F488" s="6" t="s">
        <v>12</v>
      </c>
      <c r="H488" s="4" t="s">
        <v>2852</v>
      </c>
      <c r="I488" s="3" t="s">
        <v>13</v>
      </c>
      <c r="J488" s="7" t="str">
        <f>IFERROR(__xludf.DUMMYFUNCTION("SPLIT($A488,""Rua"","""")")," Gessia Odete de Morais Lisboa")</f>
        <v> Gessia Odete de Morais Lisboa</v>
      </c>
    </row>
    <row r="489" ht="15.75" customHeight="1">
      <c r="A489" s="5" t="s">
        <v>3838</v>
      </c>
      <c r="B489" s="5" t="s">
        <v>3056</v>
      </c>
      <c r="C489" s="4" t="s">
        <v>2839</v>
      </c>
      <c r="D489" s="5" t="s">
        <v>3839</v>
      </c>
      <c r="E489" s="6">
        <v>214.0</v>
      </c>
      <c r="F489" s="6" t="s">
        <v>12</v>
      </c>
      <c r="H489" s="4" t="s">
        <v>2852</v>
      </c>
      <c r="I489" s="3" t="s">
        <v>13</v>
      </c>
      <c r="J489" s="7" t="str">
        <f>IFERROR(__xludf.DUMMYFUNCTION("SPLIT($A489,""Rua"","""")")," Getro Soares de Souza")</f>
        <v> Getro Soares de Souza</v>
      </c>
    </row>
    <row r="490" ht="15.75" customHeight="1">
      <c r="A490" s="5" t="s">
        <v>3840</v>
      </c>
      <c r="B490" s="5" t="s">
        <v>3643</v>
      </c>
      <c r="C490" s="4" t="s">
        <v>2839</v>
      </c>
      <c r="D490" s="5" t="s">
        <v>3841</v>
      </c>
      <c r="E490" s="6">
        <v>214.0</v>
      </c>
      <c r="F490" s="6" t="s">
        <v>12</v>
      </c>
      <c r="H490" s="4" t="s">
        <v>2852</v>
      </c>
      <c r="I490" s="3" t="s">
        <v>13</v>
      </c>
      <c r="J490" s="7" t="str">
        <f>IFERROR(__xludf.DUMMYFUNCTION("SPLIT($A490,""Rua"","""")")," Gilberto Sampaio Torres")</f>
        <v> Gilberto Sampaio Torres</v>
      </c>
    </row>
    <row r="491" ht="15.75" customHeight="1">
      <c r="A491" s="5" t="s">
        <v>3842</v>
      </c>
      <c r="B491" s="5" t="s">
        <v>3221</v>
      </c>
      <c r="C491" s="4" t="s">
        <v>2839</v>
      </c>
      <c r="D491" s="5" t="s">
        <v>3843</v>
      </c>
      <c r="E491" s="6">
        <v>214.0</v>
      </c>
      <c r="F491" s="6" t="s">
        <v>12</v>
      </c>
      <c r="H491" s="4" t="s">
        <v>2852</v>
      </c>
      <c r="I491" s="3" t="s">
        <v>13</v>
      </c>
      <c r="J491" s="7" t="str">
        <f>IFERROR(__xludf.DUMMYFUNCTION("SPLIT($A491,""Rua"","""")")," Ginda Thomé Bazzo")</f>
        <v> Ginda Thomé Bazzo</v>
      </c>
    </row>
    <row r="492" ht="15.75" customHeight="1">
      <c r="A492" s="5" t="s">
        <v>3844</v>
      </c>
      <c r="B492" s="5" t="s">
        <v>2977</v>
      </c>
      <c r="C492" s="4" t="s">
        <v>2839</v>
      </c>
      <c r="D492" s="5" t="s">
        <v>3845</v>
      </c>
      <c r="E492" s="6">
        <v>214.0</v>
      </c>
      <c r="F492" s="6" t="s">
        <v>12</v>
      </c>
      <c r="H492" s="4" t="s">
        <v>2852</v>
      </c>
      <c r="I492" s="3" t="s">
        <v>13</v>
      </c>
      <c r="J492" s="7" t="str">
        <f>IFERROR(__xludf.DUMMYFUNCTION("SPLIT($A492,""Rua"","""")")," Guaianases")</f>
        <v> Guaianases</v>
      </c>
    </row>
    <row r="493" ht="15.75" customHeight="1">
      <c r="A493" s="5" t="s">
        <v>3846</v>
      </c>
      <c r="B493" s="5" t="s">
        <v>3054</v>
      </c>
      <c r="C493" s="4" t="s">
        <v>2839</v>
      </c>
      <c r="D493" s="5" t="s">
        <v>3847</v>
      </c>
      <c r="E493" s="6">
        <v>214.0</v>
      </c>
      <c r="F493" s="6" t="s">
        <v>12</v>
      </c>
      <c r="H493" s="4" t="s">
        <v>2852</v>
      </c>
      <c r="I493" s="3" t="s">
        <v>13</v>
      </c>
      <c r="J493" s="7" t="str">
        <f>IFERROR(__xludf.DUMMYFUNCTION("SPLIT($A493,""Rua"","""")")," Guerino Bellon")</f>
        <v> Guerino Bellon</v>
      </c>
    </row>
    <row r="494" ht="15.75" customHeight="1">
      <c r="A494" s="5" t="s">
        <v>3848</v>
      </c>
      <c r="B494" s="5" t="s">
        <v>3243</v>
      </c>
      <c r="C494" s="4" t="s">
        <v>2839</v>
      </c>
      <c r="D494" s="5" t="s">
        <v>3849</v>
      </c>
      <c r="E494" s="6">
        <v>214.0</v>
      </c>
      <c r="F494" s="6" t="s">
        <v>12</v>
      </c>
      <c r="H494" s="4" t="s">
        <v>2852</v>
      </c>
      <c r="I494" s="3" t="s">
        <v>13</v>
      </c>
      <c r="J494" s="7" t="str">
        <f>IFERROR(__xludf.DUMMYFUNCTION("SPLIT($A494,""Rua"","""")")," Guilherme de Almeida")</f>
        <v> Guilherme de Almeida</v>
      </c>
    </row>
    <row r="495" ht="15.75" customHeight="1">
      <c r="A495" s="5" t="s">
        <v>3850</v>
      </c>
      <c r="B495" s="5" t="s">
        <v>3277</v>
      </c>
      <c r="C495" s="4" t="s">
        <v>2839</v>
      </c>
      <c r="D495" s="5" t="s">
        <v>3851</v>
      </c>
      <c r="E495" s="6">
        <v>214.0</v>
      </c>
      <c r="F495" s="6" t="s">
        <v>12</v>
      </c>
      <c r="H495" s="4" t="s">
        <v>2852</v>
      </c>
      <c r="I495" s="3" t="s">
        <v>13</v>
      </c>
      <c r="J495" s="7" t="str">
        <f>IFERROR(__xludf.DUMMYFUNCTION("SPLIT($A495,""Rua"","""")")," Hans Rehder")</f>
        <v> Hans Rehder</v>
      </c>
    </row>
    <row r="496" ht="15.75" customHeight="1">
      <c r="A496" s="5" t="s">
        <v>3852</v>
      </c>
      <c r="B496" s="5" t="s">
        <v>3027</v>
      </c>
      <c r="C496" s="4" t="s">
        <v>2839</v>
      </c>
      <c r="D496" s="5" t="s">
        <v>3853</v>
      </c>
      <c r="E496" s="6">
        <v>214.0</v>
      </c>
      <c r="F496" s="6" t="s">
        <v>12</v>
      </c>
      <c r="H496" s="4" t="s">
        <v>2852</v>
      </c>
      <c r="I496" s="3" t="s">
        <v>13</v>
      </c>
      <c r="J496" s="7" t="str">
        <f>IFERROR(__xludf.DUMMYFUNCTION("SPLIT($A496,""Rua"","""")")," Henrique Dias")</f>
        <v> Henrique Dias</v>
      </c>
    </row>
    <row r="497" ht="15.75" customHeight="1">
      <c r="A497" s="5" t="s">
        <v>3854</v>
      </c>
      <c r="B497" s="5" t="s">
        <v>3065</v>
      </c>
      <c r="C497" s="4" t="s">
        <v>2839</v>
      </c>
      <c r="D497" s="5" t="s">
        <v>3855</v>
      </c>
      <c r="E497" s="6">
        <v>214.0</v>
      </c>
      <c r="F497" s="6" t="s">
        <v>12</v>
      </c>
      <c r="H497" s="4" t="s">
        <v>2852</v>
      </c>
      <c r="I497" s="3" t="s">
        <v>13</v>
      </c>
      <c r="J497" s="7" t="str">
        <f>IFERROR(__xludf.DUMMYFUNCTION("SPLIT($A497,""Rua"","""")")," Henrique Wandeveld")</f>
        <v> Henrique Wandeveld</v>
      </c>
    </row>
    <row r="498" ht="15.75" customHeight="1">
      <c r="A498" s="5" t="s">
        <v>3856</v>
      </c>
      <c r="B498" s="5" t="s">
        <v>3047</v>
      </c>
      <c r="C498" s="4" t="s">
        <v>2839</v>
      </c>
      <c r="D498" s="5" t="s">
        <v>3857</v>
      </c>
      <c r="E498" s="6">
        <v>214.0</v>
      </c>
      <c r="F498" s="6" t="s">
        <v>12</v>
      </c>
      <c r="H498" s="4" t="s">
        <v>2852</v>
      </c>
      <c r="I498" s="3" t="s">
        <v>13</v>
      </c>
      <c r="J498" s="7" t="str">
        <f>IFERROR(__xludf.DUMMYFUNCTION("SPLIT($A498,""Rua"","""")")," Hermínio Leroy")</f>
        <v> Hermínio Leroy</v>
      </c>
    </row>
    <row r="499" ht="15.75" customHeight="1">
      <c r="A499" s="5" t="s">
        <v>3858</v>
      </c>
      <c r="B499" s="5" t="s">
        <v>3591</v>
      </c>
      <c r="C499" s="4" t="s">
        <v>2839</v>
      </c>
      <c r="D499" s="5" t="s">
        <v>3859</v>
      </c>
      <c r="E499" s="6">
        <v>214.0</v>
      </c>
      <c r="F499" s="6" t="s">
        <v>12</v>
      </c>
      <c r="H499" s="4" t="s">
        <v>2852</v>
      </c>
      <c r="I499" s="3" t="s">
        <v>13</v>
      </c>
      <c r="J499" s="7" t="str">
        <f>IFERROR(__xludf.DUMMYFUNCTION("SPLIT($A499,""Rua"","""")")," Humberto Marteli")</f>
        <v> Humberto Marteli</v>
      </c>
    </row>
    <row r="500" ht="15.75" customHeight="1">
      <c r="A500" s="5" t="s">
        <v>3858</v>
      </c>
      <c r="B500" s="5" t="s">
        <v>3328</v>
      </c>
      <c r="C500" s="4" t="s">
        <v>2839</v>
      </c>
      <c r="D500" s="5" t="s">
        <v>3860</v>
      </c>
      <c r="E500" s="6">
        <v>214.0</v>
      </c>
      <c r="F500" s="6" t="s">
        <v>12</v>
      </c>
      <c r="H500" s="4" t="s">
        <v>2852</v>
      </c>
      <c r="I500" s="3" t="s">
        <v>13</v>
      </c>
      <c r="J500" s="7" t="str">
        <f>IFERROR(__xludf.DUMMYFUNCTION("SPLIT($A500,""Rua"","""")")," Humberto Marteli")</f>
        <v> Humberto Marteli</v>
      </c>
    </row>
    <row r="501" ht="15.75" customHeight="1">
      <c r="A501" s="5" t="s">
        <v>3861</v>
      </c>
      <c r="B501" s="5" t="s">
        <v>2945</v>
      </c>
      <c r="C501" s="4" t="s">
        <v>2839</v>
      </c>
      <c r="D501" s="5" t="s">
        <v>3862</v>
      </c>
      <c r="E501" s="6">
        <v>214.0</v>
      </c>
      <c r="F501" s="6" t="s">
        <v>12</v>
      </c>
      <c r="H501" s="4" t="s">
        <v>2852</v>
      </c>
      <c r="I501" s="3" t="s">
        <v>13</v>
      </c>
      <c r="J501" s="7" t="str">
        <f>IFERROR(__xludf.DUMMYFUNCTION("SPLIT($A501,""Rua"","""")")," Iara")</f>
        <v> Iara</v>
      </c>
    </row>
    <row r="502" ht="15.75" customHeight="1">
      <c r="A502" s="5" t="s">
        <v>3863</v>
      </c>
      <c r="B502" s="5" t="s">
        <v>3018</v>
      </c>
      <c r="C502" s="4" t="s">
        <v>2839</v>
      </c>
      <c r="D502" s="5" t="s">
        <v>3864</v>
      </c>
      <c r="E502" s="6">
        <v>214.0</v>
      </c>
      <c r="F502" s="6" t="s">
        <v>12</v>
      </c>
      <c r="H502" s="4" t="s">
        <v>2852</v>
      </c>
      <c r="I502" s="3" t="s">
        <v>13</v>
      </c>
      <c r="J502" s="7" t="str">
        <f>IFERROR(__xludf.DUMMYFUNCTION("SPLIT($A502,""Rua"","""")")," Ibraim Paes da Mota")</f>
        <v> Ibraim Paes da Mota</v>
      </c>
    </row>
    <row r="503" ht="15.75" customHeight="1">
      <c r="A503" s="5" t="s">
        <v>3865</v>
      </c>
      <c r="B503" s="5" t="s">
        <v>3832</v>
      </c>
      <c r="C503" s="4" t="s">
        <v>2839</v>
      </c>
      <c r="D503" s="5" t="s">
        <v>3866</v>
      </c>
      <c r="E503" s="6">
        <v>214.0</v>
      </c>
      <c r="F503" s="6" t="s">
        <v>12</v>
      </c>
      <c r="H503" s="4" t="s">
        <v>2852</v>
      </c>
      <c r="I503" s="3" t="s">
        <v>13</v>
      </c>
      <c r="J503" s="7" t="str">
        <f>IFERROR(__xludf.DUMMYFUNCTION("SPLIT($A503,""Rua"","""")")," Idalina de Souza Martins")</f>
        <v> Idalina de Souza Martins</v>
      </c>
    </row>
    <row r="504" ht="15.75" customHeight="1">
      <c r="A504" s="5" t="s">
        <v>3867</v>
      </c>
      <c r="B504" s="5" t="s">
        <v>3016</v>
      </c>
      <c r="C504" s="4" t="s">
        <v>2839</v>
      </c>
      <c r="D504" s="5" t="s">
        <v>3868</v>
      </c>
      <c r="E504" s="6">
        <v>214.0</v>
      </c>
      <c r="F504" s="6" t="s">
        <v>12</v>
      </c>
      <c r="H504" s="4" t="s">
        <v>2852</v>
      </c>
      <c r="I504" s="3" t="s">
        <v>13</v>
      </c>
      <c r="J504" s="7" t="str">
        <f>IFERROR(__xludf.DUMMYFUNCTION("SPLIT($A504,""Rua"","""")")," Ignácio Chagas")</f>
        <v> Ignácio Chagas</v>
      </c>
    </row>
    <row r="505" ht="15.75" customHeight="1">
      <c r="A505" s="5" t="s">
        <v>3869</v>
      </c>
      <c r="B505" s="5" t="s">
        <v>2977</v>
      </c>
      <c r="C505" s="4" t="s">
        <v>2839</v>
      </c>
      <c r="D505" s="5" t="s">
        <v>3870</v>
      </c>
      <c r="E505" s="6">
        <v>214.0</v>
      </c>
      <c r="F505" s="6" t="s">
        <v>12</v>
      </c>
      <c r="H505" s="4" t="s">
        <v>2852</v>
      </c>
      <c r="I505" s="3" t="s">
        <v>13</v>
      </c>
      <c r="J505" s="7" t="str">
        <f>IFERROR(__xludf.DUMMYFUNCTION("SPLIT($A505,""Rua"","""")")," Imperial")</f>
        <v> Imperial</v>
      </c>
    </row>
    <row r="506" ht="15.75" customHeight="1">
      <c r="A506" s="5" t="s">
        <v>3871</v>
      </c>
      <c r="B506" s="5" t="s">
        <v>3107</v>
      </c>
      <c r="C506" s="4" t="s">
        <v>2839</v>
      </c>
      <c r="D506" s="5" t="s">
        <v>3872</v>
      </c>
      <c r="E506" s="6">
        <v>214.0</v>
      </c>
      <c r="F506" s="6" t="s">
        <v>12</v>
      </c>
      <c r="H506" s="4" t="s">
        <v>2852</v>
      </c>
      <c r="I506" s="3" t="s">
        <v>13</v>
      </c>
      <c r="J506" s="7" t="str">
        <f>IFERROR(__xludf.DUMMYFUNCTION("SPLIT($A506,""Rua"","""")")," Indaiatuba")</f>
        <v> Indaiatuba</v>
      </c>
    </row>
    <row r="507" ht="15.75" customHeight="1">
      <c r="A507" s="5" t="s">
        <v>3873</v>
      </c>
      <c r="B507" s="5" t="s">
        <v>3058</v>
      </c>
      <c r="C507" s="4" t="s">
        <v>2839</v>
      </c>
      <c r="D507" s="5" t="s">
        <v>3874</v>
      </c>
      <c r="E507" s="6">
        <v>214.0</v>
      </c>
      <c r="F507" s="6" t="s">
        <v>12</v>
      </c>
      <c r="H507" s="4" t="s">
        <v>2852</v>
      </c>
      <c r="I507" s="3" t="s">
        <v>13</v>
      </c>
      <c r="J507" s="7" t="str">
        <f>IFERROR(__xludf.DUMMYFUNCTION("SPLIT($A507,""Rua"","""")")," Irene Segatto Gonçalves")</f>
        <v> Irene Segatto Gonçalves</v>
      </c>
    </row>
    <row r="508" ht="15.75" customHeight="1">
      <c r="A508" s="5" t="s">
        <v>3875</v>
      </c>
      <c r="B508" s="5" t="s">
        <v>3512</v>
      </c>
      <c r="C508" s="4" t="s">
        <v>2839</v>
      </c>
      <c r="D508" s="5" t="s">
        <v>3876</v>
      </c>
      <c r="E508" s="6">
        <v>214.0</v>
      </c>
      <c r="F508" s="6" t="s">
        <v>12</v>
      </c>
      <c r="H508" s="4" t="s">
        <v>2852</v>
      </c>
      <c r="I508" s="3" t="s">
        <v>13</v>
      </c>
      <c r="J508" s="7" t="str">
        <f>IFERROR(__xludf.DUMMYFUNCTION("SPLIT($A508,""Rua"","""")")," Irmã Eliza Ambrósio")</f>
        <v> Irmã Eliza Ambrósio</v>
      </c>
    </row>
    <row r="509" ht="15.75" customHeight="1">
      <c r="A509" s="5" t="s">
        <v>3877</v>
      </c>
      <c r="B509" s="5" t="s">
        <v>3061</v>
      </c>
      <c r="C509" s="4" t="s">
        <v>2839</v>
      </c>
      <c r="D509" s="5" t="s">
        <v>3878</v>
      </c>
      <c r="E509" s="6">
        <v>214.0</v>
      </c>
      <c r="F509" s="6" t="s">
        <v>12</v>
      </c>
      <c r="H509" s="4" t="s">
        <v>2852</v>
      </c>
      <c r="I509" s="3" t="s">
        <v>13</v>
      </c>
      <c r="J509" s="7" t="str">
        <f>IFERROR(__xludf.DUMMYFUNCTION("SPLIT($A509,""Rua"","""")")," Irton Mauricio de Oliveira")</f>
        <v> Irton Mauricio de Oliveira</v>
      </c>
    </row>
    <row r="510" ht="15.75" customHeight="1">
      <c r="A510" s="5" t="s">
        <v>3879</v>
      </c>
      <c r="B510" s="5" t="s">
        <v>3832</v>
      </c>
      <c r="C510" s="4" t="s">
        <v>2839</v>
      </c>
      <c r="D510" s="5" t="s">
        <v>3880</v>
      </c>
      <c r="E510" s="6">
        <v>214.0</v>
      </c>
      <c r="F510" s="6" t="s">
        <v>12</v>
      </c>
      <c r="H510" s="4" t="s">
        <v>2852</v>
      </c>
      <c r="I510" s="3" t="s">
        <v>13</v>
      </c>
      <c r="J510" s="7" t="str">
        <f>IFERROR(__xludf.DUMMYFUNCTION("SPLIT($A510,""Rua"","""")")," Isaias Paludetto")</f>
        <v> Isaias Paludetto</v>
      </c>
    </row>
    <row r="511" ht="15.75" customHeight="1">
      <c r="A511" s="5" t="s">
        <v>3881</v>
      </c>
      <c r="B511" s="5" t="s">
        <v>3393</v>
      </c>
      <c r="C511" s="4" t="s">
        <v>2839</v>
      </c>
      <c r="D511" s="5" t="s">
        <v>3882</v>
      </c>
      <c r="E511" s="6">
        <v>214.0</v>
      </c>
      <c r="F511" s="6" t="s">
        <v>12</v>
      </c>
      <c r="H511" s="4" t="s">
        <v>2852</v>
      </c>
      <c r="I511" s="3" t="s">
        <v>13</v>
      </c>
      <c r="J511" s="7" t="str">
        <f>IFERROR(__xludf.DUMMYFUNCTION("SPLIT($A511,""Rua"","""")")," Itália Menegon Pellegrini")</f>
        <v> Itália Menegon Pellegrini</v>
      </c>
    </row>
    <row r="512" ht="15.75" customHeight="1">
      <c r="A512" s="5" t="s">
        <v>3883</v>
      </c>
      <c r="B512" s="5" t="s">
        <v>3034</v>
      </c>
      <c r="C512" s="4" t="s">
        <v>2839</v>
      </c>
      <c r="D512" s="5" t="s">
        <v>3884</v>
      </c>
      <c r="E512" s="6">
        <v>214.0</v>
      </c>
      <c r="F512" s="6" t="s">
        <v>12</v>
      </c>
      <c r="H512" s="4" t="s">
        <v>2852</v>
      </c>
      <c r="I512" s="3" t="s">
        <v>13</v>
      </c>
      <c r="J512" s="7" t="str">
        <f>IFERROR(__xludf.DUMMYFUNCTION("SPLIT($A512,""Rua"","""")")," Itália Previtali")</f>
        <v> Itália Previtali</v>
      </c>
    </row>
    <row r="513" ht="15.75" customHeight="1">
      <c r="A513" s="5" t="s">
        <v>3885</v>
      </c>
      <c r="B513" s="5" t="s">
        <v>3197</v>
      </c>
      <c r="C513" s="4" t="s">
        <v>2839</v>
      </c>
      <c r="D513" s="5" t="s">
        <v>3886</v>
      </c>
      <c r="E513" s="6">
        <v>214.0</v>
      </c>
      <c r="F513" s="6" t="s">
        <v>12</v>
      </c>
      <c r="H513" s="4" t="s">
        <v>2852</v>
      </c>
      <c r="I513" s="3" t="s">
        <v>13</v>
      </c>
      <c r="J513" s="7" t="str">
        <f>IFERROR(__xludf.DUMMYFUNCTION("SPLIT($A513,""Rua"","""")")," Itamar Segundo Alves de Santana")</f>
        <v> Itamar Segundo Alves de Santana</v>
      </c>
    </row>
    <row r="514" ht="15.75" customHeight="1">
      <c r="A514" s="5" t="s">
        <v>3887</v>
      </c>
      <c r="B514" s="5" t="s">
        <v>3107</v>
      </c>
      <c r="C514" s="4" t="s">
        <v>2839</v>
      </c>
      <c r="D514" s="5" t="s">
        <v>3888</v>
      </c>
      <c r="E514" s="6">
        <v>214.0</v>
      </c>
      <c r="F514" s="6" t="s">
        <v>12</v>
      </c>
      <c r="H514" s="4" t="s">
        <v>2852</v>
      </c>
      <c r="I514" s="3" t="s">
        <v>13</v>
      </c>
      <c r="J514" s="7" t="str">
        <f>IFERROR(__xludf.DUMMYFUNCTION("SPLIT($A514,""Rua"","""")")," Itu")</f>
        <v> Itu</v>
      </c>
    </row>
    <row r="515" ht="15.75" customHeight="1">
      <c r="A515" s="5" t="s">
        <v>3889</v>
      </c>
      <c r="B515" s="5" t="s">
        <v>3039</v>
      </c>
      <c r="C515" s="4" t="s">
        <v>2839</v>
      </c>
      <c r="D515" s="5" t="s">
        <v>3890</v>
      </c>
      <c r="E515" s="6">
        <v>214.0</v>
      </c>
      <c r="F515" s="6" t="s">
        <v>12</v>
      </c>
      <c r="H515" s="4" t="s">
        <v>2852</v>
      </c>
      <c r="I515" s="3" t="s">
        <v>13</v>
      </c>
      <c r="J515" s="7" t="str">
        <f>IFERROR(__xludf.DUMMYFUNCTION("SPLIT($A515,""Rua"","""")")," Iza Fillietaz Leite")</f>
        <v> Iza Fillietaz Leite</v>
      </c>
    </row>
    <row r="516" ht="15.75" customHeight="1">
      <c r="A516" s="5" t="s">
        <v>3891</v>
      </c>
      <c r="B516" s="5" t="s">
        <v>3034</v>
      </c>
      <c r="C516" s="4" t="s">
        <v>2839</v>
      </c>
      <c r="D516" s="5" t="s">
        <v>3892</v>
      </c>
      <c r="E516" s="6">
        <v>214.0</v>
      </c>
      <c r="F516" s="6" t="s">
        <v>12</v>
      </c>
      <c r="H516" s="4" t="s">
        <v>2852</v>
      </c>
      <c r="I516" s="3" t="s">
        <v>13</v>
      </c>
      <c r="J516" s="7" t="str">
        <f>IFERROR(__xludf.DUMMYFUNCTION("SPLIT($A516,""Rua"","""")")," Izolina Martins Telles")</f>
        <v> Izolina Martins Telles</v>
      </c>
    </row>
    <row r="517" ht="15.75" customHeight="1">
      <c r="A517" s="5" t="s">
        <v>3893</v>
      </c>
      <c r="B517" s="5" t="s">
        <v>3027</v>
      </c>
      <c r="C517" s="4" t="s">
        <v>2839</v>
      </c>
      <c r="D517" s="5" t="s">
        <v>3894</v>
      </c>
      <c r="E517" s="6">
        <v>214.0</v>
      </c>
      <c r="F517" s="6" t="s">
        <v>12</v>
      </c>
      <c r="H517" s="4" t="s">
        <v>2852</v>
      </c>
      <c r="I517" s="3" t="s">
        <v>13</v>
      </c>
      <c r="J517" s="7" t="str">
        <f>IFERROR(__xludf.DUMMYFUNCTION("SPLIT($A517,""Rua"","""")")," Jarbas Seabra Leal")</f>
        <v> Jarbas Seabra Leal</v>
      </c>
    </row>
    <row r="518" ht="15.75" customHeight="1">
      <c r="A518" s="5" t="s">
        <v>3895</v>
      </c>
      <c r="B518" s="5" t="s">
        <v>180</v>
      </c>
      <c r="C518" s="4" t="s">
        <v>2839</v>
      </c>
      <c r="D518" s="5" t="s">
        <v>3896</v>
      </c>
      <c r="E518" s="6">
        <v>214.0</v>
      </c>
      <c r="F518" s="6" t="s">
        <v>12</v>
      </c>
      <c r="H518" s="4" t="s">
        <v>2852</v>
      </c>
      <c r="I518" s="3" t="s">
        <v>13</v>
      </c>
      <c r="J518" s="7" t="str">
        <f>IFERROR(__xludf.DUMMYFUNCTION("SPLIT($A518,""Rua"","""")")," João Angelieri")</f>
        <v> João Angelieri</v>
      </c>
    </row>
    <row r="519" ht="15.75" customHeight="1">
      <c r="A519" s="5" t="s">
        <v>3897</v>
      </c>
      <c r="B519" s="5" t="s">
        <v>3221</v>
      </c>
      <c r="C519" s="4" t="s">
        <v>2839</v>
      </c>
      <c r="D519" s="5" t="s">
        <v>3898</v>
      </c>
      <c r="E519" s="6">
        <v>214.0</v>
      </c>
      <c r="F519" s="6" t="s">
        <v>12</v>
      </c>
      <c r="H519" s="4" t="s">
        <v>2852</v>
      </c>
      <c r="I519" s="3" t="s">
        <v>13</v>
      </c>
      <c r="J519" s="7" t="str">
        <f>IFERROR(__xludf.DUMMYFUNCTION("SPLIT($A519,""Rua"","""")")," João Avancini")</f>
        <v> João Avancini</v>
      </c>
    </row>
    <row r="520" ht="15.75" customHeight="1">
      <c r="A520" s="5" t="s">
        <v>3899</v>
      </c>
      <c r="B520" s="5" t="s">
        <v>3900</v>
      </c>
      <c r="C520" s="4" t="s">
        <v>2839</v>
      </c>
      <c r="D520" s="5" t="s">
        <v>3901</v>
      </c>
      <c r="E520" s="6">
        <v>214.0</v>
      </c>
      <c r="F520" s="6" t="s">
        <v>12</v>
      </c>
      <c r="H520" s="4" t="s">
        <v>2852</v>
      </c>
      <c r="I520" s="3" t="s">
        <v>13</v>
      </c>
      <c r="J520" s="7" t="str">
        <f>IFERROR(__xludf.DUMMYFUNCTION("SPLIT($A520,""Rua"","""")")," João Baptista de Campos")</f>
        <v> João Baptista de Campos</v>
      </c>
    </row>
    <row r="521" ht="15.75" customHeight="1">
      <c r="A521" s="5" t="s">
        <v>3902</v>
      </c>
      <c r="B521" s="5" t="s">
        <v>3211</v>
      </c>
      <c r="C521" s="4" t="s">
        <v>2839</v>
      </c>
      <c r="D521" s="5" t="s">
        <v>3903</v>
      </c>
      <c r="E521" s="6">
        <v>214.0</v>
      </c>
      <c r="F521" s="6" t="s">
        <v>12</v>
      </c>
      <c r="H521" s="4" t="s">
        <v>2852</v>
      </c>
      <c r="I521" s="3" t="s">
        <v>13</v>
      </c>
      <c r="J521" s="7" t="str">
        <f>IFERROR(__xludf.DUMMYFUNCTION("SPLIT($A521,""Rua"","""")")," João Baptista Ferraz")</f>
        <v> João Baptista Ferraz</v>
      </c>
    </row>
    <row r="522" ht="15.75" customHeight="1">
      <c r="A522" s="5" t="s">
        <v>3904</v>
      </c>
      <c r="B522" s="5" t="s">
        <v>3034</v>
      </c>
      <c r="C522" s="4" t="s">
        <v>2839</v>
      </c>
      <c r="D522" s="5" t="s">
        <v>3905</v>
      </c>
      <c r="E522" s="6">
        <v>214.0</v>
      </c>
      <c r="F522" s="6" t="s">
        <v>12</v>
      </c>
      <c r="H522" s="4" t="s">
        <v>2852</v>
      </c>
      <c r="I522" s="3" t="s">
        <v>13</v>
      </c>
      <c r="J522" s="7" t="str">
        <f>IFERROR(__xludf.DUMMYFUNCTION("SPLIT($A522,""Rua"","""")")," João Baptista Mantovani")</f>
        <v> João Baptista Mantovani</v>
      </c>
    </row>
    <row r="523" ht="15.75" customHeight="1">
      <c r="A523" s="5" t="s">
        <v>3906</v>
      </c>
      <c r="B523" s="5" t="s">
        <v>3016</v>
      </c>
      <c r="C523" s="4" t="s">
        <v>2839</v>
      </c>
      <c r="D523" s="5" t="s">
        <v>3907</v>
      </c>
      <c r="E523" s="6">
        <v>214.0</v>
      </c>
      <c r="F523" s="6" t="s">
        <v>12</v>
      </c>
      <c r="H523" s="4" t="s">
        <v>2852</v>
      </c>
      <c r="I523" s="3" t="s">
        <v>13</v>
      </c>
      <c r="J523" s="7" t="str">
        <f>IFERROR(__xludf.DUMMYFUNCTION("SPLIT($A523,""Rua"","""")")," João Baptista Scarance")</f>
        <v> João Baptista Scarance</v>
      </c>
    </row>
    <row r="524" ht="15.75" customHeight="1">
      <c r="A524" s="5" t="s">
        <v>3908</v>
      </c>
      <c r="B524" s="5" t="s">
        <v>3039</v>
      </c>
      <c r="C524" s="4" t="s">
        <v>2839</v>
      </c>
      <c r="D524" s="5" t="s">
        <v>3909</v>
      </c>
      <c r="E524" s="6">
        <v>214.0</v>
      </c>
      <c r="F524" s="6" t="s">
        <v>12</v>
      </c>
      <c r="H524" s="4" t="s">
        <v>2852</v>
      </c>
      <c r="I524" s="3" t="s">
        <v>13</v>
      </c>
      <c r="J524" s="7" t="str">
        <f>IFERROR(__xludf.DUMMYFUNCTION("SPLIT($A524,""Rua"","""")")," João Batista Albiero")</f>
        <v> João Batista Albiero</v>
      </c>
    </row>
    <row r="525" ht="15.75" customHeight="1">
      <c r="A525" s="5" t="s">
        <v>3910</v>
      </c>
      <c r="B525" s="5" t="s">
        <v>3177</v>
      </c>
      <c r="C525" s="4" t="s">
        <v>2839</v>
      </c>
      <c r="D525" s="5" t="s">
        <v>3911</v>
      </c>
      <c r="E525" s="6">
        <v>214.0</v>
      </c>
      <c r="F525" s="6" t="s">
        <v>12</v>
      </c>
      <c r="H525" s="4" t="s">
        <v>2852</v>
      </c>
      <c r="I525" s="3" t="s">
        <v>13</v>
      </c>
      <c r="J525" s="7" t="str">
        <f>IFERROR(__xludf.DUMMYFUNCTION("SPLIT($A525,""Rua"","""")")," João Batista Paifer Menck")</f>
        <v> João Batista Paifer Menck</v>
      </c>
    </row>
    <row r="526" ht="15.75" customHeight="1">
      <c r="A526" s="5" t="s">
        <v>3912</v>
      </c>
      <c r="B526" s="5" t="s">
        <v>3913</v>
      </c>
      <c r="C526" s="4" t="s">
        <v>2839</v>
      </c>
      <c r="D526" s="5" t="s">
        <v>3914</v>
      </c>
      <c r="E526" s="6">
        <v>214.0</v>
      </c>
      <c r="F526" s="6" t="s">
        <v>12</v>
      </c>
      <c r="H526" s="4" t="s">
        <v>2852</v>
      </c>
      <c r="I526" s="3" t="s">
        <v>13</v>
      </c>
      <c r="J526" s="7" t="str">
        <f>IFERROR(__xludf.DUMMYFUNCTION("SPLIT($A526,""Rua"","""")")," João Brasilio da Silva - até 191/192")</f>
        <v> João Brasilio da Silva - até 191/192</v>
      </c>
    </row>
    <row r="527" ht="15.75" customHeight="1">
      <c r="A527" s="13" t="s">
        <v>3915</v>
      </c>
      <c r="B527" s="13" t="s">
        <v>3825</v>
      </c>
      <c r="C527" s="4" t="s">
        <v>2839</v>
      </c>
      <c r="D527" s="13" t="s">
        <v>3916</v>
      </c>
      <c r="E527" s="6">
        <v>214.0</v>
      </c>
      <c r="F527" s="6" t="s">
        <v>12</v>
      </c>
      <c r="H527" s="4" t="s">
        <v>2852</v>
      </c>
      <c r="I527" s="3" t="s">
        <v>13</v>
      </c>
      <c r="J527" s="7" t="str">
        <f>IFERROR(__xludf.DUMMYFUNCTION("SPLIT($A527,""Rua"","""")")," João Brasilio da Silva - de 193/194 ao fim")</f>
        <v> João Brasilio da Silva - de 193/194 ao fim</v>
      </c>
    </row>
    <row r="528" ht="15.75" customHeight="1">
      <c r="A528" s="5" t="s">
        <v>3917</v>
      </c>
      <c r="B528" s="5" t="s">
        <v>3182</v>
      </c>
      <c r="C528" s="4" t="s">
        <v>2839</v>
      </c>
      <c r="D528" s="5" t="s">
        <v>3918</v>
      </c>
      <c r="E528" s="6">
        <v>214.0</v>
      </c>
      <c r="F528" s="6" t="s">
        <v>12</v>
      </c>
      <c r="H528" s="4" t="s">
        <v>2852</v>
      </c>
      <c r="I528" s="3" t="s">
        <v>13</v>
      </c>
      <c r="J528" s="7" t="str">
        <f>IFERROR(__xludf.DUMMYFUNCTION("SPLIT($A528,""Rua"","""")")," João de Almeida")</f>
        <v> João de Almeida</v>
      </c>
    </row>
    <row r="529" ht="15.75" customHeight="1">
      <c r="A529" s="5" t="s">
        <v>3919</v>
      </c>
      <c r="B529" s="5" t="s">
        <v>3014</v>
      </c>
      <c r="C529" s="4" t="s">
        <v>2839</v>
      </c>
      <c r="D529" s="5" t="s">
        <v>3920</v>
      </c>
      <c r="E529" s="6">
        <v>214.0</v>
      </c>
      <c r="F529" s="6" t="s">
        <v>12</v>
      </c>
      <c r="H529" s="4" t="s">
        <v>2852</v>
      </c>
      <c r="I529" s="3" t="s">
        <v>13</v>
      </c>
      <c r="J529" s="7" t="str">
        <f>IFERROR(__xludf.DUMMYFUNCTION("SPLIT($A529,""Rua"","""")")," João de Almeida Neto")</f>
        <v> João de Almeida Neto</v>
      </c>
    </row>
    <row r="530" ht="15.75" customHeight="1">
      <c r="A530" s="5" t="s">
        <v>3921</v>
      </c>
      <c r="B530" s="5" t="s">
        <v>3197</v>
      </c>
      <c r="C530" s="4" t="s">
        <v>2839</v>
      </c>
      <c r="D530" s="5" t="s">
        <v>3922</v>
      </c>
      <c r="E530" s="6">
        <v>214.0</v>
      </c>
      <c r="F530" s="6" t="s">
        <v>12</v>
      </c>
      <c r="H530" s="4" t="s">
        <v>2852</v>
      </c>
      <c r="I530" s="3" t="s">
        <v>13</v>
      </c>
      <c r="J530" s="7" t="str">
        <f>IFERROR(__xludf.DUMMYFUNCTION("SPLIT($A530,""Rua"","""")")," João Diana Sobrinho")</f>
        <v> João Diana Sobrinho</v>
      </c>
    </row>
    <row r="531" ht="15.75" customHeight="1">
      <c r="A531" s="5" t="s">
        <v>3923</v>
      </c>
      <c r="B531" s="5" t="s">
        <v>3579</v>
      </c>
      <c r="C531" s="4" t="s">
        <v>2839</v>
      </c>
      <c r="D531" s="5" t="s">
        <v>3924</v>
      </c>
      <c r="E531" s="6">
        <v>214.0</v>
      </c>
      <c r="F531" s="6" t="s">
        <v>12</v>
      </c>
      <c r="H531" s="4" t="s">
        <v>2852</v>
      </c>
      <c r="I531" s="3" t="s">
        <v>13</v>
      </c>
      <c r="J531" s="7" t="str">
        <f>IFERROR(__xludf.DUMMYFUNCTION("SPLIT($A531,""Rua"","""")")," João Gastardelli")</f>
        <v> João Gastardelli</v>
      </c>
    </row>
    <row r="532" ht="15.75" customHeight="1">
      <c r="A532" s="5" t="s">
        <v>3923</v>
      </c>
      <c r="B532" s="5" t="s">
        <v>3586</v>
      </c>
      <c r="C532" s="4" t="s">
        <v>2839</v>
      </c>
      <c r="D532" s="5" t="s">
        <v>3925</v>
      </c>
      <c r="E532" s="6">
        <v>214.0</v>
      </c>
      <c r="F532" s="6" t="s">
        <v>12</v>
      </c>
      <c r="H532" s="4" t="s">
        <v>2852</v>
      </c>
      <c r="I532" s="3" t="s">
        <v>13</v>
      </c>
      <c r="J532" s="7" t="str">
        <f>IFERROR(__xludf.DUMMYFUNCTION("SPLIT($A532,""Rua"","""")")," João Gastardelli")</f>
        <v> João Gastardelli</v>
      </c>
    </row>
    <row r="533" ht="15.75" customHeight="1">
      <c r="A533" s="5" t="s">
        <v>3926</v>
      </c>
      <c r="B533" s="5" t="s">
        <v>2856</v>
      </c>
      <c r="C533" s="4" t="s">
        <v>2839</v>
      </c>
      <c r="D533" s="5" t="s">
        <v>3927</v>
      </c>
      <c r="E533" s="6">
        <v>214.0</v>
      </c>
      <c r="F533" s="6" t="s">
        <v>12</v>
      </c>
      <c r="H533" s="4" t="s">
        <v>2852</v>
      </c>
      <c r="I533" s="3" t="s">
        <v>13</v>
      </c>
      <c r="J533" s="7" t="str">
        <f>IFERROR(__xludf.DUMMYFUNCTION("SPLIT($A533,""Rua"","""")")," João Gonçalves Bicudo")</f>
        <v> João Gonçalves Bicudo</v>
      </c>
    </row>
    <row r="534" ht="15.75" customHeight="1">
      <c r="A534" s="5" t="s">
        <v>3928</v>
      </c>
      <c r="B534" s="5" t="s">
        <v>3003</v>
      </c>
      <c r="C534" s="4" t="s">
        <v>2839</v>
      </c>
      <c r="D534" s="5" t="s">
        <v>3929</v>
      </c>
      <c r="E534" s="6">
        <v>214.0</v>
      </c>
      <c r="F534" s="6" t="s">
        <v>12</v>
      </c>
      <c r="H534" s="4" t="s">
        <v>2852</v>
      </c>
      <c r="I534" s="3" t="s">
        <v>13</v>
      </c>
      <c r="J534" s="7" t="str">
        <f>IFERROR(__xludf.DUMMYFUNCTION("SPLIT($A534,""Rua"","""")")," João Gonçalves de Camargo")</f>
        <v> João Gonçalves de Camargo</v>
      </c>
    </row>
    <row r="535" ht="15.75" customHeight="1">
      <c r="A535" s="5" t="s">
        <v>3930</v>
      </c>
      <c r="B535" s="5" t="s">
        <v>3162</v>
      </c>
      <c r="C535" s="4" t="s">
        <v>2839</v>
      </c>
      <c r="D535" s="5" t="s">
        <v>3931</v>
      </c>
      <c r="E535" s="6">
        <v>214.0</v>
      </c>
      <c r="F535" s="6" t="s">
        <v>12</v>
      </c>
      <c r="H535" s="4" t="s">
        <v>2852</v>
      </c>
      <c r="I535" s="3" t="s">
        <v>13</v>
      </c>
      <c r="J535" s="7" t="str">
        <f>IFERROR(__xludf.DUMMYFUNCTION("SPLIT($A535,""Rua"","""")")," João Marinômio de Camargo")</f>
        <v> João Marinômio de Camargo</v>
      </c>
    </row>
    <row r="536" ht="15.75" customHeight="1">
      <c r="A536" s="5" t="s">
        <v>3930</v>
      </c>
      <c r="B536" s="5" t="s">
        <v>3328</v>
      </c>
      <c r="C536" s="4" t="s">
        <v>2839</v>
      </c>
      <c r="D536" s="5" t="s">
        <v>3932</v>
      </c>
      <c r="E536" s="6">
        <v>214.0</v>
      </c>
      <c r="F536" s="6" t="s">
        <v>12</v>
      </c>
      <c r="H536" s="4" t="s">
        <v>2852</v>
      </c>
      <c r="I536" s="3" t="s">
        <v>13</v>
      </c>
      <c r="J536" s="7" t="str">
        <f>IFERROR(__xludf.DUMMYFUNCTION("SPLIT($A536,""Rua"","""")")," João Marinômio de Camargo")</f>
        <v> João Marinômio de Camargo</v>
      </c>
    </row>
    <row r="537" ht="15.75" customHeight="1">
      <c r="A537" s="5" t="s">
        <v>3933</v>
      </c>
      <c r="B537" s="5" t="s">
        <v>3003</v>
      </c>
      <c r="C537" s="4" t="s">
        <v>2839</v>
      </c>
      <c r="D537" s="5" t="s">
        <v>3934</v>
      </c>
      <c r="E537" s="6">
        <v>214.0</v>
      </c>
      <c r="F537" s="6" t="s">
        <v>12</v>
      </c>
      <c r="H537" s="4" t="s">
        <v>2852</v>
      </c>
      <c r="I537" s="3" t="s">
        <v>13</v>
      </c>
      <c r="J537" s="7" t="str">
        <f>IFERROR(__xludf.DUMMYFUNCTION("SPLIT($A537,""Rua"","""")")," João Menegon")</f>
        <v> João Menegon</v>
      </c>
    </row>
    <row r="538" ht="15.75" customHeight="1">
      <c r="A538" s="5" t="s">
        <v>3935</v>
      </c>
      <c r="B538" s="5" t="s">
        <v>180</v>
      </c>
      <c r="C538" s="4" t="s">
        <v>2839</v>
      </c>
      <c r="D538" s="5" t="s">
        <v>3936</v>
      </c>
      <c r="E538" s="6">
        <v>214.0</v>
      </c>
      <c r="F538" s="6" t="s">
        <v>12</v>
      </c>
      <c r="H538" s="4" t="s">
        <v>2852</v>
      </c>
      <c r="I538" s="3" t="s">
        <v>13</v>
      </c>
      <c r="J538" s="7" t="str">
        <f>IFERROR(__xludf.DUMMYFUNCTION("SPLIT($A538,""Rua"","""")")," João Moreira Salles")</f>
        <v> João Moreira Salles</v>
      </c>
    </row>
    <row r="539" ht="15.75" customHeight="1">
      <c r="A539" s="5" t="s">
        <v>3937</v>
      </c>
      <c r="B539" s="5" t="s">
        <v>3260</v>
      </c>
      <c r="C539" s="4" t="s">
        <v>2839</v>
      </c>
      <c r="D539" s="5" t="s">
        <v>3938</v>
      </c>
      <c r="E539" s="6">
        <v>214.0</v>
      </c>
      <c r="F539" s="6" t="s">
        <v>12</v>
      </c>
      <c r="H539" s="4" t="s">
        <v>2852</v>
      </c>
      <c r="I539" s="3" t="s">
        <v>13</v>
      </c>
      <c r="J539" s="7" t="str">
        <f>IFERROR(__xludf.DUMMYFUNCTION("SPLIT($A539,""Rua"","""")")," João Parra Filho")</f>
        <v> João Parra Filho</v>
      </c>
    </row>
    <row r="540" ht="15.75" customHeight="1">
      <c r="A540" s="5" t="s">
        <v>3939</v>
      </c>
      <c r="B540" s="5" t="s">
        <v>180</v>
      </c>
      <c r="C540" s="4" t="s">
        <v>2839</v>
      </c>
      <c r="D540" s="5" t="s">
        <v>3940</v>
      </c>
      <c r="E540" s="6">
        <v>214.0</v>
      </c>
      <c r="F540" s="6" t="s">
        <v>12</v>
      </c>
      <c r="H540" s="4" t="s">
        <v>2852</v>
      </c>
      <c r="I540" s="3" t="s">
        <v>13</v>
      </c>
      <c r="J540" s="7" t="str">
        <f>IFERROR(__xludf.DUMMYFUNCTION("SPLIT($A540,""Rua"","""")")," João Pessoa")</f>
        <v> João Pessoa</v>
      </c>
    </row>
    <row r="541" ht="15.75" customHeight="1">
      <c r="A541" s="5" t="s">
        <v>3941</v>
      </c>
      <c r="B541" s="5" t="s">
        <v>3012</v>
      </c>
      <c r="C541" s="4" t="s">
        <v>2839</v>
      </c>
      <c r="D541" s="5" t="s">
        <v>3942</v>
      </c>
      <c r="E541" s="6">
        <v>214.0</v>
      </c>
      <c r="F541" s="6" t="s">
        <v>12</v>
      </c>
      <c r="H541" s="4" t="s">
        <v>2852</v>
      </c>
      <c r="I541" s="3" t="s">
        <v>13</v>
      </c>
      <c r="J541" s="7" t="str">
        <f>IFERROR(__xludf.DUMMYFUNCTION("SPLIT($A541,""Rua"","""")")," João Portela Sobrinho")</f>
        <v> João Portela Sobrinho</v>
      </c>
    </row>
    <row r="542" ht="15.75" customHeight="1">
      <c r="A542" s="5" t="s">
        <v>3943</v>
      </c>
      <c r="B542" s="5" t="s">
        <v>2959</v>
      </c>
      <c r="C542" s="4" t="s">
        <v>2839</v>
      </c>
      <c r="D542" s="5" t="s">
        <v>3944</v>
      </c>
      <c r="E542" s="6">
        <v>214.0</v>
      </c>
      <c r="F542" s="6" t="s">
        <v>12</v>
      </c>
      <c r="H542" s="4" t="s">
        <v>2852</v>
      </c>
      <c r="I542" s="3" t="s">
        <v>13</v>
      </c>
      <c r="J542" s="7" t="str">
        <f>IFERROR(__xludf.DUMMYFUNCTION("SPLIT($A542,""Rua"","""")")," João Rodrigues da Silva")</f>
        <v> João Rodrigues da Silva</v>
      </c>
    </row>
    <row r="543" ht="15.75" customHeight="1">
      <c r="A543" s="5" t="s">
        <v>3945</v>
      </c>
      <c r="B543" s="5" t="s">
        <v>3091</v>
      </c>
      <c r="C543" s="4" t="s">
        <v>2839</v>
      </c>
      <c r="D543" s="5" t="s">
        <v>3946</v>
      </c>
      <c r="E543" s="6">
        <v>214.0</v>
      </c>
      <c r="F543" s="6" t="s">
        <v>12</v>
      </c>
      <c r="H543" s="4" t="s">
        <v>2852</v>
      </c>
      <c r="I543" s="3" t="s">
        <v>13</v>
      </c>
      <c r="J543" s="7" t="str">
        <f>IFERROR(__xludf.DUMMYFUNCTION("SPLIT($A543,""Rua"","""")")," João Tomaz de Almeida")</f>
        <v> João Tomaz de Almeida</v>
      </c>
    </row>
    <row r="544" ht="15.75" customHeight="1">
      <c r="A544" s="5" t="s">
        <v>3947</v>
      </c>
      <c r="B544" s="5" t="s">
        <v>3029</v>
      </c>
      <c r="C544" s="4" t="s">
        <v>2839</v>
      </c>
      <c r="D544" s="5" t="s">
        <v>3948</v>
      </c>
      <c r="E544" s="6">
        <v>214.0</v>
      </c>
      <c r="F544" s="6" t="s">
        <v>12</v>
      </c>
      <c r="H544" s="4" t="s">
        <v>2852</v>
      </c>
      <c r="I544" s="3" t="s">
        <v>13</v>
      </c>
      <c r="J544" s="7" t="str">
        <f>IFERROR(__xludf.DUMMYFUNCTION("SPLIT($A544,""Rua"","""")")," João Tuani")</f>
        <v> João Tuani</v>
      </c>
    </row>
    <row r="545" ht="15.75" customHeight="1">
      <c r="A545" s="5" t="s">
        <v>3949</v>
      </c>
      <c r="B545" s="5" t="s">
        <v>3285</v>
      </c>
      <c r="C545" s="4" t="s">
        <v>2839</v>
      </c>
      <c r="D545" s="5" t="s">
        <v>3950</v>
      </c>
      <c r="E545" s="6">
        <v>214.0</v>
      </c>
      <c r="F545" s="6" t="s">
        <v>12</v>
      </c>
      <c r="H545" s="4" t="s">
        <v>2852</v>
      </c>
      <c r="I545" s="3" t="s">
        <v>13</v>
      </c>
      <c r="J545" s="7" t="str">
        <f>IFERROR(__xludf.DUMMYFUNCTION("SPLIT($A545,""Rua"","""")")," João Veroneze")</f>
        <v> João Veroneze</v>
      </c>
    </row>
    <row r="546" ht="15.75" customHeight="1">
      <c r="A546" s="5" t="s">
        <v>3951</v>
      </c>
      <c r="B546" s="5" t="s">
        <v>2957</v>
      </c>
      <c r="C546" s="4" t="s">
        <v>2839</v>
      </c>
      <c r="D546" s="5" t="s">
        <v>3952</v>
      </c>
      <c r="E546" s="6">
        <v>214.0</v>
      </c>
      <c r="F546" s="6" t="s">
        <v>12</v>
      </c>
      <c r="H546" s="4" t="s">
        <v>2852</v>
      </c>
      <c r="I546" s="3" t="s">
        <v>13</v>
      </c>
      <c r="J546" s="7" t="str">
        <f>IFERROR(__xludf.DUMMYFUNCTION("SPLIT($A546,""Rua"","""")")," João Vicente Ferreira")</f>
        <v> João Vicente Ferreira</v>
      </c>
    </row>
    <row r="547" ht="15.75" customHeight="1">
      <c r="A547" s="5" t="s">
        <v>3953</v>
      </c>
      <c r="B547" s="5" t="s">
        <v>180</v>
      </c>
      <c r="C547" s="4" t="s">
        <v>2839</v>
      </c>
      <c r="D547" s="5" t="s">
        <v>3954</v>
      </c>
      <c r="E547" s="6">
        <v>214.0</v>
      </c>
      <c r="F547" s="6" t="s">
        <v>12</v>
      </c>
      <c r="H547" s="4" t="s">
        <v>2852</v>
      </c>
      <c r="I547" s="3" t="s">
        <v>13</v>
      </c>
      <c r="J547" s="7" t="str">
        <f>IFERROR(__xludf.DUMMYFUNCTION("SPLIT($A547,""Rua"","""")")," Joaquim Agostinho Torres")</f>
        <v> Joaquim Agostinho Torres</v>
      </c>
    </row>
    <row r="548" ht="15.75" customHeight="1">
      <c r="A548" s="5" t="s">
        <v>3955</v>
      </c>
      <c r="B548" s="5" t="s">
        <v>3165</v>
      </c>
      <c r="C548" s="4" t="s">
        <v>2839</v>
      </c>
      <c r="D548" s="5" t="s">
        <v>3956</v>
      </c>
      <c r="E548" s="6">
        <v>214.0</v>
      </c>
      <c r="F548" s="6" t="s">
        <v>12</v>
      </c>
      <c r="H548" s="4" t="s">
        <v>2852</v>
      </c>
      <c r="I548" s="3" t="s">
        <v>13</v>
      </c>
      <c r="J548" s="7" t="str">
        <f>IFERROR(__xludf.DUMMYFUNCTION("SPLIT($A548,""Rua"","""")")," Joaquim Ambrosini")</f>
        <v> Joaquim Ambrosini</v>
      </c>
    </row>
    <row r="549" ht="15.75" customHeight="1">
      <c r="A549" s="5" t="s">
        <v>3957</v>
      </c>
      <c r="B549" s="5" t="s">
        <v>180</v>
      </c>
      <c r="C549" s="4" t="s">
        <v>2839</v>
      </c>
      <c r="D549" s="5" t="s">
        <v>3958</v>
      </c>
      <c r="E549" s="6">
        <v>214.0</v>
      </c>
      <c r="F549" s="6" t="s">
        <v>12</v>
      </c>
      <c r="H549" s="4" t="s">
        <v>2852</v>
      </c>
      <c r="I549" s="3" t="s">
        <v>13</v>
      </c>
      <c r="J549" s="7" t="str">
        <f>IFERROR(__xludf.DUMMYFUNCTION("SPLIT($A549,""Rua"","""")")," Joaquim Olavo de Carvalho")</f>
        <v> Joaquim Olavo de Carvalho</v>
      </c>
    </row>
    <row r="550" ht="15.75" customHeight="1">
      <c r="A550" s="5" t="s">
        <v>3959</v>
      </c>
      <c r="B550" s="5" t="s">
        <v>2959</v>
      </c>
      <c r="C550" s="4" t="s">
        <v>2839</v>
      </c>
      <c r="D550" s="5" t="s">
        <v>3960</v>
      </c>
      <c r="E550" s="6">
        <v>214.0</v>
      </c>
      <c r="F550" s="6" t="s">
        <v>12</v>
      </c>
      <c r="H550" s="4" t="s">
        <v>2852</v>
      </c>
      <c r="I550" s="3" t="s">
        <v>13</v>
      </c>
      <c r="J550" s="7" t="str">
        <f>IFERROR(__xludf.DUMMYFUNCTION("SPLIT($A550,""Rua"","""")")," Joaquim Pires de Almeida")</f>
        <v> Joaquim Pires de Almeida</v>
      </c>
    </row>
    <row r="551" ht="15.75" customHeight="1">
      <c r="A551" s="5" t="s">
        <v>3961</v>
      </c>
      <c r="B551" s="5" t="s">
        <v>3093</v>
      </c>
      <c r="C551" s="4" t="s">
        <v>2839</v>
      </c>
      <c r="D551" s="5" t="s">
        <v>3962</v>
      </c>
      <c r="E551" s="6">
        <v>214.0</v>
      </c>
      <c r="F551" s="6" t="s">
        <v>12</v>
      </c>
      <c r="H551" s="4" t="s">
        <v>2852</v>
      </c>
      <c r="I551" s="3" t="s">
        <v>13</v>
      </c>
      <c r="J551" s="7" t="str">
        <f>IFERROR(__xludf.DUMMYFUNCTION("SPLIT($A551,""Rua"","""")")," Joaquim Sampaio Sobrinho")</f>
        <v> Joaquim Sampaio Sobrinho</v>
      </c>
    </row>
    <row r="552" ht="15.75" customHeight="1">
      <c r="A552" s="5" t="s">
        <v>3963</v>
      </c>
      <c r="B552" s="5" t="s">
        <v>3001</v>
      </c>
      <c r="C552" s="4" t="s">
        <v>2839</v>
      </c>
      <c r="D552" s="5" t="s">
        <v>3964</v>
      </c>
      <c r="E552" s="6">
        <v>214.0</v>
      </c>
      <c r="F552" s="6" t="s">
        <v>12</v>
      </c>
      <c r="H552" s="4" t="s">
        <v>2852</v>
      </c>
      <c r="I552" s="3" t="s">
        <v>13</v>
      </c>
      <c r="J552" s="7" t="str">
        <f>IFERROR(__xludf.DUMMYFUNCTION("SPLIT($A552,""Rua"","""")")," Joel Brienza")</f>
        <v> Joel Brienza</v>
      </c>
    </row>
    <row r="553" ht="15.75" customHeight="1">
      <c r="A553" s="5" t="s">
        <v>3965</v>
      </c>
      <c r="B553" s="5" t="s">
        <v>3039</v>
      </c>
      <c r="C553" s="4" t="s">
        <v>2839</v>
      </c>
      <c r="D553" s="5" t="s">
        <v>3966</v>
      </c>
      <c r="E553" s="6">
        <v>214.0</v>
      </c>
      <c r="F553" s="6" t="s">
        <v>12</v>
      </c>
      <c r="H553" s="4" t="s">
        <v>2852</v>
      </c>
      <c r="I553" s="3" t="s">
        <v>13</v>
      </c>
      <c r="J553" s="7" t="str">
        <f>IFERROR(__xludf.DUMMYFUNCTION("SPLIT($A553,""Rua"","""")")," Jorge Alves Peixoto")</f>
        <v> Jorge Alves Peixoto</v>
      </c>
    </row>
    <row r="554" ht="15.75" customHeight="1">
      <c r="A554" s="5" t="s">
        <v>3967</v>
      </c>
      <c r="B554" s="5" t="s">
        <v>3034</v>
      </c>
      <c r="C554" s="4" t="s">
        <v>2839</v>
      </c>
      <c r="D554" s="5" t="s">
        <v>3968</v>
      </c>
      <c r="E554" s="6">
        <v>214.0</v>
      </c>
      <c r="F554" s="6" t="s">
        <v>12</v>
      </c>
      <c r="H554" s="4" t="s">
        <v>2852</v>
      </c>
      <c r="I554" s="3" t="s">
        <v>13</v>
      </c>
      <c r="J554" s="7" t="str">
        <f>IFERROR(__xludf.DUMMYFUNCTION("SPLIT($A554,""Rua"","""")")," Jorge Stettner")</f>
        <v> Jorge Stettner</v>
      </c>
    </row>
    <row r="555" ht="15.75" customHeight="1">
      <c r="A555" s="5" t="s">
        <v>3969</v>
      </c>
      <c r="B555" s="5" t="s">
        <v>2865</v>
      </c>
      <c r="C555" s="4" t="s">
        <v>2839</v>
      </c>
      <c r="D555" s="5" t="s">
        <v>3970</v>
      </c>
      <c r="E555" s="6">
        <v>214.0</v>
      </c>
      <c r="F555" s="6" t="s">
        <v>12</v>
      </c>
      <c r="H555" s="4" t="s">
        <v>2852</v>
      </c>
      <c r="I555" s="3" t="s">
        <v>13</v>
      </c>
      <c r="J555" s="7" t="str">
        <f>IFERROR(__xludf.DUMMYFUNCTION("SPLIT($A555,""Rua"","""")")," José Alcalá")</f>
        <v> José Alcalá</v>
      </c>
    </row>
    <row r="556" ht="15.75" customHeight="1">
      <c r="A556" s="5" t="s">
        <v>3971</v>
      </c>
      <c r="B556" s="5" t="s">
        <v>3489</v>
      </c>
      <c r="C556" s="4" t="s">
        <v>2839</v>
      </c>
      <c r="D556" s="5" t="s">
        <v>3972</v>
      </c>
      <c r="E556" s="6">
        <v>214.0</v>
      </c>
      <c r="F556" s="6" t="s">
        <v>12</v>
      </c>
      <c r="H556" s="4" t="s">
        <v>2852</v>
      </c>
      <c r="I556" s="3" t="s">
        <v>13</v>
      </c>
      <c r="J556" s="7" t="str">
        <f>IFERROR(__xludf.DUMMYFUNCTION("SPLIT($A556,""Rua"","""")")," José Antônio")</f>
        <v> José Antônio</v>
      </c>
    </row>
    <row r="557" ht="15.75" customHeight="1">
      <c r="A557" s="5" t="s">
        <v>3973</v>
      </c>
      <c r="B557" s="5" t="s">
        <v>3216</v>
      </c>
      <c r="C557" s="4" t="s">
        <v>2839</v>
      </c>
      <c r="D557" s="5" t="s">
        <v>3974</v>
      </c>
      <c r="E557" s="6">
        <v>214.0</v>
      </c>
      <c r="F557" s="6" t="s">
        <v>12</v>
      </c>
      <c r="H557" s="4" t="s">
        <v>2852</v>
      </c>
      <c r="I557" s="3" t="s">
        <v>13</v>
      </c>
      <c r="J557" s="7" t="str">
        <f>IFERROR(__xludf.DUMMYFUNCTION("SPLIT($A557,""Rua"","""")")," José Antônio Giacomeli")</f>
        <v> José Antônio Giacomeli</v>
      </c>
    </row>
    <row r="558" ht="15.75" customHeight="1">
      <c r="A558" s="5" t="s">
        <v>3975</v>
      </c>
      <c r="B558" s="5" t="s">
        <v>180</v>
      </c>
      <c r="C558" s="4" t="s">
        <v>2839</v>
      </c>
      <c r="D558" s="5" t="s">
        <v>3976</v>
      </c>
      <c r="E558" s="6">
        <v>214.0</v>
      </c>
      <c r="F558" s="6" t="s">
        <v>12</v>
      </c>
      <c r="H558" s="4" t="s">
        <v>2852</v>
      </c>
      <c r="I558" s="3" t="s">
        <v>13</v>
      </c>
      <c r="J558" s="7" t="str">
        <f>IFERROR(__xludf.DUMMYFUNCTION("SPLIT($A558,""Rua"","""")")," José Antônio Leme")</f>
        <v> José Antônio Leme</v>
      </c>
    </row>
    <row r="559" ht="15.75" customHeight="1">
      <c r="A559" s="5" t="s">
        <v>3977</v>
      </c>
      <c r="B559" s="5" t="s">
        <v>3065</v>
      </c>
      <c r="C559" s="4" t="s">
        <v>2839</v>
      </c>
      <c r="D559" s="5" t="s">
        <v>3978</v>
      </c>
      <c r="E559" s="6">
        <v>214.0</v>
      </c>
      <c r="F559" s="6" t="s">
        <v>12</v>
      </c>
      <c r="H559" s="4" t="s">
        <v>2852</v>
      </c>
      <c r="I559" s="3" t="s">
        <v>13</v>
      </c>
      <c r="J559" s="7" t="str">
        <f>IFERROR(__xludf.DUMMYFUNCTION("SPLIT($A559,""Rua"","""")")," José Atílo Coli")</f>
        <v> José Atílo Coli</v>
      </c>
    </row>
    <row r="560" ht="15.75" customHeight="1">
      <c r="A560" s="5" t="s">
        <v>3979</v>
      </c>
      <c r="B560" s="5" t="s">
        <v>180</v>
      </c>
      <c r="C560" s="4" t="s">
        <v>2839</v>
      </c>
      <c r="D560" s="5" t="s">
        <v>3980</v>
      </c>
      <c r="E560" s="6">
        <v>214.0</v>
      </c>
      <c r="F560" s="6" t="s">
        <v>12</v>
      </c>
      <c r="H560" s="4" t="s">
        <v>2852</v>
      </c>
      <c r="I560" s="3" t="s">
        <v>13</v>
      </c>
      <c r="J560" s="7" t="str">
        <f>IFERROR(__xludf.DUMMYFUNCTION("SPLIT($A560,""Rua"","""")")," José Avancini")</f>
        <v> José Avancini</v>
      </c>
    </row>
    <row r="561" ht="15.75" customHeight="1">
      <c r="A561" s="5" t="s">
        <v>3981</v>
      </c>
      <c r="B561" s="5" t="s">
        <v>3056</v>
      </c>
      <c r="C561" s="4" t="s">
        <v>2839</v>
      </c>
      <c r="D561" s="5" t="s">
        <v>3982</v>
      </c>
      <c r="E561" s="6">
        <v>214.0</v>
      </c>
      <c r="F561" s="6" t="s">
        <v>12</v>
      </c>
      <c r="H561" s="4" t="s">
        <v>2852</v>
      </c>
      <c r="I561" s="3" t="s">
        <v>13</v>
      </c>
      <c r="J561" s="7" t="str">
        <f>IFERROR(__xludf.DUMMYFUNCTION("SPLIT($A561,""Rua"","""")")," José Barbosa")</f>
        <v> José Barbosa</v>
      </c>
    </row>
    <row r="562" ht="15.75" customHeight="1">
      <c r="A562" s="5" t="s">
        <v>3983</v>
      </c>
      <c r="B562" s="5" t="s">
        <v>180</v>
      </c>
      <c r="C562" s="4" t="s">
        <v>2839</v>
      </c>
      <c r="D562" s="5" t="s">
        <v>3984</v>
      </c>
      <c r="E562" s="6">
        <v>214.0</v>
      </c>
      <c r="F562" s="6" t="s">
        <v>12</v>
      </c>
      <c r="H562" s="4" t="s">
        <v>2852</v>
      </c>
      <c r="I562" s="3" t="s">
        <v>13</v>
      </c>
      <c r="J562" s="7" t="str">
        <f>IFERROR(__xludf.DUMMYFUNCTION("SPLIT($A562,""Rua"","""")")," José Benedito de Noronha")</f>
        <v> José Benedito de Noronha</v>
      </c>
    </row>
    <row r="563" ht="15.75" customHeight="1">
      <c r="A563" s="5" t="s">
        <v>3985</v>
      </c>
      <c r="B563" s="5" t="s">
        <v>3100</v>
      </c>
      <c r="C563" s="4" t="s">
        <v>2839</v>
      </c>
      <c r="D563" s="5" t="s">
        <v>3986</v>
      </c>
      <c r="E563" s="6">
        <v>214.0</v>
      </c>
      <c r="F563" s="6" t="s">
        <v>12</v>
      </c>
      <c r="H563" s="4" t="s">
        <v>2852</v>
      </c>
      <c r="I563" s="3" t="s">
        <v>13</v>
      </c>
      <c r="J563" s="7" t="str">
        <f>IFERROR(__xludf.DUMMYFUNCTION("SPLIT($A563,""Rua"","""")")," José Benedito Martins de Souza")</f>
        <v> José Benedito Martins de Souza</v>
      </c>
    </row>
    <row r="564" ht="15.75" customHeight="1">
      <c r="A564" s="5" t="s">
        <v>3987</v>
      </c>
      <c r="B564" s="5" t="s">
        <v>180</v>
      </c>
      <c r="C564" s="4" t="s">
        <v>2839</v>
      </c>
      <c r="D564" s="5" t="s">
        <v>3988</v>
      </c>
      <c r="E564" s="6">
        <v>214.0</v>
      </c>
      <c r="F564" s="6" t="s">
        <v>12</v>
      </c>
      <c r="H564" s="4" t="s">
        <v>2852</v>
      </c>
      <c r="I564" s="3" t="s">
        <v>13</v>
      </c>
      <c r="J564" s="7" t="str">
        <f>IFERROR(__xludf.DUMMYFUNCTION("SPLIT($A564,""Rua"","""")")," José Bonifácio")</f>
        <v> José Bonifácio</v>
      </c>
    </row>
    <row r="565" ht="15.75" customHeight="1">
      <c r="A565" s="5" t="s">
        <v>3987</v>
      </c>
      <c r="B565" s="5" t="s">
        <v>3243</v>
      </c>
      <c r="C565" s="4" t="s">
        <v>2839</v>
      </c>
      <c r="D565" s="5" t="s">
        <v>3989</v>
      </c>
      <c r="E565" s="6">
        <v>214.0</v>
      </c>
      <c r="F565" s="6" t="s">
        <v>12</v>
      </c>
      <c r="H565" s="4" t="s">
        <v>2852</v>
      </c>
      <c r="I565" s="3" t="s">
        <v>13</v>
      </c>
      <c r="J565" s="7" t="str">
        <f>IFERROR(__xludf.DUMMYFUNCTION("SPLIT($A565,""Rua"","""")")," José Bonifácio")</f>
        <v> José Bonifácio</v>
      </c>
    </row>
    <row r="566" ht="15.75" customHeight="1">
      <c r="A566" s="5" t="s">
        <v>3990</v>
      </c>
      <c r="B566" s="5" t="s">
        <v>3197</v>
      </c>
      <c r="C566" s="4" t="s">
        <v>2839</v>
      </c>
      <c r="D566" s="5" t="s">
        <v>3991</v>
      </c>
      <c r="E566" s="6">
        <v>214.0</v>
      </c>
      <c r="F566" s="6" t="s">
        <v>12</v>
      </c>
      <c r="H566" s="4" t="s">
        <v>2852</v>
      </c>
      <c r="I566" s="3" t="s">
        <v>13</v>
      </c>
      <c r="J566" s="7" t="str">
        <f>IFERROR(__xludf.DUMMYFUNCTION("SPLIT($A566,""Rua"","""")")," José Caetano de Jesus")</f>
        <v> José Caetano de Jesus</v>
      </c>
    </row>
    <row r="567" ht="15.75" customHeight="1">
      <c r="A567" s="5" t="s">
        <v>3992</v>
      </c>
      <c r="B567" s="5" t="s">
        <v>3489</v>
      </c>
      <c r="C567" s="4" t="s">
        <v>2839</v>
      </c>
      <c r="D567" s="5" t="s">
        <v>3993</v>
      </c>
      <c r="E567" s="6">
        <v>214.0</v>
      </c>
      <c r="F567" s="6" t="s">
        <v>12</v>
      </c>
      <c r="H567" s="4" t="s">
        <v>2852</v>
      </c>
      <c r="I567" s="3" t="s">
        <v>13</v>
      </c>
      <c r="J567" s="7" t="str">
        <f>IFERROR(__xludf.DUMMYFUNCTION("SPLIT($A567,""Rua"","""")")," José Cossari")</f>
        <v> José Cossari</v>
      </c>
    </row>
    <row r="568" ht="15.75" customHeight="1">
      <c r="A568" s="5" t="s">
        <v>3994</v>
      </c>
      <c r="B568" s="5" t="s">
        <v>3061</v>
      </c>
      <c r="C568" s="4" t="s">
        <v>2839</v>
      </c>
      <c r="D568" s="5" t="s">
        <v>3995</v>
      </c>
      <c r="E568" s="6">
        <v>214.0</v>
      </c>
      <c r="F568" s="6" t="s">
        <v>12</v>
      </c>
      <c r="H568" s="4" t="s">
        <v>2852</v>
      </c>
      <c r="I568" s="3" t="s">
        <v>13</v>
      </c>
      <c r="J568" s="7" t="str">
        <f>IFERROR(__xludf.DUMMYFUNCTION("SPLIT($A568,""Rua"","""")")," José de Arruda Campos")</f>
        <v> José de Arruda Campos</v>
      </c>
    </row>
    <row r="569" ht="15.75" customHeight="1">
      <c r="A569" s="5" t="s">
        <v>3996</v>
      </c>
      <c r="B569" s="5" t="s">
        <v>3061</v>
      </c>
      <c r="C569" s="4" t="s">
        <v>2839</v>
      </c>
      <c r="D569" s="5" t="s">
        <v>3997</v>
      </c>
      <c r="E569" s="6">
        <v>214.0</v>
      </c>
      <c r="F569" s="6" t="s">
        <v>12</v>
      </c>
      <c r="H569" s="4" t="s">
        <v>2852</v>
      </c>
      <c r="I569" s="3" t="s">
        <v>13</v>
      </c>
      <c r="J569" s="7" t="str">
        <f>IFERROR(__xludf.DUMMYFUNCTION("SPLIT($A569,""Rua"","""")")," José Dias Aranha")</f>
        <v> José Dias Aranha</v>
      </c>
    </row>
    <row r="570" ht="15.75" customHeight="1">
      <c r="A570" s="5" t="s">
        <v>3998</v>
      </c>
      <c r="B570" s="5" t="s">
        <v>3072</v>
      </c>
      <c r="C570" s="4" t="s">
        <v>2839</v>
      </c>
      <c r="D570" s="5" t="s">
        <v>3999</v>
      </c>
      <c r="E570" s="6">
        <v>214.0</v>
      </c>
      <c r="F570" s="6" t="s">
        <v>12</v>
      </c>
      <c r="H570" s="4" t="s">
        <v>2852</v>
      </c>
      <c r="I570" s="3" t="s">
        <v>13</v>
      </c>
      <c r="J570" s="7" t="str">
        <f>IFERROR(__xludf.DUMMYFUNCTION("SPLIT($A570,""Rua"","""")")," José Elias Habice")</f>
        <v> José Elias Habice</v>
      </c>
    </row>
    <row r="571" ht="15.75" customHeight="1">
      <c r="A571" s="5" t="s">
        <v>4000</v>
      </c>
      <c r="B571" s="5" t="s">
        <v>3016</v>
      </c>
      <c r="C571" s="4" t="s">
        <v>2839</v>
      </c>
      <c r="D571" s="5" t="s">
        <v>4001</v>
      </c>
      <c r="E571" s="6">
        <v>214.0</v>
      </c>
      <c r="F571" s="6" t="s">
        <v>12</v>
      </c>
      <c r="H571" s="4" t="s">
        <v>2852</v>
      </c>
      <c r="I571" s="3" t="s">
        <v>13</v>
      </c>
      <c r="J571" s="7" t="str">
        <f>IFERROR(__xludf.DUMMYFUNCTION("SPLIT($A571,""Rua"","""")")," José Fernandes")</f>
        <v> José Fernandes</v>
      </c>
    </row>
    <row r="572" ht="15.75" customHeight="1">
      <c r="A572" s="5" t="s">
        <v>4002</v>
      </c>
      <c r="B572" s="5" t="s">
        <v>3086</v>
      </c>
      <c r="C572" s="4" t="s">
        <v>2839</v>
      </c>
      <c r="D572" s="5" t="s">
        <v>4003</v>
      </c>
      <c r="E572" s="6">
        <v>214.0</v>
      </c>
      <c r="F572" s="6" t="s">
        <v>12</v>
      </c>
      <c r="H572" s="4" t="s">
        <v>2852</v>
      </c>
      <c r="I572" s="3" t="s">
        <v>13</v>
      </c>
      <c r="J572" s="7" t="str">
        <f>IFERROR(__xludf.DUMMYFUNCTION("SPLIT($A572,""Rua"","""")")," José Ferrari")</f>
        <v> José Ferrari</v>
      </c>
    </row>
    <row r="573" ht="15.75" customHeight="1">
      <c r="A573" s="5" t="s">
        <v>4004</v>
      </c>
      <c r="B573" s="5" t="s">
        <v>3061</v>
      </c>
      <c r="C573" s="4" t="s">
        <v>2839</v>
      </c>
      <c r="D573" s="5" t="s">
        <v>4005</v>
      </c>
      <c r="E573" s="6">
        <v>214.0</v>
      </c>
      <c r="F573" s="6" t="s">
        <v>12</v>
      </c>
      <c r="H573" s="4" t="s">
        <v>2852</v>
      </c>
      <c r="I573" s="3" t="s">
        <v>13</v>
      </c>
      <c r="J573" s="7" t="str">
        <f>IFERROR(__xludf.DUMMYFUNCTION("SPLIT($A573,""Rua"","""")")," José Giuli Batista")</f>
        <v> José Giuli Batista</v>
      </c>
    </row>
    <row r="574" ht="15.75" customHeight="1">
      <c r="A574" s="5" t="s">
        <v>4004</v>
      </c>
      <c r="B574" s="5" t="s">
        <v>3093</v>
      </c>
      <c r="C574" s="4" t="s">
        <v>2839</v>
      </c>
      <c r="D574" s="5" t="s">
        <v>4006</v>
      </c>
      <c r="E574" s="6">
        <v>214.0</v>
      </c>
      <c r="F574" s="6" t="s">
        <v>12</v>
      </c>
      <c r="H574" s="4" t="s">
        <v>2852</v>
      </c>
      <c r="I574" s="3" t="s">
        <v>13</v>
      </c>
      <c r="J574" s="7" t="str">
        <f>IFERROR(__xludf.DUMMYFUNCTION("SPLIT($A574,""Rua"","""")")," José Giuli Batista")</f>
        <v> José Giuli Batista</v>
      </c>
    </row>
    <row r="575" ht="15.75" customHeight="1">
      <c r="A575" s="5" t="s">
        <v>4007</v>
      </c>
      <c r="B575" s="5" t="s">
        <v>3643</v>
      </c>
      <c r="C575" s="4" t="s">
        <v>2839</v>
      </c>
      <c r="D575" s="5" t="s">
        <v>4008</v>
      </c>
      <c r="E575" s="6">
        <v>214.0</v>
      </c>
      <c r="F575" s="6" t="s">
        <v>12</v>
      </c>
      <c r="H575" s="4" t="s">
        <v>2852</v>
      </c>
      <c r="I575" s="3" t="s">
        <v>13</v>
      </c>
      <c r="J575" s="7" t="str">
        <f>IFERROR(__xludf.DUMMYFUNCTION("SPLIT($A575,""Rua"","""")")," José Gomes")</f>
        <v> José Gomes</v>
      </c>
    </row>
    <row r="576" ht="15.75" customHeight="1">
      <c r="A576" s="5" t="s">
        <v>4009</v>
      </c>
      <c r="B576" s="5" t="s">
        <v>3299</v>
      </c>
      <c r="C576" s="4" t="s">
        <v>2839</v>
      </c>
      <c r="D576" s="5" t="s">
        <v>4010</v>
      </c>
      <c r="E576" s="6">
        <v>214.0</v>
      </c>
      <c r="F576" s="6" t="s">
        <v>12</v>
      </c>
      <c r="H576" s="4" t="s">
        <v>2852</v>
      </c>
      <c r="I576" s="3" t="s">
        <v>13</v>
      </c>
      <c r="J576" s="7" t="str">
        <f>IFERROR(__xludf.DUMMYFUNCTION("SPLIT($A576,""Rua"","""")")," José Guerini")</f>
        <v> José Guerini</v>
      </c>
    </row>
    <row r="577" ht="15.75" customHeight="1">
      <c r="A577" s="13" t="s">
        <v>4011</v>
      </c>
      <c r="B577" s="13" t="s">
        <v>3093</v>
      </c>
      <c r="C577" s="4" t="s">
        <v>2839</v>
      </c>
      <c r="D577" s="13" t="s">
        <v>4012</v>
      </c>
      <c r="E577" s="6">
        <v>214.0</v>
      </c>
      <c r="F577" s="6" t="s">
        <v>12</v>
      </c>
      <c r="H577" s="4" t="s">
        <v>2852</v>
      </c>
      <c r="I577" s="3" t="s">
        <v>13</v>
      </c>
      <c r="J577" s="7" t="str">
        <f>IFERROR(__xludf.DUMMYFUNCTION("SPLIT($A577,""Rua"","""")")," José Laturrague")</f>
        <v> José Laturrague</v>
      </c>
    </row>
    <row r="578" ht="15.75" customHeight="1">
      <c r="A578" s="5" t="s">
        <v>4013</v>
      </c>
      <c r="B578" s="5" t="s">
        <v>3221</v>
      </c>
      <c r="C578" s="4" t="s">
        <v>2839</v>
      </c>
      <c r="D578" s="5" t="s">
        <v>4014</v>
      </c>
      <c r="E578" s="6">
        <v>214.0</v>
      </c>
      <c r="F578" s="6" t="s">
        <v>12</v>
      </c>
      <c r="H578" s="4" t="s">
        <v>2852</v>
      </c>
      <c r="I578" s="3" t="s">
        <v>13</v>
      </c>
      <c r="J578" s="7" t="str">
        <f>IFERROR(__xludf.DUMMYFUNCTION("SPLIT($A578,""Rua"","""")")," José Manoel Antunes")</f>
        <v> José Manoel Antunes</v>
      </c>
    </row>
    <row r="579" ht="15.75" customHeight="1">
      <c r="A579" s="5" t="s">
        <v>4015</v>
      </c>
      <c r="B579" s="5" t="s">
        <v>3100</v>
      </c>
      <c r="C579" s="4" t="s">
        <v>2839</v>
      </c>
      <c r="D579" s="5" t="s">
        <v>4016</v>
      </c>
      <c r="E579" s="6">
        <v>214.0</v>
      </c>
      <c r="F579" s="6" t="s">
        <v>12</v>
      </c>
      <c r="H579" s="4" t="s">
        <v>2852</v>
      </c>
      <c r="I579" s="3" t="s">
        <v>13</v>
      </c>
      <c r="J579" s="7" t="str">
        <f>IFERROR(__xludf.DUMMYFUNCTION("SPLIT($A579,""Rua"","""")")," José Manuel Antunes Filho")</f>
        <v> José Manuel Antunes Filho</v>
      </c>
    </row>
    <row r="580" ht="15.75" customHeight="1">
      <c r="A580" s="5" t="s">
        <v>4017</v>
      </c>
      <c r="B580" s="5" t="s">
        <v>3299</v>
      </c>
      <c r="C580" s="4" t="s">
        <v>2839</v>
      </c>
      <c r="D580" s="5" t="s">
        <v>4018</v>
      </c>
      <c r="E580" s="6">
        <v>214.0</v>
      </c>
      <c r="F580" s="6" t="s">
        <v>12</v>
      </c>
      <c r="H580" s="4" t="s">
        <v>2852</v>
      </c>
      <c r="I580" s="3" t="s">
        <v>13</v>
      </c>
      <c r="J580" s="7" t="str">
        <f>IFERROR(__xludf.DUMMYFUNCTION("SPLIT($A580,""Rua"","""")")," José Marcelino Antunes")</f>
        <v> José Marcelino Antunes</v>
      </c>
    </row>
    <row r="581" ht="15.75" customHeight="1">
      <c r="A581" s="5" t="s">
        <v>4019</v>
      </c>
      <c r="B581" s="5" t="s">
        <v>3039</v>
      </c>
      <c r="C581" s="4" t="s">
        <v>2839</v>
      </c>
      <c r="D581" s="5" t="s">
        <v>4020</v>
      </c>
      <c r="E581" s="6">
        <v>214.0</v>
      </c>
      <c r="F581" s="6" t="s">
        <v>12</v>
      </c>
      <c r="H581" s="4" t="s">
        <v>2852</v>
      </c>
      <c r="I581" s="3" t="s">
        <v>13</v>
      </c>
      <c r="J581" s="7" t="str">
        <f>IFERROR(__xludf.DUMMYFUNCTION("SPLIT($A581,""Rua"","""")")," José Marinômio Sobrinho")</f>
        <v> José Marinômio Sobrinho</v>
      </c>
    </row>
    <row r="582" ht="15.75" customHeight="1">
      <c r="A582" s="5" t="s">
        <v>4021</v>
      </c>
      <c r="B582" s="5" t="s">
        <v>180</v>
      </c>
      <c r="C582" s="4" t="s">
        <v>2839</v>
      </c>
      <c r="D582" s="5" t="s">
        <v>4022</v>
      </c>
      <c r="E582" s="6">
        <v>214.0</v>
      </c>
      <c r="F582" s="6" t="s">
        <v>12</v>
      </c>
      <c r="H582" s="4" t="s">
        <v>2852</v>
      </c>
      <c r="I582" s="3" t="s">
        <v>13</v>
      </c>
      <c r="J582" s="7" t="str">
        <f>IFERROR(__xludf.DUMMYFUNCTION("SPLIT($A582,""Rua"","""")")," José Martins Bastos")</f>
        <v> José Martins Bastos</v>
      </c>
    </row>
    <row r="583" ht="15.75" customHeight="1">
      <c r="A583" s="5" t="s">
        <v>4023</v>
      </c>
      <c r="B583" s="5" t="s">
        <v>3197</v>
      </c>
      <c r="C583" s="4" t="s">
        <v>2839</v>
      </c>
      <c r="D583" s="5" t="s">
        <v>4024</v>
      </c>
      <c r="E583" s="6">
        <v>214.0</v>
      </c>
      <c r="F583" s="6" t="s">
        <v>12</v>
      </c>
      <c r="H583" s="4" t="s">
        <v>2852</v>
      </c>
      <c r="I583" s="3" t="s">
        <v>13</v>
      </c>
      <c r="J583" s="7" t="str">
        <f>IFERROR(__xludf.DUMMYFUNCTION("SPLIT($A583,""Rua"","""")")," José Martins de Souza")</f>
        <v> José Martins de Souza</v>
      </c>
    </row>
    <row r="584" ht="15.75" customHeight="1">
      <c r="A584" s="5" t="s">
        <v>4025</v>
      </c>
      <c r="B584" s="5" t="s">
        <v>3197</v>
      </c>
      <c r="C584" s="4" t="s">
        <v>2839</v>
      </c>
      <c r="D584" s="5" t="s">
        <v>4026</v>
      </c>
      <c r="E584" s="6">
        <v>214.0</v>
      </c>
      <c r="F584" s="6" t="s">
        <v>12</v>
      </c>
      <c r="H584" s="4" t="s">
        <v>2852</v>
      </c>
      <c r="I584" s="3" t="s">
        <v>13</v>
      </c>
      <c r="J584" s="7" t="str">
        <f>IFERROR(__xludf.DUMMYFUNCTION("SPLIT($A584,""Rua"","""")")," José Martins Teles")</f>
        <v> José Martins Teles</v>
      </c>
    </row>
    <row r="585" ht="15.75" customHeight="1">
      <c r="A585" s="5" t="s">
        <v>4025</v>
      </c>
      <c r="B585" s="5" t="s">
        <v>3162</v>
      </c>
      <c r="C585" s="4" t="s">
        <v>2839</v>
      </c>
      <c r="D585" s="5" t="s">
        <v>4027</v>
      </c>
      <c r="E585" s="6">
        <v>214.0</v>
      </c>
      <c r="F585" s="6" t="s">
        <v>12</v>
      </c>
      <c r="H585" s="4" t="s">
        <v>2852</v>
      </c>
      <c r="I585" s="3" t="s">
        <v>13</v>
      </c>
      <c r="J585" s="7" t="str">
        <f>IFERROR(__xludf.DUMMYFUNCTION("SPLIT($A585,""Rua"","""")")," José Martins Teles")</f>
        <v> José Martins Teles</v>
      </c>
    </row>
    <row r="586" ht="15.75" customHeight="1">
      <c r="A586" s="5" t="s">
        <v>4025</v>
      </c>
      <c r="B586" s="5" t="s">
        <v>3586</v>
      </c>
      <c r="C586" s="4" t="s">
        <v>2839</v>
      </c>
      <c r="D586" s="5" t="s">
        <v>4028</v>
      </c>
      <c r="E586" s="6">
        <v>214.0</v>
      </c>
      <c r="F586" s="6" t="s">
        <v>12</v>
      </c>
      <c r="H586" s="4" t="s">
        <v>2852</v>
      </c>
      <c r="I586" s="3" t="s">
        <v>13</v>
      </c>
      <c r="J586" s="7" t="str">
        <f>IFERROR(__xludf.DUMMYFUNCTION("SPLIT($A586,""Rua"","""")")," José Martins Teles")</f>
        <v> José Martins Teles</v>
      </c>
    </row>
    <row r="587" ht="15.75" customHeight="1">
      <c r="A587" s="5" t="s">
        <v>4025</v>
      </c>
      <c r="B587" s="5" t="s">
        <v>3063</v>
      </c>
      <c r="C587" s="4" t="s">
        <v>2839</v>
      </c>
      <c r="D587" s="5" t="s">
        <v>4029</v>
      </c>
      <c r="E587" s="6">
        <v>214.0</v>
      </c>
      <c r="F587" s="6" t="s">
        <v>12</v>
      </c>
      <c r="H587" s="4" t="s">
        <v>2852</v>
      </c>
      <c r="I587" s="3" t="s">
        <v>13</v>
      </c>
      <c r="J587" s="7" t="str">
        <f>IFERROR(__xludf.DUMMYFUNCTION("SPLIT($A587,""Rua"","""")")," José Martins Teles")</f>
        <v> José Martins Teles</v>
      </c>
    </row>
    <row r="588" ht="15.75" customHeight="1">
      <c r="A588" s="5" t="s">
        <v>4030</v>
      </c>
      <c r="B588" s="5" t="s">
        <v>3285</v>
      </c>
      <c r="C588" s="4" t="s">
        <v>2839</v>
      </c>
      <c r="D588" s="5" t="s">
        <v>4031</v>
      </c>
      <c r="E588" s="6">
        <v>214.0</v>
      </c>
      <c r="F588" s="6" t="s">
        <v>12</v>
      </c>
      <c r="H588" s="4" t="s">
        <v>2852</v>
      </c>
      <c r="I588" s="3" t="s">
        <v>13</v>
      </c>
      <c r="J588" s="7" t="str">
        <f>IFERROR(__xludf.DUMMYFUNCTION("SPLIT($A588,""Rua"","""")")," José Maurino Filho")</f>
        <v> José Maurino Filho</v>
      </c>
    </row>
    <row r="589" ht="15.75" customHeight="1">
      <c r="A589" s="5" t="s">
        <v>4032</v>
      </c>
      <c r="B589" s="5" t="s">
        <v>2945</v>
      </c>
      <c r="C589" s="4" t="s">
        <v>2839</v>
      </c>
      <c r="D589" s="5" t="s">
        <v>4033</v>
      </c>
      <c r="E589" s="6">
        <v>214.0</v>
      </c>
      <c r="F589" s="6" t="s">
        <v>12</v>
      </c>
      <c r="H589" s="4" t="s">
        <v>2852</v>
      </c>
      <c r="I589" s="3" t="s">
        <v>13</v>
      </c>
      <c r="J589" s="7" t="str">
        <f>IFERROR(__xludf.DUMMYFUNCTION("SPLIT($A589,""Rua"","""")")," José Milton Ragazzi")</f>
        <v> José Milton Ragazzi</v>
      </c>
    </row>
    <row r="590" ht="15.75" customHeight="1">
      <c r="A590" s="5" t="s">
        <v>4034</v>
      </c>
      <c r="B590" s="5" t="s">
        <v>3012</v>
      </c>
      <c r="C590" s="4" t="s">
        <v>2839</v>
      </c>
      <c r="D590" s="5" t="s">
        <v>4035</v>
      </c>
      <c r="E590" s="6">
        <v>214.0</v>
      </c>
      <c r="F590" s="6" t="s">
        <v>12</v>
      </c>
      <c r="H590" s="4" t="s">
        <v>2852</v>
      </c>
      <c r="I590" s="3" t="s">
        <v>13</v>
      </c>
      <c r="J590" s="7" t="str">
        <f>IFERROR(__xludf.DUMMYFUNCTION("SPLIT($A590,""Rua"","""")")," José Motta")</f>
        <v> José Motta</v>
      </c>
    </row>
    <row r="591" ht="15.75" customHeight="1">
      <c r="A591" s="5" t="s">
        <v>4036</v>
      </c>
      <c r="B591" s="5" t="s">
        <v>3058</v>
      </c>
      <c r="C591" s="4" t="s">
        <v>2839</v>
      </c>
      <c r="D591" s="5" t="s">
        <v>4037</v>
      </c>
      <c r="E591" s="6">
        <v>214.0</v>
      </c>
      <c r="F591" s="6" t="s">
        <v>12</v>
      </c>
      <c r="H591" s="4" t="s">
        <v>2852</v>
      </c>
      <c r="I591" s="3" t="s">
        <v>13</v>
      </c>
      <c r="J591" s="7" t="str">
        <f>IFERROR(__xludf.DUMMYFUNCTION("SPLIT($A591,""Rua"","""")")," José Oliveira de Souza")</f>
        <v> José Oliveira de Souza</v>
      </c>
    </row>
    <row r="592" ht="15.75" customHeight="1">
      <c r="A592" s="5" t="s">
        <v>4038</v>
      </c>
      <c r="B592" s="5" t="s">
        <v>3063</v>
      </c>
      <c r="C592" s="4" t="s">
        <v>2839</v>
      </c>
      <c r="D592" s="5" t="s">
        <v>4039</v>
      </c>
      <c r="E592" s="6">
        <v>214.0</v>
      </c>
      <c r="F592" s="6" t="s">
        <v>12</v>
      </c>
      <c r="H592" s="4" t="s">
        <v>2852</v>
      </c>
      <c r="I592" s="3" t="s">
        <v>13</v>
      </c>
      <c r="J592" s="7" t="str">
        <f>IFERROR(__xludf.DUMMYFUNCTION("SPLIT($A592,""Rua"","""")")," José Roberto Batistela")</f>
        <v> José Roberto Batistela</v>
      </c>
    </row>
    <row r="593" ht="15.75" customHeight="1">
      <c r="A593" s="5" t="s">
        <v>4040</v>
      </c>
      <c r="B593" s="5" t="s">
        <v>3061</v>
      </c>
      <c r="C593" s="4" t="s">
        <v>2839</v>
      </c>
      <c r="D593" s="5" t="s">
        <v>4041</v>
      </c>
      <c r="E593" s="6">
        <v>214.0</v>
      </c>
      <c r="F593" s="6" t="s">
        <v>12</v>
      </c>
      <c r="H593" s="4" t="s">
        <v>2852</v>
      </c>
      <c r="I593" s="3" t="s">
        <v>13</v>
      </c>
      <c r="J593" s="7" t="str">
        <f>IFERROR(__xludf.DUMMYFUNCTION("SPLIT($A593,""Rua"","""")")," José Rodrigues do Nascimento")</f>
        <v> José Rodrigues do Nascimento</v>
      </c>
    </row>
    <row r="594" ht="15.75" customHeight="1">
      <c r="A594" s="5" t="s">
        <v>4042</v>
      </c>
      <c r="B594" s="5" t="s">
        <v>3260</v>
      </c>
      <c r="C594" s="4" t="s">
        <v>2839</v>
      </c>
      <c r="D594" s="5" t="s">
        <v>4043</v>
      </c>
      <c r="E594" s="6">
        <v>214.0</v>
      </c>
      <c r="F594" s="6" t="s">
        <v>12</v>
      </c>
      <c r="H594" s="4" t="s">
        <v>2852</v>
      </c>
      <c r="I594" s="3" t="s">
        <v>13</v>
      </c>
      <c r="J594" s="7" t="str">
        <f>IFERROR(__xludf.DUMMYFUNCTION("SPLIT($A594,""Rua"","""")")," José Sgariboldi Filho")</f>
        <v> José Sgariboldi Filho</v>
      </c>
    </row>
    <row r="595" ht="15.75" customHeight="1">
      <c r="A595" s="5" t="s">
        <v>4044</v>
      </c>
      <c r="B595" s="5" t="s">
        <v>2959</v>
      </c>
      <c r="C595" s="4" t="s">
        <v>2839</v>
      </c>
      <c r="D595" s="5" t="s">
        <v>4045</v>
      </c>
      <c r="E595" s="6">
        <v>214.0</v>
      </c>
      <c r="F595" s="6" t="s">
        <v>12</v>
      </c>
      <c r="H595" s="4" t="s">
        <v>2852</v>
      </c>
      <c r="I595" s="3" t="s">
        <v>13</v>
      </c>
      <c r="J595" s="7" t="str">
        <f>IFERROR(__xludf.DUMMYFUNCTION("SPLIT($A595,""Rua"","""")")," José Teixeira da Fonseca")</f>
        <v> José Teixeira da Fonseca</v>
      </c>
    </row>
    <row r="596" ht="15.75" customHeight="1">
      <c r="A596" s="5" t="s">
        <v>4046</v>
      </c>
      <c r="B596" s="5" t="s">
        <v>3034</v>
      </c>
      <c r="C596" s="4" t="s">
        <v>2839</v>
      </c>
      <c r="D596" s="5" t="s">
        <v>4047</v>
      </c>
      <c r="E596" s="6">
        <v>214.0</v>
      </c>
      <c r="F596" s="6" t="s">
        <v>12</v>
      </c>
      <c r="H596" s="4" t="s">
        <v>2852</v>
      </c>
      <c r="I596" s="3" t="s">
        <v>13</v>
      </c>
      <c r="J596" s="7" t="str">
        <f>IFERROR(__xludf.DUMMYFUNCTION("SPLIT($A596,""Rua"","""")")," José Teodoro de Almeida")</f>
        <v> José Teodoro de Almeida</v>
      </c>
    </row>
    <row r="597" ht="15.75" customHeight="1">
      <c r="A597" s="5" t="s">
        <v>4048</v>
      </c>
      <c r="B597" s="5" t="s">
        <v>3034</v>
      </c>
      <c r="C597" s="4" t="s">
        <v>2839</v>
      </c>
      <c r="D597" s="5" t="s">
        <v>4049</v>
      </c>
      <c r="E597" s="6">
        <v>214.0</v>
      </c>
      <c r="F597" s="6" t="s">
        <v>12</v>
      </c>
      <c r="H597" s="4" t="s">
        <v>2852</v>
      </c>
      <c r="I597" s="3" t="s">
        <v>13</v>
      </c>
      <c r="J597" s="7" t="str">
        <f>IFERROR(__xludf.DUMMYFUNCTION("SPLIT($A597,""Rua"","""")")," Josephina Simeira")</f>
        <v> Josephina Simeira</v>
      </c>
    </row>
    <row r="598" ht="15.75" customHeight="1">
      <c r="A598" s="5" t="s">
        <v>4050</v>
      </c>
      <c r="B598" s="5" t="s">
        <v>3003</v>
      </c>
      <c r="C598" s="4" t="s">
        <v>2839</v>
      </c>
      <c r="D598" s="5" t="s">
        <v>4051</v>
      </c>
      <c r="E598" s="6">
        <v>214.0</v>
      </c>
      <c r="F598" s="6" t="s">
        <v>12</v>
      </c>
      <c r="H598" s="4" t="s">
        <v>2852</v>
      </c>
      <c r="I598" s="3" t="s">
        <v>13</v>
      </c>
      <c r="J598" s="7" t="str">
        <f>IFERROR(__xludf.DUMMYFUNCTION("SPLIT($A598,""Rua"","""")")," Júlio Alves de Oliveira")</f>
        <v> Júlio Alves de Oliveira</v>
      </c>
    </row>
    <row r="599" ht="15.75" customHeight="1">
      <c r="A599" s="5" t="s">
        <v>4052</v>
      </c>
      <c r="B599" s="5" t="s">
        <v>180</v>
      </c>
      <c r="C599" s="4" t="s">
        <v>2839</v>
      </c>
      <c r="D599" s="5" t="s">
        <v>4053</v>
      </c>
      <c r="E599" s="6">
        <v>214.0</v>
      </c>
      <c r="F599" s="6" t="s">
        <v>12</v>
      </c>
      <c r="H599" s="4" t="s">
        <v>2852</v>
      </c>
      <c r="I599" s="3" t="s">
        <v>13</v>
      </c>
      <c r="J599" s="7" t="str">
        <f>IFERROR(__xludf.DUMMYFUNCTION("SPLIT($A599,""Rua"","""")")," Júlio Prestes de Albuquerque")</f>
        <v> Júlio Prestes de Albuquerque</v>
      </c>
    </row>
    <row r="600" ht="15.75" customHeight="1">
      <c r="A600" s="5" t="s">
        <v>4054</v>
      </c>
      <c r="B600" s="5" t="s">
        <v>3086</v>
      </c>
      <c r="C600" s="4" t="s">
        <v>2839</v>
      </c>
      <c r="D600" s="5" t="s">
        <v>4055</v>
      </c>
      <c r="E600" s="6">
        <v>214.0</v>
      </c>
      <c r="F600" s="6" t="s">
        <v>12</v>
      </c>
      <c r="H600" s="4" t="s">
        <v>2852</v>
      </c>
      <c r="I600" s="3" t="s">
        <v>13</v>
      </c>
      <c r="J600" s="7" t="str">
        <f>IFERROR(__xludf.DUMMYFUNCTION("SPLIT($A600,""Rua"","""")")," Julita de Souza Sampaio")</f>
        <v> Julita de Souza Sampaio</v>
      </c>
    </row>
    <row r="601" ht="15.75" customHeight="1">
      <c r="A601" s="5" t="s">
        <v>4056</v>
      </c>
      <c r="B601" s="5" t="s">
        <v>3216</v>
      </c>
      <c r="C601" s="4" t="s">
        <v>2839</v>
      </c>
      <c r="D601" s="5" t="s">
        <v>4057</v>
      </c>
      <c r="E601" s="6">
        <v>214.0</v>
      </c>
      <c r="F601" s="6" t="s">
        <v>12</v>
      </c>
      <c r="H601" s="4" t="s">
        <v>2852</v>
      </c>
      <c r="I601" s="3" t="s">
        <v>13</v>
      </c>
      <c r="J601" s="7" t="str">
        <f>IFERROR(__xludf.DUMMYFUNCTION("SPLIT($A601,""Rua"","""")")," Jurandir Ferraz")</f>
        <v> Jurandir Ferraz</v>
      </c>
    </row>
    <row r="602" ht="15.75" customHeight="1">
      <c r="A602" s="5" t="s">
        <v>4058</v>
      </c>
      <c r="B602" s="5" t="s">
        <v>2945</v>
      </c>
      <c r="C602" s="4" t="s">
        <v>2839</v>
      </c>
      <c r="D602" s="5" t="s">
        <v>4059</v>
      </c>
      <c r="E602" s="6">
        <v>214.0</v>
      </c>
      <c r="F602" s="6" t="s">
        <v>12</v>
      </c>
      <c r="H602" s="4" t="s">
        <v>2852</v>
      </c>
      <c r="I602" s="3" t="s">
        <v>13</v>
      </c>
      <c r="J602" s="7" t="str">
        <f>IFERROR(__xludf.DUMMYFUNCTION("SPLIT($A602,""Rua"","""")")," Jurema")</f>
        <v> Jurema</v>
      </c>
    </row>
    <row r="603" ht="15.75" customHeight="1">
      <c r="A603" s="5" t="s">
        <v>4060</v>
      </c>
      <c r="B603" s="5" t="s">
        <v>2996</v>
      </c>
      <c r="C603" s="4" t="s">
        <v>2839</v>
      </c>
      <c r="D603" s="5" t="s">
        <v>4061</v>
      </c>
      <c r="E603" s="6">
        <v>214.0</v>
      </c>
      <c r="F603" s="6" t="s">
        <v>12</v>
      </c>
      <c r="H603" s="4" t="s">
        <v>2852</v>
      </c>
      <c r="I603" s="3" t="s">
        <v>13</v>
      </c>
      <c r="J603" s="7" t="str">
        <f>IFERROR(__xludf.DUMMYFUNCTION("SPLIT($A603,""Rua"","""")")," Justino Gomide Bueno")</f>
        <v> Justino Gomide Bueno</v>
      </c>
    </row>
    <row r="604" ht="15.75" customHeight="1">
      <c r="A604" s="5" t="s">
        <v>4060</v>
      </c>
      <c r="B604" s="5" t="s">
        <v>3016</v>
      </c>
      <c r="C604" s="4" t="s">
        <v>2839</v>
      </c>
      <c r="D604" s="5" t="s">
        <v>4062</v>
      </c>
      <c r="E604" s="6">
        <v>214.0</v>
      </c>
      <c r="F604" s="6" t="s">
        <v>12</v>
      </c>
      <c r="H604" s="4" t="s">
        <v>2852</v>
      </c>
      <c r="I604" s="3" t="s">
        <v>13</v>
      </c>
      <c r="J604" s="7" t="str">
        <f>IFERROR(__xludf.DUMMYFUNCTION("SPLIT($A604,""Rua"","""")")," Justino Gomide Bueno")</f>
        <v> Justino Gomide Bueno</v>
      </c>
    </row>
    <row r="605" ht="15.75" customHeight="1">
      <c r="A605" s="5" t="s">
        <v>4063</v>
      </c>
      <c r="B605" s="5" t="s">
        <v>3194</v>
      </c>
      <c r="C605" s="4" t="s">
        <v>2839</v>
      </c>
      <c r="D605" s="5" t="s">
        <v>4064</v>
      </c>
      <c r="E605" s="6">
        <v>214.0</v>
      </c>
      <c r="F605" s="6" t="s">
        <v>12</v>
      </c>
      <c r="H605" s="4" t="s">
        <v>2852</v>
      </c>
      <c r="I605" s="3" t="s">
        <v>13</v>
      </c>
      <c r="J605" s="7" t="str">
        <f>IFERROR(__xludf.DUMMYFUNCTION("SPLIT($A605,""Rua"","""")")," Lacerda e Almeida")</f>
        <v> Lacerda e Almeida</v>
      </c>
    </row>
    <row r="606" ht="15.75" customHeight="1">
      <c r="A606" s="5" t="s">
        <v>4065</v>
      </c>
      <c r="B606" s="5" t="s">
        <v>3018</v>
      </c>
      <c r="C606" s="4" t="s">
        <v>2839</v>
      </c>
      <c r="D606" s="5" t="s">
        <v>4066</v>
      </c>
      <c r="E606" s="6">
        <v>214.0</v>
      </c>
      <c r="F606" s="6" t="s">
        <v>12</v>
      </c>
      <c r="H606" s="4" t="s">
        <v>2852</v>
      </c>
      <c r="I606" s="3" t="s">
        <v>13</v>
      </c>
      <c r="J606" s="7" t="str">
        <f>IFERROR(__xludf.DUMMYFUNCTION("SPLIT($A606,""Rua"","""")")," Laerte Carlos")</f>
        <v> Laerte Carlos</v>
      </c>
    </row>
    <row r="607" ht="15.75" customHeight="1">
      <c r="A607" s="5" t="s">
        <v>4067</v>
      </c>
      <c r="B607" s="5" t="s">
        <v>3054</v>
      </c>
      <c r="C607" s="4" t="s">
        <v>2839</v>
      </c>
      <c r="D607" s="5" t="s">
        <v>4068</v>
      </c>
      <c r="E607" s="6">
        <v>214.0</v>
      </c>
      <c r="F607" s="6" t="s">
        <v>12</v>
      </c>
      <c r="H607" s="4" t="s">
        <v>2852</v>
      </c>
      <c r="I607" s="3" t="s">
        <v>13</v>
      </c>
      <c r="J607" s="7" t="str">
        <f>IFERROR(__xludf.DUMMYFUNCTION("SPLIT($A607,""Rua"","""")")," Lafayete martins Sampaio")</f>
        <v> Lafayete martins Sampaio</v>
      </c>
    </row>
    <row r="608" ht="15.75" customHeight="1">
      <c r="A608" s="5" t="s">
        <v>4069</v>
      </c>
      <c r="B608" s="5" t="s">
        <v>3003</v>
      </c>
      <c r="C608" s="4" t="s">
        <v>2839</v>
      </c>
      <c r="D608" s="5" t="s">
        <v>4070</v>
      </c>
      <c r="E608" s="6">
        <v>214.0</v>
      </c>
      <c r="F608" s="6" t="s">
        <v>12</v>
      </c>
      <c r="H608" s="4" t="s">
        <v>2852</v>
      </c>
      <c r="I608" s="3" t="s">
        <v>13</v>
      </c>
      <c r="J608" s="7" t="str">
        <f>IFERROR(__xludf.DUMMYFUNCTION("SPLIT($A608,""Rua"","""")")," Laiz Solange Ferraz")</f>
        <v> Laiz Solange Ferraz</v>
      </c>
    </row>
    <row r="609" ht="15.75" customHeight="1">
      <c r="A609" s="5" t="s">
        <v>4071</v>
      </c>
      <c r="B609" s="5" t="s">
        <v>3194</v>
      </c>
      <c r="C609" s="4" t="s">
        <v>2839</v>
      </c>
      <c r="D609" s="5" t="s">
        <v>4072</v>
      </c>
      <c r="E609" s="6">
        <v>214.0</v>
      </c>
      <c r="F609" s="6" t="s">
        <v>12</v>
      </c>
      <c r="H609" s="4" t="s">
        <v>2852</v>
      </c>
      <c r="I609" s="3" t="s">
        <v>13</v>
      </c>
      <c r="J609" s="7" t="str">
        <f>IFERROR(__xludf.DUMMYFUNCTION("SPLIT($A609,""Rua"","""")")," Langsdorff")</f>
        <v> Langsdorff</v>
      </c>
    </row>
    <row r="610" ht="15.75" customHeight="1">
      <c r="A610" s="5" t="s">
        <v>4073</v>
      </c>
      <c r="B610" s="5" t="s">
        <v>3512</v>
      </c>
      <c r="C610" s="4" t="s">
        <v>2839</v>
      </c>
      <c r="D610" s="5" t="s">
        <v>4074</v>
      </c>
      <c r="E610" s="6">
        <v>214.0</v>
      </c>
      <c r="F610" s="6" t="s">
        <v>12</v>
      </c>
      <c r="H610" s="4" t="s">
        <v>2852</v>
      </c>
      <c r="I610" s="3" t="s">
        <v>13</v>
      </c>
      <c r="J610" s="7" t="str">
        <f>IFERROR(__xludf.DUMMYFUNCTION("SPLIT($A610,""Rua"","""")")," Larissa Raveli")</f>
        <v> Larissa Raveli</v>
      </c>
    </row>
    <row r="611" ht="15.75" customHeight="1">
      <c r="A611" s="5" t="s">
        <v>4075</v>
      </c>
      <c r="B611" s="5" t="s">
        <v>3913</v>
      </c>
      <c r="C611" s="4" t="s">
        <v>2839</v>
      </c>
      <c r="D611" s="5" t="s">
        <v>4076</v>
      </c>
      <c r="E611" s="6">
        <v>214.0</v>
      </c>
      <c r="F611" s="6" t="s">
        <v>12</v>
      </c>
      <c r="H611" s="4" t="s">
        <v>2852</v>
      </c>
      <c r="I611" s="3" t="s">
        <v>13</v>
      </c>
      <c r="J611" s="7" t="str">
        <f>IFERROR(__xludf.DUMMYFUNCTION("SPLIT($A611,""Rua"","""")")," Laura Steiner de Carvalho")</f>
        <v> Laura Steiner de Carvalho</v>
      </c>
    </row>
    <row r="612" ht="15.75" customHeight="1">
      <c r="A612" s="5" t="s">
        <v>4077</v>
      </c>
      <c r="B612" s="5" t="s">
        <v>3579</v>
      </c>
      <c r="C612" s="4" t="s">
        <v>2839</v>
      </c>
      <c r="D612" s="5" t="s">
        <v>4078</v>
      </c>
      <c r="E612" s="6">
        <v>214.0</v>
      </c>
      <c r="F612" s="6" t="s">
        <v>12</v>
      </c>
      <c r="H612" s="4" t="s">
        <v>2852</v>
      </c>
      <c r="I612" s="3" t="s">
        <v>13</v>
      </c>
      <c r="J612" s="7" t="str">
        <f>IFERROR(__xludf.DUMMYFUNCTION("SPLIT($A612,""Rua"","""")")," Lauro Galvão")</f>
        <v> Lauro Galvão</v>
      </c>
    </row>
    <row r="613" ht="15.75" customHeight="1">
      <c r="A613" s="5" t="s">
        <v>4077</v>
      </c>
      <c r="B613" s="5" t="s">
        <v>3586</v>
      </c>
      <c r="C613" s="4" t="s">
        <v>2839</v>
      </c>
      <c r="D613" s="5" t="s">
        <v>4079</v>
      </c>
      <c r="E613" s="6">
        <v>214.0</v>
      </c>
      <c r="F613" s="6" t="s">
        <v>12</v>
      </c>
      <c r="H613" s="4" t="s">
        <v>2852</v>
      </c>
      <c r="I613" s="3" t="s">
        <v>13</v>
      </c>
      <c r="J613" s="7" t="str">
        <f>IFERROR(__xludf.DUMMYFUNCTION("SPLIT($A613,""Rua"","""")")," Lauro Galvão")</f>
        <v> Lauro Galvão</v>
      </c>
    </row>
    <row r="614" ht="15.75" customHeight="1">
      <c r="A614" s="5" t="s">
        <v>4080</v>
      </c>
      <c r="B614" s="5" t="s">
        <v>3643</v>
      </c>
      <c r="C614" s="4" t="s">
        <v>2839</v>
      </c>
      <c r="D614" s="5" t="s">
        <v>4081</v>
      </c>
      <c r="E614" s="6">
        <v>214.0</v>
      </c>
      <c r="F614" s="6" t="s">
        <v>12</v>
      </c>
      <c r="H614" s="4" t="s">
        <v>2852</v>
      </c>
      <c r="I614" s="3" t="s">
        <v>13</v>
      </c>
      <c r="J614" s="7" t="str">
        <f>IFERROR(__xludf.DUMMYFUNCTION("SPLIT($A614,""Rua"","""")")," Lázaro Cossari")</f>
        <v> Lázaro Cossari</v>
      </c>
    </row>
    <row r="615" ht="15.75" customHeight="1">
      <c r="A615" s="5" t="s">
        <v>4082</v>
      </c>
      <c r="B615" s="5" t="s">
        <v>3319</v>
      </c>
      <c r="C615" s="4" t="s">
        <v>2839</v>
      </c>
      <c r="D615" s="5" t="s">
        <v>4083</v>
      </c>
      <c r="E615" s="6">
        <v>214.0</v>
      </c>
      <c r="F615" s="6" t="s">
        <v>12</v>
      </c>
      <c r="H615" s="4" t="s">
        <v>2852</v>
      </c>
      <c r="I615" s="3" t="s">
        <v>13</v>
      </c>
      <c r="J615" s="7" t="str">
        <f>IFERROR(__xludf.DUMMYFUNCTION("SPLIT($A615,""Rua"","""")")," Lázaro de Almeida Lara")</f>
        <v> Lázaro de Almeida Lara</v>
      </c>
    </row>
    <row r="616" ht="15.75" customHeight="1">
      <c r="A616" s="5" t="s">
        <v>4084</v>
      </c>
      <c r="B616" s="5" t="s">
        <v>3162</v>
      </c>
      <c r="C616" s="4" t="s">
        <v>2839</v>
      </c>
      <c r="D616" s="5" t="s">
        <v>4085</v>
      </c>
      <c r="E616" s="6">
        <v>214.0</v>
      </c>
      <c r="F616" s="6" t="s">
        <v>12</v>
      </c>
      <c r="H616" s="4" t="s">
        <v>2852</v>
      </c>
      <c r="I616" s="3" t="s">
        <v>13</v>
      </c>
      <c r="J616" s="7" t="str">
        <f>IFERROR(__xludf.DUMMYFUNCTION("SPLIT($A616,""Rua"","""")")," Lázaro Dias dos Santos")</f>
        <v> Lázaro Dias dos Santos</v>
      </c>
    </row>
    <row r="617" ht="15.75" customHeight="1">
      <c r="A617" s="5" t="s">
        <v>4086</v>
      </c>
      <c r="B617" s="5" t="s">
        <v>3216</v>
      </c>
      <c r="C617" s="4" t="s">
        <v>2839</v>
      </c>
      <c r="D617" s="5" t="s">
        <v>4087</v>
      </c>
      <c r="E617" s="6">
        <v>214.0</v>
      </c>
      <c r="F617" s="6" t="s">
        <v>12</v>
      </c>
      <c r="H617" s="4" t="s">
        <v>2852</v>
      </c>
      <c r="I617" s="3" t="s">
        <v>13</v>
      </c>
      <c r="J617" s="7" t="str">
        <f>IFERROR(__xludf.DUMMYFUNCTION("SPLIT($A617,""Rua"","""")")," Leobino Lopes de Barros")</f>
        <v> Leobino Lopes de Barros</v>
      </c>
    </row>
    <row r="618" ht="15.75" customHeight="1">
      <c r="A618" s="5" t="s">
        <v>4088</v>
      </c>
      <c r="B618" s="5" t="s">
        <v>3034</v>
      </c>
      <c r="C618" s="4" t="s">
        <v>2839</v>
      </c>
      <c r="D618" s="5" t="s">
        <v>4089</v>
      </c>
      <c r="E618" s="6">
        <v>214.0</v>
      </c>
      <c r="F618" s="6" t="s">
        <v>12</v>
      </c>
      <c r="H618" s="4" t="s">
        <v>2852</v>
      </c>
      <c r="I618" s="3" t="s">
        <v>13</v>
      </c>
      <c r="J618" s="7" t="str">
        <f>IFERROR(__xludf.DUMMYFUNCTION("SPLIT($A618,""Rua"","""")")," Leonidas Sampaio")</f>
        <v> Leonidas Sampaio</v>
      </c>
    </row>
    <row r="619" ht="15.75" customHeight="1">
      <c r="A619" s="5" t="s">
        <v>4090</v>
      </c>
      <c r="B619" s="5" t="s">
        <v>3065</v>
      </c>
      <c r="C619" s="4" t="s">
        <v>2839</v>
      </c>
      <c r="D619" s="5" t="s">
        <v>4091</v>
      </c>
      <c r="E619" s="6">
        <v>214.0</v>
      </c>
      <c r="F619" s="6" t="s">
        <v>12</v>
      </c>
      <c r="H619" s="4" t="s">
        <v>2852</v>
      </c>
      <c r="I619" s="3" t="s">
        <v>13</v>
      </c>
      <c r="J619" s="7" t="str">
        <f>IFERROR(__xludf.DUMMYFUNCTION("SPLIT($A619,""Rua"","""")")," Leonilde Cadete da Silva")</f>
        <v> Leonilde Cadete da Silva</v>
      </c>
    </row>
    <row r="620" ht="15.75" customHeight="1">
      <c r="A620" s="5" t="s">
        <v>4092</v>
      </c>
      <c r="B620" s="5" t="s">
        <v>3061</v>
      </c>
      <c r="C620" s="4" t="s">
        <v>2839</v>
      </c>
      <c r="D620" s="5" t="s">
        <v>4093</v>
      </c>
      <c r="E620" s="6">
        <v>214.0</v>
      </c>
      <c r="F620" s="6" t="s">
        <v>12</v>
      </c>
      <c r="H620" s="4" t="s">
        <v>2852</v>
      </c>
      <c r="I620" s="3" t="s">
        <v>13</v>
      </c>
      <c r="J620" s="7" t="str">
        <f>IFERROR(__xludf.DUMMYFUNCTION("SPLIT($A620,""Rua"","""")")," Leontina Chatel Stetner")</f>
        <v> Leontina Chatel Stetner</v>
      </c>
    </row>
    <row r="621" ht="15.75" customHeight="1">
      <c r="A621" s="5" t="s">
        <v>4094</v>
      </c>
      <c r="B621" s="5" t="s">
        <v>3061</v>
      </c>
      <c r="C621" s="4" t="s">
        <v>2839</v>
      </c>
      <c r="D621" s="5" t="s">
        <v>4095</v>
      </c>
      <c r="E621" s="6">
        <v>214.0</v>
      </c>
      <c r="F621" s="6" t="s">
        <v>12</v>
      </c>
      <c r="H621" s="4" t="s">
        <v>2852</v>
      </c>
      <c r="I621" s="3" t="s">
        <v>13</v>
      </c>
      <c r="J621" s="7" t="str">
        <f>IFERROR(__xludf.DUMMYFUNCTION("SPLIT($A621,""Rua"","""")")," Lídia Maria Potel Antunes")</f>
        <v> Lídia Maria Potel Antunes</v>
      </c>
    </row>
    <row r="622" ht="15.75" customHeight="1">
      <c r="A622" s="5" t="s">
        <v>4096</v>
      </c>
      <c r="B622" s="5" t="s">
        <v>2996</v>
      </c>
      <c r="C622" s="4" t="s">
        <v>2839</v>
      </c>
      <c r="D622" s="5" t="s">
        <v>4097</v>
      </c>
      <c r="E622" s="6">
        <v>214.0</v>
      </c>
      <c r="F622" s="6" t="s">
        <v>12</v>
      </c>
      <c r="H622" s="4" t="s">
        <v>2852</v>
      </c>
      <c r="I622" s="3" t="s">
        <v>13</v>
      </c>
      <c r="J622" s="7" t="str">
        <f>IFERROR(__xludf.DUMMYFUNCTION("SPLIT($A622,""Rua"","""")")," Lourdes Costa de Jesus")</f>
        <v> Lourdes Costa de Jesus</v>
      </c>
    </row>
    <row r="623" ht="15.75" customHeight="1">
      <c r="A623" s="5" t="s">
        <v>4098</v>
      </c>
      <c r="B623" s="5" t="s">
        <v>3182</v>
      </c>
      <c r="C623" s="4" t="s">
        <v>2839</v>
      </c>
      <c r="D623" s="5" t="s">
        <v>4099</v>
      </c>
      <c r="E623" s="6">
        <v>214.0</v>
      </c>
      <c r="F623" s="6" t="s">
        <v>12</v>
      </c>
      <c r="H623" s="4" t="s">
        <v>2852</v>
      </c>
      <c r="I623" s="3" t="s">
        <v>13</v>
      </c>
      <c r="J623" s="7" t="str">
        <f>IFERROR(__xludf.DUMMYFUNCTION("SPLIT($A623,""Rua"","""")")," Lourdes Xavier Marteline")</f>
        <v> Lourdes Xavier Marteline</v>
      </c>
    </row>
    <row r="624" ht="15.75" customHeight="1">
      <c r="A624" s="5" t="s">
        <v>4100</v>
      </c>
      <c r="B624" s="5" t="s">
        <v>3351</v>
      </c>
      <c r="C624" s="4" t="s">
        <v>2839</v>
      </c>
      <c r="D624" s="5" t="s">
        <v>4101</v>
      </c>
      <c r="E624" s="6">
        <v>214.0</v>
      </c>
      <c r="F624" s="6" t="s">
        <v>12</v>
      </c>
      <c r="H624" s="4" t="s">
        <v>2852</v>
      </c>
      <c r="I624" s="3" t="s">
        <v>13</v>
      </c>
      <c r="J624" s="7" t="str">
        <f>IFERROR(__xludf.DUMMYFUNCTION("SPLIT($A624,""Rua"","""")")," Lourenço Taques")</f>
        <v> Lourenço Taques</v>
      </c>
    </row>
    <row r="625" ht="15.75" customHeight="1">
      <c r="A625" s="5" t="s">
        <v>4102</v>
      </c>
      <c r="B625" s="5" t="s">
        <v>3012</v>
      </c>
      <c r="C625" s="4" t="s">
        <v>2839</v>
      </c>
      <c r="D625" s="5" t="s">
        <v>4103</v>
      </c>
      <c r="E625" s="6">
        <v>214.0</v>
      </c>
      <c r="F625" s="6" t="s">
        <v>12</v>
      </c>
      <c r="H625" s="4" t="s">
        <v>2852</v>
      </c>
      <c r="I625" s="3" t="s">
        <v>13</v>
      </c>
      <c r="J625" s="7" t="str">
        <f>IFERROR(__xludf.DUMMYFUNCTION("SPLIT($A625,""Rua"","""")")," Luis Alberto de Arruda")</f>
        <v> Luis Alberto de Arruda</v>
      </c>
    </row>
    <row r="626" ht="15.75" customHeight="1">
      <c r="A626" s="5" t="s">
        <v>4104</v>
      </c>
      <c r="B626" s="5" t="s">
        <v>3194</v>
      </c>
      <c r="C626" s="4" t="s">
        <v>2839</v>
      </c>
      <c r="D626" s="5" t="s">
        <v>4105</v>
      </c>
      <c r="E626" s="6">
        <v>214.0</v>
      </c>
      <c r="F626" s="6" t="s">
        <v>12</v>
      </c>
      <c r="H626" s="4" t="s">
        <v>2852</v>
      </c>
      <c r="I626" s="3" t="s">
        <v>13</v>
      </c>
      <c r="J626" s="7" t="str">
        <f>IFERROR(__xludf.DUMMYFUNCTION("SPLIT($A626,""Rua"","""")")," Luis Riedel")</f>
        <v> Luis Riedel</v>
      </c>
    </row>
    <row r="627" ht="15.75" customHeight="1">
      <c r="A627" s="13" t="s">
        <v>4106</v>
      </c>
      <c r="B627" s="13" t="s">
        <v>3579</v>
      </c>
      <c r="C627" s="4" t="s">
        <v>2839</v>
      </c>
      <c r="D627" s="13" t="s">
        <v>4107</v>
      </c>
      <c r="E627" s="6">
        <v>214.0</v>
      </c>
      <c r="F627" s="6" t="s">
        <v>12</v>
      </c>
      <c r="H627" s="4" t="s">
        <v>2852</v>
      </c>
      <c r="I627" s="3" t="s">
        <v>13</v>
      </c>
      <c r="J627" s="7" t="str">
        <f>IFERROR(__xludf.DUMMYFUNCTION("SPLIT($A627,""Rua"","""")")," Luis Tempesta")</f>
        <v> Luis Tempesta</v>
      </c>
    </row>
    <row r="628" ht="15.75" customHeight="1">
      <c r="A628" s="5" t="s">
        <v>4108</v>
      </c>
      <c r="B628" s="5" t="s">
        <v>2865</v>
      </c>
      <c r="C628" s="4" t="s">
        <v>2839</v>
      </c>
      <c r="D628" s="5" t="s">
        <v>4109</v>
      </c>
      <c r="E628" s="6">
        <v>214.0</v>
      </c>
      <c r="F628" s="6" t="s">
        <v>12</v>
      </c>
      <c r="H628" s="4" t="s">
        <v>2852</v>
      </c>
      <c r="I628" s="3" t="s">
        <v>13</v>
      </c>
      <c r="J628" s="7" t="str">
        <f>IFERROR(__xludf.DUMMYFUNCTION("SPLIT($A628,""Rua"","""")")," Luiz Alcalá")</f>
        <v> Luiz Alcalá</v>
      </c>
    </row>
    <row r="629" ht="15.75" customHeight="1">
      <c r="A629" s="5" t="s">
        <v>4110</v>
      </c>
      <c r="B629" s="5" t="s">
        <v>180</v>
      </c>
      <c r="C629" s="4" t="s">
        <v>2839</v>
      </c>
      <c r="D629" s="5" t="s">
        <v>4111</v>
      </c>
      <c r="E629" s="6">
        <v>214.0</v>
      </c>
      <c r="F629" s="6" t="s">
        <v>12</v>
      </c>
      <c r="H629" s="4" t="s">
        <v>2852</v>
      </c>
      <c r="I629" s="3" t="s">
        <v>13</v>
      </c>
      <c r="J629" s="7" t="str">
        <f>IFERROR(__xludf.DUMMYFUNCTION("SPLIT($A629,""Rua"","""")")," Luiz Antônio de Carvalho")</f>
        <v> Luiz Antônio de Carvalho</v>
      </c>
    </row>
    <row r="630" ht="15.75" customHeight="1">
      <c r="A630" s="5" t="s">
        <v>4112</v>
      </c>
      <c r="B630" s="5" t="s">
        <v>3299</v>
      </c>
      <c r="C630" s="4" t="s">
        <v>2839</v>
      </c>
      <c r="D630" s="5" t="s">
        <v>4113</v>
      </c>
      <c r="E630" s="6">
        <v>214.0</v>
      </c>
      <c r="F630" s="6" t="s">
        <v>12</v>
      </c>
      <c r="H630" s="4" t="s">
        <v>2852</v>
      </c>
      <c r="I630" s="3" t="s">
        <v>13</v>
      </c>
      <c r="J630" s="7" t="str">
        <f>IFERROR(__xludf.DUMMYFUNCTION("SPLIT($A630,""Rua"","""")")," Luiz Antônio Vieira")</f>
        <v> Luiz Antônio Vieira</v>
      </c>
    </row>
    <row r="631" ht="15.75" customHeight="1">
      <c r="A631" s="5" t="s">
        <v>4114</v>
      </c>
      <c r="B631" s="5" t="s">
        <v>3591</v>
      </c>
      <c r="C631" s="4" t="s">
        <v>2839</v>
      </c>
      <c r="D631" s="5" t="s">
        <v>4115</v>
      </c>
      <c r="E631" s="6">
        <v>214.0</v>
      </c>
      <c r="F631" s="6" t="s">
        <v>12</v>
      </c>
      <c r="H631" s="4" t="s">
        <v>2852</v>
      </c>
      <c r="I631" s="3" t="s">
        <v>13</v>
      </c>
      <c r="J631" s="7" t="str">
        <f>IFERROR(__xludf.DUMMYFUNCTION("SPLIT($A631,""Rua"","""")")," Luiz Carlos Lisboa")</f>
        <v> Luiz Carlos Lisboa</v>
      </c>
    </row>
    <row r="632" ht="15.75" customHeight="1">
      <c r="A632" s="5" t="s">
        <v>4114</v>
      </c>
      <c r="B632" s="5" t="s">
        <v>3825</v>
      </c>
      <c r="C632" s="4" t="s">
        <v>2839</v>
      </c>
      <c r="D632" s="5" t="s">
        <v>4116</v>
      </c>
      <c r="E632" s="6">
        <v>214.0</v>
      </c>
      <c r="F632" s="6" t="s">
        <v>12</v>
      </c>
      <c r="H632" s="4" t="s">
        <v>2852</v>
      </c>
      <c r="I632" s="3" t="s">
        <v>13</v>
      </c>
      <c r="J632" s="7" t="str">
        <f>IFERROR(__xludf.DUMMYFUNCTION("SPLIT($A632,""Rua"","""")")," Luiz Carlos Lisboa")</f>
        <v> Luiz Carlos Lisboa</v>
      </c>
    </row>
    <row r="633" ht="15.75" customHeight="1">
      <c r="A633" s="5" t="s">
        <v>4117</v>
      </c>
      <c r="B633" s="5" t="s">
        <v>3299</v>
      </c>
      <c r="C633" s="4" t="s">
        <v>2839</v>
      </c>
      <c r="D633" s="5" t="s">
        <v>4118</v>
      </c>
      <c r="E633" s="6">
        <v>214.0</v>
      </c>
      <c r="F633" s="6" t="s">
        <v>12</v>
      </c>
      <c r="H633" s="4" t="s">
        <v>2852</v>
      </c>
      <c r="I633" s="3" t="s">
        <v>13</v>
      </c>
      <c r="J633" s="7" t="str">
        <f>IFERROR(__xludf.DUMMYFUNCTION("SPLIT($A633,""Rua"","""")")," Luiz Carlos Rinck")</f>
        <v> Luiz Carlos Rinck</v>
      </c>
    </row>
    <row r="634" ht="15.75" customHeight="1">
      <c r="A634" s="5" t="s">
        <v>4119</v>
      </c>
      <c r="B634" s="5" t="s">
        <v>3003</v>
      </c>
      <c r="C634" s="4" t="s">
        <v>2839</v>
      </c>
      <c r="D634" s="5" t="s">
        <v>4120</v>
      </c>
      <c r="E634" s="6">
        <v>214.0</v>
      </c>
      <c r="F634" s="6" t="s">
        <v>12</v>
      </c>
      <c r="H634" s="4" t="s">
        <v>2852</v>
      </c>
      <c r="I634" s="3" t="s">
        <v>13</v>
      </c>
      <c r="J634" s="7" t="str">
        <f>IFERROR(__xludf.DUMMYFUNCTION("SPLIT($A634,""Rua"","""")")," Luiz de Barros Pinheiro")</f>
        <v> Luiz de Barros Pinheiro</v>
      </c>
    </row>
    <row r="635" ht="15.75" customHeight="1">
      <c r="A635" s="5" t="s">
        <v>4121</v>
      </c>
      <c r="B635" s="5" t="s">
        <v>3368</v>
      </c>
      <c r="C635" s="4" t="s">
        <v>2839</v>
      </c>
      <c r="D635" s="5" t="s">
        <v>4122</v>
      </c>
      <c r="E635" s="6">
        <v>214.0</v>
      </c>
      <c r="F635" s="6" t="s">
        <v>12</v>
      </c>
      <c r="H635" s="4" t="s">
        <v>2852</v>
      </c>
      <c r="I635" s="3" t="s">
        <v>13</v>
      </c>
      <c r="J635" s="7" t="str">
        <f>IFERROR(__xludf.DUMMYFUNCTION("SPLIT($A635,""Rua"","""")")," Luiz Despontin")</f>
        <v> Luiz Despontin</v>
      </c>
    </row>
    <row r="636" ht="15.75" customHeight="1">
      <c r="A636" s="5" t="s">
        <v>4123</v>
      </c>
      <c r="B636" s="5" t="s">
        <v>3039</v>
      </c>
      <c r="C636" s="4" t="s">
        <v>2839</v>
      </c>
      <c r="D636" s="5" t="s">
        <v>4124</v>
      </c>
      <c r="E636" s="6">
        <v>214.0</v>
      </c>
      <c r="F636" s="6" t="s">
        <v>12</v>
      </c>
      <c r="H636" s="4" t="s">
        <v>2852</v>
      </c>
      <c r="I636" s="3" t="s">
        <v>13</v>
      </c>
      <c r="J636" s="7" t="str">
        <f>IFERROR(__xludf.DUMMYFUNCTION("SPLIT($A636,""Rua"","""")")," Luiz Geraldo Marteli")</f>
        <v> Luiz Geraldo Marteli</v>
      </c>
    </row>
    <row r="637" ht="15.75" customHeight="1">
      <c r="A637" s="5" t="s">
        <v>4125</v>
      </c>
      <c r="B637" s="5" t="s">
        <v>3328</v>
      </c>
      <c r="C637" s="4" t="s">
        <v>2839</v>
      </c>
      <c r="D637" s="5" t="s">
        <v>4126</v>
      </c>
      <c r="E637" s="6">
        <v>214.0</v>
      </c>
      <c r="F637" s="6" t="s">
        <v>12</v>
      </c>
      <c r="H637" s="4" t="s">
        <v>2852</v>
      </c>
      <c r="I637" s="3" t="s">
        <v>13</v>
      </c>
      <c r="J637" s="7" t="str">
        <f>IFERROR(__xludf.DUMMYFUNCTION("SPLIT($A637,""Rua"","""")")," Luiz Marteli")</f>
        <v> Luiz Marteli</v>
      </c>
    </row>
    <row r="638" ht="15.75" customHeight="1">
      <c r="A638" s="5" t="s">
        <v>4127</v>
      </c>
      <c r="B638" s="5" t="s">
        <v>3512</v>
      </c>
      <c r="C638" s="4" t="s">
        <v>2839</v>
      </c>
      <c r="D638" s="5" t="s">
        <v>4128</v>
      </c>
      <c r="E638" s="6">
        <v>214.0</v>
      </c>
      <c r="F638" s="6" t="s">
        <v>12</v>
      </c>
      <c r="H638" s="4" t="s">
        <v>2852</v>
      </c>
      <c r="I638" s="3" t="s">
        <v>13</v>
      </c>
      <c r="J638" s="7" t="str">
        <f>IFERROR(__xludf.DUMMYFUNCTION("SPLIT($A638,""Rua"","""")")," Luiz Zanetti Pascoli")</f>
        <v> Luiz Zanetti Pascoli</v>
      </c>
    </row>
    <row r="639" ht="15.75" customHeight="1">
      <c r="A639" s="5" t="s">
        <v>4129</v>
      </c>
      <c r="B639" s="5" t="s">
        <v>3012</v>
      </c>
      <c r="C639" s="4" t="s">
        <v>2839</v>
      </c>
      <c r="D639" s="5" t="s">
        <v>4130</v>
      </c>
      <c r="E639" s="6">
        <v>214.0</v>
      </c>
      <c r="F639" s="6" t="s">
        <v>12</v>
      </c>
      <c r="H639" s="4" t="s">
        <v>2852</v>
      </c>
      <c r="I639" s="3" t="s">
        <v>13</v>
      </c>
      <c r="J639" s="7" t="str">
        <f>IFERROR(__xludf.DUMMYFUNCTION("SPLIT($A639,""Rua"","""")")," Luiza Minelli")</f>
        <v> Luiza Minelli</v>
      </c>
    </row>
    <row r="640" ht="15.75" customHeight="1">
      <c r="A640" s="5" t="s">
        <v>4131</v>
      </c>
      <c r="B640" s="5" t="s">
        <v>3197</v>
      </c>
      <c r="C640" s="4" t="s">
        <v>2839</v>
      </c>
      <c r="D640" s="5" t="s">
        <v>4132</v>
      </c>
      <c r="E640" s="6">
        <v>214.0</v>
      </c>
      <c r="F640" s="6" t="s">
        <v>12</v>
      </c>
      <c r="H640" s="4" t="s">
        <v>2852</v>
      </c>
      <c r="I640" s="3" t="s">
        <v>13</v>
      </c>
      <c r="J640" s="7" t="str">
        <f>IFERROR(__xludf.DUMMYFUNCTION("SPLIT($A640,""Rua"","""")")," Luzia Daniel Ghiberti")</f>
        <v> Luzia Daniel Ghiberti</v>
      </c>
    </row>
    <row r="641" ht="15.75" customHeight="1">
      <c r="A641" s="5" t="s">
        <v>4133</v>
      </c>
      <c r="B641" s="5" t="s">
        <v>2957</v>
      </c>
      <c r="C641" s="4" t="s">
        <v>2839</v>
      </c>
      <c r="D641" s="5" t="s">
        <v>4134</v>
      </c>
      <c r="E641" s="6">
        <v>214.0</v>
      </c>
      <c r="F641" s="6" t="s">
        <v>12</v>
      </c>
      <c r="H641" s="4" t="s">
        <v>2852</v>
      </c>
      <c r="I641" s="3" t="s">
        <v>13</v>
      </c>
      <c r="J641" s="7" t="str">
        <f>IFERROR(__xludf.DUMMYFUNCTION("SPLIT($A641,""Rua"","""")")," Madre Serafina")</f>
        <v> Madre Serafina</v>
      </c>
    </row>
    <row r="642" ht="15.75" customHeight="1">
      <c r="A642" s="5" t="s">
        <v>4135</v>
      </c>
      <c r="B642" s="5" t="s">
        <v>3277</v>
      </c>
      <c r="C642" s="4" t="s">
        <v>2839</v>
      </c>
      <c r="D642" s="5" t="s">
        <v>4136</v>
      </c>
      <c r="E642" s="6">
        <v>214.0</v>
      </c>
      <c r="F642" s="6" t="s">
        <v>12</v>
      </c>
      <c r="H642" s="4" t="s">
        <v>2852</v>
      </c>
      <c r="I642" s="3" t="s">
        <v>13</v>
      </c>
      <c r="J642" s="7" t="str">
        <f>IFERROR(__xludf.DUMMYFUNCTION("SPLIT($A642,""Rua"","""")")," Maestro Alfredo Rogado")</f>
        <v> Maestro Alfredo Rogado</v>
      </c>
    </row>
    <row r="643" ht="15.75" customHeight="1">
      <c r="A643" s="5" t="s">
        <v>4137</v>
      </c>
      <c r="B643" s="5" t="s">
        <v>2996</v>
      </c>
      <c r="C643" s="4" t="s">
        <v>2839</v>
      </c>
      <c r="D643" s="5" t="s">
        <v>4138</v>
      </c>
      <c r="E643" s="6">
        <v>214.0</v>
      </c>
      <c r="F643" s="6" t="s">
        <v>12</v>
      </c>
      <c r="H643" s="4" t="s">
        <v>2852</v>
      </c>
      <c r="I643" s="3" t="s">
        <v>13</v>
      </c>
      <c r="J643" s="7" t="str">
        <f>IFERROR(__xludf.DUMMYFUNCTION("SPLIT($A643,""Rua"","""")")," Maestro Benedito Rogado")</f>
        <v> Maestro Benedito Rogado</v>
      </c>
    </row>
    <row r="644" ht="15.75" customHeight="1">
      <c r="A644" s="5" t="s">
        <v>4139</v>
      </c>
      <c r="B644" s="5" t="s">
        <v>3086</v>
      </c>
      <c r="C644" s="4" t="s">
        <v>2839</v>
      </c>
      <c r="D644" s="5" t="s">
        <v>4140</v>
      </c>
      <c r="E644" s="6">
        <v>214.0</v>
      </c>
      <c r="F644" s="6" t="s">
        <v>12</v>
      </c>
      <c r="H644" s="4" t="s">
        <v>2852</v>
      </c>
      <c r="I644" s="3" t="s">
        <v>13</v>
      </c>
      <c r="J644" s="7" t="str">
        <f>IFERROR(__xludf.DUMMYFUNCTION("SPLIT($A644,""Rua"","""")")," Maestro Bento Valini")</f>
        <v> Maestro Bento Valini</v>
      </c>
    </row>
    <row r="645" ht="15.75" customHeight="1">
      <c r="A645" s="5" t="s">
        <v>4141</v>
      </c>
      <c r="B645" s="5" t="s">
        <v>4142</v>
      </c>
      <c r="C645" s="4" t="s">
        <v>2839</v>
      </c>
      <c r="D645" s="5" t="s">
        <v>4143</v>
      </c>
      <c r="E645" s="6">
        <v>214.0</v>
      </c>
      <c r="F645" s="6" t="s">
        <v>12</v>
      </c>
      <c r="H645" s="4" t="s">
        <v>2852</v>
      </c>
      <c r="I645" s="3" t="s">
        <v>13</v>
      </c>
      <c r="J645" s="7" t="str">
        <f>IFERROR(__xludf.DUMMYFUNCTION("SPLIT($A645,""Rua"","""")")," Maestro Manoel José de Calazans")</f>
        <v> Maestro Manoel José de Calazans</v>
      </c>
    </row>
    <row r="646" ht="15.75" customHeight="1">
      <c r="A646" s="5" t="s">
        <v>4144</v>
      </c>
      <c r="B646" s="5" t="s">
        <v>3072</v>
      </c>
      <c r="C646" s="4" t="s">
        <v>2839</v>
      </c>
      <c r="D646" s="5" t="s">
        <v>4145</v>
      </c>
      <c r="E646" s="6">
        <v>214.0</v>
      </c>
      <c r="F646" s="6" t="s">
        <v>12</v>
      </c>
      <c r="H646" s="4" t="s">
        <v>2852</v>
      </c>
      <c r="I646" s="3" t="s">
        <v>13</v>
      </c>
      <c r="J646" s="7" t="str">
        <f>IFERROR(__xludf.DUMMYFUNCTION("SPLIT($A646,""Rua"","""")")," Maestro Voltaire Torres")</f>
        <v> Maestro Voltaire Torres</v>
      </c>
    </row>
    <row r="647" ht="15.75" customHeight="1">
      <c r="A647" s="5" t="s">
        <v>4146</v>
      </c>
      <c r="B647" s="5" t="s">
        <v>3204</v>
      </c>
      <c r="C647" s="4" t="s">
        <v>2839</v>
      </c>
      <c r="D647" s="5" t="s">
        <v>4147</v>
      </c>
      <c r="E647" s="6">
        <v>214.0</v>
      </c>
      <c r="F647" s="6" t="s">
        <v>12</v>
      </c>
      <c r="H647" s="4" t="s">
        <v>2852</v>
      </c>
      <c r="I647" s="3" t="s">
        <v>13</v>
      </c>
      <c r="J647" s="7" t="str">
        <f>IFERROR(__xludf.DUMMYFUNCTION("SPLIT($A647,""Rua"","""")")," Mahatma Ghandi")</f>
        <v> Mahatma Ghandi</v>
      </c>
    </row>
    <row r="648" ht="15.75" customHeight="1">
      <c r="A648" s="5" t="s">
        <v>4148</v>
      </c>
      <c r="B648" s="5" t="s">
        <v>3243</v>
      </c>
      <c r="C648" s="4" t="s">
        <v>2839</v>
      </c>
      <c r="D648" s="5" t="s">
        <v>4149</v>
      </c>
      <c r="E648" s="6">
        <v>214.0</v>
      </c>
      <c r="F648" s="6" t="s">
        <v>12</v>
      </c>
      <c r="H648" s="4" t="s">
        <v>2852</v>
      </c>
      <c r="I648" s="3" t="s">
        <v>13</v>
      </c>
      <c r="J648" s="7" t="str">
        <f>IFERROR(__xludf.DUMMYFUNCTION("SPLIT($A648,""Rua"","""")")," Manoel de Abreu")</f>
        <v> Manoel de Abreu</v>
      </c>
    </row>
    <row r="649" ht="15.75" customHeight="1">
      <c r="A649" s="5" t="s">
        <v>4150</v>
      </c>
      <c r="B649" s="5" t="s">
        <v>3086</v>
      </c>
      <c r="C649" s="4" t="s">
        <v>2839</v>
      </c>
      <c r="D649" s="5" t="s">
        <v>4151</v>
      </c>
      <c r="E649" s="6">
        <v>214.0</v>
      </c>
      <c r="F649" s="6" t="s">
        <v>12</v>
      </c>
      <c r="H649" s="4" t="s">
        <v>2852</v>
      </c>
      <c r="I649" s="3" t="s">
        <v>13</v>
      </c>
      <c r="J649" s="7" t="str">
        <f>IFERROR(__xludf.DUMMYFUNCTION("SPLIT($A649,""Rua"","""")")," Manoel Gonçalves de Santana")</f>
        <v> Manoel Gonçalves de Santana</v>
      </c>
    </row>
    <row r="650" ht="15.75" customHeight="1">
      <c r="A650" s="5" t="s">
        <v>4152</v>
      </c>
      <c r="B650" s="5" t="s">
        <v>3093</v>
      </c>
      <c r="C650" s="4" t="s">
        <v>2839</v>
      </c>
      <c r="D650" s="5" t="s">
        <v>4153</v>
      </c>
      <c r="E650" s="6">
        <v>214.0</v>
      </c>
      <c r="F650" s="6" t="s">
        <v>12</v>
      </c>
      <c r="H650" s="4" t="s">
        <v>2852</v>
      </c>
      <c r="I650" s="3" t="s">
        <v>13</v>
      </c>
      <c r="J650" s="7" t="str">
        <f>IFERROR(__xludf.DUMMYFUNCTION("SPLIT($A650,""Rua"","""")")," Manoel Itagiba de Almeida")</f>
        <v> Manoel Itagiba de Almeida</v>
      </c>
    </row>
    <row r="651" ht="15.75" customHeight="1">
      <c r="A651" s="5" t="s">
        <v>4154</v>
      </c>
      <c r="B651" s="5" t="s">
        <v>2865</v>
      </c>
      <c r="C651" s="4" t="s">
        <v>2839</v>
      </c>
      <c r="D651" s="5" t="s">
        <v>4155</v>
      </c>
      <c r="E651" s="6">
        <v>214.0</v>
      </c>
      <c r="F651" s="6" t="s">
        <v>12</v>
      </c>
      <c r="H651" s="4" t="s">
        <v>2852</v>
      </c>
      <c r="I651" s="3" t="s">
        <v>13</v>
      </c>
      <c r="J651" s="7" t="str">
        <f>IFERROR(__xludf.DUMMYFUNCTION("SPLIT($A651,""Rua"","""")")," Manoel Policarpo Alcalá")</f>
        <v> Manoel Policarpo Alcalá</v>
      </c>
    </row>
    <row r="652" ht="15.75" customHeight="1">
      <c r="A652" s="5" t="s">
        <v>4156</v>
      </c>
      <c r="B652" s="5" t="s">
        <v>3047</v>
      </c>
      <c r="C652" s="4" t="s">
        <v>2839</v>
      </c>
      <c r="D652" s="5" t="s">
        <v>4157</v>
      </c>
      <c r="E652" s="6">
        <v>214.0</v>
      </c>
      <c r="F652" s="6" t="s">
        <v>12</v>
      </c>
      <c r="H652" s="4" t="s">
        <v>2852</v>
      </c>
      <c r="I652" s="3" t="s">
        <v>13</v>
      </c>
      <c r="J652" s="7" t="str">
        <f>IFERROR(__xludf.DUMMYFUNCTION("SPLIT($A652,""Rua"","""")")," Maranhão")</f>
        <v> Maranhão</v>
      </c>
    </row>
    <row r="653" ht="15.75" customHeight="1">
      <c r="A653" s="5" t="s">
        <v>4158</v>
      </c>
      <c r="B653" s="5" t="s">
        <v>3766</v>
      </c>
      <c r="C653" s="4" t="s">
        <v>2839</v>
      </c>
      <c r="D653" s="5" t="s">
        <v>4159</v>
      </c>
      <c r="E653" s="6">
        <v>214.0</v>
      </c>
      <c r="F653" s="6" t="s">
        <v>12</v>
      </c>
      <c r="H653" s="4" t="s">
        <v>2852</v>
      </c>
      <c r="I653" s="3" t="s">
        <v>13</v>
      </c>
      <c r="J653" s="7" t="str">
        <f>IFERROR(__xludf.DUMMYFUNCTION("SPLIT($A653,""Rua"","""")")," Marcelino Alves")</f>
        <v> Marcelino Alves</v>
      </c>
    </row>
    <row r="654" ht="15.75" customHeight="1">
      <c r="A654" s="5" t="s">
        <v>4160</v>
      </c>
      <c r="B654" s="5" t="s">
        <v>3319</v>
      </c>
      <c r="C654" s="4" t="s">
        <v>2839</v>
      </c>
      <c r="D654" s="5" t="s">
        <v>4161</v>
      </c>
      <c r="E654" s="6">
        <v>214.0</v>
      </c>
      <c r="F654" s="6" t="s">
        <v>12</v>
      </c>
      <c r="H654" s="4" t="s">
        <v>2852</v>
      </c>
      <c r="I654" s="3" t="s">
        <v>13</v>
      </c>
      <c r="J654" s="7" t="str">
        <f>IFERROR(__xludf.DUMMYFUNCTION("SPLIT($A654,""Rua"","""")")," Marcia Savassa de Campos Vieira")</f>
        <v> Marcia Savassa de Campos Vieira</v>
      </c>
    </row>
    <row r="655" ht="15.75" customHeight="1">
      <c r="A655" s="5" t="s">
        <v>4162</v>
      </c>
      <c r="B655" s="5" t="s">
        <v>3586</v>
      </c>
      <c r="C655" s="4" t="s">
        <v>2839</v>
      </c>
      <c r="D655" s="5" t="s">
        <v>4163</v>
      </c>
      <c r="E655" s="6">
        <v>214.0</v>
      </c>
      <c r="F655" s="6" t="s">
        <v>12</v>
      </c>
      <c r="H655" s="4" t="s">
        <v>2852</v>
      </c>
      <c r="I655" s="3" t="s">
        <v>13</v>
      </c>
      <c r="J655" s="7" t="str">
        <f>IFERROR(__xludf.DUMMYFUNCTION("SPLIT($A655,""Rua"","""")")," Marco Aurélio Batistela")</f>
        <v> Marco Aurélio Batistela</v>
      </c>
    </row>
    <row r="656" ht="15.75" customHeight="1">
      <c r="A656" s="5" t="s">
        <v>4164</v>
      </c>
      <c r="B656" s="5" t="s">
        <v>3034</v>
      </c>
      <c r="C656" s="4" t="s">
        <v>2839</v>
      </c>
      <c r="D656" s="5" t="s">
        <v>4165</v>
      </c>
      <c r="E656" s="6">
        <v>214.0</v>
      </c>
      <c r="F656" s="6" t="s">
        <v>12</v>
      </c>
      <c r="H656" s="4" t="s">
        <v>2852</v>
      </c>
      <c r="I656" s="3" t="s">
        <v>13</v>
      </c>
      <c r="J656" s="7" t="str">
        <f>IFERROR(__xludf.DUMMYFUNCTION("SPLIT($A656,""Rua"","""")")," Marcos Steiner Sobrinho")</f>
        <v> Marcos Steiner Sobrinho</v>
      </c>
    </row>
    <row r="657" ht="15.75" customHeight="1">
      <c r="A657" s="5" t="s">
        <v>4166</v>
      </c>
      <c r="B657" s="5" t="s">
        <v>180</v>
      </c>
      <c r="C657" s="4" t="s">
        <v>2839</v>
      </c>
      <c r="D657" s="5" t="s">
        <v>4167</v>
      </c>
      <c r="E657" s="6">
        <v>214.0</v>
      </c>
      <c r="F657" s="6" t="s">
        <v>12</v>
      </c>
      <c r="H657" s="4" t="s">
        <v>2852</v>
      </c>
      <c r="I657" s="3" t="s">
        <v>13</v>
      </c>
      <c r="J657" s="7" t="str">
        <f>IFERROR(__xludf.DUMMYFUNCTION("SPLIT($A657,""Rua"","""")")," Marechal Deodoro")</f>
        <v> Marechal Deodoro</v>
      </c>
    </row>
    <row r="658" ht="15.75" customHeight="1">
      <c r="A658" s="5" t="s">
        <v>4168</v>
      </c>
      <c r="B658" s="5" t="s">
        <v>3643</v>
      </c>
      <c r="C658" s="4" t="s">
        <v>2839</v>
      </c>
      <c r="D658" s="5" t="s">
        <v>4169</v>
      </c>
      <c r="E658" s="6">
        <v>214.0</v>
      </c>
      <c r="F658" s="6" t="s">
        <v>12</v>
      </c>
      <c r="H658" s="4" t="s">
        <v>2852</v>
      </c>
      <c r="I658" s="3" t="s">
        <v>13</v>
      </c>
      <c r="J658" s="7" t="str">
        <f>IFERROR(__xludf.DUMMYFUNCTION("SPLIT($A658,""Rua"","""")")," Maria Aparecida Coli Crocco")</f>
        <v> Maria Aparecida Coli Crocco</v>
      </c>
    </row>
    <row r="659" ht="15.75" customHeight="1">
      <c r="A659" s="5" t="s">
        <v>4170</v>
      </c>
      <c r="B659" s="5" t="s">
        <v>3027</v>
      </c>
      <c r="C659" s="4" t="s">
        <v>2839</v>
      </c>
      <c r="D659" s="5" t="s">
        <v>4171</v>
      </c>
      <c r="E659" s="6">
        <v>214.0</v>
      </c>
      <c r="F659" s="6" t="s">
        <v>12</v>
      </c>
      <c r="H659" s="4" t="s">
        <v>2852</v>
      </c>
      <c r="I659" s="3" t="s">
        <v>13</v>
      </c>
      <c r="J659" s="7" t="str">
        <f>IFERROR(__xludf.DUMMYFUNCTION("SPLIT($A659,""Rua"","""")")," Maria da Glória Vieira")</f>
        <v> Maria da Glória Vieira</v>
      </c>
    </row>
    <row r="660" ht="15.75" customHeight="1">
      <c r="A660" s="5" t="s">
        <v>4172</v>
      </c>
      <c r="B660" s="5" t="s">
        <v>3086</v>
      </c>
      <c r="C660" s="4" t="s">
        <v>2839</v>
      </c>
      <c r="D660" s="5" t="s">
        <v>4173</v>
      </c>
      <c r="E660" s="6">
        <v>214.0</v>
      </c>
      <c r="F660" s="6" t="s">
        <v>12</v>
      </c>
      <c r="H660" s="4" t="s">
        <v>2852</v>
      </c>
      <c r="I660" s="3" t="s">
        <v>13</v>
      </c>
      <c r="J660" s="7" t="str">
        <f>IFERROR(__xludf.DUMMYFUNCTION("SPLIT($A660,""Rua"","""")")," Maria de Lourdes Abibe Aranha")</f>
        <v> Maria de Lourdes Abibe Aranha</v>
      </c>
    </row>
    <row r="661" ht="15.75" customHeight="1">
      <c r="A661" s="5" t="s">
        <v>4174</v>
      </c>
      <c r="B661" s="5" t="s">
        <v>3063</v>
      </c>
      <c r="C661" s="4" t="s">
        <v>2839</v>
      </c>
      <c r="D661" s="5" t="s">
        <v>4175</v>
      </c>
      <c r="E661" s="6">
        <v>214.0</v>
      </c>
      <c r="F661" s="6" t="s">
        <v>12</v>
      </c>
      <c r="H661" s="4" t="s">
        <v>2852</v>
      </c>
      <c r="I661" s="3" t="s">
        <v>13</v>
      </c>
      <c r="J661" s="7" t="str">
        <f>IFERROR(__xludf.DUMMYFUNCTION("SPLIT($A661,""Rua"","""")")," Maria de Lourdes Ribeiro da Silva Serafim")</f>
        <v> Maria de Lourdes Ribeiro da Silva Serafim</v>
      </c>
    </row>
    <row r="662" ht="15.75" customHeight="1">
      <c r="A662" s="5" t="s">
        <v>4176</v>
      </c>
      <c r="B662" s="5" t="s">
        <v>3091</v>
      </c>
      <c r="C662" s="4" t="s">
        <v>2839</v>
      </c>
      <c r="D662" s="5" t="s">
        <v>4177</v>
      </c>
      <c r="E662" s="6">
        <v>214.0</v>
      </c>
      <c r="F662" s="6" t="s">
        <v>12</v>
      </c>
      <c r="H662" s="4" t="s">
        <v>2852</v>
      </c>
      <c r="I662" s="3" t="s">
        <v>13</v>
      </c>
      <c r="J662" s="7" t="str">
        <f>IFERROR(__xludf.DUMMYFUNCTION("SPLIT($A662,""Rua"","""")")," Maria Dulcelina Prestes")</f>
        <v> Maria Dulcelina Prestes</v>
      </c>
    </row>
    <row r="663" ht="15.75" customHeight="1">
      <c r="A663" s="5" t="s">
        <v>4178</v>
      </c>
      <c r="B663" s="5" t="s">
        <v>4142</v>
      </c>
      <c r="C663" s="4" t="s">
        <v>2839</v>
      </c>
      <c r="D663" s="5" t="s">
        <v>4179</v>
      </c>
      <c r="E663" s="6">
        <v>214.0</v>
      </c>
      <c r="F663" s="6" t="s">
        <v>12</v>
      </c>
      <c r="H663" s="4" t="s">
        <v>2852</v>
      </c>
      <c r="I663" s="3" t="s">
        <v>13</v>
      </c>
      <c r="J663" s="7" t="str">
        <f>IFERROR(__xludf.DUMMYFUNCTION("SPLIT($A663,""Rua"","""")")," Maria Eugênia Pimenta Diana - até 99998 - lado par")</f>
        <v> Maria Eugênia Pimenta Diana - até 99998 - lado par</v>
      </c>
    </row>
    <row r="664" ht="15.75" customHeight="1">
      <c r="A664" s="5" t="s">
        <v>4180</v>
      </c>
      <c r="B664" s="5" t="s">
        <v>3197</v>
      </c>
      <c r="C664" s="4" t="s">
        <v>2839</v>
      </c>
      <c r="D664" s="5" t="s">
        <v>4181</v>
      </c>
      <c r="E664" s="6">
        <v>214.0</v>
      </c>
      <c r="F664" s="6" t="s">
        <v>12</v>
      </c>
      <c r="H664" s="4" t="s">
        <v>2852</v>
      </c>
      <c r="I664" s="3" t="s">
        <v>13</v>
      </c>
      <c r="J664" s="7" t="str">
        <f>IFERROR(__xludf.DUMMYFUNCTION("SPLIT($A664,""Rua"","""")")," Maria Eugênia Pimenta Diana - até 99999 - lado ímpar")</f>
        <v> Maria Eugênia Pimenta Diana - até 99999 - lado ímpar</v>
      </c>
    </row>
    <row r="665" ht="15.75" customHeight="1">
      <c r="A665" s="5" t="s">
        <v>4182</v>
      </c>
      <c r="B665" s="5" t="s">
        <v>3091</v>
      </c>
      <c r="C665" s="4" t="s">
        <v>2839</v>
      </c>
      <c r="D665" s="5" t="s">
        <v>4183</v>
      </c>
      <c r="E665" s="6">
        <v>214.0</v>
      </c>
      <c r="F665" s="6" t="s">
        <v>12</v>
      </c>
      <c r="H665" s="4" t="s">
        <v>2852</v>
      </c>
      <c r="I665" s="3" t="s">
        <v>13</v>
      </c>
      <c r="J665" s="7" t="str">
        <f>IFERROR(__xludf.DUMMYFUNCTION("SPLIT($A665,""Rua"","""")")," Maria Gessia Sampaio Rubini")</f>
        <v> Maria Gessia Sampaio Rubini</v>
      </c>
    </row>
    <row r="666" ht="15.75" customHeight="1">
      <c r="A666" s="5" t="s">
        <v>4184</v>
      </c>
      <c r="B666" s="5" t="s">
        <v>3100</v>
      </c>
      <c r="C666" s="4" t="s">
        <v>2839</v>
      </c>
      <c r="D666" s="5" t="s">
        <v>4185</v>
      </c>
      <c r="E666" s="6">
        <v>214.0</v>
      </c>
      <c r="F666" s="6" t="s">
        <v>12</v>
      </c>
      <c r="H666" s="4" t="s">
        <v>2852</v>
      </c>
      <c r="I666" s="3" t="s">
        <v>13</v>
      </c>
      <c r="J666" s="7" t="str">
        <f>IFERROR(__xludf.DUMMYFUNCTION("SPLIT($A666,""Rua"","""")")," Maria José Martins Batistela")</f>
        <v> Maria José Martins Batistela</v>
      </c>
    </row>
    <row r="667" ht="15.75" customHeight="1">
      <c r="A667" s="5" t="s">
        <v>4184</v>
      </c>
      <c r="B667" s="5" t="s">
        <v>3226</v>
      </c>
      <c r="C667" s="4" t="s">
        <v>2839</v>
      </c>
      <c r="D667" s="5" t="s">
        <v>4186</v>
      </c>
      <c r="E667" s="6">
        <v>214.0</v>
      </c>
      <c r="F667" s="6" t="s">
        <v>12</v>
      </c>
      <c r="H667" s="4" t="s">
        <v>2852</v>
      </c>
      <c r="I667" s="3" t="s">
        <v>13</v>
      </c>
      <c r="J667" s="7" t="str">
        <f>IFERROR(__xludf.DUMMYFUNCTION("SPLIT($A667,""Rua"","""")")," Maria José Martins Batistela")</f>
        <v> Maria José Martins Batistela</v>
      </c>
    </row>
    <row r="668" ht="15.75" customHeight="1">
      <c r="A668" s="5" t="s">
        <v>4187</v>
      </c>
      <c r="B668" s="5" t="s">
        <v>3018</v>
      </c>
      <c r="C668" s="4" t="s">
        <v>2839</v>
      </c>
      <c r="D668" s="5" t="s">
        <v>4188</v>
      </c>
      <c r="E668" s="6">
        <v>214.0</v>
      </c>
      <c r="F668" s="6" t="s">
        <v>12</v>
      </c>
      <c r="H668" s="4" t="s">
        <v>2852</v>
      </c>
      <c r="I668" s="3" t="s">
        <v>13</v>
      </c>
      <c r="J668" s="7" t="str">
        <f>IFERROR(__xludf.DUMMYFUNCTION("SPLIT($A668,""Rua"","""")")," Maria José Soares")</f>
        <v> Maria José Soares</v>
      </c>
    </row>
    <row r="669" ht="15.75" customHeight="1">
      <c r="A669" s="5" t="s">
        <v>4189</v>
      </c>
      <c r="B669" s="5" t="s">
        <v>3900</v>
      </c>
      <c r="C669" s="4" t="s">
        <v>2839</v>
      </c>
      <c r="D669" s="5" t="s">
        <v>4190</v>
      </c>
      <c r="E669" s="6">
        <v>214.0</v>
      </c>
      <c r="F669" s="6" t="s">
        <v>12</v>
      </c>
      <c r="H669" s="4" t="s">
        <v>2852</v>
      </c>
      <c r="I669" s="3" t="s">
        <v>13</v>
      </c>
      <c r="J669" s="7" t="str">
        <f>IFERROR(__xludf.DUMMYFUNCTION("SPLIT($A669,""Rua"","""")")," Maria Margarida Cossoniche de Campos")</f>
        <v> Maria Margarida Cossoniche de Campos</v>
      </c>
    </row>
    <row r="670" ht="15.75" customHeight="1">
      <c r="A670" s="5" t="s">
        <v>4191</v>
      </c>
      <c r="B670" s="5" t="s">
        <v>3197</v>
      </c>
      <c r="C670" s="4" t="s">
        <v>2839</v>
      </c>
      <c r="D670" s="5" t="s">
        <v>4192</v>
      </c>
      <c r="E670" s="6">
        <v>214.0</v>
      </c>
      <c r="F670" s="6" t="s">
        <v>12</v>
      </c>
      <c r="H670" s="4" t="s">
        <v>2852</v>
      </c>
      <c r="I670" s="3" t="s">
        <v>13</v>
      </c>
      <c r="J670" s="7" t="str">
        <f>IFERROR(__xludf.DUMMYFUNCTION("SPLIT($A670,""Rua"","""")")," Maria Margarida Pascoal")</f>
        <v> Maria Margarida Pascoal</v>
      </c>
    </row>
    <row r="671" ht="15.75" customHeight="1">
      <c r="A671" s="5" t="s">
        <v>4193</v>
      </c>
      <c r="B671" s="5" t="s">
        <v>3506</v>
      </c>
      <c r="C671" s="4" t="s">
        <v>2839</v>
      </c>
      <c r="D671" s="5" t="s">
        <v>4194</v>
      </c>
      <c r="E671" s="6">
        <v>214.0</v>
      </c>
      <c r="F671" s="6" t="s">
        <v>12</v>
      </c>
      <c r="H671" s="4" t="s">
        <v>2852</v>
      </c>
      <c r="I671" s="3" t="s">
        <v>13</v>
      </c>
      <c r="J671" s="7" t="str">
        <f>IFERROR(__xludf.DUMMYFUNCTION("SPLIT($A671,""Rua"","""")")," Maria Stettener de Almeida")</f>
        <v> Maria Stettener de Almeida</v>
      </c>
    </row>
    <row r="672" ht="15.75" customHeight="1">
      <c r="A672" s="5" t="s">
        <v>4195</v>
      </c>
      <c r="B672" s="5" t="s">
        <v>3061</v>
      </c>
      <c r="C672" s="4" t="s">
        <v>2839</v>
      </c>
      <c r="D672" s="5" t="s">
        <v>4196</v>
      </c>
      <c r="E672" s="6">
        <v>214.0</v>
      </c>
      <c r="F672" s="6" t="s">
        <v>12</v>
      </c>
      <c r="H672" s="4" t="s">
        <v>2852</v>
      </c>
      <c r="I672" s="3" t="s">
        <v>13</v>
      </c>
      <c r="J672" s="7" t="str">
        <f>IFERROR(__xludf.DUMMYFUNCTION("SPLIT($A672,""Rua"","""")")," Maria Vitória Delboux")</f>
        <v> Maria Vitória Delboux</v>
      </c>
    </row>
    <row r="673" ht="15.75" customHeight="1">
      <c r="A673" s="5" t="s">
        <v>4197</v>
      </c>
      <c r="B673" s="5" t="s">
        <v>3056</v>
      </c>
      <c r="C673" s="4" t="s">
        <v>2839</v>
      </c>
      <c r="D673" s="5" t="s">
        <v>4198</v>
      </c>
      <c r="E673" s="6">
        <v>214.0</v>
      </c>
      <c r="F673" s="6" t="s">
        <v>12</v>
      </c>
      <c r="H673" s="4" t="s">
        <v>2852</v>
      </c>
      <c r="I673" s="3" t="s">
        <v>13</v>
      </c>
      <c r="J673" s="7" t="str">
        <f>IFERROR(__xludf.DUMMYFUNCTION("SPLIT($A673,""Rua"","""")")," Mário Camilo Filho")</f>
        <v> Mário Camilo Filho</v>
      </c>
    </row>
    <row r="674" ht="15.75" customHeight="1">
      <c r="A674" s="5" t="s">
        <v>4199</v>
      </c>
      <c r="B674" s="5" t="s">
        <v>3197</v>
      </c>
      <c r="C674" s="4" t="s">
        <v>2839</v>
      </c>
      <c r="D674" s="5" t="s">
        <v>4200</v>
      </c>
      <c r="E674" s="6">
        <v>214.0</v>
      </c>
      <c r="F674" s="6" t="s">
        <v>12</v>
      </c>
      <c r="H674" s="4" t="s">
        <v>2852</v>
      </c>
      <c r="I674" s="3" t="s">
        <v>13</v>
      </c>
      <c r="J674" s="7" t="str">
        <f>IFERROR(__xludf.DUMMYFUNCTION("SPLIT($A674,""Rua"","""")")," Mário Pires de Almeida")</f>
        <v> Mário Pires de Almeida</v>
      </c>
    </row>
    <row r="675" ht="15.75" customHeight="1">
      <c r="A675" s="5" t="s">
        <v>4201</v>
      </c>
      <c r="B675" s="5" t="s">
        <v>3029</v>
      </c>
      <c r="C675" s="4" t="s">
        <v>2839</v>
      </c>
      <c r="D675" s="5" t="s">
        <v>4202</v>
      </c>
      <c r="E675" s="6">
        <v>214.0</v>
      </c>
      <c r="F675" s="6" t="s">
        <v>12</v>
      </c>
      <c r="H675" s="4" t="s">
        <v>2852</v>
      </c>
      <c r="I675" s="3" t="s">
        <v>13</v>
      </c>
      <c r="J675" s="7" t="str">
        <f>IFERROR(__xludf.DUMMYFUNCTION("SPLIT($A675,""Rua"","""")")," Mário Tuani")</f>
        <v> Mário Tuani</v>
      </c>
    </row>
    <row r="676" ht="15.75" customHeight="1">
      <c r="A676" s="5" t="s">
        <v>4203</v>
      </c>
      <c r="B676" s="5" t="s">
        <v>2977</v>
      </c>
      <c r="C676" s="4" t="s">
        <v>2839</v>
      </c>
      <c r="D676" s="5" t="s">
        <v>4204</v>
      </c>
      <c r="E676" s="6">
        <v>214.0</v>
      </c>
      <c r="F676" s="6" t="s">
        <v>12</v>
      </c>
      <c r="H676" s="4" t="s">
        <v>2852</v>
      </c>
      <c r="I676" s="3" t="s">
        <v>13</v>
      </c>
      <c r="J676" s="7" t="str">
        <f>IFERROR(__xludf.DUMMYFUNCTION("SPLIT($A676,""Rua"","""")")," Martim Afonso de Souza")</f>
        <v> Martim Afonso de Souza</v>
      </c>
    </row>
    <row r="677" ht="15.75" customHeight="1">
      <c r="A677" s="13" t="s">
        <v>4205</v>
      </c>
      <c r="B677" s="13" t="s">
        <v>3054</v>
      </c>
      <c r="C677" s="4" t="s">
        <v>2839</v>
      </c>
      <c r="D677" s="13" t="s">
        <v>4206</v>
      </c>
      <c r="E677" s="6">
        <v>214.0</v>
      </c>
      <c r="F677" s="6" t="s">
        <v>12</v>
      </c>
      <c r="H677" s="4" t="s">
        <v>2852</v>
      </c>
      <c r="I677" s="3" t="s">
        <v>13</v>
      </c>
      <c r="J677" s="7" t="str">
        <f>IFERROR(__xludf.DUMMYFUNCTION("SPLIT($A677,""Rua"","""")")," Maurício da Mata Oliveira")</f>
        <v> Maurício da Mata Oliveira</v>
      </c>
    </row>
    <row r="678" ht="15.75" customHeight="1">
      <c r="A678" s="5" t="s">
        <v>4207</v>
      </c>
      <c r="B678" s="5" t="s">
        <v>3088</v>
      </c>
      <c r="C678" s="4" t="s">
        <v>2839</v>
      </c>
      <c r="D678" s="5" t="s">
        <v>4208</v>
      </c>
      <c r="E678" s="6">
        <v>214.0</v>
      </c>
      <c r="F678" s="6" t="s">
        <v>12</v>
      </c>
      <c r="H678" s="4" t="s">
        <v>2852</v>
      </c>
      <c r="I678" s="3" t="s">
        <v>13</v>
      </c>
      <c r="J678" s="7" t="str">
        <f>IFERROR(__xludf.DUMMYFUNCTION("SPLIT($A678,""Rua"","""")")," Mauro Baptista de Souza")</f>
        <v> Mauro Baptista de Souza</v>
      </c>
    </row>
    <row r="679" ht="15.75" customHeight="1">
      <c r="A679" s="5" t="s">
        <v>4209</v>
      </c>
      <c r="B679" s="5" t="s">
        <v>180</v>
      </c>
      <c r="C679" s="4" t="s">
        <v>2839</v>
      </c>
      <c r="D679" s="5" t="s">
        <v>4210</v>
      </c>
      <c r="E679" s="6">
        <v>214.0</v>
      </c>
      <c r="F679" s="6" t="s">
        <v>12</v>
      </c>
      <c r="H679" s="4" t="s">
        <v>2852</v>
      </c>
      <c r="I679" s="3" t="s">
        <v>13</v>
      </c>
      <c r="J679" s="7" t="str">
        <f>IFERROR(__xludf.DUMMYFUNCTION("SPLIT($A679,""Rua"","""")")," Miguel Elias Zaiet")</f>
        <v> Miguel Elias Zaiet</v>
      </c>
    </row>
    <row r="680" ht="15.75" customHeight="1">
      <c r="A680" s="5" t="s">
        <v>4211</v>
      </c>
      <c r="B680" s="5" t="s">
        <v>3072</v>
      </c>
      <c r="C680" s="4" t="s">
        <v>2839</v>
      </c>
      <c r="D680" s="5" t="s">
        <v>4212</v>
      </c>
      <c r="E680" s="6">
        <v>214.0</v>
      </c>
      <c r="F680" s="6" t="s">
        <v>12</v>
      </c>
      <c r="H680" s="4" t="s">
        <v>2852</v>
      </c>
      <c r="I680" s="3" t="s">
        <v>13</v>
      </c>
      <c r="J680" s="7" t="str">
        <f>IFERROR(__xludf.DUMMYFUNCTION("SPLIT($A680,""Rua"","""")")," Miguel Fustaino")</f>
        <v> Miguel Fustaino</v>
      </c>
    </row>
    <row r="681" ht="15.75" customHeight="1">
      <c r="A681" s="5" t="s">
        <v>4213</v>
      </c>
      <c r="B681" s="5" t="s">
        <v>3061</v>
      </c>
      <c r="C681" s="4" t="s">
        <v>2839</v>
      </c>
      <c r="D681" s="5" t="s">
        <v>4214</v>
      </c>
      <c r="E681" s="6">
        <v>214.0</v>
      </c>
      <c r="F681" s="6" t="s">
        <v>12</v>
      </c>
      <c r="H681" s="4" t="s">
        <v>2852</v>
      </c>
      <c r="I681" s="3" t="s">
        <v>13</v>
      </c>
      <c r="J681" s="7" t="str">
        <f>IFERROR(__xludf.DUMMYFUNCTION("SPLIT($A681,""Rua"","""")")," Milton Antônio")</f>
        <v> Milton Antônio</v>
      </c>
    </row>
    <row r="682" ht="15.75" customHeight="1">
      <c r="A682" s="5" t="s">
        <v>4215</v>
      </c>
      <c r="B682" s="5" t="s">
        <v>3012</v>
      </c>
      <c r="C682" s="4" t="s">
        <v>2839</v>
      </c>
      <c r="D682" s="5" t="s">
        <v>4216</v>
      </c>
      <c r="E682" s="6">
        <v>214.0</v>
      </c>
      <c r="F682" s="6" t="s">
        <v>12</v>
      </c>
      <c r="H682" s="4" t="s">
        <v>2852</v>
      </c>
      <c r="I682" s="3" t="s">
        <v>13</v>
      </c>
      <c r="J682" s="7" t="str">
        <f>IFERROR(__xludf.DUMMYFUNCTION("SPLIT($A682,""Rua"","""")")," Milton Bistafa")</f>
        <v> Milton Bistafa</v>
      </c>
    </row>
    <row r="683" ht="15.75" customHeight="1">
      <c r="A683" s="5" t="s">
        <v>4217</v>
      </c>
      <c r="B683" s="5" t="s">
        <v>3047</v>
      </c>
      <c r="C683" s="4" t="s">
        <v>2839</v>
      </c>
      <c r="D683" s="5" t="s">
        <v>4218</v>
      </c>
      <c r="E683" s="6">
        <v>214.0</v>
      </c>
      <c r="F683" s="6" t="s">
        <v>12</v>
      </c>
      <c r="H683" s="4" t="s">
        <v>2852</v>
      </c>
      <c r="I683" s="3" t="s">
        <v>13</v>
      </c>
      <c r="J683" s="7" t="str">
        <f>IFERROR(__xludf.DUMMYFUNCTION("SPLIT($A683,""Rua"","""")")," Minas Gerais")</f>
        <v> Minas Gerais</v>
      </c>
    </row>
    <row r="684" ht="15.75" customHeight="1">
      <c r="A684" s="5" t="s">
        <v>4219</v>
      </c>
      <c r="B684" s="5" t="s">
        <v>2945</v>
      </c>
      <c r="C684" s="4" t="s">
        <v>2839</v>
      </c>
      <c r="D684" s="5" t="s">
        <v>4220</v>
      </c>
      <c r="E684" s="6">
        <v>214.0</v>
      </c>
      <c r="F684" s="6" t="s">
        <v>12</v>
      </c>
      <c r="H684" s="4" t="s">
        <v>2852</v>
      </c>
      <c r="I684" s="3" t="s">
        <v>13</v>
      </c>
      <c r="J684" s="7" t="str">
        <f>IFERROR(__xludf.DUMMYFUNCTION("SPLIT($A684,""Rua"","""")")," Miruna")</f>
        <v> Miruna</v>
      </c>
    </row>
    <row r="685" ht="15.75" customHeight="1">
      <c r="A685" s="5" t="s">
        <v>4221</v>
      </c>
      <c r="B685" s="5" t="s">
        <v>3018</v>
      </c>
      <c r="C685" s="4" t="s">
        <v>2839</v>
      </c>
      <c r="D685" s="5" t="s">
        <v>4222</v>
      </c>
      <c r="E685" s="6">
        <v>214.0</v>
      </c>
      <c r="F685" s="6" t="s">
        <v>12</v>
      </c>
      <c r="H685" s="4" t="s">
        <v>2852</v>
      </c>
      <c r="I685" s="3" t="s">
        <v>13</v>
      </c>
      <c r="J685" s="7" t="str">
        <f>IFERROR(__xludf.DUMMYFUNCTION("SPLIT($A685,""Rua"","""")")," Mitre Fiuza Ayres")</f>
        <v> Mitre Fiuza Ayres</v>
      </c>
    </row>
    <row r="686" ht="15.75" customHeight="1">
      <c r="A686" s="5" t="s">
        <v>4223</v>
      </c>
      <c r="B686" s="5" t="s">
        <v>2945</v>
      </c>
      <c r="C686" s="4" t="s">
        <v>2839</v>
      </c>
      <c r="D686" s="5" t="s">
        <v>4224</v>
      </c>
      <c r="E686" s="6">
        <v>214.0</v>
      </c>
      <c r="F686" s="6" t="s">
        <v>12</v>
      </c>
      <c r="H686" s="4" t="s">
        <v>2852</v>
      </c>
      <c r="I686" s="3" t="s">
        <v>13</v>
      </c>
      <c r="J686" s="7" t="str">
        <f>IFERROR(__xludf.DUMMYFUNCTION("SPLIT($A686,""Rua"","""")")," Moaci")</f>
        <v> Moaci</v>
      </c>
    </row>
    <row r="687" ht="15.75" customHeight="1">
      <c r="A687" s="5" t="s">
        <v>4225</v>
      </c>
      <c r="B687" s="5" t="s">
        <v>2945</v>
      </c>
      <c r="C687" s="4" t="s">
        <v>2839</v>
      </c>
      <c r="D687" s="5" t="s">
        <v>4226</v>
      </c>
      <c r="E687" s="6">
        <v>214.0</v>
      </c>
      <c r="F687" s="6" t="s">
        <v>12</v>
      </c>
      <c r="H687" s="4" t="s">
        <v>2852</v>
      </c>
      <c r="I687" s="3" t="s">
        <v>13</v>
      </c>
      <c r="J687" s="7" t="str">
        <f>IFERROR(__xludf.DUMMYFUNCTION("SPLIT($A687,""Rua"","""")")," Moema")</f>
        <v> Moema</v>
      </c>
    </row>
    <row r="688" ht="15.75" customHeight="1">
      <c r="A688" s="5" t="s">
        <v>4227</v>
      </c>
      <c r="B688" s="5" t="s">
        <v>2945</v>
      </c>
      <c r="C688" s="4" t="s">
        <v>2839</v>
      </c>
      <c r="D688" s="5" t="s">
        <v>4228</v>
      </c>
      <c r="E688" s="6">
        <v>214.0</v>
      </c>
      <c r="F688" s="6" t="s">
        <v>12</v>
      </c>
      <c r="H688" s="4" t="s">
        <v>2852</v>
      </c>
      <c r="I688" s="3" t="s">
        <v>13</v>
      </c>
      <c r="J688" s="7" t="str">
        <f>IFERROR(__xludf.DUMMYFUNCTION("SPLIT($A688,""Rua"","""")")," Moenda")</f>
        <v> Moenda</v>
      </c>
    </row>
    <row r="689" ht="15.75" customHeight="1">
      <c r="A689" s="5" t="s">
        <v>4229</v>
      </c>
      <c r="B689" s="5" t="s">
        <v>2957</v>
      </c>
      <c r="C689" s="4" t="s">
        <v>2839</v>
      </c>
      <c r="D689" s="5" t="s">
        <v>4230</v>
      </c>
      <c r="E689" s="6">
        <v>214.0</v>
      </c>
      <c r="F689" s="6" t="s">
        <v>12</v>
      </c>
      <c r="H689" s="4" t="s">
        <v>2852</v>
      </c>
      <c r="I689" s="3" t="s">
        <v>13</v>
      </c>
      <c r="J689" s="7" t="str">
        <f>IFERROR(__xludf.DUMMYFUNCTION("SPLIT($A689,""Rua"","""")")," Monsenhor Pires")</f>
        <v> Monsenhor Pires</v>
      </c>
    </row>
    <row r="690" ht="15.75" customHeight="1">
      <c r="A690" s="5" t="s">
        <v>4231</v>
      </c>
      <c r="B690" s="5" t="s">
        <v>180</v>
      </c>
      <c r="C690" s="4" t="s">
        <v>2839</v>
      </c>
      <c r="D690" s="5" t="s">
        <v>4232</v>
      </c>
      <c r="E690" s="6">
        <v>214.0</v>
      </c>
      <c r="F690" s="6" t="s">
        <v>12</v>
      </c>
      <c r="H690" s="4" t="s">
        <v>2852</v>
      </c>
      <c r="I690" s="3" t="s">
        <v>13</v>
      </c>
      <c r="J690" s="7" t="str">
        <f>IFERROR(__xludf.DUMMYFUNCTION("SPLIT($A690,""Rua"","""")")," Monteiro Lobato")</f>
        <v> Monteiro Lobato</v>
      </c>
    </row>
    <row r="691" ht="15.75" customHeight="1">
      <c r="A691" s="5" t="s">
        <v>4231</v>
      </c>
      <c r="B691" s="5" t="s">
        <v>3243</v>
      </c>
      <c r="C691" s="4" t="s">
        <v>2839</v>
      </c>
      <c r="D691" s="5" t="s">
        <v>4233</v>
      </c>
      <c r="E691" s="6">
        <v>214.0</v>
      </c>
      <c r="F691" s="6" t="s">
        <v>12</v>
      </c>
      <c r="H691" s="4" t="s">
        <v>2852</v>
      </c>
      <c r="I691" s="3" t="s">
        <v>13</v>
      </c>
      <c r="J691" s="7" t="str">
        <f>IFERROR(__xludf.DUMMYFUNCTION("SPLIT($A691,""Rua"","""")")," Monteiro Lobato")</f>
        <v> Monteiro Lobato</v>
      </c>
    </row>
    <row r="692" ht="15.75" customHeight="1">
      <c r="A692" s="5" t="s">
        <v>4234</v>
      </c>
      <c r="B692" s="5" t="s">
        <v>2965</v>
      </c>
      <c r="C692" s="4" t="s">
        <v>2839</v>
      </c>
      <c r="D692" s="5" t="s">
        <v>4235</v>
      </c>
      <c r="E692" s="6">
        <v>214.0</v>
      </c>
      <c r="F692" s="6" t="s">
        <v>12</v>
      </c>
      <c r="H692" s="4" t="s">
        <v>2852</v>
      </c>
      <c r="I692" s="3" t="s">
        <v>13</v>
      </c>
      <c r="J692" s="7" t="str">
        <f>IFERROR(__xludf.DUMMYFUNCTION("SPLIT($A692,""Rua"","""")")," Natália Tassignon Ferraz")</f>
        <v> Natália Tassignon Ferraz</v>
      </c>
    </row>
    <row r="693" ht="15.75" customHeight="1">
      <c r="A693" s="5" t="s">
        <v>4236</v>
      </c>
      <c r="B693" s="5" t="s">
        <v>3299</v>
      </c>
      <c r="C693" s="4" t="s">
        <v>2839</v>
      </c>
      <c r="D693" s="5" t="s">
        <v>4237</v>
      </c>
      <c r="E693" s="6">
        <v>214.0</v>
      </c>
      <c r="F693" s="6" t="s">
        <v>12</v>
      </c>
      <c r="H693" s="4" t="s">
        <v>2852</v>
      </c>
      <c r="I693" s="3" t="s">
        <v>13</v>
      </c>
      <c r="J693" s="7" t="str">
        <f>IFERROR(__xludf.DUMMYFUNCTION("SPLIT($A693,""Rua"","""")")," Nathalio Tauhyl")</f>
        <v> Nathalio Tauhyl</v>
      </c>
    </row>
    <row r="694" ht="15.75" customHeight="1">
      <c r="A694" s="5" t="s">
        <v>4238</v>
      </c>
      <c r="B694" s="5" t="s">
        <v>3061</v>
      </c>
      <c r="C694" s="4" t="s">
        <v>2839</v>
      </c>
      <c r="D694" s="5" t="s">
        <v>4239</v>
      </c>
      <c r="E694" s="6">
        <v>214.0</v>
      </c>
      <c r="F694" s="6" t="s">
        <v>12</v>
      </c>
      <c r="H694" s="4" t="s">
        <v>2852</v>
      </c>
      <c r="I694" s="3" t="s">
        <v>13</v>
      </c>
      <c r="J694" s="7" t="str">
        <f>IFERROR(__xludf.DUMMYFUNCTION("SPLIT($A694,""Rua"","""")")," Nelo Rodrigues de Arruda")</f>
        <v> Nelo Rodrigues de Arruda</v>
      </c>
    </row>
    <row r="695" ht="15.75" customHeight="1">
      <c r="A695" s="5" t="s">
        <v>4240</v>
      </c>
      <c r="B695" s="5" t="s">
        <v>3100</v>
      </c>
      <c r="C695" s="4" t="s">
        <v>2839</v>
      </c>
      <c r="D695" s="5" t="s">
        <v>4241</v>
      </c>
      <c r="E695" s="6">
        <v>214.0</v>
      </c>
      <c r="F695" s="6" t="s">
        <v>12</v>
      </c>
      <c r="H695" s="4" t="s">
        <v>2852</v>
      </c>
      <c r="I695" s="3" t="s">
        <v>13</v>
      </c>
      <c r="J695" s="7" t="str">
        <f>IFERROR(__xludf.DUMMYFUNCTION("SPLIT($A695,""Rua"","""")")," Nelson Giacomelli")</f>
        <v> Nelson Giacomelli</v>
      </c>
    </row>
    <row r="696" ht="15.75" customHeight="1">
      <c r="A696" s="5" t="s">
        <v>4242</v>
      </c>
      <c r="B696" s="5" t="s">
        <v>3100</v>
      </c>
      <c r="C696" s="4" t="s">
        <v>2839</v>
      </c>
      <c r="D696" s="5" t="s">
        <v>4243</v>
      </c>
      <c r="E696" s="6">
        <v>214.0</v>
      </c>
      <c r="F696" s="6" t="s">
        <v>12</v>
      </c>
      <c r="H696" s="4" t="s">
        <v>2852</v>
      </c>
      <c r="I696" s="3" t="s">
        <v>13</v>
      </c>
      <c r="J696" s="7" t="str">
        <f>IFERROR(__xludf.DUMMYFUNCTION("SPLIT($A696,""Rua"","""")")," Nelson Silveira Moraes")</f>
        <v> Nelson Silveira Moraes</v>
      </c>
    </row>
    <row r="697" ht="15.75" customHeight="1">
      <c r="A697" s="5" t="s">
        <v>4244</v>
      </c>
      <c r="B697" s="5" t="s">
        <v>180</v>
      </c>
      <c r="C697" s="4" t="s">
        <v>2839</v>
      </c>
      <c r="D697" s="5" t="s">
        <v>4245</v>
      </c>
      <c r="E697" s="6">
        <v>214.0</v>
      </c>
      <c r="F697" s="6" t="s">
        <v>12</v>
      </c>
      <c r="H697" s="4" t="s">
        <v>2852</v>
      </c>
      <c r="I697" s="3" t="s">
        <v>13</v>
      </c>
      <c r="J697" s="7" t="str">
        <f>IFERROR(__xludf.DUMMYFUNCTION("SPLIT($A697,""Rua"","""")")," Newton Prado")</f>
        <v> Newton Prado</v>
      </c>
    </row>
    <row r="698" ht="15.75" customHeight="1">
      <c r="A698" s="5" t="s">
        <v>4246</v>
      </c>
      <c r="B698" s="5" t="s">
        <v>3003</v>
      </c>
      <c r="C698" s="4" t="s">
        <v>2839</v>
      </c>
      <c r="D698" s="5" t="s">
        <v>4247</v>
      </c>
      <c r="E698" s="6">
        <v>214.0</v>
      </c>
      <c r="F698" s="6" t="s">
        <v>12</v>
      </c>
      <c r="H698" s="4" t="s">
        <v>2852</v>
      </c>
      <c r="I698" s="3" t="s">
        <v>13</v>
      </c>
      <c r="J698" s="7" t="str">
        <f>IFERROR(__xludf.DUMMYFUNCTION("SPLIT($A698,""Rua"","""")")," Noé Leite de Camargo")</f>
        <v> Noé Leite de Camargo</v>
      </c>
    </row>
    <row r="699" ht="15.75" customHeight="1">
      <c r="A699" s="5" t="s">
        <v>4248</v>
      </c>
      <c r="B699" s="5" t="s">
        <v>3052</v>
      </c>
      <c r="C699" s="4" t="s">
        <v>2839</v>
      </c>
      <c r="D699" s="5" t="s">
        <v>4249</v>
      </c>
      <c r="E699" s="6">
        <v>214.0</v>
      </c>
      <c r="F699" s="6" t="s">
        <v>12</v>
      </c>
      <c r="H699" s="4" t="s">
        <v>2852</v>
      </c>
      <c r="I699" s="3" t="s">
        <v>13</v>
      </c>
      <c r="J699" s="7" t="str">
        <f>IFERROR(__xludf.DUMMYFUNCTION("SPLIT($A699,""Rua"","""")")," Norberto Coelho de Oliveira")</f>
        <v> Norberto Coelho de Oliveira</v>
      </c>
    </row>
    <row r="700" ht="15.75" customHeight="1">
      <c r="A700" s="5" t="s">
        <v>4250</v>
      </c>
      <c r="B700" s="5" t="s">
        <v>3216</v>
      </c>
      <c r="C700" s="4" t="s">
        <v>2839</v>
      </c>
      <c r="D700" s="5" t="s">
        <v>4251</v>
      </c>
      <c r="E700" s="6">
        <v>214.0</v>
      </c>
      <c r="F700" s="6" t="s">
        <v>12</v>
      </c>
      <c r="H700" s="4" t="s">
        <v>2852</v>
      </c>
      <c r="I700" s="3" t="s">
        <v>13</v>
      </c>
      <c r="J700" s="7" t="str">
        <f>IFERROR(__xludf.DUMMYFUNCTION("SPLIT($A700,""Rua"","""")")," Norma Sacheto Cincilio")</f>
        <v> Norma Sacheto Cincilio</v>
      </c>
    </row>
    <row r="701" ht="15.75" customHeight="1">
      <c r="A701" s="5" t="s">
        <v>4252</v>
      </c>
      <c r="B701" s="5" t="s">
        <v>2994</v>
      </c>
      <c r="C701" s="4" t="s">
        <v>2839</v>
      </c>
      <c r="D701" s="5" t="s">
        <v>4253</v>
      </c>
      <c r="E701" s="6">
        <v>214.0</v>
      </c>
      <c r="F701" s="6" t="s">
        <v>12</v>
      </c>
      <c r="H701" s="4" t="s">
        <v>2852</v>
      </c>
      <c r="I701" s="3" t="s">
        <v>13</v>
      </c>
      <c r="J701" s="7" t="str">
        <f>IFERROR(__xludf.DUMMYFUNCTION("SPLIT($A701,""Rua"","""")")," Nove")</f>
        <v> Nove</v>
      </c>
    </row>
    <row r="702" ht="15.75" customHeight="1">
      <c r="A702" s="5" t="s">
        <v>4252</v>
      </c>
      <c r="B702" s="5" t="s">
        <v>3069</v>
      </c>
      <c r="C702" s="4" t="s">
        <v>2839</v>
      </c>
      <c r="D702" s="5" t="s">
        <v>4254</v>
      </c>
      <c r="E702" s="6">
        <v>214.0</v>
      </c>
      <c r="F702" s="6" t="s">
        <v>12</v>
      </c>
      <c r="H702" s="4" t="s">
        <v>2852</v>
      </c>
      <c r="I702" s="3" t="s">
        <v>13</v>
      </c>
      <c r="J702" s="7" t="str">
        <f>IFERROR(__xludf.DUMMYFUNCTION("SPLIT($A702,""Rua"","""")")," Nove")</f>
        <v> Nove</v>
      </c>
    </row>
    <row r="703" ht="15.75" customHeight="1">
      <c r="A703" s="5" t="s">
        <v>4252</v>
      </c>
      <c r="B703" s="5" t="s">
        <v>3535</v>
      </c>
      <c r="C703" s="4" t="s">
        <v>2839</v>
      </c>
      <c r="D703" s="5" t="s">
        <v>4255</v>
      </c>
      <c r="E703" s="6">
        <v>214.0</v>
      </c>
      <c r="F703" s="6" t="s">
        <v>12</v>
      </c>
      <c r="H703" s="4" t="s">
        <v>2852</v>
      </c>
      <c r="I703" s="3" t="s">
        <v>13</v>
      </c>
      <c r="J703" s="7" t="str">
        <f>IFERROR(__xludf.DUMMYFUNCTION("SPLIT($A703,""Rua"","""")")," Nove")</f>
        <v> Nove</v>
      </c>
    </row>
    <row r="704" ht="15.75" customHeight="1">
      <c r="A704" s="5" t="s">
        <v>4256</v>
      </c>
      <c r="B704" s="5" t="s">
        <v>3052</v>
      </c>
      <c r="C704" s="4" t="s">
        <v>2839</v>
      </c>
      <c r="D704" s="5" t="s">
        <v>4257</v>
      </c>
      <c r="E704" s="6">
        <v>214.0</v>
      </c>
      <c r="F704" s="6" t="s">
        <v>12</v>
      </c>
      <c r="H704" s="4" t="s">
        <v>2852</v>
      </c>
      <c r="I704" s="3" t="s">
        <v>13</v>
      </c>
      <c r="J704" s="7" t="str">
        <f>IFERROR(__xludf.DUMMYFUNCTION("SPLIT($A704,""Rua"","""")")," Ocirema Fernandes Stetner")</f>
        <v> Ocirema Fernandes Stetner</v>
      </c>
    </row>
    <row r="705" ht="15.75" customHeight="1">
      <c r="A705" s="5" t="s">
        <v>4258</v>
      </c>
      <c r="B705" s="5" t="s">
        <v>3056</v>
      </c>
      <c r="C705" s="4" t="s">
        <v>2839</v>
      </c>
      <c r="D705" s="5" t="s">
        <v>4259</v>
      </c>
      <c r="E705" s="6">
        <v>214.0</v>
      </c>
      <c r="F705" s="6" t="s">
        <v>12</v>
      </c>
      <c r="H705" s="4" t="s">
        <v>2852</v>
      </c>
      <c r="I705" s="3" t="s">
        <v>13</v>
      </c>
      <c r="J705" s="7" t="str">
        <f>IFERROR(__xludf.DUMMYFUNCTION("SPLIT($A705,""Rua"","""")")," Odilon Antônio")</f>
        <v> Odilon Antônio</v>
      </c>
    </row>
    <row r="706" ht="15.75" customHeight="1">
      <c r="A706" s="5" t="s">
        <v>4260</v>
      </c>
      <c r="B706" s="5" t="s">
        <v>2994</v>
      </c>
      <c r="C706" s="4" t="s">
        <v>2839</v>
      </c>
      <c r="D706" s="5" t="s">
        <v>4261</v>
      </c>
      <c r="E706" s="6">
        <v>214.0</v>
      </c>
      <c r="F706" s="6" t="s">
        <v>12</v>
      </c>
      <c r="H706" s="4" t="s">
        <v>2852</v>
      </c>
      <c r="I706" s="3" t="s">
        <v>13</v>
      </c>
      <c r="J706" s="7" t="str">
        <f>IFERROR(__xludf.DUMMYFUNCTION("SPLIT($A706,""Rua"","""")")," Oito")</f>
        <v> Oito</v>
      </c>
    </row>
    <row r="707" ht="15.75" customHeight="1">
      <c r="A707" s="5" t="s">
        <v>4260</v>
      </c>
      <c r="B707" s="5" t="s">
        <v>3069</v>
      </c>
      <c r="C707" s="4" t="s">
        <v>2839</v>
      </c>
      <c r="D707" s="5" t="s">
        <v>4262</v>
      </c>
      <c r="E707" s="6">
        <v>214.0</v>
      </c>
      <c r="F707" s="6" t="s">
        <v>12</v>
      </c>
      <c r="H707" s="4" t="s">
        <v>2852</v>
      </c>
      <c r="I707" s="3" t="s">
        <v>13</v>
      </c>
      <c r="J707" s="7" t="str">
        <f>IFERROR(__xludf.DUMMYFUNCTION("SPLIT($A707,""Rua"","""")")," Oito")</f>
        <v> Oito</v>
      </c>
    </row>
    <row r="708" ht="15.75" customHeight="1">
      <c r="A708" s="5" t="s">
        <v>4260</v>
      </c>
      <c r="B708" s="5" t="s">
        <v>3533</v>
      </c>
      <c r="C708" s="4" t="s">
        <v>2839</v>
      </c>
      <c r="D708" s="5" t="s">
        <v>4263</v>
      </c>
      <c r="E708" s="6">
        <v>214.0</v>
      </c>
      <c r="F708" s="6" t="s">
        <v>12</v>
      </c>
      <c r="H708" s="4" t="s">
        <v>2852</v>
      </c>
      <c r="I708" s="3" t="s">
        <v>13</v>
      </c>
      <c r="J708" s="7" t="str">
        <f>IFERROR(__xludf.DUMMYFUNCTION("SPLIT($A708,""Rua"","""")")," Oito")</f>
        <v> Oito</v>
      </c>
    </row>
    <row r="709" ht="15.75" customHeight="1">
      <c r="A709" s="5" t="s">
        <v>4260</v>
      </c>
      <c r="B709" s="5" t="s">
        <v>3535</v>
      </c>
      <c r="C709" s="4" t="s">
        <v>2839</v>
      </c>
      <c r="D709" s="5" t="s">
        <v>4264</v>
      </c>
      <c r="E709" s="6">
        <v>214.0</v>
      </c>
      <c r="F709" s="6" t="s">
        <v>12</v>
      </c>
      <c r="H709" s="4" t="s">
        <v>2852</v>
      </c>
      <c r="I709" s="3" t="s">
        <v>13</v>
      </c>
      <c r="J709" s="7" t="str">
        <f>IFERROR(__xludf.DUMMYFUNCTION("SPLIT($A709,""Rua"","""")")," Oito")</f>
        <v> Oito</v>
      </c>
    </row>
    <row r="710" ht="15.75" customHeight="1">
      <c r="A710" s="5" t="s">
        <v>4265</v>
      </c>
      <c r="B710" s="5" t="s">
        <v>3489</v>
      </c>
      <c r="C710" s="4" t="s">
        <v>2839</v>
      </c>
      <c r="D710" s="5" t="s">
        <v>4266</v>
      </c>
      <c r="E710" s="6">
        <v>214.0</v>
      </c>
      <c r="F710" s="6" t="s">
        <v>12</v>
      </c>
      <c r="H710" s="4" t="s">
        <v>2852</v>
      </c>
      <c r="I710" s="3" t="s">
        <v>13</v>
      </c>
      <c r="J710" s="7" t="str">
        <f>IFERROR(__xludf.DUMMYFUNCTION("SPLIT($A710,""Rua"","""")")," Olavo Assumpção Fleury")</f>
        <v> Olavo Assumpção Fleury</v>
      </c>
    </row>
    <row r="711" ht="15.75" customHeight="1">
      <c r="A711" s="5" t="s">
        <v>4265</v>
      </c>
      <c r="B711" s="5" t="s">
        <v>3506</v>
      </c>
      <c r="C711" s="4" t="s">
        <v>2839</v>
      </c>
      <c r="D711" s="5" t="s">
        <v>4267</v>
      </c>
      <c r="E711" s="6">
        <v>214.0</v>
      </c>
      <c r="F711" s="6" t="s">
        <v>12</v>
      </c>
      <c r="H711" s="4" t="s">
        <v>2852</v>
      </c>
      <c r="I711" s="3" t="s">
        <v>13</v>
      </c>
      <c r="J711" s="7" t="str">
        <f>IFERROR(__xludf.DUMMYFUNCTION("SPLIT($A711,""Rua"","""")")," Olavo Assumpção Fleury")</f>
        <v> Olavo Assumpção Fleury</v>
      </c>
    </row>
    <row r="712" ht="15.75" customHeight="1">
      <c r="A712" s="5" t="s">
        <v>4265</v>
      </c>
      <c r="B712" s="5" t="s">
        <v>3107</v>
      </c>
      <c r="C712" s="4" t="s">
        <v>2839</v>
      </c>
      <c r="D712" s="5" t="s">
        <v>4268</v>
      </c>
      <c r="E712" s="6">
        <v>214.0</v>
      </c>
      <c r="F712" s="6" t="s">
        <v>12</v>
      </c>
      <c r="H712" s="4" t="s">
        <v>2852</v>
      </c>
      <c r="I712" s="3" t="s">
        <v>13</v>
      </c>
      <c r="J712" s="7" t="str">
        <f>IFERROR(__xludf.DUMMYFUNCTION("SPLIT($A712,""Rua"","""")")," Olavo Assumpção Fleury")</f>
        <v> Olavo Assumpção Fleury</v>
      </c>
    </row>
    <row r="713" ht="15.75" customHeight="1">
      <c r="A713" s="5" t="s">
        <v>4265</v>
      </c>
      <c r="B713" s="5" t="s">
        <v>2959</v>
      </c>
      <c r="C713" s="4" t="s">
        <v>2839</v>
      </c>
      <c r="D713" s="5" t="s">
        <v>4269</v>
      </c>
      <c r="E713" s="6">
        <v>214.0</v>
      </c>
      <c r="F713" s="6" t="s">
        <v>12</v>
      </c>
      <c r="H713" s="4" t="s">
        <v>2852</v>
      </c>
      <c r="I713" s="3" t="s">
        <v>13</v>
      </c>
      <c r="J713" s="7" t="str">
        <f>IFERROR(__xludf.DUMMYFUNCTION("SPLIT($A713,""Rua"","""")")," Olavo Assumpção Fleury")</f>
        <v> Olavo Assumpção Fleury</v>
      </c>
    </row>
    <row r="714" ht="15.75" customHeight="1">
      <c r="A714" s="5" t="s">
        <v>4270</v>
      </c>
      <c r="B714" s="5" t="s">
        <v>3058</v>
      </c>
      <c r="C714" s="4" t="s">
        <v>2839</v>
      </c>
      <c r="D714" s="5" t="s">
        <v>4271</v>
      </c>
      <c r="E714" s="6">
        <v>214.0</v>
      </c>
      <c r="F714" s="6" t="s">
        <v>12</v>
      </c>
      <c r="H714" s="4" t="s">
        <v>2852</v>
      </c>
      <c r="I714" s="3" t="s">
        <v>13</v>
      </c>
      <c r="J714" s="7" t="str">
        <f>IFERROR(__xludf.DUMMYFUNCTION("SPLIT($A714,""Rua"","""")")," Olga Brugnerotto Sgariboldi")</f>
        <v> Olga Brugnerotto Sgariboldi</v>
      </c>
    </row>
    <row r="715" ht="15.75" customHeight="1">
      <c r="A715" s="5" t="s">
        <v>4272</v>
      </c>
      <c r="B715" s="5" t="s">
        <v>3182</v>
      </c>
      <c r="C715" s="4" t="s">
        <v>2839</v>
      </c>
      <c r="D715" s="5" t="s">
        <v>4273</v>
      </c>
      <c r="E715" s="6">
        <v>214.0</v>
      </c>
      <c r="F715" s="6" t="s">
        <v>12</v>
      </c>
      <c r="H715" s="4" t="s">
        <v>2852</v>
      </c>
      <c r="I715" s="3" t="s">
        <v>13</v>
      </c>
      <c r="J715" s="7" t="str">
        <f>IFERROR(__xludf.DUMMYFUNCTION("SPLIT($A715,""Rua"","""")")," Olímpio Francisco de Moraes")</f>
        <v> Olímpio Francisco de Moraes</v>
      </c>
    </row>
    <row r="716" ht="15.75" customHeight="1">
      <c r="A716" s="5" t="s">
        <v>4274</v>
      </c>
      <c r="B716" s="5" t="s">
        <v>3260</v>
      </c>
      <c r="C716" s="4" t="s">
        <v>2839</v>
      </c>
      <c r="D716" s="5" t="s">
        <v>4275</v>
      </c>
      <c r="E716" s="6">
        <v>214.0</v>
      </c>
      <c r="F716" s="6" t="s">
        <v>12</v>
      </c>
      <c r="H716" s="4" t="s">
        <v>2852</v>
      </c>
      <c r="I716" s="3" t="s">
        <v>13</v>
      </c>
      <c r="J716" s="7" t="str">
        <f>IFERROR(__xludf.DUMMYFUNCTION("SPLIT($A716,""Rua"","""")")," Olinto Sampaio Rubini")</f>
        <v> Olinto Sampaio Rubini</v>
      </c>
    </row>
    <row r="717" ht="15.75" customHeight="1">
      <c r="A717" s="5" t="s">
        <v>4276</v>
      </c>
      <c r="B717" s="5" t="s">
        <v>3016</v>
      </c>
      <c r="C717" s="4" t="s">
        <v>2839</v>
      </c>
      <c r="D717" s="5" t="s">
        <v>4277</v>
      </c>
      <c r="E717" s="6">
        <v>214.0</v>
      </c>
      <c r="F717" s="6" t="s">
        <v>12</v>
      </c>
      <c r="H717" s="4" t="s">
        <v>2852</v>
      </c>
      <c r="I717" s="3" t="s">
        <v>13</v>
      </c>
      <c r="J717" s="7" t="str">
        <f>IFERROR(__xludf.DUMMYFUNCTION("SPLIT($A717,""Rua"","""")")," Olívio Barbosa")</f>
        <v> Olívio Barbosa</v>
      </c>
    </row>
    <row r="718" ht="15.75" customHeight="1">
      <c r="A718" s="5" t="s">
        <v>4278</v>
      </c>
      <c r="B718" s="5" t="s">
        <v>3197</v>
      </c>
      <c r="C718" s="4" t="s">
        <v>2839</v>
      </c>
      <c r="D718" s="5" t="s">
        <v>4279</v>
      </c>
      <c r="E718" s="6">
        <v>214.0</v>
      </c>
      <c r="F718" s="6" t="s">
        <v>12</v>
      </c>
      <c r="H718" s="4" t="s">
        <v>2852</v>
      </c>
      <c r="I718" s="3" t="s">
        <v>13</v>
      </c>
      <c r="J718" s="7" t="str">
        <f>IFERROR(__xludf.DUMMYFUNCTION("SPLIT($A718,""Rua"","""")")," Olívio Thomé")</f>
        <v> Olívio Thomé</v>
      </c>
    </row>
    <row r="719" ht="15.75" customHeight="1">
      <c r="A719" s="5" t="s">
        <v>4280</v>
      </c>
      <c r="B719" s="5" t="s">
        <v>3766</v>
      </c>
      <c r="C719" s="4" t="s">
        <v>2839</v>
      </c>
      <c r="D719" s="5" t="s">
        <v>4281</v>
      </c>
      <c r="E719" s="6">
        <v>214.0</v>
      </c>
      <c r="F719" s="6" t="s">
        <v>12</v>
      </c>
      <c r="H719" s="4" t="s">
        <v>2852</v>
      </c>
      <c r="I719" s="3" t="s">
        <v>13</v>
      </c>
      <c r="J719" s="7" t="str">
        <f>IFERROR(__xludf.DUMMYFUNCTION("SPLIT($A719,""Rua"","""")")," Olynto Baptistela - até 259/260")</f>
        <v> Olynto Baptistela - até 259/260</v>
      </c>
    </row>
    <row r="720" ht="15.75" customHeight="1">
      <c r="A720" s="5" t="s">
        <v>4282</v>
      </c>
      <c r="B720" s="5" t="s">
        <v>3001</v>
      </c>
      <c r="C720" s="4" t="s">
        <v>2839</v>
      </c>
      <c r="D720" s="5" t="s">
        <v>4283</v>
      </c>
      <c r="E720" s="6">
        <v>214.0</v>
      </c>
      <c r="F720" s="6" t="s">
        <v>12</v>
      </c>
      <c r="H720" s="4" t="s">
        <v>2852</v>
      </c>
      <c r="I720" s="3" t="s">
        <v>13</v>
      </c>
      <c r="J720" s="7" t="str">
        <f>IFERROR(__xludf.DUMMYFUNCTION("SPLIT($A720,""Rua"","""")")," Olynto Baptistela - de 261/262 ao fim")</f>
        <v> Olynto Baptistela - de 261/262 ao fim</v>
      </c>
    </row>
    <row r="721" ht="15.75" customHeight="1">
      <c r="A721" s="5" t="s">
        <v>4284</v>
      </c>
      <c r="B721" s="5" t="s">
        <v>2994</v>
      </c>
      <c r="C721" s="4" t="s">
        <v>2839</v>
      </c>
      <c r="D721" s="5" t="s">
        <v>4285</v>
      </c>
      <c r="E721" s="6">
        <v>214.0</v>
      </c>
      <c r="F721" s="6" t="s">
        <v>12</v>
      </c>
      <c r="H721" s="4" t="s">
        <v>2852</v>
      </c>
      <c r="I721" s="3" t="s">
        <v>13</v>
      </c>
      <c r="J721" s="7" t="str">
        <f>IFERROR(__xludf.DUMMYFUNCTION("SPLIT($A721,""Rua"","""")")," Onze")</f>
        <v> Onze</v>
      </c>
    </row>
    <row r="722" ht="15.75" customHeight="1">
      <c r="A722" s="5" t="s">
        <v>4284</v>
      </c>
      <c r="B722" s="5" t="s">
        <v>3069</v>
      </c>
      <c r="C722" s="4" t="s">
        <v>2839</v>
      </c>
      <c r="D722" s="5" t="s">
        <v>4286</v>
      </c>
      <c r="E722" s="6">
        <v>214.0</v>
      </c>
      <c r="F722" s="6" t="s">
        <v>12</v>
      </c>
      <c r="H722" s="4" t="s">
        <v>2852</v>
      </c>
      <c r="I722" s="3" t="s">
        <v>13</v>
      </c>
      <c r="J722" s="7" t="str">
        <f>IFERROR(__xludf.DUMMYFUNCTION("SPLIT($A722,""Rua"","""")")," Onze")</f>
        <v> Onze</v>
      </c>
    </row>
    <row r="723" ht="15.75" customHeight="1">
      <c r="A723" s="5" t="s">
        <v>4287</v>
      </c>
      <c r="B723" s="5" t="s">
        <v>3061</v>
      </c>
      <c r="C723" s="4" t="s">
        <v>2839</v>
      </c>
      <c r="D723" s="5" t="s">
        <v>4288</v>
      </c>
      <c r="E723" s="6">
        <v>214.0</v>
      </c>
      <c r="F723" s="6" t="s">
        <v>12</v>
      </c>
      <c r="H723" s="4" t="s">
        <v>2852</v>
      </c>
      <c r="I723" s="3" t="s">
        <v>13</v>
      </c>
      <c r="J723" s="7" t="str">
        <f>IFERROR(__xludf.DUMMYFUNCTION("SPLIT($A723,""Rua"","""")")," Orlando Dalsóglio")</f>
        <v> Orlando Dalsóglio</v>
      </c>
    </row>
    <row r="724" ht="15.75" customHeight="1">
      <c r="A724" s="5" t="s">
        <v>4289</v>
      </c>
      <c r="B724" s="5" t="s">
        <v>3047</v>
      </c>
      <c r="C724" s="4" t="s">
        <v>2839</v>
      </c>
      <c r="D724" s="5" t="s">
        <v>4290</v>
      </c>
      <c r="E724" s="6">
        <v>214.0</v>
      </c>
      <c r="F724" s="6" t="s">
        <v>12</v>
      </c>
      <c r="H724" s="4" t="s">
        <v>2852</v>
      </c>
      <c r="I724" s="3" t="s">
        <v>13</v>
      </c>
      <c r="J724" s="7" t="str">
        <f>IFERROR(__xludf.DUMMYFUNCTION("SPLIT($A724,""Rua"","""")")," Ortofen")</f>
        <v> Ortofen</v>
      </c>
    </row>
    <row r="725" ht="15.75" customHeight="1">
      <c r="A725" s="5" t="s">
        <v>4291</v>
      </c>
      <c r="B725" s="5" t="s">
        <v>3065</v>
      </c>
      <c r="C725" s="4" t="s">
        <v>2839</v>
      </c>
      <c r="D725" s="5" t="s">
        <v>4292</v>
      </c>
      <c r="E725" s="6">
        <v>214.0</v>
      </c>
      <c r="F725" s="6" t="s">
        <v>12</v>
      </c>
      <c r="H725" s="4" t="s">
        <v>2852</v>
      </c>
      <c r="I725" s="3" t="s">
        <v>13</v>
      </c>
      <c r="J725" s="7" t="str">
        <f>IFERROR(__xludf.DUMMYFUNCTION("SPLIT($A725,""Rua"","""")")," Osmildo Rocha")</f>
        <v> Osmildo Rocha</v>
      </c>
    </row>
    <row r="726" ht="15.75" customHeight="1">
      <c r="A726" s="13" t="s">
        <v>4293</v>
      </c>
      <c r="B726" s="13" t="s">
        <v>3243</v>
      </c>
      <c r="C726" s="4" t="s">
        <v>2839</v>
      </c>
      <c r="D726" s="13" t="s">
        <v>4294</v>
      </c>
      <c r="E726" s="6">
        <v>214.0</v>
      </c>
      <c r="F726" s="6" t="s">
        <v>12</v>
      </c>
      <c r="H726" s="4" t="s">
        <v>2852</v>
      </c>
      <c r="I726" s="3" t="s">
        <v>13</v>
      </c>
      <c r="J726" s="7" t="str">
        <f>IFERROR(__xludf.DUMMYFUNCTION("SPLIT($A726,""Rua"","""")")," Osvaldo Cruz")</f>
        <v> Osvaldo Cruz</v>
      </c>
    </row>
    <row r="727" ht="15.75" customHeight="1">
      <c r="A727" s="5" t="s">
        <v>4295</v>
      </c>
      <c r="B727" s="5" t="s">
        <v>4142</v>
      </c>
      <c r="C727" s="4" t="s">
        <v>2839</v>
      </c>
      <c r="D727" s="5" t="s">
        <v>4296</v>
      </c>
      <c r="E727" s="6">
        <v>214.0</v>
      </c>
      <c r="F727" s="6" t="s">
        <v>12</v>
      </c>
      <c r="H727" s="4" t="s">
        <v>2852</v>
      </c>
      <c r="I727" s="3" t="s">
        <v>13</v>
      </c>
      <c r="J727" s="7" t="str">
        <f>IFERROR(__xludf.DUMMYFUNCTION("SPLIT($A727,""Rua"","""")")," Osvaldo Novaes Carvalho")</f>
        <v> Osvaldo Novaes Carvalho</v>
      </c>
    </row>
    <row r="728" ht="15.75" customHeight="1">
      <c r="A728" s="5" t="s">
        <v>4297</v>
      </c>
      <c r="B728" s="5" t="s">
        <v>3093</v>
      </c>
      <c r="C728" s="4" t="s">
        <v>2839</v>
      </c>
      <c r="D728" s="5" t="s">
        <v>4298</v>
      </c>
      <c r="E728" s="6">
        <v>214.0</v>
      </c>
      <c r="F728" s="6" t="s">
        <v>12</v>
      </c>
      <c r="H728" s="4" t="s">
        <v>2852</v>
      </c>
      <c r="I728" s="3" t="s">
        <v>13</v>
      </c>
      <c r="J728" s="7" t="str">
        <f>IFERROR(__xludf.DUMMYFUNCTION("SPLIT($A728,""Rua"","""")")," Otacílio Martins Sampaio")</f>
        <v> Otacílio Martins Sampaio</v>
      </c>
    </row>
    <row r="729" ht="15.75" customHeight="1">
      <c r="A729" s="5" t="s">
        <v>4299</v>
      </c>
      <c r="B729" s="5" t="s">
        <v>2957</v>
      </c>
      <c r="C729" s="4" t="s">
        <v>2839</v>
      </c>
      <c r="D729" s="5" t="s">
        <v>4300</v>
      </c>
      <c r="E729" s="6">
        <v>214.0</v>
      </c>
      <c r="F729" s="6" t="s">
        <v>12</v>
      </c>
      <c r="H729" s="4" t="s">
        <v>2852</v>
      </c>
      <c r="I729" s="3" t="s">
        <v>13</v>
      </c>
      <c r="J729" s="7" t="str">
        <f>IFERROR(__xludf.DUMMYFUNCTION("SPLIT($A729,""Rua"","""")")," Otacílio Valini")</f>
        <v> Otacílio Valini</v>
      </c>
    </row>
    <row r="730" ht="15.75" customHeight="1">
      <c r="A730" s="5" t="s">
        <v>4301</v>
      </c>
      <c r="B730" s="5" t="s">
        <v>3003</v>
      </c>
      <c r="C730" s="4" t="s">
        <v>2839</v>
      </c>
      <c r="D730" s="5" t="s">
        <v>4302</v>
      </c>
      <c r="E730" s="6">
        <v>214.0</v>
      </c>
      <c r="F730" s="6" t="s">
        <v>12</v>
      </c>
      <c r="H730" s="4" t="s">
        <v>2852</v>
      </c>
      <c r="I730" s="3" t="s">
        <v>13</v>
      </c>
      <c r="J730" s="7" t="str">
        <f>IFERROR(__xludf.DUMMYFUNCTION("SPLIT($A730,""Rua"","""")")," Otávio de Moraes")</f>
        <v> Otávio de Moraes</v>
      </c>
    </row>
    <row r="731" ht="15.75" customHeight="1">
      <c r="A731" s="5" t="s">
        <v>4303</v>
      </c>
      <c r="B731" s="5" t="s">
        <v>3093</v>
      </c>
      <c r="C731" s="4" t="s">
        <v>2839</v>
      </c>
      <c r="D731" s="5" t="s">
        <v>4304</v>
      </c>
      <c r="E731" s="6">
        <v>214.0</v>
      </c>
      <c r="F731" s="6" t="s">
        <v>12</v>
      </c>
      <c r="H731" s="4" t="s">
        <v>2852</v>
      </c>
      <c r="I731" s="3" t="s">
        <v>13</v>
      </c>
      <c r="J731" s="7" t="str">
        <f>IFERROR(__xludf.DUMMYFUNCTION("SPLIT($A731,""Rua"","""")")," Othoniel Sampaio")</f>
        <v> Othoniel Sampaio</v>
      </c>
    </row>
    <row r="732" ht="15.75" customHeight="1">
      <c r="A732" s="5" t="s">
        <v>4305</v>
      </c>
      <c r="B732" s="5" t="s">
        <v>180</v>
      </c>
      <c r="C732" s="4" t="s">
        <v>2839</v>
      </c>
      <c r="D732" s="5" t="s">
        <v>4306</v>
      </c>
      <c r="E732" s="6">
        <v>214.0</v>
      </c>
      <c r="F732" s="6" t="s">
        <v>12</v>
      </c>
      <c r="H732" s="4" t="s">
        <v>2852</v>
      </c>
      <c r="I732" s="3" t="s">
        <v>13</v>
      </c>
      <c r="J732" s="7" t="str">
        <f>IFERROR(__xludf.DUMMYFUNCTION("SPLIT($A732,""Rua"","""")")," Otoni Joaquim de Souza")</f>
        <v> Otoni Joaquim de Souza</v>
      </c>
    </row>
    <row r="733" ht="15.75" customHeight="1">
      <c r="A733" s="5" t="s">
        <v>4307</v>
      </c>
      <c r="B733" s="5" t="s">
        <v>3586</v>
      </c>
      <c r="C733" s="4" t="s">
        <v>2839</v>
      </c>
      <c r="D733" s="5" t="s">
        <v>4308</v>
      </c>
      <c r="E733" s="6">
        <v>214.0</v>
      </c>
      <c r="F733" s="6" t="s">
        <v>12</v>
      </c>
      <c r="H733" s="4" t="s">
        <v>2852</v>
      </c>
      <c r="I733" s="3" t="s">
        <v>13</v>
      </c>
      <c r="J733" s="7" t="str">
        <f>IFERROR(__xludf.DUMMYFUNCTION("SPLIT($A733,""Rua"","""")")," Otoniel Rodrigues")</f>
        <v> Otoniel Rodrigues</v>
      </c>
    </row>
    <row r="734" ht="15.75" customHeight="1">
      <c r="A734" s="5" t="s">
        <v>4309</v>
      </c>
      <c r="B734" s="5" t="s">
        <v>2957</v>
      </c>
      <c r="C734" s="4" t="s">
        <v>2839</v>
      </c>
      <c r="D734" s="5" t="s">
        <v>4310</v>
      </c>
      <c r="E734" s="6">
        <v>214.0</v>
      </c>
      <c r="F734" s="6" t="s">
        <v>12</v>
      </c>
      <c r="H734" s="4" t="s">
        <v>2852</v>
      </c>
      <c r="I734" s="3" t="s">
        <v>13</v>
      </c>
      <c r="J734" s="7" t="str">
        <f>IFERROR(__xludf.DUMMYFUNCTION("SPLIT($A734,""Rua"","""")")," Padre Alexandre Hordeau")</f>
        <v> Padre Alexandre Hordeau</v>
      </c>
    </row>
    <row r="735" ht="15.75" customHeight="1">
      <c r="A735" s="5" t="s">
        <v>4311</v>
      </c>
      <c r="B735" s="5" t="s">
        <v>3294</v>
      </c>
      <c r="C735" s="4" t="s">
        <v>2839</v>
      </c>
      <c r="D735" s="5" t="s">
        <v>4312</v>
      </c>
      <c r="E735" s="6">
        <v>214.0</v>
      </c>
      <c r="F735" s="6" t="s">
        <v>12</v>
      </c>
      <c r="H735" s="4" t="s">
        <v>2852</v>
      </c>
      <c r="I735" s="3" t="s">
        <v>13</v>
      </c>
      <c r="J735" s="7" t="str">
        <f>IFERROR(__xludf.DUMMYFUNCTION("SPLIT($A735,""Rua"","""")")," Padre Bento")</f>
        <v> Padre Bento</v>
      </c>
    </row>
    <row r="736" ht="15.75" customHeight="1">
      <c r="A736" s="5" t="s">
        <v>4313</v>
      </c>
      <c r="B736" s="5" t="s">
        <v>180</v>
      </c>
      <c r="C736" s="4" t="s">
        <v>2839</v>
      </c>
      <c r="D736" s="5" t="s">
        <v>4314</v>
      </c>
      <c r="E736" s="6">
        <v>214.0</v>
      </c>
      <c r="F736" s="6" t="s">
        <v>12</v>
      </c>
      <c r="H736" s="4" t="s">
        <v>2852</v>
      </c>
      <c r="I736" s="3" t="s">
        <v>13</v>
      </c>
      <c r="J736" s="7" t="str">
        <f>IFERROR(__xludf.DUMMYFUNCTION("SPLIT($A736,""Rua"","""")")," Padre Ilidro")</f>
        <v> Padre Ilidro</v>
      </c>
    </row>
    <row r="737" ht="15.75" customHeight="1">
      <c r="A737" s="5" t="s">
        <v>4315</v>
      </c>
      <c r="B737" s="5" t="s">
        <v>4142</v>
      </c>
      <c r="C737" s="4" t="s">
        <v>2839</v>
      </c>
      <c r="D737" s="5" t="s">
        <v>4316</v>
      </c>
      <c r="E737" s="6">
        <v>214.0</v>
      </c>
      <c r="F737" s="6" t="s">
        <v>12</v>
      </c>
      <c r="H737" s="4" t="s">
        <v>2852</v>
      </c>
      <c r="I737" s="3" t="s">
        <v>13</v>
      </c>
      <c r="J737" s="7" t="str">
        <f>IFERROR(__xludf.DUMMYFUNCTION("SPLIT($A737,""Rua"","""")")," Padre José de Anchieta")</f>
        <v> Padre José de Anchieta</v>
      </c>
    </row>
    <row r="738" ht="15.75" customHeight="1">
      <c r="A738" s="5" t="s">
        <v>4317</v>
      </c>
      <c r="B738" s="5" t="s">
        <v>3393</v>
      </c>
      <c r="C738" s="4" t="s">
        <v>2839</v>
      </c>
      <c r="D738" s="5" t="s">
        <v>4318</v>
      </c>
      <c r="E738" s="6">
        <v>214.0</v>
      </c>
      <c r="F738" s="6" t="s">
        <v>12</v>
      </c>
      <c r="H738" s="4" t="s">
        <v>2852</v>
      </c>
      <c r="I738" s="3" t="s">
        <v>13</v>
      </c>
      <c r="J738" s="7" t="str">
        <f>IFERROR(__xludf.DUMMYFUNCTION("SPLIT($A738,""Rua"","""")")," Padre José Fernando Mietto")</f>
        <v> Padre José Fernando Mietto</v>
      </c>
    </row>
    <row r="739" ht="15.75" customHeight="1">
      <c r="A739" s="5" t="s">
        <v>4319</v>
      </c>
      <c r="B739" s="5" t="s">
        <v>180</v>
      </c>
      <c r="C739" s="4" t="s">
        <v>2839</v>
      </c>
      <c r="D739" s="5" t="s">
        <v>4320</v>
      </c>
      <c r="E739" s="6">
        <v>214.0</v>
      </c>
      <c r="F739" s="6" t="s">
        <v>12</v>
      </c>
      <c r="H739" s="4" t="s">
        <v>2852</v>
      </c>
      <c r="I739" s="3" t="s">
        <v>13</v>
      </c>
      <c r="J739" s="7" t="str">
        <f>IFERROR(__xludf.DUMMYFUNCTION("SPLIT($A739,""Rua"","""")")," Palmeiras")</f>
        <v> Palmeiras</v>
      </c>
    </row>
    <row r="740" ht="15.75" customHeight="1">
      <c r="A740" s="5" t="s">
        <v>4321</v>
      </c>
      <c r="B740" s="5" t="s">
        <v>3299</v>
      </c>
      <c r="C740" s="4" t="s">
        <v>2839</v>
      </c>
      <c r="D740" s="5" t="s">
        <v>4322</v>
      </c>
      <c r="E740" s="6">
        <v>214.0</v>
      </c>
      <c r="F740" s="6" t="s">
        <v>12</v>
      </c>
      <c r="H740" s="4" t="s">
        <v>2852</v>
      </c>
      <c r="I740" s="3" t="s">
        <v>13</v>
      </c>
      <c r="J740" s="7" t="str">
        <f>IFERROR(__xludf.DUMMYFUNCTION("SPLIT($A740,""Rua"","""")")," Pascoa Bonini Guerini")</f>
        <v> Pascoa Bonini Guerini</v>
      </c>
    </row>
    <row r="741" ht="15.75" customHeight="1">
      <c r="A741" s="5" t="s">
        <v>4323</v>
      </c>
      <c r="B741" s="5" t="s">
        <v>3351</v>
      </c>
      <c r="C741" s="4" t="s">
        <v>2839</v>
      </c>
      <c r="D741" s="5" t="s">
        <v>4324</v>
      </c>
      <c r="E741" s="6">
        <v>214.0</v>
      </c>
      <c r="F741" s="6" t="s">
        <v>12</v>
      </c>
      <c r="H741" s="4" t="s">
        <v>2852</v>
      </c>
      <c r="I741" s="3" t="s">
        <v>13</v>
      </c>
      <c r="J741" s="7" t="str">
        <f>IFERROR(__xludf.DUMMYFUNCTION("SPLIT($A741,""Rua"","""")")," Pascoal Moreira")</f>
        <v> Pascoal Moreira</v>
      </c>
    </row>
    <row r="742" ht="15.75" customHeight="1">
      <c r="A742" s="5" t="s">
        <v>4325</v>
      </c>
      <c r="B742" s="5" t="s">
        <v>3003</v>
      </c>
      <c r="C742" s="4" t="s">
        <v>2839</v>
      </c>
      <c r="D742" s="5" t="s">
        <v>4326</v>
      </c>
      <c r="E742" s="6">
        <v>214.0</v>
      </c>
      <c r="F742" s="6" t="s">
        <v>12</v>
      </c>
      <c r="H742" s="4" t="s">
        <v>2852</v>
      </c>
      <c r="I742" s="3" t="s">
        <v>13</v>
      </c>
      <c r="J742" s="7" t="str">
        <f>IFERROR(__xludf.DUMMYFUNCTION("SPLIT($A742,""Rua"","""")")," Paulino de Bernardes")</f>
        <v> Paulino de Bernardes</v>
      </c>
    </row>
    <row r="743" ht="15.75" customHeight="1">
      <c r="A743" s="5" t="s">
        <v>4327</v>
      </c>
      <c r="B743" s="5" t="s">
        <v>3100</v>
      </c>
      <c r="C743" s="4" t="s">
        <v>2839</v>
      </c>
      <c r="D743" s="5" t="s">
        <v>4328</v>
      </c>
      <c r="E743" s="6">
        <v>214.0</v>
      </c>
      <c r="F743" s="6" t="s">
        <v>12</v>
      </c>
      <c r="H743" s="4" t="s">
        <v>2852</v>
      </c>
      <c r="I743" s="3" t="s">
        <v>13</v>
      </c>
      <c r="J743" s="7" t="str">
        <f>IFERROR(__xludf.DUMMYFUNCTION("SPLIT($A743,""Rua"","""")")," Paulino Savioli")</f>
        <v> Paulino Savioli</v>
      </c>
    </row>
    <row r="744" ht="15.75" customHeight="1">
      <c r="A744" s="5" t="s">
        <v>4329</v>
      </c>
      <c r="B744" s="5" t="s">
        <v>3061</v>
      </c>
      <c r="C744" s="4" t="s">
        <v>2839</v>
      </c>
      <c r="D744" s="5" t="s">
        <v>4330</v>
      </c>
      <c r="E744" s="6">
        <v>214.0</v>
      </c>
      <c r="F744" s="6" t="s">
        <v>12</v>
      </c>
      <c r="H744" s="4" t="s">
        <v>2852</v>
      </c>
      <c r="I744" s="3" t="s">
        <v>13</v>
      </c>
      <c r="J744" s="7" t="str">
        <f>IFERROR(__xludf.DUMMYFUNCTION("SPLIT($A744,""Rua"","""")")," Paulo de Oliveira Diniz")</f>
        <v> Paulo de Oliveira Diniz</v>
      </c>
    </row>
    <row r="745" ht="15.75" customHeight="1">
      <c r="A745" s="5" t="s">
        <v>4331</v>
      </c>
      <c r="B745" s="5" t="s">
        <v>3056</v>
      </c>
      <c r="C745" s="4" t="s">
        <v>2839</v>
      </c>
      <c r="D745" s="5" t="s">
        <v>4332</v>
      </c>
      <c r="E745" s="6">
        <v>214.0</v>
      </c>
      <c r="F745" s="6" t="s">
        <v>12</v>
      </c>
      <c r="H745" s="4" t="s">
        <v>2852</v>
      </c>
      <c r="I745" s="3" t="s">
        <v>13</v>
      </c>
      <c r="J745" s="7" t="str">
        <f>IFERROR(__xludf.DUMMYFUNCTION("SPLIT($A745,""Rua"","""")")," Paulo de Oliveira Tauhyl")</f>
        <v> Paulo de Oliveira Tauhyl</v>
      </c>
    </row>
    <row r="746" ht="15.75" customHeight="1">
      <c r="A746" s="5" t="s">
        <v>4333</v>
      </c>
      <c r="B746" s="5" t="s">
        <v>2965</v>
      </c>
      <c r="C746" s="4" t="s">
        <v>2839</v>
      </c>
      <c r="D746" s="5" t="s">
        <v>4334</v>
      </c>
      <c r="E746" s="6">
        <v>214.0</v>
      </c>
      <c r="F746" s="6" t="s">
        <v>12</v>
      </c>
      <c r="H746" s="4" t="s">
        <v>2852</v>
      </c>
      <c r="I746" s="3" t="s">
        <v>13</v>
      </c>
      <c r="J746" s="7" t="str">
        <f>IFERROR(__xludf.DUMMYFUNCTION("SPLIT($A746,""Rua"","""")")," Paulo Elias Habice")</f>
        <v> Paulo Elias Habice</v>
      </c>
    </row>
    <row r="747" ht="15.75" customHeight="1">
      <c r="A747" s="5" t="s">
        <v>4335</v>
      </c>
      <c r="B747" s="5" t="s">
        <v>3243</v>
      </c>
      <c r="C747" s="4" t="s">
        <v>2839</v>
      </c>
      <c r="D747" s="5" t="s">
        <v>4336</v>
      </c>
      <c r="E747" s="6">
        <v>214.0</v>
      </c>
      <c r="F747" s="6" t="s">
        <v>12</v>
      </c>
      <c r="H747" s="4" t="s">
        <v>2852</v>
      </c>
      <c r="I747" s="3" t="s">
        <v>13</v>
      </c>
      <c r="J747" s="7" t="str">
        <f>IFERROR(__xludf.DUMMYFUNCTION("SPLIT($A747,""Rua"","""")")," Paulo Setubal")</f>
        <v> Paulo Setubal</v>
      </c>
    </row>
    <row r="748" ht="15.75" customHeight="1">
      <c r="A748" s="5" t="s">
        <v>4337</v>
      </c>
      <c r="B748" s="5" t="s">
        <v>3020</v>
      </c>
      <c r="C748" s="4" t="s">
        <v>2839</v>
      </c>
      <c r="D748" s="5" t="s">
        <v>4338</v>
      </c>
      <c r="E748" s="6">
        <v>214.0</v>
      </c>
      <c r="F748" s="6" t="s">
        <v>12</v>
      </c>
      <c r="H748" s="4" t="s">
        <v>2852</v>
      </c>
      <c r="I748" s="3" t="s">
        <v>13</v>
      </c>
      <c r="J748" s="7" t="str">
        <f>IFERROR(__xludf.DUMMYFUNCTION("SPLIT($A748,""Rua"","""")")," Pedro Ferraz da Silva")</f>
        <v> Pedro Ferraz da Silva</v>
      </c>
    </row>
    <row r="749" ht="15.75" customHeight="1">
      <c r="A749" s="5" t="s">
        <v>4339</v>
      </c>
      <c r="B749" s="5" t="s">
        <v>3018</v>
      </c>
      <c r="C749" s="4" t="s">
        <v>2839</v>
      </c>
      <c r="D749" s="5" t="s">
        <v>4340</v>
      </c>
      <c r="E749" s="6">
        <v>214.0</v>
      </c>
      <c r="F749" s="6" t="s">
        <v>12</v>
      </c>
      <c r="H749" s="4" t="s">
        <v>2852</v>
      </c>
      <c r="I749" s="3" t="s">
        <v>13</v>
      </c>
      <c r="J749" s="7" t="str">
        <f>IFERROR(__xludf.DUMMYFUNCTION("SPLIT($A749,""Rua"","""")")," Pedro Francisco de Oliveira")</f>
        <v> Pedro Francisco de Oliveira</v>
      </c>
    </row>
    <row r="750" ht="15.75" customHeight="1">
      <c r="A750" s="5" t="s">
        <v>4341</v>
      </c>
      <c r="B750" s="5" t="s">
        <v>3065</v>
      </c>
      <c r="C750" s="4" t="s">
        <v>2839</v>
      </c>
      <c r="D750" s="5" t="s">
        <v>4342</v>
      </c>
      <c r="E750" s="6">
        <v>214.0</v>
      </c>
      <c r="F750" s="6" t="s">
        <v>12</v>
      </c>
      <c r="H750" s="4" t="s">
        <v>2852</v>
      </c>
      <c r="I750" s="3" t="s">
        <v>13</v>
      </c>
      <c r="J750" s="7" t="str">
        <f>IFERROR(__xludf.DUMMYFUNCTION("SPLIT($A750,""Rua"","""")")," Pedro Geraldo Marcolino Polaz")</f>
        <v> Pedro Geraldo Marcolino Polaz</v>
      </c>
    </row>
    <row r="751" ht="15.75" customHeight="1">
      <c r="A751" s="5" t="s">
        <v>4343</v>
      </c>
      <c r="B751" s="5" t="s">
        <v>3182</v>
      </c>
      <c r="C751" s="4" t="s">
        <v>2839</v>
      </c>
      <c r="D751" s="5" t="s">
        <v>4344</v>
      </c>
      <c r="E751" s="6">
        <v>214.0</v>
      </c>
      <c r="F751" s="6" t="s">
        <v>12</v>
      </c>
      <c r="H751" s="4" t="s">
        <v>2852</v>
      </c>
      <c r="I751" s="3" t="s">
        <v>13</v>
      </c>
      <c r="J751" s="7" t="str">
        <f>IFERROR(__xludf.DUMMYFUNCTION("SPLIT($A751,""Rua"","""")")," Pedro Miranda")</f>
        <v> Pedro Miranda</v>
      </c>
    </row>
    <row r="752" ht="15.75" customHeight="1">
      <c r="A752" s="5" t="s">
        <v>4345</v>
      </c>
      <c r="B752" s="5" t="s">
        <v>3056</v>
      </c>
      <c r="C752" s="4" t="s">
        <v>2839</v>
      </c>
      <c r="D752" s="5" t="s">
        <v>4346</v>
      </c>
      <c r="E752" s="6">
        <v>214.0</v>
      </c>
      <c r="F752" s="6" t="s">
        <v>12</v>
      </c>
      <c r="H752" s="4" t="s">
        <v>2852</v>
      </c>
      <c r="I752" s="3" t="s">
        <v>13</v>
      </c>
      <c r="J752" s="7" t="str">
        <f>IFERROR(__xludf.DUMMYFUNCTION("SPLIT($A752,""Rua"","""")")," Pedro Moreau")</f>
        <v> Pedro Moreau</v>
      </c>
    </row>
    <row r="753" ht="15.75" customHeight="1">
      <c r="A753" s="5" t="s">
        <v>4347</v>
      </c>
      <c r="B753" s="5" t="s">
        <v>3034</v>
      </c>
      <c r="C753" s="4" t="s">
        <v>2839</v>
      </c>
      <c r="D753" s="5" t="s">
        <v>4348</v>
      </c>
      <c r="E753" s="6">
        <v>214.0</v>
      </c>
      <c r="F753" s="6" t="s">
        <v>12</v>
      </c>
      <c r="H753" s="4" t="s">
        <v>2852</v>
      </c>
      <c r="I753" s="3" t="s">
        <v>13</v>
      </c>
      <c r="J753" s="7" t="str">
        <f>IFERROR(__xludf.DUMMYFUNCTION("SPLIT($A753,""Rua"","""")")," Pedro Paulo Bazzo")</f>
        <v> Pedro Paulo Bazzo</v>
      </c>
    </row>
    <row r="754" ht="15.75" customHeight="1">
      <c r="A754" s="5" t="s">
        <v>4349</v>
      </c>
      <c r="B754" s="5" t="s">
        <v>2957</v>
      </c>
      <c r="C754" s="4" t="s">
        <v>2839</v>
      </c>
      <c r="D754" s="5" t="s">
        <v>4350</v>
      </c>
      <c r="E754" s="6">
        <v>214.0</v>
      </c>
      <c r="F754" s="6" t="s">
        <v>12</v>
      </c>
      <c r="H754" s="4" t="s">
        <v>2852</v>
      </c>
      <c r="I754" s="3" t="s">
        <v>13</v>
      </c>
      <c r="J754" s="7" t="str">
        <f>IFERROR(__xludf.DUMMYFUNCTION("SPLIT($A754,""Rua"","""")")," Pedro Paulo de Oliveira - até 242/243")</f>
        <v> Pedro Paulo de Oliveira - até 242/243</v>
      </c>
    </row>
    <row r="755" ht="15.75" customHeight="1">
      <c r="A755" s="5" t="s">
        <v>4351</v>
      </c>
      <c r="B755" s="5" t="s">
        <v>3328</v>
      </c>
      <c r="C755" s="4" t="s">
        <v>2839</v>
      </c>
      <c r="D755" s="5" t="s">
        <v>4352</v>
      </c>
      <c r="E755" s="6">
        <v>214.0</v>
      </c>
      <c r="F755" s="6" t="s">
        <v>12</v>
      </c>
      <c r="H755" s="4" t="s">
        <v>2852</v>
      </c>
      <c r="I755" s="3" t="s">
        <v>13</v>
      </c>
      <c r="J755" s="7" t="str">
        <f>IFERROR(__xludf.DUMMYFUNCTION("SPLIT($A755,""Rua"","""")")," Pedro Paulo de Oliveira - de 244/245 ao fim")</f>
        <v> Pedro Paulo de Oliveira - de 244/245 ao fim</v>
      </c>
    </row>
    <row r="756" ht="15.75" customHeight="1">
      <c r="A756" s="5" t="s">
        <v>4353</v>
      </c>
      <c r="B756" s="5" t="s">
        <v>3018</v>
      </c>
      <c r="C756" s="4" t="s">
        <v>2839</v>
      </c>
      <c r="D756" s="5" t="s">
        <v>4354</v>
      </c>
      <c r="E756" s="6">
        <v>214.0</v>
      </c>
      <c r="F756" s="6" t="s">
        <v>12</v>
      </c>
      <c r="H756" s="4" t="s">
        <v>2852</v>
      </c>
      <c r="I756" s="3" t="s">
        <v>13</v>
      </c>
      <c r="J756" s="7" t="str">
        <f>IFERROR(__xludf.DUMMYFUNCTION("SPLIT($A756,""Rua"","""")")," Pedro Paulo Ghiraldi")</f>
        <v> Pedro Paulo Ghiraldi</v>
      </c>
    </row>
    <row r="757" ht="15.75" customHeight="1">
      <c r="A757" s="5" t="s">
        <v>4355</v>
      </c>
      <c r="B757" s="5" t="s">
        <v>3063</v>
      </c>
      <c r="C757" s="4" t="s">
        <v>2839</v>
      </c>
      <c r="D757" s="5" t="s">
        <v>4356</v>
      </c>
      <c r="E757" s="6">
        <v>214.0</v>
      </c>
      <c r="F757" s="6" t="s">
        <v>12</v>
      </c>
      <c r="H757" s="4" t="s">
        <v>2852</v>
      </c>
      <c r="I757" s="3" t="s">
        <v>13</v>
      </c>
      <c r="J757" s="7" t="str">
        <f>IFERROR(__xludf.DUMMYFUNCTION("SPLIT($A757,""Rua"","""")")," Pedro Sgariboldi")</f>
        <v> Pedro Sgariboldi</v>
      </c>
    </row>
    <row r="758" ht="15.75" customHeight="1">
      <c r="A758" s="5" t="s">
        <v>4357</v>
      </c>
      <c r="B758" s="5" t="s">
        <v>4142</v>
      </c>
      <c r="C758" s="4" t="s">
        <v>2839</v>
      </c>
      <c r="D758" s="5" t="s">
        <v>4358</v>
      </c>
      <c r="E758" s="6">
        <v>214.0</v>
      </c>
      <c r="F758" s="6" t="s">
        <v>12</v>
      </c>
      <c r="H758" s="4" t="s">
        <v>2852</v>
      </c>
      <c r="I758" s="3" t="s">
        <v>13</v>
      </c>
      <c r="J758" s="7" t="str">
        <f>IFERROR(__xludf.DUMMYFUNCTION("SPLIT($A758,""Rua"","""")")," Peres Ventura")</f>
        <v> Peres Ventura</v>
      </c>
    </row>
    <row r="759" ht="15.75" customHeight="1">
      <c r="A759" s="5" t="s">
        <v>4359</v>
      </c>
      <c r="B759" s="5" t="s">
        <v>3047</v>
      </c>
      <c r="C759" s="4" t="s">
        <v>2839</v>
      </c>
      <c r="D759" s="5" t="s">
        <v>4360</v>
      </c>
      <c r="E759" s="6">
        <v>214.0</v>
      </c>
      <c r="F759" s="6" t="s">
        <v>12</v>
      </c>
      <c r="H759" s="4" t="s">
        <v>2852</v>
      </c>
      <c r="I759" s="3" t="s">
        <v>13</v>
      </c>
      <c r="J759" s="7" t="str">
        <f>IFERROR(__xludf.DUMMYFUNCTION("SPLIT($A759,""Rua"","""")")," Piauí")</f>
        <v> Piauí</v>
      </c>
    </row>
    <row r="760" ht="15.75" customHeight="1">
      <c r="A760" s="5" t="s">
        <v>4361</v>
      </c>
      <c r="B760" s="5" t="s">
        <v>2977</v>
      </c>
      <c r="C760" s="4" t="s">
        <v>2839</v>
      </c>
      <c r="D760" s="5" t="s">
        <v>4362</v>
      </c>
      <c r="E760" s="6">
        <v>214.0</v>
      </c>
      <c r="F760" s="6" t="s">
        <v>12</v>
      </c>
      <c r="H760" s="4" t="s">
        <v>2852</v>
      </c>
      <c r="I760" s="3" t="s">
        <v>13</v>
      </c>
      <c r="J760" s="7" t="str">
        <f>IFERROR(__xludf.DUMMYFUNCTION("SPLIT($A760,""Rua"","""")")," Pirapitinguí")</f>
        <v> Pirapitinguí</v>
      </c>
    </row>
    <row r="761" ht="15.75" customHeight="1">
      <c r="A761" s="5" t="s">
        <v>4363</v>
      </c>
      <c r="B761" s="5" t="s">
        <v>3107</v>
      </c>
      <c r="C761" s="4" t="s">
        <v>2839</v>
      </c>
      <c r="D761" s="5" t="s">
        <v>4364</v>
      </c>
      <c r="E761" s="6">
        <v>214.0</v>
      </c>
      <c r="F761" s="6" t="s">
        <v>12</v>
      </c>
      <c r="H761" s="4" t="s">
        <v>2852</v>
      </c>
      <c r="I761" s="3" t="s">
        <v>13</v>
      </c>
      <c r="J761" s="7" t="str">
        <f>IFERROR(__xludf.DUMMYFUNCTION("SPLIT($A761,""Rua"","""")")," Pirapora")</f>
        <v> Pirapora</v>
      </c>
    </row>
    <row r="762" ht="15.75" customHeight="1">
      <c r="A762" s="5" t="s">
        <v>4365</v>
      </c>
      <c r="B762" s="5" t="s">
        <v>3274</v>
      </c>
      <c r="C762" s="4" t="s">
        <v>2839</v>
      </c>
      <c r="D762" s="5" t="s">
        <v>4366</v>
      </c>
      <c r="E762" s="6">
        <v>214.0</v>
      </c>
      <c r="F762" s="6" t="s">
        <v>12</v>
      </c>
      <c r="H762" s="4" t="s">
        <v>2852</v>
      </c>
      <c r="I762" s="3" t="s">
        <v>13</v>
      </c>
      <c r="J762" s="7" t="str">
        <f>IFERROR(__xludf.DUMMYFUNCTION("SPLIT($A762,""Rua"","""")")," Plínio Martins Siqueira")</f>
        <v> Plínio Martins Siqueira</v>
      </c>
    </row>
    <row r="763" ht="15.75" customHeight="1">
      <c r="A763" s="5" t="s">
        <v>4367</v>
      </c>
      <c r="B763" s="5" t="s">
        <v>3063</v>
      </c>
      <c r="C763" s="4" t="s">
        <v>2839</v>
      </c>
      <c r="D763" s="5" t="s">
        <v>4368</v>
      </c>
      <c r="E763" s="6">
        <v>214.0</v>
      </c>
      <c r="F763" s="6" t="s">
        <v>12</v>
      </c>
      <c r="H763" s="4" t="s">
        <v>2852</v>
      </c>
      <c r="I763" s="3" t="s">
        <v>13</v>
      </c>
      <c r="J763" s="7" t="str">
        <f>IFERROR(__xludf.DUMMYFUNCTION("SPLIT($A763,""Rua"","""")")," Plínio Martins Teles")</f>
        <v> Plínio Martins Teles</v>
      </c>
    </row>
    <row r="764" ht="15.75" customHeight="1">
      <c r="A764" s="5" t="s">
        <v>4369</v>
      </c>
      <c r="B764" s="5" t="s">
        <v>3027</v>
      </c>
      <c r="C764" s="4" t="s">
        <v>2839</v>
      </c>
      <c r="D764" s="5" t="s">
        <v>4370</v>
      </c>
      <c r="E764" s="6">
        <v>214.0</v>
      </c>
      <c r="F764" s="6" t="s">
        <v>12</v>
      </c>
      <c r="H764" s="4" t="s">
        <v>2852</v>
      </c>
      <c r="I764" s="3" t="s">
        <v>13</v>
      </c>
      <c r="J764" s="7" t="str">
        <f>IFERROR(__xludf.DUMMYFUNCTION("SPLIT($A764,""Rua"","""")")," Primo Benvegnu")</f>
        <v> Primo Benvegnu</v>
      </c>
    </row>
    <row r="765" ht="15.75" customHeight="1">
      <c r="A765" s="5" t="s">
        <v>4369</v>
      </c>
      <c r="B765" s="5" t="s">
        <v>3294</v>
      </c>
      <c r="C765" s="4" t="s">
        <v>2839</v>
      </c>
      <c r="D765" s="5" t="s">
        <v>4371</v>
      </c>
      <c r="E765" s="6">
        <v>214.0</v>
      </c>
      <c r="F765" s="6" t="s">
        <v>12</v>
      </c>
      <c r="H765" s="4" t="s">
        <v>2852</v>
      </c>
      <c r="I765" s="3" t="s">
        <v>13</v>
      </c>
      <c r="J765" s="7" t="str">
        <f>IFERROR(__xludf.DUMMYFUNCTION("SPLIT($A765,""Rua"","""")")," Primo Benvegnu")</f>
        <v> Primo Benvegnu</v>
      </c>
    </row>
    <row r="766" ht="15.75" customHeight="1">
      <c r="A766" s="5" t="s">
        <v>4372</v>
      </c>
      <c r="B766" s="5" t="s">
        <v>180</v>
      </c>
      <c r="C766" s="4" t="s">
        <v>2839</v>
      </c>
      <c r="D766" s="5" t="s">
        <v>4373</v>
      </c>
      <c r="E766" s="6">
        <v>214.0</v>
      </c>
      <c r="F766" s="6" t="s">
        <v>12</v>
      </c>
      <c r="H766" s="4" t="s">
        <v>2852</v>
      </c>
      <c r="I766" s="3" t="s">
        <v>13</v>
      </c>
      <c r="J766" s="7" t="str">
        <f>IFERROR(__xludf.DUMMYFUNCTION("SPLIT($A766,""Rua"","""")")," Princesa Isabel")</f>
        <v> Princesa Isabel</v>
      </c>
    </row>
    <row r="767" ht="15.75" customHeight="1">
      <c r="A767" s="5" t="s">
        <v>4374</v>
      </c>
      <c r="B767" s="5" t="s">
        <v>3211</v>
      </c>
      <c r="C767" s="4" t="s">
        <v>2839</v>
      </c>
      <c r="D767" s="5" t="s">
        <v>4375</v>
      </c>
      <c r="E767" s="6">
        <v>214.0</v>
      </c>
      <c r="F767" s="6" t="s">
        <v>12</v>
      </c>
      <c r="H767" s="4" t="s">
        <v>2852</v>
      </c>
      <c r="I767" s="3" t="s">
        <v>13</v>
      </c>
      <c r="J767" s="7" t="str">
        <f>IFERROR(__xludf.DUMMYFUNCTION("SPLIT($A767,""Rua"","""")")," Professor Jefferson Soares de Souza")</f>
        <v> Professor Jefferson Soares de Souza</v>
      </c>
    </row>
    <row r="768" ht="15.75" customHeight="1">
      <c r="A768" s="5" t="s">
        <v>4376</v>
      </c>
      <c r="B768" s="5" t="s">
        <v>3393</v>
      </c>
      <c r="C768" s="4" t="s">
        <v>2839</v>
      </c>
      <c r="D768" s="5" t="s">
        <v>4377</v>
      </c>
      <c r="E768" s="6">
        <v>214.0</v>
      </c>
      <c r="F768" s="6" t="s">
        <v>12</v>
      </c>
      <c r="H768" s="4" t="s">
        <v>2852</v>
      </c>
      <c r="I768" s="3" t="s">
        <v>13</v>
      </c>
      <c r="J768" s="7" t="str">
        <f>IFERROR(__xludf.DUMMYFUNCTION("SPLIT($A768,""Rua"","""")")," Professor João Campos Vieira")</f>
        <v> Professor João Campos Vieira</v>
      </c>
    </row>
    <row r="769" ht="15.75" customHeight="1">
      <c r="A769" s="5" t="s">
        <v>4378</v>
      </c>
      <c r="B769" s="5" t="s">
        <v>3260</v>
      </c>
      <c r="C769" s="4" t="s">
        <v>2839</v>
      </c>
      <c r="D769" s="5" t="s">
        <v>4379</v>
      </c>
      <c r="E769" s="6">
        <v>214.0</v>
      </c>
      <c r="F769" s="6" t="s">
        <v>12</v>
      </c>
      <c r="H769" s="4" t="s">
        <v>2852</v>
      </c>
      <c r="I769" s="3" t="s">
        <v>13</v>
      </c>
      <c r="J769" s="7" t="str">
        <f>IFERROR(__xludf.DUMMYFUNCTION("SPLIT($A769,""Rua"","""")")," Professor João Luiz de Oliveira")</f>
        <v> Professor João Luiz de Oliveira</v>
      </c>
    </row>
    <row r="770" ht="15.75" customHeight="1">
      <c r="A770" s="5" t="s">
        <v>4380</v>
      </c>
      <c r="B770" s="5" t="s">
        <v>3591</v>
      </c>
      <c r="C770" s="4" t="s">
        <v>2839</v>
      </c>
      <c r="D770" s="5" t="s">
        <v>4381</v>
      </c>
      <c r="E770" s="6">
        <v>214.0</v>
      </c>
      <c r="F770" s="6" t="s">
        <v>12</v>
      </c>
      <c r="H770" s="4" t="s">
        <v>2852</v>
      </c>
      <c r="I770" s="3" t="s">
        <v>13</v>
      </c>
      <c r="J770" s="7" t="str">
        <f>IFERROR(__xludf.DUMMYFUNCTION("SPLIT($A770,""Rua"","""")")," Professor Júlio Soares Dihel")</f>
        <v> Professor Júlio Soares Dihel</v>
      </c>
    </row>
    <row r="771" ht="15.75" customHeight="1">
      <c r="A771" s="5" t="s">
        <v>4380</v>
      </c>
      <c r="B771" s="5" t="s">
        <v>3328</v>
      </c>
      <c r="C771" s="4" t="s">
        <v>2839</v>
      </c>
      <c r="D771" s="5" t="s">
        <v>4382</v>
      </c>
      <c r="E771" s="6">
        <v>214.0</v>
      </c>
      <c r="F771" s="6" t="s">
        <v>12</v>
      </c>
      <c r="H771" s="4" t="s">
        <v>2852</v>
      </c>
      <c r="I771" s="3" t="s">
        <v>13</v>
      </c>
      <c r="J771" s="7" t="str">
        <f>IFERROR(__xludf.DUMMYFUNCTION("SPLIT($A771,""Rua"","""")")," Professor Júlio Soares Dihel")</f>
        <v> Professor Júlio Soares Dihel</v>
      </c>
    </row>
    <row r="772" ht="15.75" customHeight="1">
      <c r="A772" s="5" t="s">
        <v>4383</v>
      </c>
      <c r="B772" s="5" t="s">
        <v>3913</v>
      </c>
      <c r="C772" s="4" t="s">
        <v>2839</v>
      </c>
      <c r="D772" s="5" t="s">
        <v>4384</v>
      </c>
      <c r="E772" s="6">
        <v>214.0</v>
      </c>
      <c r="F772" s="6" t="s">
        <v>12</v>
      </c>
      <c r="H772" s="4" t="s">
        <v>2852</v>
      </c>
      <c r="I772" s="3" t="s">
        <v>13</v>
      </c>
      <c r="J772" s="7" t="str">
        <f>IFERROR(__xludf.DUMMYFUNCTION("SPLIT($A772,""Rua"","""")")," Professor Mário Ausonio Genesine")</f>
        <v> Professor Mário Ausonio Genesine</v>
      </c>
    </row>
    <row r="773" ht="15.75" customHeight="1">
      <c r="A773" s="5" t="s">
        <v>4385</v>
      </c>
      <c r="B773" s="5" t="s">
        <v>2957</v>
      </c>
      <c r="C773" s="4" t="s">
        <v>2839</v>
      </c>
      <c r="D773" s="5" t="s">
        <v>4386</v>
      </c>
      <c r="E773" s="6">
        <v>214.0</v>
      </c>
      <c r="F773" s="6" t="s">
        <v>12</v>
      </c>
      <c r="H773" s="4" t="s">
        <v>2852</v>
      </c>
      <c r="I773" s="3" t="s">
        <v>13</v>
      </c>
      <c r="J773" s="7" t="str">
        <f>IFERROR(__xludf.DUMMYFUNCTION("SPLIT($A773,""Rua"","""")")," Professor Otoniel Motta - até 248/249")</f>
        <v> Professor Otoniel Motta - até 248/249</v>
      </c>
    </row>
    <row r="774" ht="15.75" customHeight="1">
      <c r="A774" s="5" t="s">
        <v>4387</v>
      </c>
      <c r="B774" s="5" t="s">
        <v>3328</v>
      </c>
      <c r="C774" s="4" t="s">
        <v>2839</v>
      </c>
      <c r="D774" s="5" t="s">
        <v>4388</v>
      </c>
      <c r="E774" s="6">
        <v>214.0</v>
      </c>
      <c r="F774" s="6" t="s">
        <v>12</v>
      </c>
      <c r="H774" s="4" t="s">
        <v>2852</v>
      </c>
      <c r="I774" s="3" t="s">
        <v>13</v>
      </c>
      <c r="J774" s="7" t="str">
        <f>IFERROR(__xludf.DUMMYFUNCTION("SPLIT($A774,""Rua"","""")")," Professor Otoniel Motta - de 250/251 ao fim")</f>
        <v> Professor Otoniel Motta - de 250/251 ao fim</v>
      </c>
    </row>
    <row r="775" ht="15.75" customHeight="1">
      <c r="A775" s="5" t="s">
        <v>4389</v>
      </c>
      <c r="B775" s="5" t="s">
        <v>180</v>
      </c>
      <c r="C775" s="4" t="s">
        <v>2839</v>
      </c>
      <c r="D775" s="5" t="s">
        <v>4390</v>
      </c>
      <c r="E775" s="6">
        <v>214.0</v>
      </c>
      <c r="F775" s="6" t="s">
        <v>12</v>
      </c>
      <c r="H775" s="4" t="s">
        <v>2852</v>
      </c>
      <c r="I775" s="3" t="s">
        <v>13</v>
      </c>
      <c r="J775" s="7" t="str">
        <f>IFERROR(__xludf.DUMMYFUNCTION("SPLIT($A775,""Rua"","""")")," Professor Pedro Fernandes de Camargo")</f>
        <v> Professor Pedro Fernandes de Camargo</v>
      </c>
    </row>
    <row r="776" ht="15.75" customHeight="1">
      <c r="A776" s="5" t="s">
        <v>4391</v>
      </c>
      <c r="B776" s="5" t="s">
        <v>3913</v>
      </c>
      <c r="C776" s="4" t="s">
        <v>2839</v>
      </c>
      <c r="D776" s="5" t="s">
        <v>4392</v>
      </c>
      <c r="E776" s="6">
        <v>214.0</v>
      </c>
      <c r="F776" s="6" t="s">
        <v>12</v>
      </c>
      <c r="H776" s="4" t="s">
        <v>2852</v>
      </c>
      <c r="I776" s="3" t="s">
        <v>13</v>
      </c>
      <c r="J776" s="7" t="str">
        <f>IFERROR(__xludf.DUMMYFUNCTION("SPLIT($A776,""Rua"","""")")," Professor Ulisses Alves Machado")</f>
        <v> Professor Ulisses Alves Machado</v>
      </c>
    </row>
    <row r="777" ht="15.75" customHeight="1">
      <c r="A777" s="13" t="s">
        <v>4393</v>
      </c>
      <c r="B777" s="13" t="s">
        <v>4142</v>
      </c>
      <c r="C777" s="4" t="s">
        <v>2839</v>
      </c>
      <c r="D777" s="13" t="s">
        <v>4394</v>
      </c>
      <c r="E777" s="6">
        <v>214.0</v>
      </c>
      <c r="F777" s="6" t="s">
        <v>12</v>
      </c>
      <c r="H777" s="4" t="s">
        <v>2852</v>
      </c>
      <c r="I777" s="3" t="s">
        <v>13</v>
      </c>
      <c r="J777" s="7" t="str">
        <f>IFERROR(__xludf.DUMMYFUNCTION("SPLIT($A777,""Rua"","""")")," Professora Aurora Machado Guimarães")</f>
        <v> Professora Aurora Machado Guimarães</v>
      </c>
    </row>
    <row r="778" ht="15.75" customHeight="1">
      <c r="A778" s="5" t="s">
        <v>4395</v>
      </c>
      <c r="B778" s="5" t="s">
        <v>3197</v>
      </c>
      <c r="C778" s="4" t="s">
        <v>2839</v>
      </c>
      <c r="D778" s="5" t="s">
        <v>4396</v>
      </c>
      <c r="E778" s="6">
        <v>214.0</v>
      </c>
      <c r="F778" s="6" t="s">
        <v>12</v>
      </c>
      <c r="H778" s="4" t="s">
        <v>2852</v>
      </c>
      <c r="I778" s="3" t="s">
        <v>13</v>
      </c>
      <c r="J778" s="7" t="str">
        <f>IFERROR(__xludf.DUMMYFUNCTION("SPLIT($A778,""Rua"","""")")," Professora Benedita de Almeida Leal")</f>
        <v> Professora Benedita de Almeida Leal</v>
      </c>
    </row>
    <row r="779" ht="15.75" customHeight="1">
      <c r="A779" s="5" t="s">
        <v>4397</v>
      </c>
      <c r="B779" s="5" t="s">
        <v>3072</v>
      </c>
      <c r="C779" s="4" t="s">
        <v>2839</v>
      </c>
      <c r="D779" s="5" t="s">
        <v>4398</v>
      </c>
      <c r="E779" s="6">
        <v>214.0</v>
      </c>
      <c r="F779" s="6" t="s">
        <v>12</v>
      </c>
      <c r="H779" s="4" t="s">
        <v>2852</v>
      </c>
      <c r="I779" s="3" t="s">
        <v>13</v>
      </c>
      <c r="J779" s="7" t="str">
        <f>IFERROR(__xludf.DUMMYFUNCTION("SPLIT($A779,""Rua"","""")")," Professora Cezaltina Sacramento Perpétuo")</f>
        <v> Professora Cezaltina Sacramento Perpétuo</v>
      </c>
    </row>
    <row r="780" ht="15.75" customHeight="1">
      <c r="A780" s="13" t="s">
        <v>4399</v>
      </c>
      <c r="B780" s="13" t="s">
        <v>3913</v>
      </c>
      <c r="C780" s="4" t="s">
        <v>2839</v>
      </c>
      <c r="D780" s="13" t="s">
        <v>4400</v>
      </c>
      <c r="E780" s="6">
        <v>214.0</v>
      </c>
      <c r="F780" s="6" t="s">
        <v>12</v>
      </c>
      <c r="H780" s="4" t="s">
        <v>2852</v>
      </c>
      <c r="I780" s="3" t="s">
        <v>13</v>
      </c>
      <c r="J780" s="7" t="str">
        <f>IFERROR(__xludf.DUMMYFUNCTION("SPLIT($A780,""Rua"","""")")," Professora Clarice Sanna Serralheiro")</f>
        <v> Professora Clarice Sanna Serralheiro</v>
      </c>
    </row>
    <row r="781" ht="15.75" customHeight="1">
      <c r="A781" s="5" t="s">
        <v>4401</v>
      </c>
      <c r="B781" s="5" t="s">
        <v>2996</v>
      </c>
      <c r="C781" s="4" t="s">
        <v>2839</v>
      </c>
      <c r="D781" s="5" t="s">
        <v>4402</v>
      </c>
      <c r="E781" s="6">
        <v>214.0</v>
      </c>
      <c r="F781" s="6" t="s">
        <v>12</v>
      </c>
      <c r="H781" s="4" t="s">
        <v>2852</v>
      </c>
      <c r="I781" s="3" t="s">
        <v>13</v>
      </c>
      <c r="J781" s="7" t="str">
        <f>IFERROR(__xludf.DUMMYFUNCTION("SPLIT($A781,""Rua"","""")")," Professora Emília Ana Antônio")</f>
        <v> Professora Emília Ana Antônio</v>
      </c>
    </row>
    <row r="782" ht="15.75" customHeight="1">
      <c r="A782" s="5" t="s">
        <v>4403</v>
      </c>
      <c r="B782" s="5" t="s">
        <v>3072</v>
      </c>
      <c r="C782" s="4" t="s">
        <v>2839</v>
      </c>
      <c r="D782" s="5" t="s">
        <v>4404</v>
      </c>
      <c r="E782" s="6">
        <v>214.0</v>
      </c>
      <c r="F782" s="6" t="s">
        <v>12</v>
      </c>
      <c r="H782" s="4" t="s">
        <v>2852</v>
      </c>
      <c r="I782" s="3" t="s">
        <v>13</v>
      </c>
      <c r="J782" s="7" t="str">
        <f>IFERROR(__xludf.DUMMYFUNCTION("SPLIT($A782,""Rua"","""")")," Professora Iracema Portela Sacramento")</f>
        <v> Professora Iracema Portela Sacramento</v>
      </c>
    </row>
    <row r="783" ht="15.75" customHeight="1">
      <c r="A783" s="5" t="s">
        <v>4405</v>
      </c>
      <c r="B783" s="5" t="s">
        <v>3061</v>
      </c>
      <c r="C783" s="4" t="s">
        <v>2839</v>
      </c>
      <c r="D783" s="5" t="s">
        <v>4406</v>
      </c>
      <c r="E783" s="6">
        <v>214.0</v>
      </c>
      <c r="F783" s="6" t="s">
        <v>12</v>
      </c>
      <c r="H783" s="4" t="s">
        <v>2852</v>
      </c>
      <c r="I783" s="3" t="s">
        <v>13</v>
      </c>
      <c r="J783" s="7" t="str">
        <f>IFERROR(__xludf.DUMMYFUNCTION("SPLIT($A783,""Rua"","""")")," Professora Luiza de Carvalho Pires")</f>
        <v> Professora Luiza de Carvalho Pires</v>
      </c>
    </row>
    <row r="784" ht="15.75" customHeight="1">
      <c r="A784" s="5" t="s">
        <v>4407</v>
      </c>
      <c r="B784" s="5" t="s">
        <v>3016</v>
      </c>
      <c r="C784" s="4" t="s">
        <v>2839</v>
      </c>
      <c r="D784" s="5" t="s">
        <v>4408</v>
      </c>
      <c r="E784" s="6">
        <v>214.0</v>
      </c>
      <c r="F784" s="6" t="s">
        <v>12</v>
      </c>
      <c r="H784" s="4" t="s">
        <v>2852</v>
      </c>
      <c r="I784" s="3" t="s">
        <v>13</v>
      </c>
      <c r="J784" s="7" t="str">
        <f>IFERROR(__xludf.DUMMYFUNCTION("SPLIT($A784,""Rua"","""")")," Professora Maria Aparecida Fernandes Leite")</f>
        <v> Professora Maria Aparecida Fernandes Leite</v>
      </c>
    </row>
    <row r="785" ht="15.75" customHeight="1">
      <c r="A785" s="5" t="s">
        <v>4409</v>
      </c>
      <c r="B785" s="5" t="s">
        <v>3260</v>
      </c>
      <c r="C785" s="4" t="s">
        <v>2839</v>
      </c>
      <c r="D785" s="5" t="s">
        <v>4410</v>
      </c>
      <c r="E785" s="6">
        <v>214.0</v>
      </c>
      <c r="F785" s="6" t="s">
        <v>12</v>
      </c>
      <c r="H785" s="4" t="s">
        <v>2852</v>
      </c>
      <c r="I785" s="3" t="s">
        <v>13</v>
      </c>
      <c r="J785" s="7" t="str">
        <f>IFERROR(__xludf.DUMMYFUNCTION("SPLIT($A785,""Rua"","""")")," Professora Marta Galvão")</f>
        <v> Professora Marta Galvão</v>
      </c>
    </row>
    <row r="786" ht="15.75" customHeight="1">
      <c r="A786" s="5" t="s">
        <v>4411</v>
      </c>
      <c r="B786" s="5" t="s">
        <v>3072</v>
      </c>
      <c r="C786" s="4" t="s">
        <v>2839</v>
      </c>
      <c r="D786" s="5" t="s">
        <v>4412</v>
      </c>
      <c r="E786" s="6">
        <v>214.0</v>
      </c>
      <c r="F786" s="6" t="s">
        <v>12</v>
      </c>
      <c r="H786" s="4" t="s">
        <v>2852</v>
      </c>
      <c r="I786" s="3" t="s">
        <v>13</v>
      </c>
      <c r="J786" s="7" t="str">
        <f>IFERROR(__xludf.DUMMYFUNCTION("SPLIT($A786,""Rua"","""")")," Professora Nair Antunes de Almeida")</f>
        <v> Professora Nair Antunes de Almeida</v>
      </c>
    </row>
    <row r="787" ht="15.75" customHeight="1">
      <c r="A787" s="5" t="s">
        <v>4413</v>
      </c>
      <c r="B787" s="5" t="s">
        <v>3088</v>
      </c>
      <c r="C787" s="4" t="s">
        <v>2839</v>
      </c>
      <c r="D787" s="5" t="s">
        <v>4414</v>
      </c>
      <c r="E787" s="6">
        <v>214.0</v>
      </c>
      <c r="F787" s="6" t="s">
        <v>12</v>
      </c>
      <c r="H787" s="4" t="s">
        <v>2852</v>
      </c>
      <c r="I787" s="3" t="s">
        <v>13</v>
      </c>
      <c r="J787" s="7" t="str">
        <f>IFERROR(__xludf.DUMMYFUNCTION("SPLIT($A787,""Rua"","""")")," Professora Rosalina Brisola Antunes")</f>
        <v> Professora Rosalina Brisola Antunes</v>
      </c>
    </row>
    <row r="788" ht="15.75" customHeight="1">
      <c r="A788" s="5" t="s">
        <v>4415</v>
      </c>
      <c r="B788" s="5" t="s">
        <v>3277</v>
      </c>
      <c r="C788" s="4" t="s">
        <v>2839</v>
      </c>
      <c r="D788" s="5" t="s">
        <v>4416</v>
      </c>
      <c r="E788" s="6">
        <v>214.0</v>
      </c>
      <c r="F788" s="6" t="s">
        <v>12</v>
      </c>
      <c r="H788" s="4" t="s">
        <v>2852</v>
      </c>
      <c r="I788" s="3" t="s">
        <v>13</v>
      </c>
      <c r="J788" s="7" t="str">
        <f>IFERROR(__xludf.DUMMYFUNCTION("SPLIT($A788,""Rua"","""")")," Professora Vilma Maria Boscolo Rodrigues D'avila")</f>
        <v> Professora Vilma Maria Boscolo Rodrigues D'avila</v>
      </c>
    </row>
    <row r="789" ht="15.75" customHeight="1">
      <c r="A789" s="5" t="s">
        <v>4415</v>
      </c>
      <c r="B789" s="5" t="s">
        <v>3204</v>
      </c>
      <c r="C789" s="4" t="s">
        <v>2839</v>
      </c>
      <c r="D789" s="5" t="s">
        <v>4417</v>
      </c>
      <c r="E789" s="6">
        <v>214.0</v>
      </c>
      <c r="F789" s="6" t="s">
        <v>12</v>
      </c>
      <c r="H789" s="4" t="s">
        <v>2852</v>
      </c>
      <c r="I789" s="3" t="s">
        <v>13</v>
      </c>
      <c r="J789" s="7" t="str">
        <f>IFERROR(__xludf.DUMMYFUNCTION("SPLIT($A789,""Rua"","""")")," Professora Vilma Maria Boscolo Rodrigues D'avila")</f>
        <v> Professora Vilma Maria Boscolo Rodrigues D'avila</v>
      </c>
    </row>
    <row r="790" ht="15.75" customHeight="1">
      <c r="A790" s="5" t="s">
        <v>4418</v>
      </c>
      <c r="B790" s="5" t="s">
        <v>3294</v>
      </c>
      <c r="C790" s="4" t="s">
        <v>2839</v>
      </c>
      <c r="D790" s="5" t="s">
        <v>4419</v>
      </c>
      <c r="E790" s="6">
        <v>214.0</v>
      </c>
      <c r="F790" s="6" t="s">
        <v>12</v>
      </c>
      <c r="H790" s="4" t="s">
        <v>2852</v>
      </c>
      <c r="I790" s="3" t="s">
        <v>13</v>
      </c>
      <c r="J790" s="7" t="str">
        <f>IFERROR(__xludf.DUMMYFUNCTION("SPLIT($A790,""Rua"","""")")," Professora Violeta Arruda Melo Brusco")</f>
        <v> Professora Violeta Arruda Melo Brusco</v>
      </c>
    </row>
    <row r="791" ht="15.75" customHeight="1">
      <c r="A791" s="5" t="s">
        <v>4420</v>
      </c>
      <c r="B791" s="5" t="s">
        <v>3020</v>
      </c>
      <c r="C791" s="4" t="s">
        <v>2839</v>
      </c>
      <c r="D791" s="5" t="s">
        <v>4421</v>
      </c>
      <c r="E791" s="6">
        <v>214.0</v>
      </c>
      <c r="F791" s="6" t="s">
        <v>12</v>
      </c>
      <c r="H791" s="4" t="s">
        <v>2852</v>
      </c>
      <c r="I791" s="3" t="s">
        <v>13</v>
      </c>
      <c r="J791" s="7" t="str">
        <f>IFERROR(__xludf.DUMMYFUNCTION("SPLIT($A791,""Rua"","""")")," Professora Wanda Previtali Thomé")</f>
        <v> Professora Wanda Previtali Thomé</v>
      </c>
    </row>
    <row r="792" ht="15.75" customHeight="1">
      <c r="A792" s="5" t="s">
        <v>4422</v>
      </c>
      <c r="B792" s="5" t="s">
        <v>3243</v>
      </c>
      <c r="C792" s="4" t="s">
        <v>2839</v>
      </c>
      <c r="D792" s="5" t="s">
        <v>4423</v>
      </c>
      <c r="E792" s="6">
        <v>214.0</v>
      </c>
      <c r="F792" s="6" t="s">
        <v>12</v>
      </c>
      <c r="H792" s="4" t="s">
        <v>2852</v>
      </c>
      <c r="I792" s="3" t="s">
        <v>13</v>
      </c>
      <c r="J792" s="7" t="str">
        <f>IFERROR(__xludf.DUMMYFUNCTION("SPLIT($A792,""Rua"","""")")," Prudente de Moraes")</f>
        <v> Prudente de Moraes</v>
      </c>
    </row>
    <row r="793" ht="15.75" customHeight="1">
      <c r="A793" s="5" t="s">
        <v>4424</v>
      </c>
      <c r="B793" s="5" t="s">
        <v>3069</v>
      </c>
      <c r="C793" s="4" t="s">
        <v>2839</v>
      </c>
      <c r="D793" s="5" t="s">
        <v>4425</v>
      </c>
      <c r="E793" s="6">
        <v>214.0</v>
      </c>
      <c r="F793" s="6" t="s">
        <v>12</v>
      </c>
      <c r="H793" s="4" t="s">
        <v>2852</v>
      </c>
      <c r="I793" s="3" t="s">
        <v>13</v>
      </c>
      <c r="J793" s="7" t="str">
        <f>IFERROR(__xludf.DUMMYFUNCTION("SPLIT($A793,""Rua"","""")")," Quatorze")</f>
        <v> Quatorze</v>
      </c>
    </row>
    <row r="794" ht="15.75" customHeight="1">
      <c r="A794" s="5" t="s">
        <v>4426</v>
      </c>
      <c r="B794" s="5" t="s">
        <v>2994</v>
      </c>
      <c r="C794" s="4" t="s">
        <v>2839</v>
      </c>
      <c r="D794" s="5" t="s">
        <v>4427</v>
      </c>
      <c r="E794" s="6">
        <v>214.0</v>
      </c>
      <c r="F794" s="6" t="s">
        <v>12</v>
      </c>
      <c r="H794" s="4" t="s">
        <v>2852</v>
      </c>
      <c r="I794" s="3" t="s">
        <v>13</v>
      </c>
      <c r="J794" s="7" t="str">
        <f>IFERROR(__xludf.DUMMYFUNCTION("SPLIT($A794,""Rua"","""")")," Quatro")</f>
        <v> Quatro</v>
      </c>
    </row>
    <row r="795" ht="15.75" customHeight="1">
      <c r="A795" s="5" t="s">
        <v>4426</v>
      </c>
      <c r="B795" s="5" t="s">
        <v>3649</v>
      </c>
      <c r="C795" s="4" t="s">
        <v>2839</v>
      </c>
      <c r="D795" s="5" t="s">
        <v>4428</v>
      </c>
      <c r="E795" s="6">
        <v>214.0</v>
      </c>
      <c r="F795" s="6" t="s">
        <v>12</v>
      </c>
      <c r="H795" s="4" t="s">
        <v>2852</v>
      </c>
      <c r="I795" s="3" t="s">
        <v>13</v>
      </c>
      <c r="J795" s="7" t="str">
        <f>IFERROR(__xludf.DUMMYFUNCTION("SPLIT($A795,""Rua"","""")")," Quatro")</f>
        <v> Quatro</v>
      </c>
    </row>
    <row r="796" ht="15.75" customHeight="1">
      <c r="A796" s="5" t="s">
        <v>4426</v>
      </c>
      <c r="B796" s="5" t="s">
        <v>2954</v>
      </c>
      <c r="C796" s="4" t="s">
        <v>2839</v>
      </c>
      <c r="D796" s="5" t="s">
        <v>4429</v>
      </c>
      <c r="E796" s="6">
        <v>214.0</v>
      </c>
      <c r="F796" s="6" t="s">
        <v>12</v>
      </c>
      <c r="H796" s="4" t="s">
        <v>2852</v>
      </c>
      <c r="I796" s="3" t="s">
        <v>13</v>
      </c>
      <c r="J796" s="7" t="str">
        <f>IFERROR(__xludf.DUMMYFUNCTION("SPLIT($A796,""Rua"","""")")," Quatro")</f>
        <v> Quatro</v>
      </c>
    </row>
    <row r="797" ht="15.75" customHeight="1">
      <c r="A797" s="5" t="s">
        <v>4426</v>
      </c>
      <c r="B797" s="5" t="s">
        <v>3069</v>
      </c>
      <c r="C797" s="4" t="s">
        <v>2839</v>
      </c>
      <c r="D797" s="5" t="s">
        <v>4430</v>
      </c>
      <c r="E797" s="6">
        <v>214.0</v>
      </c>
      <c r="F797" s="6" t="s">
        <v>12</v>
      </c>
      <c r="H797" s="4" t="s">
        <v>2852</v>
      </c>
      <c r="I797" s="3" t="s">
        <v>13</v>
      </c>
      <c r="J797" s="7" t="str">
        <f>IFERROR(__xludf.DUMMYFUNCTION("SPLIT($A797,""Rua"","""")")," Quatro")</f>
        <v> Quatro</v>
      </c>
    </row>
    <row r="798" ht="15.75" customHeight="1">
      <c r="A798" s="5" t="s">
        <v>4426</v>
      </c>
      <c r="B798" s="5" t="s">
        <v>3533</v>
      </c>
      <c r="C798" s="4" t="s">
        <v>2839</v>
      </c>
      <c r="D798" s="5" t="s">
        <v>4431</v>
      </c>
      <c r="E798" s="6">
        <v>214.0</v>
      </c>
      <c r="F798" s="6" t="s">
        <v>12</v>
      </c>
      <c r="H798" s="4" t="s">
        <v>2852</v>
      </c>
      <c r="I798" s="3" t="s">
        <v>13</v>
      </c>
      <c r="J798" s="7" t="str">
        <f>IFERROR(__xludf.DUMMYFUNCTION("SPLIT($A798,""Rua"","""")")," Quatro")</f>
        <v> Quatro</v>
      </c>
    </row>
    <row r="799" ht="15.75" customHeight="1">
      <c r="A799" s="5" t="s">
        <v>4426</v>
      </c>
      <c r="B799" s="5" t="s">
        <v>3535</v>
      </c>
      <c r="C799" s="4" t="s">
        <v>2839</v>
      </c>
      <c r="D799" s="5" t="s">
        <v>4432</v>
      </c>
      <c r="E799" s="6">
        <v>214.0</v>
      </c>
      <c r="F799" s="6" t="s">
        <v>12</v>
      </c>
      <c r="H799" s="4" t="s">
        <v>2852</v>
      </c>
      <c r="I799" s="3" t="s">
        <v>13</v>
      </c>
      <c r="J799" s="7" t="str">
        <f>IFERROR(__xludf.DUMMYFUNCTION("SPLIT($A799,""Rua"","""")")," Quatro")</f>
        <v> Quatro</v>
      </c>
    </row>
    <row r="800" ht="15.75" customHeight="1">
      <c r="A800" s="5" t="s">
        <v>4433</v>
      </c>
      <c r="B800" s="5" t="s">
        <v>3236</v>
      </c>
      <c r="C800" s="4" t="s">
        <v>2839</v>
      </c>
      <c r="D800" s="5" t="s">
        <v>4434</v>
      </c>
      <c r="E800" s="6">
        <v>214.0</v>
      </c>
      <c r="F800" s="6" t="s">
        <v>12</v>
      </c>
      <c r="H800" s="4" t="s">
        <v>2852</v>
      </c>
      <c r="I800" s="3" t="s">
        <v>13</v>
      </c>
      <c r="J800" s="7" t="str">
        <f>IFERROR(__xludf.DUMMYFUNCTION("SPLIT($A800,""Rua"","""")")," Queluz")</f>
        <v> Queluz</v>
      </c>
    </row>
    <row r="801" ht="15.75" customHeight="1">
      <c r="A801" s="5" t="s">
        <v>4435</v>
      </c>
      <c r="B801" s="5" t="s">
        <v>3069</v>
      </c>
      <c r="C801" s="4" t="s">
        <v>2839</v>
      </c>
      <c r="D801" s="5" t="s">
        <v>4436</v>
      </c>
      <c r="E801" s="6">
        <v>214.0</v>
      </c>
      <c r="F801" s="6" t="s">
        <v>12</v>
      </c>
      <c r="H801" s="4" t="s">
        <v>2852</v>
      </c>
      <c r="I801" s="3" t="s">
        <v>13</v>
      </c>
      <c r="J801" s="7" t="str">
        <f>IFERROR(__xludf.DUMMYFUNCTION("SPLIT($A801,""Rua"","""")")," Quinze")</f>
        <v> Quinze</v>
      </c>
    </row>
    <row r="802" ht="15.75" customHeight="1">
      <c r="A802" s="5" t="s">
        <v>4437</v>
      </c>
      <c r="B802" s="5" t="s">
        <v>2865</v>
      </c>
      <c r="C802" s="4" t="s">
        <v>2839</v>
      </c>
      <c r="D802" s="5" t="s">
        <v>4438</v>
      </c>
      <c r="E802" s="6">
        <v>214.0</v>
      </c>
      <c r="F802" s="6" t="s">
        <v>12</v>
      </c>
      <c r="H802" s="4" t="s">
        <v>2852</v>
      </c>
      <c r="I802" s="3" t="s">
        <v>13</v>
      </c>
      <c r="J802" s="7" t="str">
        <f>IFERROR(__xludf.DUMMYFUNCTION("SPLIT($A802,""Rua"","""")")," Rafael Alcalá")</f>
        <v> Rafael Alcalá</v>
      </c>
    </row>
    <row r="803" ht="15.75" customHeight="1">
      <c r="A803" s="5" t="s">
        <v>4439</v>
      </c>
      <c r="B803" s="5" t="s">
        <v>3204</v>
      </c>
      <c r="C803" s="4" t="s">
        <v>2839</v>
      </c>
      <c r="D803" s="5" t="s">
        <v>4440</v>
      </c>
      <c r="E803" s="6">
        <v>214.0</v>
      </c>
      <c r="F803" s="6" t="s">
        <v>12</v>
      </c>
      <c r="H803" s="4" t="s">
        <v>2852</v>
      </c>
      <c r="I803" s="3" t="s">
        <v>13</v>
      </c>
      <c r="J803" s="7" t="str">
        <f>IFERROR(__xludf.DUMMYFUNCTION("SPLIT($A803,""Rua"","""")")," Rei Davi")</f>
        <v> Rei Davi</v>
      </c>
    </row>
    <row r="804" ht="15.75" customHeight="1">
      <c r="A804" s="5" t="s">
        <v>4441</v>
      </c>
      <c r="B804" s="5" t="s">
        <v>3072</v>
      </c>
      <c r="C804" s="4" t="s">
        <v>2839</v>
      </c>
      <c r="D804" s="5" t="s">
        <v>4442</v>
      </c>
      <c r="E804" s="6">
        <v>214.0</v>
      </c>
      <c r="F804" s="6" t="s">
        <v>12</v>
      </c>
      <c r="H804" s="4" t="s">
        <v>2852</v>
      </c>
      <c r="I804" s="3" t="s">
        <v>13</v>
      </c>
      <c r="J804" s="7" t="str">
        <f>IFERROR(__xludf.DUMMYFUNCTION("SPLIT($A804,""Rua"","""")")," Reinaldo Crocco")</f>
        <v> Reinaldo Crocco</v>
      </c>
    </row>
    <row r="805" ht="15.75" customHeight="1">
      <c r="A805" s="5" t="s">
        <v>4443</v>
      </c>
      <c r="B805" s="5" t="s">
        <v>3319</v>
      </c>
      <c r="C805" s="4" t="s">
        <v>2839</v>
      </c>
      <c r="D805" s="5" t="s">
        <v>4444</v>
      </c>
      <c r="E805" s="6">
        <v>214.0</v>
      </c>
      <c r="F805" s="6" t="s">
        <v>12</v>
      </c>
      <c r="H805" s="4" t="s">
        <v>2852</v>
      </c>
      <c r="I805" s="3" t="s">
        <v>13</v>
      </c>
      <c r="J805" s="7" t="str">
        <f>IFERROR(__xludf.DUMMYFUNCTION("SPLIT($A805,""Rua"","""")")," Renato Dias")</f>
        <v> Renato Dias</v>
      </c>
    </row>
    <row r="806" ht="15.75" customHeight="1">
      <c r="A806" s="5" t="s">
        <v>4445</v>
      </c>
      <c r="B806" s="5" t="s">
        <v>3211</v>
      </c>
      <c r="C806" s="4" t="s">
        <v>2839</v>
      </c>
      <c r="D806" s="5" t="s">
        <v>4446</v>
      </c>
      <c r="E806" s="6">
        <v>214.0</v>
      </c>
      <c r="F806" s="6" t="s">
        <v>12</v>
      </c>
      <c r="H806" s="4" t="s">
        <v>2852</v>
      </c>
      <c r="I806" s="3" t="s">
        <v>13</v>
      </c>
      <c r="J806" s="7" t="str">
        <f>IFERROR(__xludf.DUMMYFUNCTION("SPLIT($A806,""Rua"","""")")," Renato Rodovalho de Oliveira")</f>
        <v> Renato Rodovalho de Oliveira</v>
      </c>
    </row>
    <row r="807" ht="15.75" customHeight="1">
      <c r="A807" s="5" t="s">
        <v>4447</v>
      </c>
      <c r="B807" s="5" t="s">
        <v>3586</v>
      </c>
      <c r="C807" s="4" t="s">
        <v>2839</v>
      </c>
      <c r="D807" s="5" t="s">
        <v>4448</v>
      </c>
      <c r="E807" s="6">
        <v>214.0</v>
      </c>
      <c r="F807" s="6" t="s">
        <v>12</v>
      </c>
      <c r="H807" s="4" t="s">
        <v>2852</v>
      </c>
      <c r="I807" s="3" t="s">
        <v>13</v>
      </c>
      <c r="J807" s="7" t="str">
        <f>IFERROR(__xludf.DUMMYFUNCTION("SPLIT($A807,""Rua"","""")")," Reverendo Professor Felipe Manoel de Campos")</f>
        <v> Reverendo Professor Felipe Manoel de Campos</v>
      </c>
    </row>
    <row r="808" ht="15.75" customHeight="1">
      <c r="A808" s="5" t="s">
        <v>4449</v>
      </c>
      <c r="B808" s="5" t="s">
        <v>3058</v>
      </c>
      <c r="C808" s="4" t="s">
        <v>2839</v>
      </c>
      <c r="D808" s="5" t="s">
        <v>4450</v>
      </c>
      <c r="E808" s="6">
        <v>214.0</v>
      </c>
      <c r="F808" s="6" t="s">
        <v>12</v>
      </c>
      <c r="H808" s="4" t="s">
        <v>2852</v>
      </c>
      <c r="I808" s="3" t="s">
        <v>13</v>
      </c>
      <c r="J808" s="7" t="str">
        <f>IFERROR(__xludf.DUMMYFUNCTION("SPLIT($A808,""Rua"","""")")," Reverendo Siles Bacaro")</f>
        <v> Reverendo Siles Bacaro</v>
      </c>
    </row>
    <row r="809" ht="15.75" customHeight="1">
      <c r="A809" s="5" t="s">
        <v>4451</v>
      </c>
      <c r="B809" s="5" t="s">
        <v>3047</v>
      </c>
      <c r="C809" s="4" t="s">
        <v>2839</v>
      </c>
      <c r="D809" s="5" t="s">
        <v>4452</v>
      </c>
      <c r="E809" s="6">
        <v>214.0</v>
      </c>
      <c r="F809" s="6" t="s">
        <v>12</v>
      </c>
      <c r="H809" s="4" t="s">
        <v>2852</v>
      </c>
      <c r="I809" s="3" t="s">
        <v>13</v>
      </c>
      <c r="J809" s="7" t="str">
        <f>IFERROR(__xludf.DUMMYFUNCTION("SPLIT($A809,""Rua"","""")")," Rio Grande de Sul")</f>
        <v> Rio Grande de Sul</v>
      </c>
    </row>
    <row r="810" ht="15.75" customHeight="1">
      <c r="A810" s="5" t="s">
        <v>4453</v>
      </c>
      <c r="B810" s="5" t="s">
        <v>3047</v>
      </c>
      <c r="C810" s="4" t="s">
        <v>2839</v>
      </c>
      <c r="D810" s="5" t="s">
        <v>4454</v>
      </c>
      <c r="E810" s="6">
        <v>214.0</v>
      </c>
      <c r="F810" s="6" t="s">
        <v>12</v>
      </c>
      <c r="H810" s="4" t="s">
        <v>2852</v>
      </c>
      <c r="I810" s="3" t="s">
        <v>13</v>
      </c>
      <c r="J810" s="7" t="str">
        <f>IFERROR(__xludf.DUMMYFUNCTION("SPLIT($A810,""Rua"","""")")," Rio Grande do Norte")</f>
        <v> Rio Grande do Norte</v>
      </c>
    </row>
    <row r="811" ht="15.75" customHeight="1">
      <c r="A811" s="5" t="s">
        <v>4455</v>
      </c>
      <c r="B811" s="5" t="s">
        <v>3056</v>
      </c>
      <c r="C811" s="4" t="s">
        <v>2839</v>
      </c>
      <c r="D811" s="5" t="s">
        <v>4456</v>
      </c>
      <c r="E811" s="6">
        <v>214.0</v>
      </c>
      <c r="F811" s="6" t="s">
        <v>12</v>
      </c>
      <c r="H811" s="4" t="s">
        <v>2852</v>
      </c>
      <c r="I811" s="3" t="s">
        <v>13</v>
      </c>
      <c r="J811" s="7" t="str">
        <f>IFERROR(__xludf.DUMMYFUNCTION("SPLIT($A811,""Rua"","""")")," Roberval de Camargo Moraes")</f>
        <v> Roberval de Camargo Moraes</v>
      </c>
    </row>
    <row r="812" ht="15.75" customHeight="1">
      <c r="A812" s="5" t="s">
        <v>4457</v>
      </c>
      <c r="B812" s="5" t="s">
        <v>2957</v>
      </c>
      <c r="C812" s="4" t="s">
        <v>2839</v>
      </c>
      <c r="D812" s="5" t="s">
        <v>4458</v>
      </c>
      <c r="E812" s="6">
        <v>214.0</v>
      </c>
      <c r="F812" s="6" t="s">
        <v>12</v>
      </c>
      <c r="H812" s="4" t="s">
        <v>2852</v>
      </c>
      <c r="I812" s="3" t="s">
        <v>13</v>
      </c>
      <c r="J812" s="7" t="str">
        <f>IFERROR(__xludf.DUMMYFUNCTION("SPLIT($A812,""Rua"","""")")," Rodolfo Motta")</f>
        <v> Rodolfo Motta</v>
      </c>
    </row>
    <row r="813" ht="15.75" customHeight="1">
      <c r="A813" s="5" t="s">
        <v>4459</v>
      </c>
      <c r="B813" s="5" t="s">
        <v>3194</v>
      </c>
      <c r="C813" s="4" t="s">
        <v>2839</v>
      </c>
      <c r="D813" s="5" t="s">
        <v>4460</v>
      </c>
      <c r="E813" s="6">
        <v>214.0</v>
      </c>
      <c r="F813" s="6" t="s">
        <v>12</v>
      </c>
      <c r="H813" s="4" t="s">
        <v>2852</v>
      </c>
      <c r="I813" s="3" t="s">
        <v>13</v>
      </c>
      <c r="J813" s="7" t="str">
        <f>IFERROR(__xludf.DUMMYFUNCTION("SPLIT($A813,""Rua"","""")")," Rodrigo César de Meneses")</f>
        <v> Rodrigo César de Meneses</v>
      </c>
    </row>
    <row r="814" ht="15.75" customHeight="1">
      <c r="A814" s="5" t="s">
        <v>4461</v>
      </c>
      <c r="B814" s="5" t="s">
        <v>3243</v>
      </c>
      <c r="C814" s="4" t="s">
        <v>2839</v>
      </c>
      <c r="D814" s="5" t="s">
        <v>4462</v>
      </c>
      <c r="E814" s="6">
        <v>214.0</v>
      </c>
      <c r="F814" s="6" t="s">
        <v>12</v>
      </c>
      <c r="H814" s="4" t="s">
        <v>2852</v>
      </c>
      <c r="I814" s="3" t="s">
        <v>13</v>
      </c>
      <c r="J814" s="7" t="str">
        <f>IFERROR(__xludf.DUMMYFUNCTION("SPLIT($A814,""Rua"","""")")," Rodrigues Alves")</f>
        <v> Rodrigues Alves</v>
      </c>
    </row>
    <row r="815" ht="15.75" customHeight="1">
      <c r="A815" s="5" t="s">
        <v>4463</v>
      </c>
      <c r="B815" s="5" t="s">
        <v>3063</v>
      </c>
      <c r="C815" s="4" t="s">
        <v>2839</v>
      </c>
      <c r="D815" s="5" t="s">
        <v>4464</v>
      </c>
      <c r="E815" s="6">
        <v>214.0</v>
      </c>
      <c r="F815" s="6" t="s">
        <v>12</v>
      </c>
      <c r="H815" s="4" t="s">
        <v>2852</v>
      </c>
      <c r="I815" s="3" t="s">
        <v>13</v>
      </c>
      <c r="J815" s="7" t="str">
        <f>IFERROR(__xludf.DUMMYFUNCTION("SPLIT($A815,""Rua"","""")")," Romeu Castelucci")</f>
        <v> Romeu Castelucci</v>
      </c>
    </row>
    <row r="816" ht="15.75" customHeight="1">
      <c r="A816" s="5" t="s">
        <v>4465</v>
      </c>
      <c r="B816" s="5" t="s">
        <v>3042</v>
      </c>
      <c r="C816" s="4" t="s">
        <v>2839</v>
      </c>
      <c r="D816" s="5" t="s">
        <v>4466</v>
      </c>
      <c r="E816" s="6">
        <v>214.0</v>
      </c>
      <c r="F816" s="6" t="s">
        <v>12</v>
      </c>
      <c r="H816" s="4" t="s">
        <v>2852</v>
      </c>
      <c r="I816" s="3" t="s">
        <v>13</v>
      </c>
      <c r="J816" s="7" t="str">
        <f>IFERROR(__xludf.DUMMYFUNCTION("SPLIT($A816,""Rua"","""")")," Roque Ambrosini")</f>
        <v> Roque Ambrosini</v>
      </c>
    </row>
    <row r="817" ht="15.75" customHeight="1">
      <c r="A817" s="5" t="s">
        <v>4467</v>
      </c>
      <c r="B817" s="5" t="s">
        <v>2959</v>
      </c>
      <c r="C817" s="4" t="s">
        <v>2839</v>
      </c>
      <c r="D817" s="5" t="s">
        <v>4468</v>
      </c>
      <c r="E817" s="6">
        <v>214.0</v>
      </c>
      <c r="F817" s="6" t="s">
        <v>12</v>
      </c>
      <c r="H817" s="4" t="s">
        <v>2852</v>
      </c>
      <c r="I817" s="3" t="s">
        <v>13</v>
      </c>
      <c r="J817" s="7" t="str">
        <f>IFERROR(__xludf.DUMMYFUNCTION("SPLIT($A817,""Rua"","""")")," Roque Plínio de Carvalho")</f>
        <v> Roque Plínio de Carvalho</v>
      </c>
    </row>
    <row r="818" ht="15.75" customHeight="1">
      <c r="A818" s="5" t="s">
        <v>4469</v>
      </c>
      <c r="B818" s="5" t="s">
        <v>3086</v>
      </c>
      <c r="C818" s="4" t="s">
        <v>2839</v>
      </c>
      <c r="D818" s="5" t="s">
        <v>4470</v>
      </c>
      <c r="E818" s="6">
        <v>214.0</v>
      </c>
      <c r="F818" s="6" t="s">
        <v>12</v>
      </c>
      <c r="H818" s="4" t="s">
        <v>2852</v>
      </c>
      <c r="I818" s="3" t="s">
        <v>13</v>
      </c>
      <c r="J818" s="7" t="str">
        <f>IFERROR(__xludf.DUMMYFUNCTION("SPLIT($A818,""Rua"","""")")," Roque Vieira da Cruz")</f>
        <v> Roque Vieira da Cruz</v>
      </c>
    </row>
    <row r="819" ht="15.75" customHeight="1">
      <c r="A819" s="5" t="s">
        <v>4471</v>
      </c>
      <c r="B819" s="5" t="s">
        <v>3591</v>
      </c>
      <c r="C819" s="4" t="s">
        <v>2839</v>
      </c>
      <c r="D819" s="5" t="s">
        <v>4472</v>
      </c>
      <c r="E819" s="6">
        <v>214.0</v>
      </c>
      <c r="F819" s="6" t="s">
        <v>12</v>
      </c>
      <c r="H819" s="4" t="s">
        <v>2852</v>
      </c>
      <c r="I819" s="3" t="s">
        <v>13</v>
      </c>
      <c r="J819" s="7" t="str">
        <f>IFERROR(__xludf.DUMMYFUNCTION("SPLIT($A819,""Rua"","""")")," Rosa Guarini Martelli")</f>
        <v> Rosa Guarini Martelli</v>
      </c>
    </row>
    <row r="820" ht="15.75" customHeight="1">
      <c r="A820" s="5" t="s">
        <v>4473</v>
      </c>
      <c r="B820" s="5" t="s">
        <v>180</v>
      </c>
      <c r="C820" s="4" t="s">
        <v>2839</v>
      </c>
      <c r="D820" s="5" t="s">
        <v>4474</v>
      </c>
      <c r="E820" s="6">
        <v>214.0</v>
      </c>
      <c r="F820" s="6" t="s">
        <v>12</v>
      </c>
      <c r="H820" s="4" t="s">
        <v>2852</v>
      </c>
      <c r="I820" s="3" t="s">
        <v>13</v>
      </c>
      <c r="J820" s="7" t="str">
        <f>IFERROR(__xludf.DUMMYFUNCTION("SPLIT($A820,""Rua"","""")")," Rui Barbosa")</f>
        <v> Rui Barbosa</v>
      </c>
    </row>
    <row r="821" ht="15.75" customHeight="1">
      <c r="A821" s="5" t="s">
        <v>4475</v>
      </c>
      <c r="B821" s="5" t="s">
        <v>3027</v>
      </c>
      <c r="C821" s="4" t="s">
        <v>2839</v>
      </c>
      <c r="D821" s="5" t="s">
        <v>4476</v>
      </c>
      <c r="E821" s="6">
        <v>214.0</v>
      </c>
      <c r="F821" s="6" t="s">
        <v>12</v>
      </c>
      <c r="H821" s="4" t="s">
        <v>2852</v>
      </c>
      <c r="I821" s="3" t="s">
        <v>13</v>
      </c>
      <c r="J821" s="7" t="str">
        <f>IFERROR(__xludf.DUMMYFUNCTION("SPLIT($A821,""Rua"","""")")," Ruth Pereira Tuani")</f>
        <v> Ruth Pereira Tuani</v>
      </c>
    </row>
    <row r="822" ht="15.75" customHeight="1">
      <c r="A822" s="5" t="s">
        <v>4477</v>
      </c>
      <c r="B822" s="5" t="s">
        <v>3194</v>
      </c>
      <c r="C822" s="4" t="s">
        <v>2839</v>
      </c>
      <c r="D822" s="5" t="s">
        <v>4478</v>
      </c>
      <c r="E822" s="6">
        <v>214.0</v>
      </c>
      <c r="F822" s="6" t="s">
        <v>12</v>
      </c>
      <c r="H822" s="4" t="s">
        <v>2852</v>
      </c>
      <c r="I822" s="3" t="s">
        <v>13</v>
      </c>
      <c r="J822" s="7" t="str">
        <f>IFERROR(__xludf.DUMMYFUNCTION("SPLIT($A822,""Rua"","""")")," Sá de Faria")</f>
        <v> Sá de Faria</v>
      </c>
    </row>
    <row r="823" ht="15.75" customHeight="1">
      <c r="A823" s="5" t="s">
        <v>4479</v>
      </c>
      <c r="B823" s="5" t="s">
        <v>180</v>
      </c>
      <c r="C823" s="4" t="s">
        <v>2839</v>
      </c>
      <c r="D823" s="5" t="s">
        <v>4480</v>
      </c>
      <c r="E823" s="6">
        <v>214.0</v>
      </c>
      <c r="F823" s="6" t="s">
        <v>12</v>
      </c>
      <c r="H823" s="4" t="s">
        <v>2852</v>
      </c>
      <c r="I823" s="3" t="s">
        <v>13</v>
      </c>
      <c r="J823" s="7" t="str">
        <f>IFERROR(__xludf.DUMMYFUNCTION("SPLIT($A823,""Rua"","""")")," Sabino José de Mello")</f>
        <v> Sabino José de Mello</v>
      </c>
    </row>
    <row r="824" ht="15.75" customHeight="1">
      <c r="A824" s="5" t="s">
        <v>4481</v>
      </c>
      <c r="B824" s="5" t="s">
        <v>3162</v>
      </c>
      <c r="C824" s="4" t="s">
        <v>2839</v>
      </c>
      <c r="D824" s="5" t="s">
        <v>4482</v>
      </c>
      <c r="E824" s="6">
        <v>214.0</v>
      </c>
      <c r="F824" s="6" t="s">
        <v>12</v>
      </c>
      <c r="H824" s="4" t="s">
        <v>2852</v>
      </c>
      <c r="I824" s="3" t="s">
        <v>13</v>
      </c>
      <c r="J824" s="7" t="str">
        <f>IFERROR(__xludf.DUMMYFUNCTION("SPLIT($A824,""Rua"","""")")," Said Neife")</f>
        <v> Said Neife</v>
      </c>
    </row>
    <row r="825" ht="15.75" customHeight="1">
      <c r="A825" s="5" t="s">
        <v>4483</v>
      </c>
      <c r="B825" s="5" t="s">
        <v>3107</v>
      </c>
      <c r="C825" s="4" t="s">
        <v>2839</v>
      </c>
      <c r="D825" s="5" t="s">
        <v>4484</v>
      </c>
      <c r="E825" s="6">
        <v>214.0</v>
      </c>
      <c r="F825" s="6" t="s">
        <v>12</v>
      </c>
      <c r="H825" s="4" t="s">
        <v>2852</v>
      </c>
      <c r="I825" s="3" t="s">
        <v>13</v>
      </c>
      <c r="J825" s="7" t="str">
        <f>IFERROR(__xludf.DUMMYFUNCTION("SPLIT($A825,""Rua"","""")")," Salto")</f>
        <v> Salto</v>
      </c>
    </row>
    <row r="826" ht="15.75" customHeight="1">
      <c r="A826" s="5" t="s">
        <v>4485</v>
      </c>
      <c r="B826" s="5" t="s">
        <v>3012</v>
      </c>
      <c r="C826" s="4" t="s">
        <v>2839</v>
      </c>
      <c r="D826" s="5" t="s">
        <v>4486</v>
      </c>
      <c r="E826" s="6">
        <v>214.0</v>
      </c>
      <c r="F826" s="6" t="s">
        <v>12</v>
      </c>
      <c r="H826" s="4" t="s">
        <v>2852</v>
      </c>
      <c r="I826" s="3" t="s">
        <v>13</v>
      </c>
      <c r="J826" s="7" t="str">
        <f>IFERROR(__xludf.DUMMYFUNCTION("SPLIT($A826,""Rua"","""")")," Salvador Arruda")</f>
        <v> Salvador Arruda</v>
      </c>
    </row>
    <row r="827" ht="15.75" customHeight="1">
      <c r="A827" s="5" t="s">
        <v>4487</v>
      </c>
      <c r="B827" s="5" t="s">
        <v>3054</v>
      </c>
      <c r="C827" s="4" t="s">
        <v>2839</v>
      </c>
      <c r="D827" s="5" t="s">
        <v>4488</v>
      </c>
      <c r="E827" s="6">
        <v>214.0</v>
      </c>
      <c r="F827" s="6" t="s">
        <v>12</v>
      </c>
      <c r="H827" s="4" t="s">
        <v>2852</v>
      </c>
      <c r="I827" s="3" t="s">
        <v>13</v>
      </c>
      <c r="J827" s="7" t="str">
        <f>IFERROR(__xludf.DUMMYFUNCTION("SPLIT($A827,""Rua"","""")")," Samuel Gomes de Toledo")</f>
        <v> Samuel Gomes de Toledo</v>
      </c>
    </row>
    <row r="828" ht="15.75" customHeight="1">
      <c r="A828" s="5" t="s">
        <v>4489</v>
      </c>
      <c r="B828" s="5" t="s">
        <v>3216</v>
      </c>
      <c r="C828" s="4" t="s">
        <v>2839</v>
      </c>
      <c r="D828" s="5" t="s">
        <v>4490</v>
      </c>
      <c r="E828" s="6">
        <v>214.0</v>
      </c>
      <c r="F828" s="6" t="s">
        <v>12</v>
      </c>
      <c r="H828" s="4" t="s">
        <v>2852</v>
      </c>
      <c r="I828" s="3" t="s">
        <v>13</v>
      </c>
      <c r="J828" s="7" t="str">
        <f>IFERROR(__xludf.DUMMYFUNCTION("SPLIT($A828,""Rua"","""")")," Samuel Marques")</f>
        <v> Samuel Marques</v>
      </c>
    </row>
    <row r="829" ht="15.75" customHeight="1">
      <c r="A829" s="5" t="s">
        <v>4491</v>
      </c>
      <c r="B829" s="5" t="s">
        <v>3211</v>
      </c>
      <c r="C829" s="4" t="s">
        <v>2839</v>
      </c>
      <c r="D829" s="5" t="s">
        <v>4492</v>
      </c>
      <c r="E829" s="6">
        <v>214.0</v>
      </c>
      <c r="F829" s="6" t="s">
        <v>12</v>
      </c>
      <c r="H829" s="4" t="s">
        <v>2852</v>
      </c>
      <c r="I829" s="3" t="s">
        <v>13</v>
      </c>
      <c r="J829" s="7" t="str">
        <f>IFERROR(__xludf.DUMMYFUNCTION("SPLIT($A829,""Rua"","""")")," Santa Coan Moro")</f>
        <v> Santa Coan Moro</v>
      </c>
    </row>
    <row r="830" ht="15.75" customHeight="1">
      <c r="A830" s="5" t="s">
        <v>4493</v>
      </c>
      <c r="B830" s="5" t="s">
        <v>180</v>
      </c>
      <c r="C830" s="4" t="s">
        <v>2839</v>
      </c>
      <c r="D830" s="5" t="s">
        <v>4494</v>
      </c>
      <c r="E830" s="6">
        <v>214.0</v>
      </c>
      <c r="F830" s="6" t="s">
        <v>12</v>
      </c>
      <c r="H830" s="4" t="s">
        <v>2852</v>
      </c>
      <c r="I830" s="3" t="s">
        <v>13</v>
      </c>
      <c r="J830" s="7" t="str">
        <f>IFERROR(__xludf.DUMMYFUNCTION("SPLIT($A830,""Rua"","""")")," Santa Cruz")</f>
        <v> Santa Cruz</v>
      </c>
    </row>
    <row r="831" ht="15.75" customHeight="1">
      <c r="A831" s="5" t="s">
        <v>4493</v>
      </c>
      <c r="B831" s="5" t="s">
        <v>3518</v>
      </c>
      <c r="C831" s="4" t="s">
        <v>2839</v>
      </c>
      <c r="D831" s="5" t="s">
        <v>4495</v>
      </c>
      <c r="E831" s="6">
        <v>214.0</v>
      </c>
      <c r="F831" s="6" t="s">
        <v>12</v>
      </c>
      <c r="H831" s="4" t="s">
        <v>2852</v>
      </c>
      <c r="I831" s="3" t="s">
        <v>13</v>
      </c>
      <c r="J831" s="7" t="str">
        <f>IFERROR(__xludf.DUMMYFUNCTION("SPLIT($A831,""Rua"","""")")," Santa Cruz")</f>
        <v> Santa Cruz</v>
      </c>
    </row>
    <row r="832" ht="15.75" customHeight="1">
      <c r="A832" s="5" t="s">
        <v>4493</v>
      </c>
      <c r="B832" s="5" t="s">
        <v>3072</v>
      </c>
      <c r="C832" s="4" t="s">
        <v>2839</v>
      </c>
      <c r="D832" s="5" t="s">
        <v>4496</v>
      </c>
      <c r="E832" s="6">
        <v>214.0</v>
      </c>
      <c r="F832" s="6" t="s">
        <v>12</v>
      </c>
      <c r="H832" s="4" t="s">
        <v>2852</v>
      </c>
      <c r="I832" s="3" t="s">
        <v>13</v>
      </c>
      <c r="J832" s="7" t="str">
        <f>IFERROR(__xludf.DUMMYFUNCTION("SPLIT($A832,""Rua"","""")")," Santa Cruz")</f>
        <v> Santa Cruz</v>
      </c>
    </row>
    <row r="833" ht="15.75" customHeight="1">
      <c r="A833" s="5" t="s">
        <v>4493</v>
      </c>
      <c r="B833" s="5" t="s">
        <v>3029</v>
      </c>
      <c r="C833" s="4" t="s">
        <v>2839</v>
      </c>
      <c r="D833" s="5" t="s">
        <v>4497</v>
      </c>
      <c r="E833" s="6">
        <v>214.0</v>
      </c>
      <c r="F833" s="6" t="s">
        <v>12</v>
      </c>
      <c r="H833" s="4" t="s">
        <v>2852</v>
      </c>
      <c r="I833" s="3" t="s">
        <v>13</v>
      </c>
      <c r="J833" s="7" t="str">
        <f>IFERROR(__xludf.DUMMYFUNCTION("SPLIT($A833,""Rua"","""")")," Santa Cruz")</f>
        <v> Santa Cruz</v>
      </c>
    </row>
    <row r="834" ht="15.75" customHeight="1">
      <c r="A834" s="5" t="s">
        <v>4498</v>
      </c>
      <c r="B834" s="5" t="s">
        <v>3027</v>
      </c>
      <c r="C834" s="4" t="s">
        <v>2839</v>
      </c>
      <c r="D834" s="5" t="s">
        <v>4499</v>
      </c>
      <c r="E834" s="6">
        <v>214.0</v>
      </c>
      <c r="F834" s="6" t="s">
        <v>12</v>
      </c>
      <c r="H834" s="4" t="s">
        <v>2852</v>
      </c>
      <c r="I834" s="3" t="s">
        <v>13</v>
      </c>
      <c r="J834" s="7" t="str">
        <f>IFERROR(__xludf.DUMMYFUNCTION("SPLIT($A834,""Rua"","""")")," Santa Inês")</f>
        <v> Santa Inês</v>
      </c>
    </row>
    <row r="835" ht="15.75" customHeight="1">
      <c r="A835" s="5" t="s">
        <v>4500</v>
      </c>
      <c r="B835" s="5" t="s">
        <v>3058</v>
      </c>
      <c r="C835" s="4" t="s">
        <v>2839</v>
      </c>
      <c r="D835" s="5" t="s">
        <v>4501</v>
      </c>
      <c r="E835" s="6">
        <v>214.0</v>
      </c>
      <c r="F835" s="6" t="s">
        <v>12</v>
      </c>
      <c r="H835" s="4" t="s">
        <v>2852</v>
      </c>
      <c r="I835" s="3" t="s">
        <v>13</v>
      </c>
      <c r="J835" s="7" t="str">
        <f>IFERROR(__xludf.DUMMYFUNCTION("SPLIT($A835,""Rua"","""")")," Santa Lúcia Magoga")</f>
        <v> Santa Lúcia Magoga</v>
      </c>
    </row>
    <row r="836" ht="15.75" customHeight="1">
      <c r="A836" s="5" t="s">
        <v>4502</v>
      </c>
      <c r="B836" s="5" t="s">
        <v>2996</v>
      </c>
      <c r="C836" s="4" t="s">
        <v>2839</v>
      </c>
      <c r="D836" s="5" t="s">
        <v>4503</v>
      </c>
      <c r="E836" s="6">
        <v>214.0</v>
      </c>
      <c r="F836" s="6" t="s">
        <v>12</v>
      </c>
      <c r="H836" s="4" t="s">
        <v>2852</v>
      </c>
      <c r="I836" s="3" t="s">
        <v>13</v>
      </c>
      <c r="J836" s="7" t="str">
        <f>IFERROR(__xludf.DUMMYFUNCTION("SPLIT($A836,""Rua"","""")")," Santa Rosa")</f>
        <v> Santa Rosa</v>
      </c>
    </row>
    <row r="837" ht="15.75" customHeight="1">
      <c r="A837" s="5" t="s">
        <v>4504</v>
      </c>
      <c r="B837" s="5" t="s">
        <v>3159</v>
      </c>
      <c r="C837" s="4" t="s">
        <v>2839</v>
      </c>
      <c r="D837" s="5" t="s">
        <v>4505</v>
      </c>
      <c r="E837" s="6">
        <v>214.0</v>
      </c>
      <c r="F837" s="6" t="s">
        <v>12</v>
      </c>
      <c r="H837" s="4" t="s">
        <v>2852</v>
      </c>
      <c r="I837" s="3" t="s">
        <v>13</v>
      </c>
      <c r="J837" s="7" t="str">
        <f>IFERROR(__xludf.DUMMYFUNCTION("SPLIT($A837,""Rua"","""")")," Santo Antônio")</f>
        <v> Santo Antônio</v>
      </c>
    </row>
    <row r="838" ht="15.75" customHeight="1">
      <c r="A838" s="5" t="s">
        <v>4506</v>
      </c>
      <c r="B838" s="5" t="s">
        <v>3058</v>
      </c>
      <c r="C838" s="4" t="s">
        <v>2839</v>
      </c>
      <c r="D838" s="5" t="s">
        <v>4507</v>
      </c>
      <c r="E838" s="6">
        <v>214.0</v>
      </c>
      <c r="F838" s="6" t="s">
        <v>12</v>
      </c>
      <c r="H838" s="4" t="s">
        <v>2852</v>
      </c>
      <c r="I838" s="3" t="s">
        <v>13</v>
      </c>
      <c r="J838" s="7" t="str">
        <f>IFERROR(__xludf.DUMMYFUNCTION("SPLIT($A838,""Rua"","""")")," Santo Sgariboldi")</f>
        <v> Santo Sgariboldi</v>
      </c>
    </row>
    <row r="839" ht="15.75" customHeight="1">
      <c r="A839" s="5" t="s">
        <v>4506</v>
      </c>
      <c r="B839" s="5" t="s">
        <v>3063</v>
      </c>
      <c r="C839" s="4" t="s">
        <v>2839</v>
      </c>
      <c r="D839" s="5" t="s">
        <v>4508</v>
      </c>
      <c r="E839" s="6">
        <v>214.0</v>
      </c>
      <c r="F839" s="6" t="s">
        <v>12</v>
      </c>
      <c r="H839" s="4" t="s">
        <v>2852</v>
      </c>
      <c r="I839" s="3" t="s">
        <v>13</v>
      </c>
      <c r="J839" s="7" t="str">
        <f>IFERROR(__xludf.DUMMYFUNCTION("SPLIT($A839,""Rua"","""")")," Santo Sgariboldi")</f>
        <v> Santo Sgariboldi</v>
      </c>
    </row>
    <row r="840" ht="15.75" customHeight="1">
      <c r="A840" s="5" t="s">
        <v>4509</v>
      </c>
      <c r="B840" s="5" t="s">
        <v>3086</v>
      </c>
      <c r="C840" s="4" t="s">
        <v>2839</v>
      </c>
      <c r="D840" s="5" t="s">
        <v>4510</v>
      </c>
      <c r="E840" s="6">
        <v>214.0</v>
      </c>
      <c r="F840" s="6" t="s">
        <v>12</v>
      </c>
      <c r="H840" s="4" t="s">
        <v>2852</v>
      </c>
      <c r="I840" s="3" t="s">
        <v>13</v>
      </c>
      <c r="J840" s="7" t="str">
        <f>IFERROR(__xludf.DUMMYFUNCTION("SPLIT($A840,""Rua"","""")")," São Francisco")</f>
        <v> São Francisco</v>
      </c>
    </row>
    <row r="841" ht="15.75" customHeight="1">
      <c r="A841" s="5" t="s">
        <v>4511</v>
      </c>
      <c r="B841" s="5" t="s">
        <v>3159</v>
      </c>
      <c r="C841" s="4" t="s">
        <v>2839</v>
      </c>
      <c r="D841" s="5" t="s">
        <v>4512</v>
      </c>
      <c r="E841" s="6">
        <v>214.0</v>
      </c>
      <c r="F841" s="6" t="s">
        <v>12</v>
      </c>
      <c r="H841" s="4" t="s">
        <v>2852</v>
      </c>
      <c r="I841" s="3" t="s">
        <v>13</v>
      </c>
      <c r="J841" s="7" t="str">
        <f>IFERROR(__xludf.DUMMYFUNCTION("SPLIT($A841,""Rua"","""")")," São Jorge")</f>
        <v> São Jorge</v>
      </c>
    </row>
    <row r="842" ht="15.75" customHeight="1">
      <c r="A842" s="5" t="s">
        <v>4513</v>
      </c>
      <c r="B842" s="5" t="s">
        <v>3088</v>
      </c>
      <c r="C842" s="4" t="s">
        <v>2839</v>
      </c>
      <c r="D842" s="5" t="s">
        <v>4514</v>
      </c>
      <c r="E842" s="6">
        <v>214.0</v>
      </c>
      <c r="F842" s="6" t="s">
        <v>12</v>
      </c>
      <c r="H842" s="4" t="s">
        <v>2852</v>
      </c>
      <c r="I842" s="3" t="s">
        <v>13</v>
      </c>
      <c r="J842" s="7" t="str">
        <f>IFERROR(__xludf.DUMMYFUNCTION("SPLIT($A842,""Rua"","""")")," São José")</f>
        <v> São José</v>
      </c>
    </row>
    <row r="843" ht="15.75" customHeight="1">
      <c r="A843" s="5" t="s">
        <v>4513</v>
      </c>
      <c r="B843" s="5" t="s">
        <v>3159</v>
      </c>
      <c r="C843" s="4" t="s">
        <v>2839</v>
      </c>
      <c r="D843" s="5" t="s">
        <v>4515</v>
      </c>
      <c r="E843" s="6">
        <v>214.0</v>
      </c>
      <c r="F843" s="6" t="s">
        <v>12</v>
      </c>
      <c r="H843" s="4" t="s">
        <v>2852</v>
      </c>
      <c r="I843" s="3" t="s">
        <v>13</v>
      </c>
      <c r="J843" s="7" t="str">
        <f>IFERROR(__xludf.DUMMYFUNCTION("SPLIT($A843,""Rua"","""")")," São José")</f>
        <v> São José</v>
      </c>
    </row>
    <row r="844" ht="15.75" customHeight="1">
      <c r="A844" s="5" t="s">
        <v>4516</v>
      </c>
      <c r="B844" s="5" t="s">
        <v>3159</v>
      </c>
      <c r="C844" s="4" t="s">
        <v>2839</v>
      </c>
      <c r="D844" s="5" t="s">
        <v>4517</v>
      </c>
      <c r="E844" s="6">
        <v>214.0</v>
      </c>
      <c r="F844" s="6" t="s">
        <v>12</v>
      </c>
      <c r="H844" s="4" t="s">
        <v>2852</v>
      </c>
      <c r="I844" s="3" t="s">
        <v>13</v>
      </c>
      <c r="J844" s="7" t="str">
        <f>IFERROR(__xludf.DUMMYFUNCTION("SPLIT($A844,""Rua"","""")")," São Leopoldo")</f>
        <v> São Leopoldo</v>
      </c>
    </row>
    <row r="845" ht="15.75" customHeight="1">
      <c r="A845" s="5" t="s">
        <v>4518</v>
      </c>
      <c r="B845" s="5" t="s">
        <v>3159</v>
      </c>
      <c r="C845" s="4" t="s">
        <v>2839</v>
      </c>
      <c r="D845" s="5" t="s">
        <v>4519</v>
      </c>
      <c r="E845" s="6">
        <v>214.0</v>
      </c>
      <c r="F845" s="6" t="s">
        <v>12</v>
      </c>
      <c r="H845" s="4" t="s">
        <v>2852</v>
      </c>
      <c r="I845" s="3" t="s">
        <v>13</v>
      </c>
      <c r="J845" s="7" t="str">
        <f>IFERROR(__xludf.DUMMYFUNCTION("SPLIT($A845,""Rua"","""")")," São Marcos")</f>
        <v> São Marcos</v>
      </c>
    </row>
    <row r="846" ht="15.75" customHeight="1">
      <c r="A846" s="5" t="s">
        <v>4520</v>
      </c>
      <c r="B846" s="5" t="s">
        <v>3159</v>
      </c>
      <c r="C846" s="4" t="s">
        <v>2839</v>
      </c>
      <c r="D846" s="5" t="s">
        <v>4521</v>
      </c>
      <c r="E846" s="6">
        <v>214.0</v>
      </c>
      <c r="F846" s="6" t="s">
        <v>12</v>
      </c>
      <c r="H846" s="4" t="s">
        <v>2852</v>
      </c>
      <c r="I846" s="3" t="s">
        <v>13</v>
      </c>
      <c r="J846" s="7" t="str">
        <f>IFERROR(__xludf.DUMMYFUNCTION("SPLIT($A846,""Rua"","""")")," São Paulo")</f>
        <v> São Paulo</v>
      </c>
    </row>
    <row r="847" ht="15.75" customHeight="1">
      <c r="A847" s="5" t="s">
        <v>4522</v>
      </c>
      <c r="B847" s="5" t="s">
        <v>180</v>
      </c>
      <c r="C847" s="4" t="s">
        <v>2839</v>
      </c>
      <c r="D847" s="5" t="s">
        <v>4523</v>
      </c>
      <c r="E847" s="6">
        <v>214.0</v>
      </c>
      <c r="F847" s="6" t="s">
        <v>12</v>
      </c>
      <c r="H847" s="4" t="s">
        <v>2852</v>
      </c>
      <c r="I847" s="3" t="s">
        <v>13</v>
      </c>
      <c r="J847" s="7" t="str">
        <f>IFERROR(__xludf.DUMMYFUNCTION("SPLIT($A847,""Rua"","""")")," São Pedro")</f>
        <v> São Pedro</v>
      </c>
    </row>
    <row r="848" ht="15.75" customHeight="1">
      <c r="A848" s="5" t="s">
        <v>4522</v>
      </c>
      <c r="B848" s="5" t="s">
        <v>3159</v>
      </c>
      <c r="C848" s="4" t="s">
        <v>2839</v>
      </c>
      <c r="D848" s="5" t="s">
        <v>4524</v>
      </c>
      <c r="E848" s="6">
        <v>214.0</v>
      </c>
      <c r="F848" s="6" t="s">
        <v>12</v>
      </c>
      <c r="H848" s="4" t="s">
        <v>2852</v>
      </c>
      <c r="I848" s="3" t="s">
        <v>13</v>
      </c>
      <c r="J848" s="7" t="str">
        <f>IFERROR(__xludf.DUMMYFUNCTION("SPLIT($A848,""Rua"","""")")," São Pedro")</f>
        <v> São Pedro</v>
      </c>
    </row>
    <row r="849" ht="15.75" customHeight="1">
      <c r="A849" s="5" t="s">
        <v>4525</v>
      </c>
      <c r="B849" s="5" t="s">
        <v>3159</v>
      </c>
      <c r="C849" s="4" t="s">
        <v>2839</v>
      </c>
      <c r="D849" s="5" t="s">
        <v>4526</v>
      </c>
      <c r="E849" s="6">
        <v>214.0</v>
      </c>
      <c r="F849" s="6" t="s">
        <v>12</v>
      </c>
      <c r="H849" s="4" t="s">
        <v>2852</v>
      </c>
      <c r="I849" s="3" t="s">
        <v>13</v>
      </c>
      <c r="J849" s="7" t="str">
        <f>IFERROR(__xludf.DUMMYFUNCTION("SPLIT($A849,""Rua"","""")")," São Roque")</f>
        <v> São Roque</v>
      </c>
    </row>
    <row r="850" ht="15.75" customHeight="1">
      <c r="A850" s="5" t="s">
        <v>4527</v>
      </c>
      <c r="B850" s="5" t="s">
        <v>3159</v>
      </c>
      <c r="C850" s="4" t="s">
        <v>2839</v>
      </c>
      <c r="D850" s="5" t="s">
        <v>4528</v>
      </c>
      <c r="E850" s="6">
        <v>214.0</v>
      </c>
      <c r="F850" s="6" t="s">
        <v>12</v>
      </c>
      <c r="H850" s="4" t="s">
        <v>2852</v>
      </c>
      <c r="I850" s="3" t="s">
        <v>13</v>
      </c>
      <c r="J850" s="7" t="str">
        <f>IFERROR(__xludf.DUMMYFUNCTION("SPLIT($A850,""Rua"","""")")," São Sebastião")</f>
        <v> São Sebastião</v>
      </c>
    </row>
    <row r="851" ht="15.75" customHeight="1">
      <c r="A851" s="5" t="s">
        <v>4529</v>
      </c>
      <c r="B851" s="5" t="s">
        <v>3016</v>
      </c>
      <c r="C851" s="4" t="s">
        <v>2839</v>
      </c>
      <c r="D851" s="5" t="s">
        <v>4530</v>
      </c>
      <c r="E851" s="6">
        <v>214.0</v>
      </c>
      <c r="F851" s="6" t="s">
        <v>12</v>
      </c>
      <c r="H851" s="4" t="s">
        <v>2852</v>
      </c>
      <c r="I851" s="3" t="s">
        <v>13</v>
      </c>
      <c r="J851" s="7" t="str">
        <f>IFERROR(__xludf.DUMMYFUNCTION("SPLIT($A851,""Rua"","""")")," São Vicente")</f>
        <v> São Vicente</v>
      </c>
    </row>
    <row r="852" ht="15.75" customHeight="1">
      <c r="A852" s="5" t="s">
        <v>4531</v>
      </c>
      <c r="B852" s="5" t="s">
        <v>3319</v>
      </c>
      <c r="C852" s="4" t="s">
        <v>2839</v>
      </c>
      <c r="D852" s="5" t="s">
        <v>4532</v>
      </c>
      <c r="E852" s="6">
        <v>214.0</v>
      </c>
      <c r="F852" s="6" t="s">
        <v>12</v>
      </c>
      <c r="H852" s="4" t="s">
        <v>2852</v>
      </c>
      <c r="I852" s="3" t="s">
        <v>13</v>
      </c>
      <c r="J852" s="7" t="str">
        <f>IFERROR(__xludf.DUMMYFUNCTION("SPLIT($A852,""Rua"","""")")," Sargento Claudinei de Oliveira")</f>
        <v> Sargento Claudinei de Oliveira</v>
      </c>
    </row>
    <row r="853" ht="15.75" customHeight="1">
      <c r="A853" s="5" t="s">
        <v>4533</v>
      </c>
      <c r="B853" s="5" t="s">
        <v>3489</v>
      </c>
      <c r="C853" s="4" t="s">
        <v>2839</v>
      </c>
      <c r="D853" s="5" t="s">
        <v>4534</v>
      </c>
      <c r="E853" s="6">
        <v>214.0</v>
      </c>
      <c r="F853" s="6" t="s">
        <v>12</v>
      </c>
      <c r="H853" s="4" t="s">
        <v>2852</v>
      </c>
      <c r="I853" s="3" t="s">
        <v>13</v>
      </c>
      <c r="J853" s="7" t="str">
        <f>IFERROR(__xludf.DUMMYFUNCTION("SPLIT($A853,""Rua"","""")")," Sarquis Abibe - até 99998 - lado par")</f>
        <v> Sarquis Abibe - até 99998 - lado par</v>
      </c>
    </row>
    <row r="854" ht="15.75" customHeight="1">
      <c r="A854" s="5" t="s">
        <v>4535</v>
      </c>
      <c r="B854" s="5" t="s">
        <v>180</v>
      </c>
      <c r="C854" s="4" t="s">
        <v>2839</v>
      </c>
      <c r="D854" s="5" t="s">
        <v>4536</v>
      </c>
      <c r="E854" s="6">
        <v>214.0</v>
      </c>
      <c r="F854" s="6" t="s">
        <v>12</v>
      </c>
      <c r="H854" s="4" t="s">
        <v>2852</v>
      </c>
      <c r="I854" s="3" t="s">
        <v>13</v>
      </c>
      <c r="J854" s="7" t="str">
        <f>IFERROR(__xludf.DUMMYFUNCTION("SPLIT($A854,""Rua"","""")")," Sarquis Abibe - até 99999 - lado ímpar")</f>
        <v> Sarquis Abibe - até 99999 - lado ímpar</v>
      </c>
    </row>
    <row r="855" ht="15.75" customHeight="1">
      <c r="A855" s="5" t="s">
        <v>4537</v>
      </c>
      <c r="B855" s="5" t="s">
        <v>3003</v>
      </c>
      <c r="C855" s="4" t="s">
        <v>2839</v>
      </c>
      <c r="D855" s="5" t="s">
        <v>4538</v>
      </c>
      <c r="E855" s="6">
        <v>214.0</v>
      </c>
      <c r="F855" s="6" t="s">
        <v>12</v>
      </c>
      <c r="H855" s="4" t="s">
        <v>2852</v>
      </c>
      <c r="I855" s="3" t="s">
        <v>13</v>
      </c>
      <c r="J855" s="7" t="str">
        <f>IFERROR(__xludf.DUMMYFUNCTION("SPLIT($A855,""Rua"","""")")," Sebastião Xavier Antunes")</f>
        <v> Sebastião Xavier Antunes</v>
      </c>
    </row>
    <row r="856" ht="15.75" customHeight="1">
      <c r="A856" s="5" t="s">
        <v>4539</v>
      </c>
      <c r="B856" s="5" t="s">
        <v>2994</v>
      </c>
      <c r="C856" s="4" t="s">
        <v>2839</v>
      </c>
      <c r="D856" s="5" t="s">
        <v>4540</v>
      </c>
      <c r="E856" s="6">
        <v>214.0</v>
      </c>
      <c r="F856" s="6" t="s">
        <v>12</v>
      </c>
      <c r="H856" s="4" t="s">
        <v>2852</v>
      </c>
      <c r="I856" s="3" t="s">
        <v>13</v>
      </c>
      <c r="J856" s="7" t="str">
        <f>IFERROR(__xludf.DUMMYFUNCTION("SPLIT($A856,""Rua"","""")")," Seis")</f>
        <v> Seis</v>
      </c>
    </row>
    <row r="857" ht="15.75" customHeight="1">
      <c r="A857" s="5" t="s">
        <v>4539</v>
      </c>
      <c r="B857" s="5" t="s">
        <v>3069</v>
      </c>
      <c r="C857" s="4" t="s">
        <v>2839</v>
      </c>
      <c r="D857" s="5" t="s">
        <v>4541</v>
      </c>
      <c r="E857" s="6">
        <v>214.0</v>
      </c>
      <c r="F857" s="6" t="s">
        <v>12</v>
      </c>
      <c r="H857" s="4" t="s">
        <v>2852</v>
      </c>
      <c r="I857" s="3" t="s">
        <v>13</v>
      </c>
      <c r="J857" s="7" t="str">
        <f>IFERROR(__xludf.DUMMYFUNCTION("SPLIT($A857,""Rua"","""")")," Seis")</f>
        <v> Seis</v>
      </c>
    </row>
    <row r="858" ht="15.75" customHeight="1">
      <c r="A858" s="5" t="s">
        <v>4539</v>
      </c>
      <c r="B858" s="5" t="s">
        <v>3533</v>
      </c>
      <c r="C858" s="4" t="s">
        <v>2839</v>
      </c>
      <c r="D858" s="5" t="s">
        <v>4542</v>
      </c>
      <c r="E858" s="6">
        <v>214.0</v>
      </c>
      <c r="F858" s="6" t="s">
        <v>12</v>
      </c>
      <c r="H858" s="4" t="s">
        <v>2852</v>
      </c>
      <c r="I858" s="3" t="s">
        <v>13</v>
      </c>
      <c r="J858" s="7" t="str">
        <f>IFERROR(__xludf.DUMMYFUNCTION("SPLIT($A858,""Rua"","""")")," Seis")</f>
        <v> Seis</v>
      </c>
    </row>
    <row r="859" ht="15.75" customHeight="1">
      <c r="A859" s="5" t="s">
        <v>4539</v>
      </c>
      <c r="B859" s="5" t="s">
        <v>3535</v>
      </c>
      <c r="C859" s="4" t="s">
        <v>2839</v>
      </c>
      <c r="D859" s="5" t="s">
        <v>4543</v>
      </c>
      <c r="E859" s="6">
        <v>214.0</v>
      </c>
      <c r="F859" s="6" t="s">
        <v>12</v>
      </c>
      <c r="H859" s="4" t="s">
        <v>2852</v>
      </c>
      <c r="I859" s="3" t="s">
        <v>13</v>
      </c>
      <c r="J859" s="7" t="str">
        <f>IFERROR(__xludf.DUMMYFUNCTION("SPLIT($A859,""Rua"","""")")," Seis")</f>
        <v> Seis</v>
      </c>
    </row>
    <row r="860" ht="15.75" customHeight="1">
      <c r="A860" s="5" t="s">
        <v>4544</v>
      </c>
      <c r="B860" s="5" t="s">
        <v>3260</v>
      </c>
      <c r="C860" s="4" t="s">
        <v>2839</v>
      </c>
      <c r="D860" s="5" t="s">
        <v>4545</v>
      </c>
      <c r="E860" s="6">
        <v>214.0</v>
      </c>
      <c r="F860" s="6" t="s">
        <v>12</v>
      </c>
      <c r="H860" s="4" t="s">
        <v>2852</v>
      </c>
      <c r="I860" s="3" t="s">
        <v>13</v>
      </c>
      <c r="J860" s="7" t="str">
        <f>IFERROR(__xludf.DUMMYFUNCTION("SPLIT($A860,""Rua"","""")")," Selma de Fátima Ferreira Camargo")</f>
        <v> Selma de Fátima Ferreira Camargo</v>
      </c>
    </row>
    <row r="861" ht="15.75" customHeight="1">
      <c r="A861" s="5" t="s">
        <v>4546</v>
      </c>
      <c r="B861" s="5" t="s">
        <v>2994</v>
      </c>
      <c r="C861" s="4" t="s">
        <v>2839</v>
      </c>
      <c r="D861" s="5" t="s">
        <v>4547</v>
      </c>
      <c r="E861" s="6">
        <v>214.0</v>
      </c>
      <c r="F861" s="6" t="s">
        <v>12</v>
      </c>
      <c r="H861" s="4" t="s">
        <v>2852</v>
      </c>
      <c r="I861" s="3" t="s">
        <v>13</v>
      </c>
      <c r="J861" s="7" t="str">
        <f>IFERROR(__xludf.DUMMYFUNCTION("SPLIT($A861,""Rua"","""")")," Sete")</f>
        <v> Sete</v>
      </c>
    </row>
    <row r="862" ht="15.75" customHeight="1">
      <c r="A862" s="5" t="s">
        <v>4546</v>
      </c>
      <c r="B862" s="5" t="s">
        <v>3319</v>
      </c>
      <c r="C862" s="4" t="s">
        <v>2839</v>
      </c>
      <c r="D862" s="5" t="s">
        <v>4548</v>
      </c>
      <c r="E862" s="6">
        <v>214.0</v>
      </c>
      <c r="F862" s="6" t="s">
        <v>12</v>
      </c>
      <c r="H862" s="4" t="s">
        <v>2852</v>
      </c>
      <c r="I862" s="3" t="s">
        <v>13</v>
      </c>
      <c r="J862" s="7" t="str">
        <f>IFERROR(__xludf.DUMMYFUNCTION("SPLIT($A862,""Rua"","""")")," Sete")</f>
        <v> Sete</v>
      </c>
    </row>
    <row r="863" ht="15.75" customHeight="1">
      <c r="A863" s="5" t="s">
        <v>4546</v>
      </c>
      <c r="B863" s="5" t="s">
        <v>3069</v>
      </c>
      <c r="C863" s="4" t="s">
        <v>2839</v>
      </c>
      <c r="D863" s="5" t="s">
        <v>4549</v>
      </c>
      <c r="E863" s="6">
        <v>214.0</v>
      </c>
      <c r="F863" s="6" t="s">
        <v>12</v>
      </c>
      <c r="H863" s="4" t="s">
        <v>2852</v>
      </c>
      <c r="I863" s="3" t="s">
        <v>13</v>
      </c>
      <c r="J863" s="7" t="str">
        <f>IFERROR(__xludf.DUMMYFUNCTION("SPLIT($A863,""Rua"","""")")," Sete")</f>
        <v> Sete</v>
      </c>
    </row>
    <row r="864" ht="15.75" customHeight="1">
      <c r="A864" s="5" t="s">
        <v>4546</v>
      </c>
      <c r="B864" s="5" t="s">
        <v>3533</v>
      </c>
      <c r="C864" s="4" t="s">
        <v>2839</v>
      </c>
      <c r="D864" s="5" t="s">
        <v>4550</v>
      </c>
      <c r="E864" s="6">
        <v>214.0</v>
      </c>
      <c r="F864" s="6" t="s">
        <v>12</v>
      </c>
      <c r="H864" s="4" t="s">
        <v>2852</v>
      </c>
      <c r="I864" s="3" t="s">
        <v>13</v>
      </c>
      <c r="J864" s="7" t="str">
        <f>IFERROR(__xludf.DUMMYFUNCTION("SPLIT($A864,""Rua"","""")")," Sete")</f>
        <v> Sete</v>
      </c>
    </row>
    <row r="865" ht="15.75" customHeight="1">
      <c r="A865" s="5" t="s">
        <v>4546</v>
      </c>
      <c r="B865" s="5" t="s">
        <v>3535</v>
      </c>
      <c r="C865" s="4" t="s">
        <v>2839</v>
      </c>
      <c r="D865" s="5" t="s">
        <v>4551</v>
      </c>
      <c r="E865" s="6">
        <v>214.0</v>
      </c>
      <c r="F865" s="6" t="s">
        <v>12</v>
      </c>
      <c r="H865" s="4" t="s">
        <v>2852</v>
      </c>
      <c r="I865" s="3" t="s">
        <v>13</v>
      </c>
      <c r="J865" s="7" t="str">
        <f>IFERROR(__xludf.DUMMYFUNCTION("SPLIT($A865,""Rua"","""")")," Sete")</f>
        <v> Sete</v>
      </c>
    </row>
    <row r="866" ht="15.75" customHeight="1">
      <c r="A866" s="5" t="s">
        <v>4552</v>
      </c>
      <c r="B866" s="5" t="s">
        <v>180</v>
      </c>
      <c r="C866" s="4" t="s">
        <v>2839</v>
      </c>
      <c r="D866" s="5" t="s">
        <v>4553</v>
      </c>
      <c r="E866" s="6">
        <v>214.0</v>
      </c>
      <c r="F866" s="6" t="s">
        <v>12</v>
      </c>
      <c r="H866" s="4" t="s">
        <v>2852</v>
      </c>
      <c r="I866" s="3" t="s">
        <v>13</v>
      </c>
      <c r="J866" s="7" t="str">
        <f>IFERROR(__xludf.DUMMYFUNCTION("SPLIT($A866,""Rua"","""")")," Silvia Diana Tomé Casagrande")</f>
        <v> Silvia Diana Tomé Casagrande</v>
      </c>
    </row>
    <row r="867" ht="15.75" customHeight="1">
      <c r="A867" s="5" t="s">
        <v>4554</v>
      </c>
      <c r="B867" s="5" t="s">
        <v>3591</v>
      </c>
      <c r="C867" s="4" t="s">
        <v>2839</v>
      </c>
      <c r="D867" s="5" t="s">
        <v>4555</v>
      </c>
      <c r="E867" s="6">
        <v>214.0</v>
      </c>
      <c r="F867" s="6" t="s">
        <v>12</v>
      </c>
      <c r="H867" s="4" t="s">
        <v>2852</v>
      </c>
      <c r="I867" s="3" t="s">
        <v>13</v>
      </c>
      <c r="J867" s="7" t="str">
        <f>IFERROR(__xludf.DUMMYFUNCTION("SPLIT($A867,""Rua"","""")")," Silvia Martelli")</f>
        <v> Silvia Martelli</v>
      </c>
    </row>
    <row r="868" ht="15.75" customHeight="1">
      <c r="A868" s="5" t="s">
        <v>4556</v>
      </c>
      <c r="B868" s="5" t="s">
        <v>3012</v>
      </c>
      <c r="C868" s="4" t="s">
        <v>2839</v>
      </c>
      <c r="D868" s="5" t="s">
        <v>4557</v>
      </c>
      <c r="E868" s="6">
        <v>214.0</v>
      </c>
      <c r="F868" s="6" t="s">
        <v>12</v>
      </c>
      <c r="H868" s="4" t="s">
        <v>2852</v>
      </c>
      <c r="I868" s="3" t="s">
        <v>13</v>
      </c>
      <c r="J868" s="7" t="str">
        <f>IFERROR(__xludf.DUMMYFUNCTION("SPLIT($A868,""Rua"","""")")," Silvino Nobrega da Silva")</f>
        <v> Silvino Nobrega da Silva</v>
      </c>
    </row>
    <row r="869" ht="15.75" customHeight="1">
      <c r="A869" s="5" t="s">
        <v>4558</v>
      </c>
      <c r="B869" s="5" t="s">
        <v>3091</v>
      </c>
      <c r="C869" s="4" t="s">
        <v>2839</v>
      </c>
      <c r="D869" s="5" t="s">
        <v>4559</v>
      </c>
      <c r="E869" s="6">
        <v>214.0</v>
      </c>
      <c r="F869" s="6" t="s">
        <v>12</v>
      </c>
      <c r="H869" s="4" t="s">
        <v>2852</v>
      </c>
      <c r="I869" s="3" t="s">
        <v>13</v>
      </c>
      <c r="J869" s="7" t="str">
        <f>IFERROR(__xludf.DUMMYFUNCTION("SPLIT($A869,""Rua"","""")")," Silvino Tristão de Camargo")</f>
        <v> Silvino Tristão de Camargo</v>
      </c>
    </row>
    <row r="870" ht="15.75" customHeight="1">
      <c r="A870" s="5" t="s">
        <v>4560</v>
      </c>
      <c r="B870" s="5" t="s">
        <v>3274</v>
      </c>
      <c r="C870" s="4" t="s">
        <v>2839</v>
      </c>
      <c r="D870" s="5" t="s">
        <v>4561</v>
      </c>
      <c r="E870" s="6">
        <v>214.0</v>
      </c>
      <c r="F870" s="6" t="s">
        <v>12</v>
      </c>
      <c r="H870" s="4" t="s">
        <v>2852</v>
      </c>
      <c r="I870" s="3" t="s">
        <v>13</v>
      </c>
      <c r="J870" s="7" t="str">
        <f>IFERROR(__xludf.DUMMYFUNCTION("SPLIT($A870,""Rua"","""")")," Silvio Boscolo")</f>
        <v> Silvio Boscolo</v>
      </c>
    </row>
    <row r="871" ht="15.75" customHeight="1">
      <c r="A871" s="5" t="s">
        <v>4562</v>
      </c>
      <c r="B871" s="5" t="s">
        <v>4142</v>
      </c>
      <c r="C871" s="4" t="s">
        <v>2839</v>
      </c>
      <c r="D871" s="5" t="s">
        <v>4563</v>
      </c>
      <c r="E871" s="6">
        <v>214.0</v>
      </c>
      <c r="F871" s="6" t="s">
        <v>12</v>
      </c>
      <c r="H871" s="4" t="s">
        <v>2852</v>
      </c>
      <c r="I871" s="3" t="s">
        <v>13</v>
      </c>
      <c r="J871" s="7" t="str">
        <f>IFERROR(__xludf.DUMMYFUNCTION("SPLIT($A871,""Rua"","""")")," Silvio Pelegrini")</f>
        <v> Silvio Pelegrini</v>
      </c>
    </row>
    <row r="872" ht="15.75" customHeight="1">
      <c r="A872" s="5" t="s">
        <v>4564</v>
      </c>
      <c r="B872" s="5" t="s">
        <v>180</v>
      </c>
      <c r="C872" s="4" t="s">
        <v>2839</v>
      </c>
      <c r="D872" s="5" t="s">
        <v>4565</v>
      </c>
      <c r="E872" s="6">
        <v>214.0</v>
      </c>
      <c r="F872" s="6" t="s">
        <v>12</v>
      </c>
      <c r="H872" s="4" t="s">
        <v>2852</v>
      </c>
      <c r="I872" s="3" t="s">
        <v>13</v>
      </c>
      <c r="J872" s="7" t="str">
        <f>IFERROR(__xludf.DUMMYFUNCTION("SPLIT($A872,""Rua"","""")")," Sirino Catelucci")</f>
        <v> Sirino Catelucci</v>
      </c>
    </row>
    <row r="873" ht="15.75" customHeight="1">
      <c r="A873" s="5" t="s">
        <v>4566</v>
      </c>
      <c r="B873" s="5" t="s">
        <v>3034</v>
      </c>
      <c r="C873" s="4" t="s">
        <v>2839</v>
      </c>
      <c r="D873" s="5" t="s">
        <v>4567</v>
      </c>
      <c r="E873" s="6">
        <v>214.0</v>
      </c>
      <c r="F873" s="6" t="s">
        <v>12</v>
      </c>
      <c r="H873" s="4" t="s">
        <v>2852</v>
      </c>
      <c r="I873" s="3" t="s">
        <v>13</v>
      </c>
      <c r="J873" s="7" t="str">
        <f>IFERROR(__xludf.DUMMYFUNCTION("SPLIT($A873,""Rua"","""")")," Sírio Previtali")</f>
        <v> Sírio Previtali</v>
      </c>
    </row>
    <row r="874" ht="15.75" customHeight="1">
      <c r="A874" s="5" t="s">
        <v>4568</v>
      </c>
      <c r="B874" s="5" t="s">
        <v>3211</v>
      </c>
      <c r="C874" s="4" t="s">
        <v>2839</v>
      </c>
      <c r="D874" s="5" t="s">
        <v>4569</v>
      </c>
      <c r="E874" s="6">
        <v>214.0</v>
      </c>
      <c r="F874" s="6" t="s">
        <v>12</v>
      </c>
      <c r="H874" s="4" t="s">
        <v>2852</v>
      </c>
      <c r="I874" s="3" t="s">
        <v>13</v>
      </c>
      <c r="J874" s="7" t="str">
        <f>IFERROR(__xludf.DUMMYFUNCTION("SPLIT($A874,""Rua"","""")")," Solange de Fátima Zilli")</f>
        <v> Solange de Fátima Zilli</v>
      </c>
    </row>
    <row r="875" ht="15.75" customHeight="1">
      <c r="A875" s="13" t="s">
        <v>4570</v>
      </c>
      <c r="B875" s="13" t="s">
        <v>3107</v>
      </c>
      <c r="C875" s="4" t="s">
        <v>2839</v>
      </c>
      <c r="D875" s="13" t="s">
        <v>4571</v>
      </c>
      <c r="E875" s="6">
        <v>214.0</v>
      </c>
      <c r="F875" s="6" t="s">
        <v>12</v>
      </c>
      <c r="H875" s="4" t="s">
        <v>2852</v>
      </c>
      <c r="I875" s="3" t="s">
        <v>13</v>
      </c>
      <c r="J875" s="7" t="str">
        <f>IFERROR(__xludf.DUMMYFUNCTION("SPLIT($A875,""Rua"","""")")," Sorocaba")</f>
        <v> Sorocaba</v>
      </c>
    </row>
    <row r="876" ht="15.75" customHeight="1">
      <c r="A876" s="5" t="s">
        <v>4572</v>
      </c>
      <c r="B876" s="5" t="s">
        <v>3197</v>
      </c>
      <c r="C876" s="4" t="s">
        <v>2839</v>
      </c>
      <c r="D876" s="5" t="s">
        <v>4573</v>
      </c>
      <c r="E876" s="6">
        <v>214.0</v>
      </c>
      <c r="F876" s="6" t="s">
        <v>12</v>
      </c>
      <c r="H876" s="4" t="s">
        <v>2852</v>
      </c>
      <c r="I876" s="3" t="s">
        <v>13</v>
      </c>
      <c r="J876" s="7" t="str">
        <f>IFERROR(__xludf.DUMMYFUNCTION("SPLIT($A876,""Rua"","""")")," Suzete Thomé Alcalá")</f>
        <v> Suzete Thomé Alcalá</v>
      </c>
    </row>
    <row r="877" ht="15.75" customHeight="1">
      <c r="A877" s="5" t="s">
        <v>4574</v>
      </c>
      <c r="B877" s="5" t="s">
        <v>3012</v>
      </c>
      <c r="C877" s="4" t="s">
        <v>2839</v>
      </c>
      <c r="D877" s="5" t="s">
        <v>4575</v>
      </c>
      <c r="E877" s="6">
        <v>214.0</v>
      </c>
      <c r="F877" s="6" t="s">
        <v>12</v>
      </c>
      <c r="H877" s="4" t="s">
        <v>2852</v>
      </c>
      <c r="I877" s="3" t="s">
        <v>13</v>
      </c>
      <c r="J877" s="7" t="str">
        <f>IFERROR(__xludf.DUMMYFUNCTION("SPLIT($A877,""Rua"","""")")," Syro Camargo Leite")</f>
        <v> Syro Camargo Leite</v>
      </c>
    </row>
    <row r="878" ht="15.75" customHeight="1">
      <c r="A878" s="5" t="s">
        <v>4576</v>
      </c>
      <c r="B878" s="5" t="s">
        <v>3107</v>
      </c>
      <c r="C878" s="4" t="s">
        <v>2839</v>
      </c>
      <c r="D878" s="5" t="s">
        <v>4577</v>
      </c>
      <c r="E878" s="6">
        <v>214.0</v>
      </c>
      <c r="F878" s="6" t="s">
        <v>12</v>
      </c>
      <c r="H878" s="4" t="s">
        <v>2852</v>
      </c>
      <c r="I878" s="3" t="s">
        <v>13</v>
      </c>
      <c r="J878" s="7" t="str">
        <f>IFERROR(__xludf.DUMMYFUNCTION("SPLIT($A878,""Rua"","""")")," Tatuí")</f>
        <v> Tatuí</v>
      </c>
    </row>
    <row r="879" ht="15.75" customHeight="1">
      <c r="A879" s="5" t="s">
        <v>4576</v>
      </c>
      <c r="B879" s="5" t="s">
        <v>3900</v>
      </c>
      <c r="C879" s="4" t="s">
        <v>2839</v>
      </c>
      <c r="D879" s="5" t="s">
        <v>4578</v>
      </c>
      <c r="E879" s="6">
        <v>214.0</v>
      </c>
      <c r="F879" s="6" t="s">
        <v>12</v>
      </c>
      <c r="H879" s="4" t="s">
        <v>2852</v>
      </c>
      <c r="I879" s="3" t="s">
        <v>13</v>
      </c>
      <c r="J879" s="7" t="str">
        <f>IFERROR(__xludf.DUMMYFUNCTION("SPLIT($A879,""Rua"","""")")," Tatuí")</f>
        <v> Tatuí</v>
      </c>
    </row>
    <row r="880" ht="15.75" customHeight="1">
      <c r="A880" s="5" t="s">
        <v>4576</v>
      </c>
      <c r="B880" s="5" t="s">
        <v>3328</v>
      </c>
      <c r="C880" s="4" t="s">
        <v>2839</v>
      </c>
      <c r="D880" s="5" t="s">
        <v>4579</v>
      </c>
      <c r="E880" s="6">
        <v>214.0</v>
      </c>
      <c r="F880" s="6" t="s">
        <v>12</v>
      </c>
      <c r="H880" s="4" t="s">
        <v>2852</v>
      </c>
      <c r="I880" s="3" t="s">
        <v>13</v>
      </c>
      <c r="J880" s="7" t="str">
        <f>IFERROR(__xludf.DUMMYFUNCTION("SPLIT($A880,""Rua"","""")")," Tatuí")</f>
        <v> Tatuí</v>
      </c>
    </row>
    <row r="881" ht="15.75" customHeight="1">
      <c r="A881" s="5" t="s">
        <v>4580</v>
      </c>
      <c r="B881" s="5" t="s">
        <v>3088</v>
      </c>
      <c r="C881" s="4" t="s">
        <v>2839</v>
      </c>
      <c r="D881" s="5" t="s">
        <v>4581</v>
      </c>
      <c r="E881" s="6">
        <v>214.0</v>
      </c>
      <c r="F881" s="6" t="s">
        <v>12</v>
      </c>
      <c r="H881" s="4" t="s">
        <v>2852</v>
      </c>
      <c r="I881" s="3" t="s">
        <v>13</v>
      </c>
      <c r="J881" s="7" t="str">
        <f>IFERROR(__xludf.DUMMYFUNCTION("SPLIT($A881,""Rua"","""")")," Tércio Paes Leite")</f>
        <v> Tércio Paes Leite</v>
      </c>
    </row>
    <row r="882" ht="15.75" customHeight="1">
      <c r="A882" s="5" t="s">
        <v>4582</v>
      </c>
      <c r="B882" s="5" t="s">
        <v>3039</v>
      </c>
      <c r="C882" s="4" t="s">
        <v>2839</v>
      </c>
      <c r="D882" s="5" t="s">
        <v>4583</v>
      </c>
      <c r="E882" s="6">
        <v>214.0</v>
      </c>
      <c r="F882" s="6" t="s">
        <v>12</v>
      </c>
      <c r="H882" s="4" t="s">
        <v>2852</v>
      </c>
      <c r="I882" s="3" t="s">
        <v>13</v>
      </c>
      <c r="J882" s="7" t="str">
        <f>IFERROR(__xludf.DUMMYFUNCTION("SPLIT($A882,""Rua"","""")")," Tereziano Pereira de Camargo")</f>
        <v> Tereziano Pereira de Camargo</v>
      </c>
    </row>
    <row r="883" ht="15.75" customHeight="1">
      <c r="A883" s="5" t="s">
        <v>4582</v>
      </c>
      <c r="B883" s="5" t="s">
        <v>3189</v>
      </c>
      <c r="C883" s="4" t="s">
        <v>2839</v>
      </c>
      <c r="D883" s="5" t="s">
        <v>4584</v>
      </c>
      <c r="E883" s="6">
        <v>214.0</v>
      </c>
      <c r="F883" s="6" t="s">
        <v>12</v>
      </c>
      <c r="H883" s="4" t="s">
        <v>2852</v>
      </c>
      <c r="I883" s="3" t="s">
        <v>13</v>
      </c>
      <c r="J883" s="7" t="str">
        <f>IFERROR(__xludf.DUMMYFUNCTION("SPLIT($A883,""Rua"","""")")," Tereziano Pereira de Camargo")</f>
        <v> Tereziano Pereira de Camargo</v>
      </c>
    </row>
    <row r="884" ht="15.75" customHeight="1">
      <c r="A884" s="5" t="s">
        <v>4585</v>
      </c>
      <c r="B884" s="5" t="s">
        <v>3107</v>
      </c>
      <c r="C884" s="4" t="s">
        <v>2839</v>
      </c>
      <c r="D884" s="5" t="s">
        <v>4586</v>
      </c>
      <c r="E884" s="6">
        <v>214.0</v>
      </c>
      <c r="F884" s="6" t="s">
        <v>12</v>
      </c>
      <c r="H884" s="4" t="s">
        <v>2852</v>
      </c>
      <c r="I884" s="3" t="s">
        <v>13</v>
      </c>
      <c r="J884" s="7" t="str">
        <f>IFERROR(__xludf.DUMMYFUNCTION("SPLIT($A884,""Rua"","""")")," Tietê")</f>
        <v> Tietê</v>
      </c>
    </row>
    <row r="885" ht="15.75" customHeight="1">
      <c r="A885" s="5" t="s">
        <v>4587</v>
      </c>
      <c r="B885" s="5" t="s">
        <v>3766</v>
      </c>
      <c r="C885" s="4" t="s">
        <v>2839</v>
      </c>
      <c r="D885" s="5" t="s">
        <v>4588</v>
      </c>
      <c r="E885" s="6">
        <v>214.0</v>
      </c>
      <c r="F885" s="6" t="s">
        <v>12</v>
      </c>
      <c r="H885" s="4" t="s">
        <v>2852</v>
      </c>
      <c r="I885" s="3" t="s">
        <v>13</v>
      </c>
      <c r="J885" s="7" t="str">
        <f>IFERROR(__xludf.DUMMYFUNCTION("SPLIT($A885,""Rua"","""")")," Tomaz Cortez")</f>
        <v> Tomaz Cortez</v>
      </c>
    </row>
    <row r="886" ht="15.75" customHeight="1">
      <c r="A886" s="5" t="s">
        <v>4589</v>
      </c>
      <c r="B886" s="5" t="s">
        <v>2994</v>
      </c>
      <c r="C886" s="4" t="s">
        <v>2839</v>
      </c>
      <c r="D886" s="5" t="s">
        <v>4590</v>
      </c>
      <c r="E886" s="6">
        <v>214.0</v>
      </c>
      <c r="F886" s="6" t="s">
        <v>12</v>
      </c>
      <c r="H886" s="4" t="s">
        <v>2852</v>
      </c>
      <c r="I886" s="3" t="s">
        <v>13</v>
      </c>
      <c r="J886" s="7" t="str">
        <f>IFERROR(__xludf.DUMMYFUNCTION("SPLIT($A886,""Rua"","""")")," Três")</f>
        <v> Três</v>
      </c>
    </row>
    <row r="887" ht="15.75" customHeight="1">
      <c r="A887" s="5" t="s">
        <v>4589</v>
      </c>
      <c r="B887" s="5" t="s">
        <v>3649</v>
      </c>
      <c r="C887" s="4" t="s">
        <v>2839</v>
      </c>
      <c r="D887" s="5" t="s">
        <v>4591</v>
      </c>
      <c r="E887" s="6">
        <v>214.0</v>
      </c>
      <c r="F887" s="6" t="s">
        <v>12</v>
      </c>
      <c r="H887" s="4" t="s">
        <v>2852</v>
      </c>
      <c r="I887" s="3" t="s">
        <v>13</v>
      </c>
      <c r="J887" s="7" t="str">
        <f>IFERROR(__xludf.DUMMYFUNCTION("SPLIT($A887,""Rua"","""")")," Três")</f>
        <v> Três</v>
      </c>
    </row>
    <row r="888" ht="15.75" customHeight="1">
      <c r="A888" s="5" t="s">
        <v>4589</v>
      </c>
      <c r="B888" s="5" t="s">
        <v>3069</v>
      </c>
      <c r="C888" s="4" t="s">
        <v>2839</v>
      </c>
      <c r="D888" s="5" t="s">
        <v>4592</v>
      </c>
      <c r="E888" s="6">
        <v>214.0</v>
      </c>
      <c r="F888" s="6" t="s">
        <v>12</v>
      </c>
      <c r="H888" s="4" t="s">
        <v>2852</v>
      </c>
      <c r="I888" s="3" t="s">
        <v>13</v>
      </c>
      <c r="J888" s="7" t="str">
        <f>IFERROR(__xludf.DUMMYFUNCTION("SPLIT($A888,""Rua"","""")")," Três")</f>
        <v> Três</v>
      </c>
    </row>
    <row r="889" ht="15.75" customHeight="1">
      <c r="A889" s="5" t="s">
        <v>4589</v>
      </c>
      <c r="B889" s="5" t="s">
        <v>3533</v>
      </c>
      <c r="C889" s="4" t="s">
        <v>2839</v>
      </c>
      <c r="D889" s="5" t="s">
        <v>4593</v>
      </c>
      <c r="E889" s="6">
        <v>214.0</v>
      </c>
      <c r="F889" s="6" t="s">
        <v>12</v>
      </c>
      <c r="H889" s="4" t="s">
        <v>2852</v>
      </c>
      <c r="I889" s="3" t="s">
        <v>13</v>
      </c>
      <c r="J889" s="7" t="str">
        <f>IFERROR(__xludf.DUMMYFUNCTION("SPLIT($A889,""Rua"","""")")," Três")</f>
        <v> Três</v>
      </c>
    </row>
    <row r="890" ht="15.75" customHeight="1">
      <c r="A890" s="5" t="s">
        <v>4589</v>
      </c>
      <c r="B890" s="5" t="s">
        <v>3535</v>
      </c>
      <c r="C890" s="4" t="s">
        <v>2839</v>
      </c>
      <c r="D890" s="5" t="s">
        <v>4594</v>
      </c>
      <c r="E890" s="6">
        <v>214.0</v>
      </c>
      <c r="F890" s="6" t="s">
        <v>12</v>
      </c>
      <c r="H890" s="4" t="s">
        <v>2852</v>
      </c>
      <c r="I890" s="3" t="s">
        <v>13</v>
      </c>
      <c r="J890" s="7" t="str">
        <f>IFERROR(__xludf.DUMMYFUNCTION("SPLIT($A890,""Rua"","""")")," Três")</f>
        <v> Três</v>
      </c>
    </row>
    <row r="891" ht="15.75" customHeight="1">
      <c r="A891" s="5" t="s">
        <v>4595</v>
      </c>
      <c r="B891" s="5"/>
      <c r="C891" s="4" t="s">
        <v>2839</v>
      </c>
      <c r="D891" s="5" t="s">
        <v>4596</v>
      </c>
      <c r="E891" s="6">
        <v>214.0</v>
      </c>
      <c r="F891" s="6" t="s">
        <v>12</v>
      </c>
      <c r="H891" s="4" t="s">
        <v>2852</v>
      </c>
      <c r="I891" s="3" t="s">
        <v>13</v>
      </c>
      <c r="J891" s="7" t="str">
        <f>IFERROR(__xludf.DUMMYFUNCTION("SPLIT($A891,""Rua"","""")")," Três, s/n, Posto de Saúde, Fazenda CAIC, Agrovila
CPC CAIC Agrovila")</f>
        <v> Três, s/n, Posto de Saúde, Fazenda CAIC, Agrovila
CPC CAIC Agrovila</v>
      </c>
    </row>
    <row r="892" ht="15.75" customHeight="1">
      <c r="A892" s="5" t="s">
        <v>4597</v>
      </c>
      <c r="B892" s="5" t="s">
        <v>3069</v>
      </c>
      <c r="C892" s="4" t="s">
        <v>2839</v>
      </c>
      <c r="D892" s="5" t="s">
        <v>4598</v>
      </c>
      <c r="E892" s="6">
        <v>214.0</v>
      </c>
      <c r="F892" s="6" t="s">
        <v>12</v>
      </c>
      <c r="H892" s="4" t="s">
        <v>2852</v>
      </c>
      <c r="I892" s="3" t="s">
        <v>13</v>
      </c>
      <c r="J892" s="7" t="str">
        <f>IFERROR(__xludf.DUMMYFUNCTION("SPLIT($A892,""Rua"","""")")," Treze")</f>
        <v> Treze</v>
      </c>
    </row>
    <row r="893" ht="15.75" customHeight="1">
      <c r="A893" s="5" t="s">
        <v>4597</v>
      </c>
      <c r="B893" s="5" t="s">
        <v>3216</v>
      </c>
      <c r="C893" s="4" t="s">
        <v>2839</v>
      </c>
      <c r="D893" s="5" t="s">
        <v>4599</v>
      </c>
      <c r="E893" s="6">
        <v>214.0</v>
      </c>
      <c r="F893" s="6" t="s">
        <v>12</v>
      </c>
      <c r="H893" s="4" t="s">
        <v>2852</v>
      </c>
      <c r="I893" s="3" t="s">
        <v>13</v>
      </c>
      <c r="J893" s="7" t="str">
        <f>IFERROR(__xludf.DUMMYFUNCTION("SPLIT($A893,""Rua"","""")")," Treze")</f>
        <v> Treze</v>
      </c>
    </row>
    <row r="894" ht="15.75" customHeight="1">
      <c r="A894" s="5" t="s">
        <v>4600</v>
      </c>
      <c r="B894" s="5" t="s">
        <v>180</v>
      </c>
      <c r="C894" s="4" t="s">
        <v>2839</v>
      </c>
      <c r="D894" s="5" t="s">
        <v>4601</v>
      </c>
      <c r="E894" s="6">
        <v>214.0</v>
      </c>
      <c r="F894" s="6" t="s">
        <v>12</v>
      </c>
      <c r="H894" s="4" t="s">
        <v>2852</v>
      </c>
      <c r="I894" s="3" t="s">
        <v>13</v>
      </c>
      <c r="J894" s="7" t="str">
        <f>IFERROR(__xludf.DUMMYFUNCTION("SPLIT($A894,""Rua"","""")")," Tristão Pires")</f>
        <v> Tristão Pires</v>
      </c>
    </row>
    <row r="895" ht="15.75" customHeight="1">
      <c r="A895" s="5" t="s">
        <v>4602</v>
      </c>
      <c r="B895" s="5" t="s">
        <v>2945</v>
      </c>
      <c r="C895" s="4" t="s">
        <v>2839</v>
      </c>
      <c r="D895" s="5" t="s">
        <v>4603</v>
      </c>
      <c r="E895" s="6">
        <v>214.0</v>
      </c>
      <c r="F895" s="6" t="s">
        <v>12</v>
      </c>
      <c r="H895" s="4" t="s">
        <v>2852</v>
      </c>
      <c r="I895" s="3" t="s">
        <v>13</v>
      </c>
      <c r="J895" s="7" t="str">
        <f>IFERROR(__xludf.DUMMYFUNCTION("SPLIT($A895,""Rua"","""")")," Uirapurú")</f>
        <v> Uirapurú</v>
      </c>
    </row>
    <row r="896" ht="15.75" customHeight="1">
      <c r="A896" s="5" t="s">
        <v>4604</v>
      </c>
      <c r="B896" s="5" t="s">
        <v>2959</v>
      </c>
      <c r="C896" s="4" t="s">
        <v>2839</v>
      </c>
      <c r="D896" s="5" t="s">
        <v>4605</v>
      </c>
      <c r="E896" s="6">
        <v>214.0</v>
      </c>
      <c r="F896" s="6" t="s">
        <v>12</v>
      </c>
      <c r="H896" s="4" t="s">
        <v>2852</v>
      </c>
      <c r="I896" s="3" t="s">
        <v>13</v>
      </c>
      <c r="J896" s="7" t="str">
        <f>IFERROR(__xludf.DUMMYFUNCTION("SPLIT($A896,""Rua"","""")")," Ulisses Cornélio Vitorino")</f>
        <v> Ulisses Cornélio Vitorino</v>
      </c>
    </row>
    <row r="897" ht="15.75" customHeight="1">
      <c r="A897" s="5" t="s">
        <v>4606</v>
      </c>
      <c r="B897" s="5" t="s">
        <v>2994</v>
      </c>
      <c r="C897" s="4" t="s">
        <v>2839</v>
      </c>
      <c r="D897" s="5" t="s">
        <v>4607</v>
      </c>
      <c r="E897" s="6">
        <v>214.0</v>
      </c>
      <c r="F897" s="6" t="s">
        <v>12</v>
      </c>
      <c r="H897" s="4" t="s">
        <v>2852</v>
      </c>
      <c r="I897" s="3" t="s">
        <v>13</v>
      </c>
      <c r="J897" s="7" t="str">
        <f>IFERROR(__xludf.DUMMYFUNCTION("SPLIT($A897,""Rua"","""")")," Um")</f>
        <v> Um</v>
      </c>
    </row>
    <row r="898" ht="15.75" customHeight="1">
      <c r="A898" s="5" t="s">
        <v>4606</v>
      </c>
      <c r="B898" s="5" t="s">
        <v>3649</v>
      </c>
      <c r="C898" s="4" t="s">
        <v>2839</v>
      </c>
      <c r="D898" s="5" t="s">
        <v>4608</v>
      </c>
      <c r="E898" s="6">
        <v>214.0</v>
      </c>
      <c r="F898" s="6" t="s">
        <v>12</v>
      </c>
      <c r="H898" s="4" t="s">
        <v>2852</v>
      </c>
      <c r="I898" s="3" t="s">
        <v>13</v>
      </c>
      <c r="J898" s="7" t="str">
        <f>IFERROR(__xludf.DUMMYFUNCTION("SPLIT($A898,""Rua"","""")")," Um")</f>
        <v> Um</v>
      </c>
    </row>
    <row r="899" ht="15.75" customHeight="1">
      <c r="A899" s="5" t="s">
        <v>4606</v>
      </c>
      <c r="B899" s="5" t="s">
        <v>4609</v>
      </c>
      <c r="C899" s="4" t="s">
        <v>2839</v>
      </c>
      <c r="D899" s="5" t="s">
        <v>4610</v>
      </c>
      <c r="E899" s="6">
        <v>214.0</v>
      </c>
      <c r="F899" s="6" t="s">
        <v>12</v>
      </c>
      <c r="H899" s="4" t="s">
        <v>2852</v>
      </c>
      <c r="I899" s="3" t="s">
        <v>13</v>
      </c>
      <c r="J899" s="7" t="str">
        <f>IFERROR(__xludf.DUMMYFUNCTION("SPLIT($A899,""Rua"","""")")," Um")</f>
        <v> Um</v>
      </c>
    </row>
    <row r="900" ht="15.75" customHeight="1">
      <c r="A900" s="5" t="s">
        <v>4606</v>
      </c>
      <c r="B900" s="5" t="s">
        <v>3069</v>
      </c>
      <c r="C900" s="4" t="s">
        <v>2839</v>
      </c>
      <c r="D900" s="5" t="s">
        <v>4611</v>
      </c>
      <c r="E900" s="6">
        <v>214.0</v>
      </c>
      <c r="F900" s="6" t="s">
        <v>12</v>
      </c>
      <c r="H900" s="4" t="s">
        <v>2852</v>
      </c>
      <c r="I900" s="3" t="s">
        <v>13</v>
      </c>
      <c r="J900" s="7" t="str">
        <f>IFERROR(__xludf.DUMMYFUNCTION("SPLIT($A900,""Rua"","""")")," Um")</f>
        <v> Um</v>
      </c>
    </row>
    <row r="901" ht="15.75" customHeight="1">
      <c r="A901" s="5" t="s">
        <v>4606</v>
      </c>
      <c r="B901" s="5" t="s">
        <v>3533</v>
      </c>
      <c r="C901" s="4" t="s">
        <v>2839</v>
      </c>
      <c r="D901" s="5" t="s">
        <v>4612</v>
      </c>
      <c r="E901" s="6">
        <v>214.0</v>
      </c>
      <c r="F901" s="6" t="s">
        <v>12</v>
      </c>
      <c r="H901" s="4" t="s">
        <v>2852</v>
      </c>
      <c r="I901" s="3" t="s">
        <v>13</v>
      </c>
      <c r="J901" s="7" t="str">
        <f>IFERROR(__xludf.DUMMYFUNCTION("SPLIT($A901,""Rua"","""")")," Um")</f>
        <v> Um</v>
      </c>
    </row>
    <row r="902" ht="15.75" customHeight="1">
      <c r="A902" s="5" t="s">
        <v>4606</v>
      </c>
      <c r="B902" s="5" t="s">
        <v>3535</v>
      </c>
      <c r="C902" s="4" t="s">
        <v>2839</v>
      </c>
      <c r="D902" s="5" t="s">
        <v>4613</v>
      </c>
      <c r="E902" s="6">
        <v>214.0</v>
      </c>
      <c r="F902" s="6" t="s">
        <v>12</v>
      </c>
      <c r="H902" s="4" t="s">
        <v>2852</v>
      </c>
      <c r="I902" s="3" t="s">
        <v>13</v>
      </c>
      <c r="J902" s="7" t="str">
        <f>IFERROR(__xludf.DUMMYFUNCTION("SPLIT($A902,""Rua"","""")")," Um")</f>
        <v> Um</v>
      </c>
    </row>
    <row r="903" ht="15.75" customHeight="1">
      <c r="A903" s="5" t="s">
        <v>4614</v>
      </c>
      <c r="B903" s="5" t="s">
        <v>3061</v>
      </c>
      <c r="C903" s="4" t="s">
        <v>2839</v>
      </c>
      <c r="D903" s="5" t="s">
        <v>4615</v>
      </c>
      <c r="E903" s="6">
        <v>214.0</v>
      </c>
      <c r="F903" s="6" t="s">
        <v>12</v>
      </c>
      <c r="H903" s="4" t="s">
        <v>2852</v>
      </c>
      <c r="I903" s="3" t="s">
        <v>13</v>
      </c>
      <c r="J903" s="7" t="str">
        <f>IFERROR(__xludf.DUMMYFUNCTION("SPLIT($A903,""Rua"","""")")," Valdemar de Almeida")</f>
        <v> Valdemar de Almeida</v>
      </c>
    </row>
    <row r="904" ht="15.75" customHeight="1">
      <c r="A904" s="5" t="s">
        <v>4616</v>
      </c>
      <c r="B904" s="5" t="s">
        <v>3063</v>
      </c>
      <c r="C904" s="4" t="s">
        <v>2839</v>
      </c>
      <c r="D904" s="5" t="s">
        <v>4617</v>
      </c>
      <c r="E904" s="6">
        <v>214.0</v>
      </c>
      <c r="F904" s="6" t="s">
        <v>12</v>
      </c>
      <c r="H904" s="4" t="s">
        <v>2852</v>
      </c>
      <c r="I904" s="3" t="s">
        <v>13</v>
      </c>
      <c r="J904" s="7" t="str">
        <f>IFERROR(__xludf.DUMMYFUNCTION("SPLIT($A904,""Rua"","""")")," Valdemar Veroneze")</f>
        <v> Valdemar Veroneze</v>
      </c>
    </row>
    <row r="905" ht="15.75" customHeight="1">
      <c r="A905" s="5" t="s">
        <v>4618</v>
      </c>
      <c r="B905" s="5" t="s">
        <v>3197</v>
      </c>
      <c r="C905" s="4" t="s">
        <v>2839</v>
      </c>
      <c r="D905" s="5" t="s">
        <v>4619</v>
      </c>
      <c r="E905" s="6">
        <v>214.0</v>
      </c>
      <c r="F905" s="6" t="s">
        <v>12</v>
      </c>
      <c r="H905" s="4" t="s">
        <v>2852</v>
      </c>
      <c r="I905" s="3" t="s">
        <v>13</v>
      </c>
      <c r="J905" s="7" t="str">
        <f>IFERROR(__xludf.DUMMYFUNCTION("SPLIT($A905,""Rua"","""")")," Valderez Pires")</f>
        <v> Valderez Pires</v>
      </c>
    </row>
    <row r="906" ht="15.75" customHeight="1">
      <c r="A906" s="5" t="s">
        <v>4620</v>
      </c>
      <c r="B906" s="5" t="s">
        <v>3018</v>
      </c>
      <c r="C906" s="4" t="s">
        <v>2839</v>
      </c>
      <c r="D906" s="5" t="s">
        <v>4621</v>
      </c>
      <c r="E906" s="6">
        <v>214.0</v>
      </c>
      <c r="F906" s="6" t="s">
        <v>12</v>
      </c>
      <c r="H906" s="4" t="s">
        <v>2852</v>
      </c>
      <c r="I906" s="3" t="s">
        <v>13</v>
      </c>
      <c r="J906" s="7" t="str">
        <f>IFERROR(__xludf.DUMMYFUNCTION("SPLIT($A906,""Rua"","""")")," Valdir de Lara")</f>
        <v> Valdir de Lara</v>
      </c>
    </row>
    <row r="907" ht="15.75" customHeight="1">
      <c r="A907" s="5" t="s">
        <v>4622</v>
      </c>
      <c r="B907" s="5" t="s">
        <v>3034</v>
      </c>
      <c r="C907" s="4" t="s">
        <v>2839</v>
      </c>
      <c r="D907" s="5" t="s">
        <v>4623</v>
      </c>
      <c r="E907" s="6">
        <v>214.0</v>
      </c>
      <c r="F907" s="6" t="s">
        <v>12</v>
      </c>
      <c r="H907" s="4" t="s">
        <v>2852</v>
      </c>
      <c r="I907" s="3" t="s">
        <v>13</v>
      </c>
      <c r="J907" s="7" t="str">
        <f>IFERROR(__xludf.DUMMYFUNCTION("SPLIT($A907,""Rua"","""")")," Valdir José Ferrari")</f>
        <v> Valdir José Ferrari</v>
      </c>
    </row>
    <row r="908" ht="15.75" customHeight="1">
      <c r="A908" s="5" t="s">
        <v>4624</v>
      </c>
      <c r="B908" s="5" t="s">
        <v>3216</v>
      </c>
      <c r="C908" s="4" t="s">
        <v>2839</v>
      </c>
      <c r="D908" s="5" t="s">
        <v>4625</v>
      </c>
      <c r="E908" s="6">
        <v>214.0</v>
      </c>
      <c r="F908" s="6" t="s">
        <v>12</v>
      </c>
      <c r="H908" s="4" t="s">
        <v>2852</v>
      </c>
      <c r="I908" s="3" t="s">
        <v>13</v>
      </c>
      <c r="J908" s="7" t="str">
        <f>IFERROR(__xludf.DUMMYFUNCTION("SPLIT($A908,""Rua"","""")")," Valdomiro Dalbó")</f>
        <v> Valdomiro Dalbó</v>
      </c>
    </row>
    <row r="909" ht="15.75" customHeight="1">
      <c r="A909" s="5" t="s">
        <v>4626</v>
      </c>
      <c r="B909" s="5" t="s">
        <v>4142</v>
      </c>
      <c r="C909" s="4" t="s">
        <v>2839</v>
      </c>
      <c r="D909" s="5" t="s">
        <v>4627</v>
      </c>
      <c r="E909" s="6">
        <v>214.0</v>
      </c>
      <c r="F909" s="6" t="s">
        <v>12</v>
      </c>
      <c r="H909" s="4" t="s">
        <v>2852</v>
      </c>
      <c r="I909" s="3" t="s">
        <v>13</v>
      </c>
      <c r="J909" s="7" t="str">
        <f>IFERROR(__xludf.DUMMYFUNCTION("SPLIT($A909,""Rua"","""")")," Valter Albiero")</f>
        <v> Valter Albiero</v>
      </c>
    </row>
    <row r="910" ht="15.75" customHeight="1">
      <c r="A910" s="5" t="s">
        <v>4628</v>
      </c>
      <c r="B910" s="5" t="s">
        <v>3061</v>
      </c>
      <c r="C910" s="4" t="s">
        <v>2839</v>
      </c>
      <c r="D910" s="5" t="s">
        <v>4629</v>
      </c>
      <c r="E910" s="6">
        <v>214.0</v>
      </c>
      <c r="F910" s="6" t="s">
        <v>12</v>
      </c>
      <c r="H910" s="4" t="s">
        <v>2852</v>
      </c>
      <c r="I910" s="3" t="s">
        <v>13</v>
      </c>
      <c r="J910" s="7" t="str">
        <f>IFERROR(__xludf.DUMMYFUNCTION("SPLIT($A910,""Rua"","""")")," Vereador Irineu Bueno")</f>
        <v> Vereador Irineu Bueno</v>
      </c>
    </row>
    <row r="911" ht="15.75" customHeight="1">
      <c r="A911" s="5" t="s">
        <v>4630</v>
      </c>
      <c r="B911" s="5" t="s">
        <v>3216</v>
      </c>
      <c r="C911" s="4" t="s">
        <v>2839</v>
      </c>
      <c r="D911" s="5" t="s">
        <v>4631</v>
      </c>
      <c r="E911" s="6">
        <v>214.0</v>
      </c>
      <c r="F911" s="6" t="s">
        <v>12</v>
      </c>
      <c r="H911" s="4" t="s">
        <v>2852</v>
      </c>
      <c r="I911" s="3" t="s">
        <v>13</v>
      </c>
      <c r="J911" s="7" t="str">
        <f>IFERROR(__xludf.DUMMYFUNCTION("SPLIT($A911,""Rua"","""")")," Vereador João Batista Rodrigues")</f>
        <v> Vereador João Batista Rodrigues</v>
      </c>
    </row>
    <row r="912" ht="15.75" customHeight="1">
      <c r="A912" s="5" t="s">
        <v>4632</v>
      </c>
      <c r="B912" s="5" t="s">
        <v>3586</v>
      </c>
      <c r="C912" s="4" t="s">
        <v>2839</v>
      </c>
      <c r="D912" s="5" t="s">
        <v>4633</v>
      </c>
      <c r="E912" s="6">
        <v>214.0</v>
      </c>
      <c r="F912" s="6" t="s">
        <v>12</v>
      </c>
      <c r="H912" s="4" t="s">
        <v>2852</v>
      </c>
      <c r="I912" s="3" t="s">
        <v>13</v>
      </c>
      <c r="J912" s="7" t="str">
        <f>IFERROR(__xludf.DUMMYFUNCTION("SPLIT($A912,""Rua"","""")")," Vergínio Angelieri")</f>
        <v> Vergínio Angelieri</v>
      </c>
    </row>
    <row r="913" ht="15.75" customHeight="1">
      <c r="A913" s="5" t="s">
        <v>4634</v>
      </c>
      <c r="B913" s="5" t="s">
        <v>3243</v>
      </c>
      <c r="C913" s="4" t="s">
        <v>2839</v>
      </c>
      <c r="D913" s="5" t="s">
        <v>4635</v>
      </c>
      <c r="E913" s="6">
        <v>214.0</v>
      </c>
      <c r="F913" s="6" t="s">
        <v>12</v>
      </c>
      <c r="H913" s="4" t="s">
        <v>2852</v>
      </c>
      <c r="I913" s="3" t="s">
        <v>13</v>
      </c>
      <c r="J913" s="7" t="str">
        <f>IFERROR(__xludf.DUMMYFUNCTION("SPLIT($A913,""Rua"","""")")," Vicente de Carvalho")</f>
        <v> Vicente de Carvalho</v>
      </c>
    </row>
    <row r="914" ht="15.75" customHeight="1">
      <c r="A914" s="5" t="s">
        <v>4636</v>
      </c>
      <c r="B914" s="5" t="s">
        <v>180</v>
      </c>
      <c r="C914" s="4" t="s">
        <v>2839</v>
      </c>
      <c r="D914" s="5" t="s">
        <v>4637</v>
      </c>
      <c r="E914" s="6">
        <v>214.0</v>
      </c>
      <c r="F914" s="6" t="s">
        <v>12</v>
      </c>
      <c r="H914" s="4" t="s">
        <v>2852</v>
      </c>
      <c r="I914" s="3" t="s">
        <v>13</v>
      </c>
      <c r="J914" s="7" t="str">
        <f>IFERROR(__xludf.DUMMYFUNCTION("SPLIT($A914,""Rua"","""")")," Vicente Guarini")</f>
        <v> Vicente Guarini</v>
      </c>
    </row>
    <row r="915" ht="15.75" customHeight="1">
      <c r="A915" s="5" t="s">
        <v>4636</v>
      </c>
      <c r="B915" s="5" t="s">
        <v>3012</v>
      </c>
      <c r="C915" s="4" t="s">
        <v>2839</v>
      </c>
      <c r="D915" s="5" t="s">
        <v>4638</v>
      </c>
      <c r="E915" s="6">
        <v>214.0</v>
      </c>
      <c r="F915" s="6" t="s">
        <v>12</v>
      </c>
      <c r="H915" s="4" t="s">
        <v>2852</v>
      </c>
      <c r="I915" s="3" t="s">
        <v>13</v>
      </c>
      <c r="J915" s="7" t="str">
        <f>IFERROR(__xludf.DUMMYFUNCTION("SPLIT($A915,""Rua"","""")")," Vicente Guarini")</f>
        <v> Vicente Guarini</v>
      </c>
    </row>
    <row r="916" ht="15.75" customHeight="1">
      <c r="A916" s="5" t="s">
        <v>4639</v>
      </c>
      <c r="B916" s="5" t="s">
        <v>3034</v>
      </c>
      <c r="C916" s="4" t="s">
        <v>2839</v>
      </c>
      <c r="D916" s="5" t="s">
        <v>4640</v>
      </c>
      <c r="E916" s="6">
        <v>214.0</v>
      </c>
      <c r="F916" s="6" t="s">
        <v>12</v>
      </c>
      <c r="H916" s="4" t="s">
        <v>2852</v>
      </c>
      <c r="I916" s="3" t="s">
        <v>13</v>
      </c>
      <c r="J916" s="7" t="str">
        <f>IFERROR(__xludf.DUMMYFUNCTION("SPLIT($A916,""Rua"","""")")," Vicente Henrique Marconi")</f>
        <v> Vicente Henrique Marconi</v>
      </c>
    </row>
    <row r="917" ht="15.75" customHeight="1">
      <c r="A917" s="5" t="s">
        <v>4641</v>
      </c>
      <c r="B917" s="5" t="s">
        <v>3012</v>
      </c>
      <c r="C917" s="4" t="s">
        <v>2839</v>
      </c>
      <c r="D917" s="5" t="s">
        <v>4642</v>
      </c>
      <c r="E917" s="6">
        <v>214.0</v>
      </c>
      <c r="F917" s="6" t="s">
        <v>12</v>
      </c>
      <c r="H917" s="4" t="s">
        <v>2852</v>
      </c>
      <c r="I917" s="3" t="s">
        <v>13</v>
      </c>
      <c r="J917" s="7" t="str">
        <f>IFERROR(__xludf.DUMMYFUNCTION("SPLIT($A917,""Rua"","""")")," Vicente Ravazio")</f>
        <v> Vicente Ravazio</v>
      </c>
    </row>
    <row r="918" ht="15.75" customHeight="1">
      <c r="A918" s="5" t="s">
        <v>4643</v>
      </c>
      <c r="B918" s="5" t="s">
        <v>3058</v>
      </c>
      <c r="C918" s="4" t="s">
        <v>2839</v>
      </c>
      <c r="D918" s="5" t="s">
        <v>4644</v>
      </c>
      <c r="E918" s="6">
        <v>214.0</v>
      </c>
      <c r="F918" s="6" t="s">
        <v>12</v>
      </c>
      <c r="H918" s="4" t="s">
        <v>2852</v>
      </c>
      <c r="I918" s="3" t="s">
        <v>13</v>
      </c>
      <c r="J918" s="7" t="str">
        <f>IFERROR(__xludf.DUMMYFUNCTION("SPLIT($A918,""Rua"","""")")," Victório Marteletto")</f>
        <v> Victório Marteletto</v>
      </c>
    </row>
    <row r="919" ht="15.75" customHeight="1">
      <c r="A919" s="5" t="s">
        <v>4645</v>
      </c>
      <c r="B919" s="5" t="s">
        <v>3162</v>
      </c>
      <c r="C919" s="4" t="s">
        <v>2839</v>
      </c>
      <c r="D919" s="5" t="s">
        <v>4646</v>
      </c>
      <c r="E919" s="6">
        <v>214.0</v>
      </c>
      <c r="F919" s="6" t="s">
        <v>12</v>
      </c>
      <c r="H919" s="4" t="s">
        <v>2852</v>
      </c>
      <c r="I919" s="3" t="s">
        <v>13</v>
      </c>
      <c r="J919" s="7" t="str">
        <f>IFERROR(__xludf.DUMMYFUNCTION("SPLIT($A919,""Rua"","""")")," Virgilino de Oliveira Santos")</f>
        <v> Virgilino de Oliveira Santos</v>
      </c>
    </row>
    <row r="920" ht="15.75" customHeight="1">
      <c r="A920" s="5" t="s">
        <v>4647</v>
      </c>
      <c r="B920" s="5" t="s">
        <v>3039</v>
      </c>
      <c r="C920" s="4" t="s">
        <v>2839</v>
      </c>
      <c r="D920" s="5" t="s">
        <v>4648</v>
      </c>
      <c r="E920" s="6">
        <v>214.0</v>
      </c>
      <c r="F920" s="6" t="s">
        <v>12</v>
      </c>
      <c r="H920" s="4" t="s">
        <v>2852</v>
      </c>
      <c r="I920" s="3" t="s">
        <v>13</v>
      </c>
      <c r="J920" s="7" t="str">
        <f>IFERROR(__xludf.DUMMYFUNCTION("SPLIT($A920,""Rua"","""")")," Virgilino Rosa Pimenta")</f>
        <v> Virgilino Rosa Pimenta</v>
      </c>
    </row>
    <row r="921" ht="15.75" customHeight="1">
      <c r="A921" s="5" t="s">
        <v>4649</v>
      </c>
      <c r="B921" s="5" t="s">
        <v>3042</v>
      </c>
      <c r="C921" s="4" t="s">
        <v>2839</v>
      </c>
      <c r="D921" s="5" t="s">
        <v>4650</v>
      </c>
      <c r="E921" s="6">
        <v>214.0</v>
      </c>
      <c r="F921" s="6" t="s">
        <v>12</v>
      </c>
      <c r="H921" s="4" t="s">
        <v>2852</v>
      </c>
      <c r="I921" s="3" t="s">
        <v>13</v>
      </c>
      <c r="J921" s="7" t="str">
        <f>IFERROR(__xludf.DUMMYFUNCTION("SPLIT($A921,""Rua"","""")")," Vitório Angelo Marchi")</f>
        <v> Vitório Angelo Marchi</v>
      </c>
    </row>
    <row r="922" ht="15.75" customHeight="1">
      <c r="A922" s="5" t="s">
        <v>4651</v>
      </c>
      <c r="B922" s="5" t="s">
        <v>3299</v>
      </c>
      <c r="C922" s="4" t="s">
        <v>2839</v>
      </c>
      <c r="D922" s="5" t="s">
        <v>4652</v>
      </c>
      <c r="E922" s="6">
        <v>214.0</v>
      </c>
      <c r="F922" s="6" t="s">
        <v>12</v>
      </c>
      <c r="H922" s="4" t="s">
        <v>2852</v>
      </c>
      <c r="I922" s="3" t="s">
        <v>13</v>
      </c>
      <c r="J922" s="7" t="str">
        <f>IFERROR(__xludf.DUMMYFUNCTION("SPLIT($A922,""Rua"","""")")," Vitório Bello")</f>
        <v> Vitório Bello</v>
      </c>
    </row>
    <row r="923" ht="15.75" customHeight="1">
      <c r="A923" s="5" t="s">
        <v>4653</v>
      </c>
      <c r="B923" s="5" t="s">
        <v>180</v>
      </c>
      <c r="C923" s="4" t="s">
        <v>2839</v>
      </c>
      <c r="D923" s="5" t="s">
        <v>4654</v>
      </c>
      <c r="E923" s="6">
        <v>214.0</v>
      </c>
      <c r="F923" s="6" t="s">
        <v>12</v>
      </c>
      <c r="H923" s="4" t="s">
        <v>2852</v>
      </c>
      <c r="I923" s="3" t="s">
        <v>13</v>
      </c>
      <c r="J923" s="7" t="str">
        <f>IFERROR(__xludf.DUMMYFUNCTION("SPLIT($A923,""Rua"","""")")," Wilma Antunes Garcia")</f>
        <v> Wilma Antunes Garcia</v>
      </c>
    </row>
    <row r="924" ht="15.75" customHeight="1">
      <c r="A924" s="5" t="s">
        <v>4655</v>
      </c>
      <c r="B924" s="5" t="s">
        <v>3226</v>
      </c>
      <c r="C924" s="4" t="s">
        <v>2839</v>
      </c>
      <c r="D924" s="5" t="s">
        <v>4656</v>
      </c>
      <c r="E924" s="6">
        <v>214.0</v>
      </c>
      <c r="F924" s="6" t="s">
        <v>12</v>
      </c>
      <c r="H924" s="4" t="s">
        <v>2852</v>
      </c>
      <c r="I924" s="3" t="s">
        <v>13</v>
      </c>
      <c r="J924" s="7" t="str">
        <f>IFERROR(__xludf.DUMMYFUNCTION("SPLIT($A924,""Rua"","""")")," Zacarias Cadete da Silva")</f>
        <v> Zacarias Cadete da Silva</v>
      </c>
    </row>
    <row r="925" ht="15.75" customHeight="1">
      <c r="A925" s="5" t="s">
        <v>4657</v>
      </c>
      <c r="B925" s="5" t="s">
        <v>180</v>
      </c>
      <c r="C925" s="4" t="s">
        <v>2839</v>
      </c>
      <c r="D925" s="5" t="s">
        <v>4658</v>
      </c>
      <c r="E925" s="6">
        <v>214.0</v>
      </c>
      <c r="F925" s="6" t="s">
        <v>12</v>
      </c>
      <c r="H925" s="4" t="s">
        <v>2852</v>
      </c>
      <c r="I925" s="3" t="s">
        <v>13</v>
      </c>
      <c r="J925" s="7" t="str">
        <f>IFERROR(__xludf.DUMMYFUNCTION("SPLIT($A925,""Rua"","""")")," 16 de Abril")</f>
        <v> 16 de Abril</v>
      </c>
    </row>
    <row r="926" ht="15.75" customHeight="1">
      <c r="A926" s="5" t="s">
        <v>4659</v>
      </c>
      <c r="B926" s="5" t="s">
        <v>3294</v>
      </c>
      <c r="C926" s="4" t="s">
        <v>2839</v>
      </c>
      <c r="D926" s="5" t="s">
        <v>4660</v>
      </c>
      <c r="E926" s="6">
        <v>214.0</v>
      </c>
      <c r="F926" s="6" t="s">
        <v>12</v>
      </c>
      <c r="H926" s="4" t="s">
        <v>2852</v>
      </c>
      <c r="I926" s="3" t="s">
        <v>13</v>
      </c>
      <c r="J926" s="7" t="str">
        <f>IFERROR(__xludf.DUMMYFUNCTION("SPLIT($A926,""Rua"","""")")," 9 de Julho")</f>
        <v> 9 de Julho</v>
      </c>
    </row>
    <row r="927" ht="15.75" customHeight="1">
      <c r="A927" s="13" t="s">
        <v>4661</v>
      </c>
      <c r="B927" s="13" t="s">
        <v>180</v>
      </c>
      <c r="C927" s="4" t="s">
        <v>2839</v>
      </c>
      <c r="D927" s="13" t="s">
        <v>4662</v>
      </c>
      <c r="E927" s="6">
        <v>214.0</v>
      </c>
      <c r="F927" s="6" t="s">
        <v>12</v>
      </c>
      <c r="H927" s="19" t="s">
        <v>4663</v>
      </c>
      <c r="I927" s="3" t="s">
        <v>13</v>
      </c>
      <c r="J927" s="7" t="str">
        <f>IFERROR(__xludf.DUMMYFUNCTION("SPLIT(A927,""Travessa"","""")")," Alberto Gerth")</f>
        <v> Alberto Gerth</v>
      </c>
    </row>
    <row r="928" ht="15.75" customHeight="1">
      <c r="A928" s="5" t="s">
        <v>4664</v>
      </c>
      <c r="B928" s="5" t="s">
        <v>3061</v>
      </c>
      <c r="C928" s="4" t="s">
        <v>2839</v>
      </c>
      <c r="D928" s="5" t="s">
        <v>4665</v>
      </c>
      <c r="E928" s="6">
        <v>214.0</v>
      </c>
      <c r="F928" s="6" t="s">
        <v>12</v>
      </c>
      <c r="H928" s="19" t="s">
        <v>4663</v>
      </c>
      <c r="I928" s="3" t="s">
        <v>13</v>
      </c>
      <c r="J928" s="7" t="str">
        <f>IFERROR(__xludf.DUMMYFUNCTION("SPLIT(A928,""Travessa"","""")")," Antônio Nunes")</f>
        <v> Antônio Nunes</v>
      </c>
    </row>
    <row r="929" ht="15.75" customHeight="1">
      <c r="A929" s="5" t="s">
        <v>4666</v>
      </c>
      <c r="B929" s="5" t="s">
        <v>180</v>
      </c>
      <c r="C929" s="4" t="s">
        <v>2839</v>
      </c>
      <c r="D929" s="5" t="s">
        <v>4667</v>
      </c>
      <c r="E929" s="6">
        <v>214.0</v>
      </c>
      <c r="F929" s="6" t="s">
        <v>12</v>
      </c>
      <c r="H929" s="19" t="s">
        <v>4663</v>
      </c>
      <c r="I929" s="3" t="s">
        <v>13</v>
      </c>
      <c r="J929" s="7" t="str">
        <f>IFERROR(__xludf.DUMMYFUNCTION("SPLIT(A929,""Travessa"","""")")," Belmira Moraes Fernandes")</f>
        <v> Belmira Moraes Fernandes</v>
      </c>
    </row>
    <row r="930" ht="15.75" customHeight="1">
      <c r="A930" s="5" t="s">
        <v>4668</v>
      </c>
      <c r="B930" s="5" t="s">
        <v>2980</v>
      </c>
      <c r="C930" s="4" t="s">
        <v>2839</v>
      </c>
      <c r="D930" s="5" t="s">
        <v>4669</v>
      </c>
      <c r="E930" s="6">
        <v>214.0</v>
      </c>
      <c r="F930" s="6" t="s">
        <v>12</v>
      </c>
      <c r="H930" s="19" t="s">
        <v>4663</v>
      </c>
      <c r="I930" s="3" t="s">
        <v>13</v>
      </c>
      <c r="J930" s="7" t="str">
        <f>IFERROR(__xludf.DUMMYFUNCTION("SPLIT(A930,""Travessa"","""")")," Cinco")</f>
        <v> Cinco</v>
      </c>
    </row>
    <row r="931" ht="15.75" customHeight="1">
      <c r="A931" s="5" t="s">
        <v>4670</v>
      </c>
      <c r="B931" s="5" t="s">
        <v>2980</v>
      </c>
      <c r="C931" s="4" t="s">
        <v>2839</v>
      </c>
      <c r="D931" s="5" t="s">
        <v>4671</v>
      </c>
      <c r="E931" s="6">
        <v>214.0</v>
      </c>
      <c r="F931" s="6" t="s">
        <v>12</v>
      </c>
      <c r="H931" s="19" t="s">
        <v>4663</v>
      </c>
      <c r="I931" s="3" t="s">
        <v>13</v>
      </c>
      <c r="J931" s="7" t="str">
        <f>IFERROR(__xludf.DUMMYFUNCTION("SPLIT(A931,""Travessa"","""")")," Dois")</f>
        <v> Dois</v>
      </c>
    </row>
    <row r="932" ht="15.75" customHeight="1">
      <c r="A932" s="5" t="s">
        <v>4672</v>
      </c>
      <c r="B932" s="5" t="s">
        <v>2945</v>
      </c>
      <c r="C932" s="4" t="s">
        <v>2839</v>
      </c>
      <c r="D932" s="5" t="s">
        <v>4673</v>
      </c>
      <c r="E932" s="6">
        <v>214.0</v>
      </c>
      <c r="F932" s="6" t="s">
        <v>12</v>
      </c>
      <c r="H932" s="19" t="s">
        <v>4663</v>
      </c>
      <c r="I932" s="3" t="s">
        <v>13</v>
      </c>
      <c r="J932" s="7" t="str">
        <f>IFERROR(__xludf.DUMMYFUNCTION("SPLIT(A932,""Travessa"","""")")," Itacira")</f>
        <v> Itacira</v>
      </c>
    </row>
    <row r="933" ht="15.75" customHeight="1">
      <c r="A933" s="5" t="s">
        <v>4674</v>
      </c>
      <c r="B933" s="5" t="s">
        <v>2980</v>
      </c>
      <c r="C933" s="4" t="s">
        <v>2839</v>
      </c>
      <c r="D933" s="5" t="s">
        <v>4675</v>
      </c>
      <c r="E933" s="6">
        <v>214.0</v>
      </c>
      <c r="F933" s="6" t="s">
        <v>12</v>
      </c>
      <c r="H933" s="19" t="s">
        <v>4663</v>
      </c>
      <c r="I933" s="3" t="s">
        <v>13</v>
      </c>
      <c r="J933" s="7" t="str">
        <f>IFERROR(__xludf.DUMMYFUNCTION("SPLIT(A933,""Travessa"","""")")," Quatro")</f>
        <v> Quatro</v>
      </c>
    </row>
    <row r="934" ht="15.75" customHeight="1">
      <c r="A934" s="5" t="s">
        <v>4676</v>
      </c>
      <c r="B934" s="5" t="s">
        <v>180</v>
      </c>
      <c r="C934" s="4" t="s">
        <v>2839</v>
      </c>
      <c r="D934" s="5" t="s">
        <v>4677</v>
      </c>
      <c r="E934" s="6">
        <v>214.0</v>
      </c>
      <c r="F934" s="6" t="s">
        <v>12</v>
      </c>
      <c r="H934" s="19" t="s">
        <v>4663</v>
      </c>
      <c r="I934" s="3" t="s">
        <v>13</v>
      </c>
      <c r="J934" s="7" t="str">
        <f>IFERROR(__xludf.DUMMYFUNCTION("SPLIT(A934,""Travessa"","""")")," Restilde Henrique")</f>
        <v> Restilde Henrique</v>
      </c>
    </row>
    <row r="935" ht="15.75" customHeight="1">
      <c r="A935" s="5" t="s">
        <v>4678</v>
      </c>
      <c r="B935" s="5" t="s">
        <v>2980</v>
      </c>
      <c r="C935" s="4" t="s">
        <v>2839</v>
      </c>
      <c r="D935" s="5" t="s">
        <v>4679</v>
      </c>
      <c r="E935" s="6">
        <v>214.0</v>
      </c>
      <c r="F935" s="6" t="s">
        <v>12</v>
      </c>
      <c r="H935" s="19" t="s">
        <v>4663</v>
      </c>
      <c r="I935" s="3" t="s">
        <v>13</v>
      </c>
      <c r="J935" s="7" t="str">
        <f>IFERROR(__xludf.DUMMYFUNCTION("SPLIT(A935,""Travessa"","""")")," Três")</f>
        <v> Três</v>
      </c>
    </row>
    <row r="936" ht="15.75" customHeight="1">
      <c r="A936" s="5" t="s">
        <v>4680</v>
      </c>
      <c r="B936" s="5" t="s">
        <v>2980</v>
      </c>
      <c r="C936" s="4" t="s">
        <v>2839</v>
      </c>
      <c r="D936" s="5" t="s">
        <v>4681</v>
      </c>
      <c r="E936" s="6">
        <v>214.0</v>
      </c>
      <c r="F936" s="6" t="s">
        <v>12</v>
      </c>
      <c r="H936" s="19" t="s">
        <v>4663</v>
      </c>
      <c r="I936" s="3" t="s">
        <v>13</v>
      </c>
      <c r="J936" s="7" t="str">
        <f>IFERROR(__xludf.DUMMYFUNCTION("SPLIT(A936,""Travessa"","""")")," Um")</f>
        <v> Um</v>
      </c>
    </row>
    <row r="937" ht="15.75" customHeight="1">
      <c r="A937" s="5" t="s">
        <v>4682</v>
      </c>
      <c r="B937" s="5" t="s">
        <v>180</v>
      </c>
      <c r="C937" s="4" t="s">
        <v>2839</v>
      </c>
      <c r="D937" s="5" t="s">
        <v>4683</v>
      </c>
      <c r="E937" s="6">
        <v>214.0</v>
      </c>
      <c r="F937" s="6" t="s">
        <v>12</v>
      </c>
      <c r="H937" s="19" t="s">
        <v>4663</v>
      </c>
      <c r="I937" s="3" t="s">
        <v>13</v>
      </c>
      <c r="J937" s="7" t="str">
        <f>IFERROR(__xludf.DUMMYFUNCTION("SPLIT(A937,""Travessa"","""")")," Vitória Albiero")</f>
        <v> Vitória Albiero</v>
      </c>
    </row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D$937"/>
  <drawing r:id="rId1"/>
</worksheet>
</file>