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hidePivotFieldList="1"/>
  <mc:AlternateContent xmlns:mc="http://schemas.openxmlformats.org/markup-compatibility/2006">
    <mc:Choice Requires="x15">
      <x15ac:absPath xmlns:x15ac="http://schemas.microsoft.com/office/spreadsheetml/2010/11/ac" url="https://d.docs.live.net/e533cb302ce5516b/Documents/"/>
    </mc:Choice>
  </mc:AlternateContent>
  <xr:revisionPtr revIDLastSave="4" documentId="13_ncr:1_{E1E8C05A-8DB7-4857-AB14-8372A8344731}" xr6:coauthVersionLast="47" xr6:coauthVersionMax="47" xr10:uidLastSave="{345394CE-31E2-4D58-83AE-21ABD696525C}"/>
  <bookViews>
    <workbookView xWindow="-120" yWindow="-120" windowWidth="29040" windowHeight="159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2" i="1" l="1"/>
  <c r="D82" i="1"/>
  <c r="E82" i="1"/>
  <c r="F82" i="1"/>
  <c r="G82" i="1"/>
  <c r="H82" i="1"/>
  <c r="I82" i="1"/>
  <c r="J82" i="1"/>
  <c r="K82" i="1"/>
  <c r="L82" i="1"/>
  <c r="M82" i="1"/>
  <c r="N82" i="1"/>
  <c r="O82" i="1"/>
  <c r="B82" i="1"/>
  <c r="C81" i="1"/>
  <c r="D81" i="1"/>
  <c r="E81" i="1"/>
  <c r="F81" i="1"/>
  <c r="G81" i="1"/>
  <c r="H81" i="1"/>
  <c r="I81" i="1"/>
  <c r="J81" i="1"/>
  <c r="K81" i="1"/>
  <c r="L81" i="1"/>
  <c r="M81" i="1"/>
  <c r="N81" i="1"/>
  <c r="O81" i="1"/>
  <c r="B81" i="1"/>
  <c r="K282" i="1"/>
  <c r="L282" i="1"/>
  <c r="M282" i="1"/>
  <c r="N282" i="1"/>
  <c r="O282" i="1"/>
  <c r="J282" i="1"/>
  <c r="K281" i="1"/>
  <c r="L281" i="1"/>
  <c r="M281" i="1"/>
  <c r="N281" i="1"/>
  <c r="O281" i="1"/>
  <c r="J281" i="1"/>
  <c r="K246" i="1"/>
  <c r="L246" i="1"/>
  <c r="M246" i="1"/>
  <c r="N246" i="1"/>
  <c r="O246" i="1"/>
  <c r="J246" i="1"/>
  <c r="K245" i="1"/>
  <c r="L245" i="1"/>
  <c r="M245" i="1"/>
  <c r="N245" i="1"/>
  <c r="O245" i="1"/>
  <c r="J245" i="1"/>
  <c r="K210" i="1"/>
  <c r="L210" i="1"/>
  <c r="M210" i="1"/>
  <c r="N210" i="1"/>
  <c r="O210" i="1"/>
  <c r="J210" i="1"/>
  <c r="O209" i="1"/>
  <c r="K209" i="1"/>
  <c r="L209" i="1"/>
  <c r="M209" i="1"/>
  <c r="N209" i="1"/>
  <c r="J209" i="1"/>
  <c r="K174" i="1"/>
  <c r="L174" i="1"/>
  <c r="M174" i="1"/>
  <c r="N174" i="1"/>
  <c r="O174" i="1"/>
  <c r="J174" i="1"/>
  <c r="O173" i="1"/>
  <c r="K173" i="1"/>
  <c r="L173" i="1"/>
  <c r="M173" i="1"/>
  <c r="N173" i="1"/>
  <c r="J173" i="1"/>
  <c r="O141" i="1"/>
  <c r="K138" i="1"/>
  <c r="L138" i="1"/>
  <c r="M138" i="1"/>
  <c r="N138" i="1"/>
  <c r="O138" i="1"/>
  <c r="J138" i="1"/>
  <c r="O137" i="1"/>
  <c r="K137" i="1"/>
  <c r="L137" i="1"/>
  <c r="M137" i="1"/>
  <c r="N137" i="1"/>
  <c r="J137" i="1"/>
  <c r="O312" i="1"/>
  <c r="N312" i="1"/>
  <c r="M312" i="1"/>
  <c r="L312" i="1"/>
  <c r="K312" i="1"/>
  <c r="J312" i="1"/>
  <c r="I312" i="1"/>
  <c r="H312" i="1"/>
  <c r="G312" i="1"/>
  <c r="F312" i="1"/>
  <c r="E312" i="1"/>
  <c r="D312" i="1"/>
  <c r="C312" i="1"/>
  <c r="B312" i="1"/>
  <c r="O311" i="1"/>
  <c r="N311" i="1"/>
  <c r="M311" i="1"/>
  <c r="L311" i="1"/>
  <c r="K311" i="1"/>
  <c r="J311" i="1"/>
  <c r="I311" i="1"/>
  <c r="H311" i="1"/>
  <c r="G311" i="1"/>
  <c r="F311" i="1"/>
  <c r="E311" i="1"/>
  <c r="D311" i="1"/>
  <c r="C311" i="1"/>
  <c r="B311" i="1"/>
  <c r="O304" i="1"/>
  <c r="N304" i="1"/>
  <c r="M304" i="1"/>
  <c r="L304" i="1"/>
  <c r="K304" i="1"/>
  <c r="J304" i="1"/>
  <c r="I304" i="1"/>
  <c r="H304" i="1"/>
  <c r="G304" i="1"/>
  <c r="F303" i="1" a="1"/>
  <c r="F303" i="1" s="1"/>
  <c r="E303" i="1" a="1"/>
  <c r="E303" i="1" s="1"/>
  <c r="D303" i="1" a="1"/>
  <c r="D303" i="1" s="1"/>
  <c r="C303" i="1" a="1"/>
  <c r="C303" i="1" s="1"/>
  <c r="B303" i="1" a="1"/>
  <c r="B303" i="1" s="1"/>
  <c r="F302" i="1" a="1"/>
  <c r="F302" i="1" s="1"/>
  <c r="E302" i="1" a="1"/>
  <c r="E302" i="1" s="1"/>
  <c r="D302" i="1" a="1"/>
  <c r="D302" i="1" s="1"/>
  <c r="C302" i="1" a="1"/>
  <c r="C302" i="1" s="1"/>
  <c r="B302" i="1" a="1"/>
  <c r="B302" i="1" s="1"/>
  <c r="F301" i="1" a="1"/>
  <c r="F301" i="1" s="1"/>
  <c r="E301" i="1" a="1"/>
  <c r="E301" i="1" s="1"/>
  <c r="D301" i="1" a="1"/>
  <c r="D301" i="1" s="1"/>
  <c r="C301" i="1" a="1"/>
  <c r="C301" i="1" s="1"/>
  <c r="B301" i="1" a="1"/>
  <c r="B301" i="1" s="1"/>
  <c r="O298" i="1"/>
  <c r="N298" i="1"/>
  <c r="M298" i="1"/>
  <c r="L298" i="1"/>
  <c r="K298" i="1"/>
  <c r="J298" i="1"/>
  <c r="I298" i="1"/>
  <c r="H298" i="1"/>
  <c r="G298" i="1"/>
  <c r="F298" i="1"/>
  <c r="E298" i="1"/>
  <c r="D298" i="1"/>
  <c r="C298" i="1"/>
  <c r="B298" i="1"/>
  <c r="O297" i="1"/>
  <c r="N297" i="1"/>
  <c r="M297" i="1"/>
  <c r="L297" i="1"/>
  <c r="K297" i="1"/>
  <c r="J297" i="1"/>
  <c r="I297" i="1"/>
  <c r="H297" i="1"/>
  <c r="G297" i="1"/>
  <c r="F297" i="1"/>
  <c r="E297" i="1"/>
  <c r="D297" i="1"/>
  <c r="C297" i="1"/>
  <c r="B297" i="1"/>
  <c r="O276" i="1"/>
  <c r="N276" i="1"/>
  <c r="M276" i="1"/>
  <c r="L276" i="1"/>
  <c r="K276" i="1"/>
  <c r="J276" i="1"/>
  <c r="I276" i="1"/>
  <c r="H276" i="1"/>
  <c r="G276" i="1"/>
  <c r="F276" i="1"/>
  <c r="E276" i="1"/>
  <c r="D276" i="1"/>
  <c r="C276" i="1"/>
  <c r="B276" i="1"/>
  <c r="O275" i="1"/>
  <c r="N275" i="1"/>
  <c r="M275" i="1"/>
  <c r="L275" i="1"/>
  <c r="K275" i="1"/>
  <c r="J275" i="1"/>
  <c r="I275" i="1"/>
  <c r="H275" i="1"/>
  <c r="G275" i="1"/>
  <c r="F275" i="1"/>
  <c r="E275" i="1"/>
  <c r="D275" i="1"/>
  <c r="C275" i="1"/>
  <c r="B275" i="1"/>
  <c r="N268" i="1"/>
  <c r="M268" i="1"/>
  <c r="K268" i="1"/>
  <c r="J268" i="1"/>
  <c r="I268" i="1"/>
  <c r="H268" i="1"/>
  <c r="G268" i="1"/>
  <c r="O267" i="1" a="1"/>
  <c r="O267" i="1" s="1"/>
  <c r="L267" i="1" a="1"/>
  <c r="L267" i="1" s="1"/>
  <c r="F267" i="1" a="1"/>
  <c r="F267" i="1" s="1"/>
  <c r="E267" i="1" a="1"/>
  <c r="E267" i="1" s="1"/>
  <c r="D267" i="1" a="1"/>
  <c r="D267" i="1" s="1"/>
  <c r="C267" i="1" a="1"/>
  <c r="C267" i="1" s="1"/>
  <c r="B267" i="1" a="1"/>
  <c r="B267" i="1" s="1"/>
  <c r="F266" i="1" a="1"/>
  <c r="F266" i="1" s="1"/>
  <c r="E266" i="1" a="1"/>
  <c r="E266" i="1" s="1"/>
  <c r="D266" i="1" a="1"/>
  <c r="D266" i="1" s="1"/>
  <c r="C266" i="1" a="1"/>
  <c r="C266" i="1" s="1"/>
  <c r="B266" i="1" a="1"/>
  <c r="B266" i="1" s="1"/>
  <c r="O265" i="1" a="1"/>
  <c r="O265" i="1" s="1"/>
  <c r="O268" i="1" s="1"/>
  <c r="L265" i="1" a="1"/>
  <c r="L265" i="1" s="1"/>
  <c r="L268" i="1" s="1"/>
  <c r="F265" i="1" a="1"/>
  <c r="F265" i="1" s="1"/>
  <c r="E265" i="1" a="1"/>
  <c r="E265" i="1" s="1"/>
  <c r="D265" i="1" a="1"/>
  <c r="D265" i="1" s="1"/>
  <c r="C265" i="1" a="1"/>
  <c r="C265" i="1" s="1"/>
  <c r="B265" i="1" a="1"/>
  <c r="B265" i="1" s="1"/>
  <c r="O262" i="1"/>
  <c r="N262" i="1"/>
  <c r="M262" i="1"/>
  <c r="L262" i="1"/>
  <c r="K262" i="1"/>
  <c r="J262" i="1"/>
  <c r="I262" i="1"/>
  <c r="H262" i="1"/>
  <c r="G262" i="1"/>
  <c r="F262" i="1"/>
  <c r="E262" i="1"/>
  <c r="D262" i="1"/>
  <c r="C262" i="1"/>
  <c r="B262" i="1"/>
  <c r="O261" i="1"/>
  <c r="N261" i="1"/>
  <c r="M261" i="1"/>
  <c r="L261" i="1"/>
  <c r="K261" i="1"/>
  <c r="J261" i="1"/>
  <c r="I261" i="1"/>
  <c r="H261" i="1"/>
  <c r="G261" i="1"/>
  <c r="F261" i="1"/>
  <c r="E261" i="1"/>
  <c r="D261" i="1"/>
  <c r="C261" i="1"/>
  <c r="B261" i="1"/>
  <c r="O240" i="1"/>
  <c r="N240" i="1"/>
  <c r="M240" i="1"/>
  <c r="L240" i="1"/>
  <c r="K240" i="1"/>
  <c r="J240" i="1"/>
  <c r="I240" i="1"/>
  <c r="H240" i="1"/>
  <c r="G240" i="1"/>
  <c r="F240" i="1"/>
  <c r="E240" i="1"/>
  <c r="D240" i="1"/>
  <c r="C240" i="1"/>
  <c r="B240" i="1"/>
  <c r="O239" i="1"/>
  <c r="N239" i="1"/>
  <c r="M239" i="1"/>
  <c r="L239" i="1"/>
  <c r="K239" i="1"/>
  <c r="J239" i="1"/>
  <c r="I239" i="1"/>
  <c r="H239" i="1"/>
  <c r="G239" i="1"/>
  <c r="F239" i="1"/>
  <c r="E239" i="1"/>
  <c r="D239" i="1"/>
  <c r="C239" i="1"/>
  <c r="B239" i="1"/>
  <c r="O232" i="1"/>
  <c r="N232" i="1"/>
  <c r="M232" i="1"/>
  <c r="L232" i="1"/>
  <c r="K232" i="1"/>
  <c r="J231" i="1"/>
  <c r="J232" i="1" s="1"/>
  <c r="I231" i="1"/>
  <c r="I232" i="1" s="1"/>
  <c r="H231" i="1"/>
  <c r="H232" i="1" s="1"/>
  <c r="G231" i="1"/>
  <c r="G232" i="1" s="1"/>
  <c r="F231" i="1"/>
  <c r="E231" i="1"/>
  <c r="D231" i="1"/>
  <c r="C231" i="1"/>
  <c r="B231" i="1"/>
  <c r="F230" i="1"/>
  <c r="E230" i="1"/>
  <c r="D230" i="1"/>
  <c r="C230" i="1"/>
  <c r="B230" i="1"/>
  <c r="F229" i="1"/>
  <c r="E229" i="1"/>
  <c r="D229" i="1"/>
  <c r="C229" i="1"/>
  <c r="B229" i="1"/>
  <c r="O226" i="1"/>
  <c r="N226" i="1"/>
  <c r="M226" i="1"/>
  <c r="L226" i="1"/>
  <c r="K226" i="1"/>
  <c r="J226" i="1"/>
  <c r="I226" i="1"/>
  <c r="H226" i="1"/>
  <c r="G226" i="1"/>
  <c r="F226" i="1"/>
  <c r="E226" i="1"/>
  <c r="D226" i="1"/>
  <c r="C226" i="1"/>
  <c r="B226" i="1"/>
  <c r="O225" i="1"/>
  <c r="N225" i="1"/>
  <c r="M225" i="1"/>
  <c r="L225" i="1"/>
  <c r="K225" i="1"/>
  <c r="J225" i="1"/>
  <c r="I225" i="1"/>
  <c r="H225" i="1"/>
  <c r="G225" i="1"/>
  <c r="F225" i="1"/>
  <c r="E225" i="1"/>
  <c r="D225" i="1"/>
  <c r="C225" i="1"/>
  <c r="B225" i="1"/>
  <c r="O204" i="1"/>
  <c r="N204" i="1"/>
  <c r="M204" i="1"/>
  <c r="L204" i="1"/>
  <c r="K204" i="1"/>
  <c r="J204" i="1"/>
  <c r="I204" i="1"/>
  <c r="H204" i="1"/>
  <c r="G204" i="1"/>
  <c r="F204" i="1"/>
  <c r="E204" i="1"/>
  <c r="D204" i="1"/>
  <c r="C204" i="1"/>
  <c r="B204" i="1"/>
  <c r="O203" i="1"/>
  <c r="N203" i="1"/>
  <c r="M203" i="1"/>
  <c r="L203" i="1"/>
  <c r="K203" i="1"/>
  <c r="J203" i="1"/>
  <c r="I203" i="1"/>
  <c r="H203" i="1"/>
  <c r="G203" i="1"/>
  <c r="F203" i="1"/>
  <c r="E203" i="1"/>
  <c r="D203" i="1"/>
  <c r="C203" i="1"/>
  <c r="B203" i="1"/>
  <c r="O196" i="1"/>
  <c r="N196" i="1"/>
  <c r="K196" i="1"/>
  <c r="J196" i="1"/>
  <c r="I196" i="1"/>
  <c r="H196" i="1"/>
  <c r="G196" i="1"/>
  <c r="M195" i="1" a="1"/>
  <c r="M195" i="1" s="1"/>
  <c r="M196" i="1" s="1"/>
  <c r="L195" i="1" a="1"/>
  <c r="L195" i="1" s="1"/>
  <c r="L196" i="1" s="1"/>
  <c r="F195" i="1" a="1"/>
  <c r="F195" i="1" s="1"/>
  <c r="E195" i="1" a="1"/>
  <c r="E195" i="1" s="1"/>
  <c r="D195" i="1" a="1"/>
  <c r="D195" i="1" s="1"/>
  <c r="C195" i="1" a="1"/>
  <c r="C195" i="1" s="1"/>
  <c r="B195" i="1" a="1"/>
  <c r="B195" i="1" s="1"/>
  <c r="F194" i="1"/>
  <c r="E194" i="1"/>
  <c r="D194" i="1"/>
  <c r="C194" i="1"/>
  <c r="B194" i="1"/>
  <c r="F193" i="1"/>
  <c r="E193" i="1"/>
  <c r="D193" i="1"/>
  <c r="C193" i="1"/>
  <c r="B193" i="1"/>
  <c r="O190" i="1"/>
  <c r="N190" i="1"/>
  <c r="M190" i="1"/>
  <c r="L190" i="1"/>
  <c r="K190" i="1"/>
  <c r="J190" i="1"/>
  <c r="I190" i="1"/>
  <c r="H190" i="1"/>
  <c r="G190" i="1"/>
  <c r="F190" i="1"/>
  <c r="E190" i="1"/>
  <c r="D190" i="1"/>
  <c r="C190" i="1"/>
  <c r="B190" i="1"/>
  <c r="O189" i="1"/>
  <c r="N189" i="1"/>
  <c r="M189" i="1"/>
  <c r="L189" i="1"/>
  <c r="K189" i="1"/>
  <c r="J189" i="1"/>
  <c r="I189" i="1"/>
  <c r="H189" i="1"/>
  <c r="G189" i="1"/>
  <c r="F189" i="1"/>
  <c r="E189" i="1"/>
  <c r="D189" i="1"/>
  <c r="C189" i="1"/>
  <c r="B189" i="1"/>
  <c r="E168" i="1"/>
  <c r="D168" i="1"/>
  <c r="C168" i="1"/>
  <c r="B168" i="1"/>
  <c r="E167" i="1"/>
  <c r="D167" i="1"/>
  <c r="C167" i="1"/>
  <c r="B167" i="1"/>
  <c r="O166" i="1" a="1"/>
  <c r="O166" i="1" s="1"/>
  <c r="O167" i="1" s="1"/>
  <c r="N166" i="1" a="1"/>
  <c r="N166" i="1" s="1"/>
  <c r="N167" i="1" s="1"/>
  <c r="M166" i="1" a="1"/>
  <c r="M166" i="1" s="1"/>
  <c r="M168" i="1" s="1"/>
  <c r="L166" i="1" a="1"/>
  <c r="L166" i="1" s="1"/>
  <c r="L168" i="1" s="1"/>
  <c r="K166" i="1" a="1"/>
  <c r="K166" i="1" s="1"/>
  <c r="K167" i="1" s="1"/>
  <c r="J166" i="1" a="1"/>
  <c r="J166" i="1" s="1"/>
  <c r="J167" i="1" s="1"/>
  <c r="I166" i="1" a="1"/>
  <c r="I166" i="1" s="1"/>
  <c r="I168" i="1" s="1"/>
  <c r="H166" i="1" a="1"/>
  <c r="H166" i="1" s="1"/>
  <c r="H168" i="1" s="1"/>
  <c r="G166" i="1" a="1"/>
  <c r="G166" i="1" s="1"/>
  <c r="G167" i="1" s="1"/>
  <c r="F166" i="1" a="1"/>
  <c r="F166" i="1" s="1"/>
  <c r="F167" i="1" s="1"/>
  <c r="O160" i="1"/>
  <c r="N160" i="1"/>
  <c r="M160" i="1"/>
  <c r="L160" i="1"/>
  <c r="K160" i="1"/>
  <c r="J160" i="1"/>
  <c r="I160" i="1"/>
  <c r="H160" i="1"/>
  <c r="G160" i="1"/>
  <c r="F159" i="1"/>
  <c r="E159" i="1"/>
  <c r="D159" i="1"/>
  <c r="C159" i="1"/>
  <c r="B159" i="1"/>
  <c r="F158" i="1"/>
  <c r="E158" i="1"/>
  <c r="D158" i="1"/>
  <c r="C158" i="1"/>
  <c r="B158" i="1"/>
  <c r="F157" i="1"/>
  <c r="E157" i="1"/>
  <c r="D157" i="1"/>
  <c r="C157" i="1"/>
  <c r="B157" i="1"/>
  <c r="O154" i="1"/>
  <c r="N154" i="1"/>
  <c r="M154" i="1"/>
  <c r="L154" i="1"/>
  <c r="K154" i="1"/>
  <c r="J154" i="1"/>
  <c r="I154" i="1"/>
  <c r="H154" i="1"/>
  <c r="G154" i="1"/>
  <c r="F154" i="1"/>
  <c r="E154" i="1"/>
  <c r="D154" i="1"/>
  <c r="C154" i="1"/>
  <c r="B154" i="1"/>
  <c r="O153" i="1"/>
  <c r="N153" i="1"/>
  <c r="M153" i="1"/>
  <c r="L153" i="1"/>
  <c r="K153" i="1"/>
  <c r="J153" i="1"/>
  <c r="I153" i="1"/>
  <c r="H153" i="1"/>
  <c r="G153" i="1"/>
  <c r="F153" i="1"/>
  <c r="E153" i="1"/>
  <c r="D153" i="1"/>
  <c r="C153" i="1"/>
  <c r="B153" i="1"/>
  <c r="J132" i="1"/>
  <c r="I132" i="1"/>
  <c r="F132" i="1"/>
  <c r="C132" i="1"/>
  <c r="B132" i="1"/>
  <c r="J131" i="1"/>
  <c r="I131" i="1"/>
  <c r="F131" i="1"/>
  <c r="C131" i="1"/>
  <c r="B131" i="1"/>
  <c r="O130" i="1" a="1"/>
  <c r="O130" i="1" s="1"/>
  <c r="N130" i="1" a="1"/>
  <c r="N130" i="1" s="1"/>
  <c r="M130" i="1" a="1"/>
  <c r="M130" i="1" s="1"/>
  <c r="L130" i="1" a="1"/>
  <c r="L130" i="1" s="1"/>
  <c r="K130" i="1" a="1"/>
  <c r="K130" i="1" s="1"/>
  <c r="H130" i="1" a="1"/>
  <c r="H130" i="1" s="1"/>
  <c r="G130" i="1" a="1"/>
  <c r="G130" i="1" s="1"/>
  <c r="E130" i="1" a="1"/>
  <c r="E130" i="1" s="1"/>
  <c r="D130" i="1" a="1"/>
  <c r="D130" i="1" s="1"/>
  <c r="O124" i="1"/>
  <c r="N124" i="1"/>
  <c r="M124" i="1"/>
  <c r="L124" i="1"/>
  <c r="K124" i="1"/>
  <c r="J123" i="1"/>
  <c r="J124" i="1" s="1"/>
  <c r="I123" i="1"/>
  <c r="I124" i="1" s="1"/>
  <c r="H123" i="1"/>
  <c r="H124" i="1" s="1"/>
  <c r="G123" i="1"/>
  <c r="G124" i="1" s="1"/>
  <c r="F123" i="1"/>
  <c r="E123" i="1"/>
  <c r="D123" i="1"/>
  <c r="C123" i="1"/>
  <c r="B123" i="1"/>
  <c r="F122" i="1"/>
  <c r="E122" i="1"/>
  <c r="D122" i="1"/>
  <c r="C122" i="1"/>
  <c r="B122" i="1"/>
  <c r="F121" i="1"/>
  <c r="E121" i="1"/>
  <c r="D121" i="1"/>
  <c r="C121" i="1"/>
  <c r="B121" i="1"/>
  <c r="O118" i="1"/>
  <c r="N118" i="1"/>
  <c r="M118" i="1"/>
  <c r="L118" i="1"/>
  <c r="K118" i="1"/>
  <c r="J118" i="1"/>
  <c r="I118" i="1"/>
  <c r="H118" i="1"/>
  <c r="G118" i="1"/>
  <c r="F118" i="1"/>
  <c r="E118" i="1"/>
  <c r="D118" i="1"/>
  <c r="C118" i="1"/>
  <c r="B118" i="1"/>
  <c r="O117" i="1"/>
  <c r="N117" i="1"/>
  <c r="M117" i="1"/>
  <c r="L117" i="1"/>
  <c r="K117" i="1"/>
  <c r="J117" i="1"/>
  <c r="I117" i="1"/>
  <c r="H117" i="1"/>
  <c r="G117" i="1"/>
  <c r="F117" i="1"/>
  <c r="E117" i="1"/>
  <c r="D117" i="1"/>
  <c r="C117" i="1"/>
  <c r="B117" i="1"/>
  <c r="O105" i="1"/>
  <c r="O102" i="1"/>
  <c r="N102" i="1"/>
  <c r="M102" i="1"/>
  <c r="L102" i="1"/>
  <c r="K102" i="1"/>
  <c r="J102" i="1"/>
  <c r="O101" i="1"/>
  <c r="N101" i="1"/>
  <c r="M101" i="1"/>
  <c r="L101" i="1"/>
  <c r="K101" i="1"/>
  <c r="J101" i="1"/>
  <c r="O96" i="1"/>
  <c r="N96" i="1"/>
  <c r="M96" i="1"/>
  <c r="L96" i="1"/>
  <c r="K96" i="1"/>
  <c r="J96" i="1"/>
  <c r="I96" i="1"/>
  <c r="H96" i="1"/>
  <c r="G96" i="1"/>
  <c r="F96" i="1"/>
  <c r="E96" i="1"/>
  <c r="D96" i="1"/>
  <c r="C96" i="1"/>
  <c r="B96" i="1"/>
  <c r="O95" i="1"/>
  <c r="N95" i="1"/>
  <c r="M95" i="1"/>
  <c r="L95" i="1"/>
  <c r="K95" i="1"/>
  <c r="J95" i="1"/>
  <c r="I95" i="1"/>
  <c r="H95" i="1"/>
  <c r="G95" i="1"/>
  <c r="F95" i="1"/>
  <c r="E95" i="1"/>
  <c r="D95" i="1"/>
  <c r="C95" i="1"/>
  <c r="B95" i="1"/>
  <c r="O88" i="1"/>
  <c r="N88" i="1"/>
  <c r="M88" i="1"/>
  <c r="L88" i="1"/>
  <c r="K88" i="1"/>
  <c r="J88" i="1"/>
  <c r="I88" i="1"/>
  <c r="H88" i="1"/>
  <c r="G88" i="1"/>
  <c r="F87" i="1"/>
  <c r="E87" i="1"/>
  <c r="D87" i="1"/>
  <c r="C87" i="1"/>
  <c r="B87" i="1"/>
  <c r="F86" i="1"/>
  <c r="E86" i="1"/>
  <c r="D86" i="1"/>
  <c r="C86" i="1"/>
  <c r="B86" i="1"/>
  <c r="F85" i="1"/>
  <c r="E85" i="1"/>
  <c r="D85" i="1"/>
  <c r="C85" i="1"/>
  <c r="B85" i="1"/>
  <c r="O69" i="1"/>
  <c r="O66" i="1"/>
  <c r="N66" i="1"/>
  <c r="M66" i="1"/>
  <c r="L66" i="1"/>
  <c r="K66" i="1"/>
  <c r="J66" i="1"/>
  <c r="O65" i="1"/>
  <c r="N65" i="1"/>
  <c r="M65" i="1"/>
  <c r="L65" i="1"/>
  <c r="K65" i="1"/>
  <c r="J65" i="1"/>
  <c r="O60" i="1"/>
  <c r="N60" i="1"/>
  <c r="M60" i="1"/>
  <c r="L60" i="1"/>
  <c r="K60" i="1"/>
  <c r="J60" i="1"/>
  <c r="I60" i="1"/>
  <c r="H60" i="1"/>
  <c r="G60" i="1"/>
  <c r="F60" i="1"/>
  <c r="E60" i="1"/>
  <c r="D60" i="1"/>
  <c r="C60" i="1"/>
  <c r="O59" i="1"/>
  <c r="N59" i="1"/>
  <c r="M59" i="1"/>
  <c r="L59" i="1"/>
  <c r="K59" i="1"/>
  <c r="J59" i="1"/>
  <c r="I59" i="1"/>
  <c r="H59" i="1"/>
  <c r="G59" i="1"/>
  <c r="F59" i="1"/>
  <c r="E59" i="1"/>
  <c r="D59" i="1"/>
  <c r="C59" i="1"/>
  <c r="B58" i="1"/>
  <c r="B59" i="1" s="1"/>
  <c r="O52" i="1"/>
  <c r="N52" i="1"/>
  <c r="M52" i="1"/>
  <c r="L52" i="1"/>
  <c r="K52" i="1"/>
  <c r="J52" i="1"/>
  <c r="I52" i="1"/>
  <c r="G52" i="1"/>
  <c r="H51" i="1"/>
  <c r="H52" i="1" s="1"/>
  <c r="F51" i="1"/>
  <c r="E51" i="1"/>
  <c r="D51" i="1"/>
  <c r="C51" i="1"/>
  <c r="B51" i="1"/>
  <c r="F50" i="1"/>
  <c r="E50" i="1"/>
  <c r="D50" i="1"/>
  <c r="C50" i="1"/>
  <c r="B50" i="1"/>
  <c r="F49" i="1"/>
  <c r="E49" i="1"/>
  <c r="D49" i="1"/>
  <c r="C49" i="1"/>
  <c r="B49" i="1"/>
  <c r="O46" i="1"/>
  <c r="N46" i="1"/>
  <c r="M46" i="1"/>
  <c r="L46" i="1"/>
  <c r="K46" i="1"/>
  <c r="J46" i="1"/>
  <c r="I46" i="1"/>
  <c r="H46" i="1"/>
  <c r="G46" i="1"/>
  <c r="F46" i="1"/>
  <c r="E46" i="1"/>
  <c r="D46" i="1"/>
  <c r="C46" i="1"/>
  <c r="B46" i="1"/>
  <c r="O45" i="1"/>
  <c r="N45" i="1"/>
  <c r="M45" i="1"/>
  <c r="L45" i="1"/>
  <c r="K45" i="1"/>
  <c r="J45" i="1"/>
  <c r="I45" i="1"/>
  <c r="H45" i="1"/>
  <c r="G45" i="1"/>
  <c r="F45" i="1"/>
  <c r="E45" i="1"/>
  <c r="D45" i="1"/>
  <c r="C45" i="1"/>
  <c r="B45" i="1"/>
  <c r="O33" i="1"/>
  <c r="J30" i="1"/>
  <c r="O29" i="1"/>
  <c r="O30" i="1" s="1"/>
  <c r="N29" i="1"/>
  <c r="N30" i="1" s="1"/>
  <c r="M29" i="1"/>
  <c r="M30" i="1" s="1"/>
  <c r="L29" i="1"/>
  <c r="L30" i="1" s="1"/>
  <c r="K29" i="1"/>
  <c r="K30" i="1" s="1"/>
  <c r="O24" i="1"/>
  <c r="N24" i="1"/>
  <c r="M24" i="1"/>
  <c r="L24" i="1"/>
  <c r="K24" i="1"/>
  <c r="J24" i="1"/>
  <c r="I24" i="1"/>
  <c r="H24" i="1"/>
  <c r="G24" i="1"/>
  <c r="F24" i="1"/>
  <c r="E24" i="1"/>
  <c r="B24" i="1"/>
  <c r="O23" i="1"/>
  <c r="N23" i="1"/>
  <c r="M23" i="1"/>
  <c r="L23" i="1"/>
  <c r="K23" i="1"/>
  <c r="J23" i="1"/>
  <c r="I23" i="1"/>
  <c r="H23" i="1"/>
  <c r="G23" i="1"/>
  <c r="F23" i="1"/>
  <c r="E23" i="1"/>
  <c r="B23" i="1"/>
  <c r="D22" i="1"/>
  <c r="D23" i="1" s="1"/>
  <c r="C22" i="1"/>
  <c r="C24" i="1" s="1"/>
  <c r="O16" i="1"/>
  <c r="N16" i="1"/>
  <c r="M16" i="1"/>
  <c r="L16" i="1"/>
  <c r="K15" i="1"/>
  <c r="K16" i="1" s="1"/>
  <c r="J15" i="1"/>
  <c r="J16" i="1" s="1"/>
  <c r="I15" i="1"/>
  <c r="I16" i="1" s="1"/>
  <c r="H15" i="1"/>
  <c r="G15" i="1"/>
  <c r="F14" i="1"/>
  <c r="E14" i="1"/>
  <c r="D14" i="1"/>
  <c r="C14" i="1"/>
  <c r="B14" i="1"/>
  <c r="F13" i="1"/>
  <c r="E13" i="1"/>
  <c r="D13" i="1"/>
  <c r="C13" i="1"/>
  <c r="B13" i="1"/>
  <c r="O10" i="1"/>
  <c r="N10" i="1"/>
  <c r="M10" i="1"/>
  <c r="L10" i="1"/>
  <c r="K10" i="1"/>
  <c r="J10" i="1"/>
  <c r="I10" i="1"/>
  <c r="H10" i="1"/>
  <c r="G10" i="1"/>
  <c r="F10" i="1"/>
  <c r="E10" i="1"/>
  <c r="D10" i="1"/>
  <c r="C10" i="1"/>
  <c r="B10" i="1"/>
  <c r="O9" i="1"/>
  <c r="N9" i="1"/>
  <c r="M9" i="1"/>
  <c r="L9" i="1"/>
  <c r="K9" i="1"/>
  <c r="J9" i="1"/>
  <c r="I9" i="1"/>
  <c r="H9" i="1"/>
  <c r="G9" i="1"/>
  <c r="F9" i="1"/>
  <c r="E9" i="1"/>
  <c r="D9" i="1"/>
  <c r="C9" i="1"/>
  <c r="B9" i="1"/>
  <c r="D232" i="1" l="1"/>
  <c r="D268" i="1"/>
  <c r="C304" i="1"/>
  <c r="D196" i="1"/>
  <c r="J168" i="1"/>
  <c r="B88" i="1"/>
  <c r="F88" i="1"/>
  <c r="E124" i="1"/>
  <c r="B160" i="1"/>
  <c r="F160" i="1"/>
  <c r="B52" i="1"/>
  <c r="F52" i="1"/>
  <c r="N168" i="1"/>
  <c r="C88" i="1"/>
  <c r="B124" i="1"/>
  <c r="F124" i="1"/>
  <c r="C160" i="1"/>
  <c r="L167" i="1"/>
  <c r="B196" i="1"/>
  <c r="F196" i="1"/>
  <c r="D304" i="1"/>
  <c r="H167" i="1"/>
  <c r="E196" i="1"/>
  <c r="E268" i="1"/>
  <c r="F168" i="1"/>
  <c r="C268" i="1"/>
  <c r="C52" i="1"/>
  <c r="D52" i="1"/>
  <c r="B232" i="1"/>
  <c r="F232" i="1"/>
  <c r="F15" i="1"/>
  <c r="F16" i="1" s="1"/>
  <c r="D88" i="1"/>
  <c r="E52" i="1"/>
  <c r="D124" i="1"/>
  <c r="E160" i="1"/>
  <c r="C196" i="1"/>
  <c r="C232" i="1"/>
  <c r="C15" i="1"/>
  <c r="C16" i="1" s="1"/>
  <c r="D24" i="1"/>
  <c r="E88" i="1"/>
  <c r="C124" i="1"/>
  <c r="D160" i="1"/>
  <c r="E232" i="1"/>
  <c r="D131" i="1"/>
  <c r="D132" i="1"/>
  <c r="H131" i="1"/>
  <c r="H132" i="1"/>
  <c r="N132" i="1"/>
  <c r="N131" i="1"/>
  <c r="B304" i="1"/>
  <c r="F304" i="1"/>
  <c r="O132" i="1"/>
  <c r="O131" i="1"/>
  <c r="E131" i="1"/>
  <c r="E132" i="1"/>
  <c r="L131" i="1"/>
  <c r="L132" i="1"/>
  <c r="B268" i="1"/>
  <c r="F268" i="1"/>
  <c r="K132" i="1"/>
  <c r="K131" i="1"/>
  <c r="G132" i="1"/>
  <c r="G131" i="1"/>
  <c r="M131" i="1"/>
  <c r="M132" i="1"/>
  <c r="E304" i="1"/>
  <c r="E15" i="1"/>
  <c r="E16" i="1" s="1"/>
  <c r="G16" i="1"/>
  <c r="C23" i="1"/>
  <c r="B60" i="1"/>
  <c r="I167" i="1"/>
  <c r="M167" i="1"/>
  <c r="G168" i="1"/>
  <c r="K168" i="1"/>
  <c r="O168" i="1"/>
  <c r="D15" i="1"/>
  <c r="D16" i="1" s="1"/>
  <c r="B15" i="1"/>
  <c r="B16" i="1" s="1"/>
  <c r="H16" i="1"/>
</calcChain>
</file>

<file path=xl/sharedStrings.xml><?xml version="1.0" encoding="utf-8"?>
<sst xmlns="http://schemas.openxmlformats.org/spreadsheetml/2006/main" count="925" uniqueCount="55">
  <si>
    <t>Regional Overview</t>
  </si>
  <si>
    <t>Asia and the Pacific:</t>
  </si>
  <si>
    <t>HIV Epidemic Metrics Overview:</t>
  </si>
  <si>
    <t>Total HIV Epidemic Metrics Overview:</t>
  </si>
  <si>
    <t>Total Average of HIV Epidemic Metrics Overview:</t>
  </si>
  <si>
    <t>Testing and Treatment Cascade Overview:</t>
  </si>
  <si>
    <t>Total Average of Testing and Treatment Cascade Overview:</t>
  </si>
  <si>
    <t>Elimination of Vertical Transmission Overview:</t>
  </si>
  <si>
    <t>Total Elimination of Vertical Transmission Overview:</t>
  </si>
  <si>
    <t>Total Average of Elimination of Vertical Transmission Overview:</t>
  </si>
  <si>
    <t>... [... - ...]</t>
  </si>
  <si>
    <t>Total of Combination Prevention:</t>
  </si>
  <si>
    <t>Total Average of Combination Prevention:</t>
  </si>
  <si>
    <t xml:space="preserve"> l</t>
  </si>
  <si>
    <t xml:space="preserve">Caribbean </t>
  </si>
  <si>
    <t>East and Southern Africa</t>
  </si>
  <si>
    <t xml:space="preserve">Eastern Europe and Central Asia	</t>
  </si>
  <si>
    <t xml:space="preserve">Latin America	</t>
  </si>
  <si>
    <t xml:space="preserve">Middle East and North Africa	</t>
  </si>
  <si>
    <t xml:space="preserve">&lt;200 </t>
  </si>
  <si>
    <t xml:space="preserve">&lt;500 </t>
  </si>
  <si>
    <t xml:space="preserve">West and Central Africa	</t>
  </si>
  <si>
    <t xml:space="preserve">Western &amp; Central Europe and North America	</t>
  </si>
  <si>
    <t>Global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</si>
  <si>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</si>
  <si>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</si>
  <si>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</si>
  <si>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</si>
  <si>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</si>
  <si>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</si>
  <si>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</si>
  <si>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</si>
  <si>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</si>
  <si>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</si>
  <si>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</si>
  <si>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</si>
  <si>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</si>
  <si>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</si>
  <si>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Combination Prevention:</t>
  </si>
  <si>
    <t>Stigma and Discrimination (2023) (Per National):</t>
  </si>
  <si>
    <t>Epidemic transition metrics (Trend of AIDS-related deaths):</t>
  </si>
  <si>
    <t>Epidemic transition metrics (Trend of new HIV infections):</t>
  </si>
  <si>
    <t>People living with HIV:</t>
  </si>
  <si>
    <t>New HIV infections:</t>
  </si>
  <si>
    <t>AIDS-related deaths:</t>
  </si>
  <si>
    <t>Percent of people living with HIV who know their status (%):</t>
  </si>
  <si>
    <t>Coverage of people living with HIV receiving ART:</t>
  </si>
  <si>
    <t>Percent of people living with HIV who have suppressed viral loads (%):</t>
  </si>
  <si>
    <t>Vertical transmission rate:</t>
  </si>
  <si>
    <t>New HIV Infections averted due to PMTCT:</t>
  </si>
  <si>
    <t>HIV-exposed children who are uninfected:</t>
  </si>
  <si>
    <t>Early infant diagnosis:</t>
  </si>
  <si>
    <t>HIV tests (volume) (2019,2022,2023) (Per National):</t>
  </si>
  <si>
    <t>Total Average of all Stigma and Discrimination (2023) (Per National):</t>
  </si>
  <si>
    <t>People receiving pre-exposure prophylaxis (PrEP) (2018-2023) (Per National):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</si>
</sst>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8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F0000"/>
      <name val="Arial"/>
      <family val="2"/>
      <scheme val="minor"/>
    </font>
    <font>
      <b/>
      <sz val="10"/>
      <color theme="1"/>
      <name val="Century Gothic"/>
      <family val="2"/>
    </font>
    <font>
      <sz val="12"/>
      <color rgb="FF000000"/>
      <name val="Century Gothic"/>
      <family val="2"/>
    </font>
    <font>
      <sz val="11"/>
      <color rgb="FF000000"/>
      <name val="Century Gothic"/>
      <family val="2"/>
    </font>
    <font>
      <b/>
      <sz val="12"/>
      <color rgb="FF000000"/>
      <name val="Century Gothic"/>
      <family val="2"/>
    </font>
    <font>
      <b/>
      <sz val="11"/>
      <color rgb="FF000000"/>
      <name val="Century Gothic"/>
      <family val="2"/>
    </font>
    <font>
      <sz val="10"/>
      <color rgb="FF000000"/>
      <name val="Century Gothic"/>
      <family val="2"/>
    </font>
    <font>
      <sz val="10"/>
      <color theme="1"/>
      <name val="Century Gothic"/>
      <family val="2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  <font>
      <b/>
      <sz val="14"/>
      <name val="Century Gothic"/>
      <family val="2"/>
    </font>
    <font>
      <b/>
      <sz val="14"/>
      <color rgb="FF000000"/>
      <name val="Century Gothic"/>
      <family val="2"/>
    </font>
    <font>
      <b/>
      <sz val="14"/>
      <color theme="1"/>
      <name val="Century Gothic"/>
      <family val="2"/>
    </font>
    <font>
      <b/>
      <sz val="11"/>
      <name val="Century Gothic"/>
      <family val="2"/>
    </font>
    <font>
      <b/>
      <sz val="10"/>
      <name val="Century Gothic"/>
      <family val="2"/>
    </font>
    <font>
      <b/>
      <sz val="10"/>
      <color rgb="FF000000"/>
      <name val="Century Gothic"/>
      <family val="2"/>
    </font>
    <font>
      <b/>
      <sz val="11"/>
      <color rgb="FFFF0000"/>
      <name val="Arial"/>
      <family val="2"/>
      <scheme val="minor"/>
    </font>
    <font>
      <b/>
      <sz val="10"/>
      <name val="Arial"/>
      <family val="2"/>
      <scheme val="minor"/>
    </font>
    <font>
      <sz val="12"/>
      <color rgb="FF000000"/>
      <name val="Arial"/>
      <family val="2"/>
      <scheme val="minor"/>
    </font>
    <font>
      <sz val="14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2"/>
        <bgColor rgb="FF6AA84F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4.9989318521683403E-2"/>
        <bgColor rgb="FF6AA84F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8" tint="0.79998168889431442"/>
        <bgColor rgb="FFFFFFFF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79998168889431442"/>
        <bgColor rgb="FFFFFFFF"/>
      </patternFill>
    </fill>
    <fill>
      <patternFill patternType="solid">
        <fgColor theme="0"/>
        <bgColor rgb="FF6AA84F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rgb="FFFFFFFF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0" tint="-0.14999847407452621"/>
        <bgColor rgb="FFFFFFFF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6" fillId="3" borderId="1" applyNumberFormat="0" applyAlignment="0" applyProtection="0"/>
    <xf numFmtId="0" fontId="7" fillId="0" borderId="0" applyNumberFormat="0" applyFill="0" applyBorder="0" applyAlignment="0" applyProtection="0"/>
    <xf numFmtId="0" fontId="5" fillId="4" borderId="2" applyNumberFormat="0" applyFont="0" applyAlignment="0" applyProtection="0"/>
  </cellStyleXfs>
  <cellXfs count="97">
    <xf numFmtId="0" fontId="0" fillId="0" borderId="0" xfId="0"/>
    <xf numFmtId="3" fontId="2" fillId="0" borderId="0" xfId="0" applyNumberFormat="1" applyFont="1"/>
    <xf numFmtId="0" fontId="3" fillId="0" borderId="0" xfId="0" applyFont="1"/>
    <xf numFmtId="3" fontId="3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/>
    <xf numFmtId="0" fontId="4" fillId="0" borderId="0" xfId="0" applyFont="1"/>
    <xf numFmtId="0" fontId="8" fillId="0" borderId="0" xfId="0" applyFont="1" applyAlignment="1">
      <alignment horizontal="center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8" fillId="0" borderId="0" xfId="0" applyFont="1"/>
    <xf numFmtId="0" fontId="13" fillId="0" borderId="0" xfId="0" applyFont="1"/>
    <xf numFmtId="0" fontId="14" fillId="0" borderId="0" xfId="0" applyFont="1"/>
    <xf numFmtId="0" fontId="12" fillId="0" borderId="0" xfId="0" applyFont="1" applyAlignment="1">
      <alignment horizontal="center"/>
    </xf>
    <xf numFmtId="0" fontId="15" fillId="0" borderId="0" xfId="0" applyFont="1"/>
    <xf numFmtId="0" fontId="14" fillId="0" borderId="0" xfId="0" applyFont="1" applyAlignment="1">
      <alignment horizontal="center"/>
    </xf>
    <xf numFmtId="0" fontId="12" fillId="0" borderId="0" xfId="0" applyFont="1" applyAlignment="1">
      <alignment horizontal="left"/>
    </xf>
    <xf numFmtId="0" fontId="16" fillId="0" borderId="0" xfId="0" applyFont="1"/>
    <xf numFmtId="0" fontId="0" fillId="0" borderId="0" xfId="0" applyAlignment="1">
      <alignment horizontal="center"/>
    </xf>
    <xf numFmtId="0" fontId="11" fillId="4" borderId="2" xfId="3" applyFont="1"/>
    <xf numFmtId="0" fontId="10" fillId="4" borderId="2" xfId="3" applyFont="1"/>
    <xf numFmtId="0" fontId="12" fillId="4" borderId="2" xfId="3" applyFont="1"/>
    <xf numFmtId="0" fontId="8" fillId="4" borderId="2" xfId="3" applyFont="1"/>
    <xf numFmtId="0" fontId="11" fillId="4" borderId="2" xfId="3" applyFont="1" applyAlignment="1">
      <alignment horizontal="left"/>
    </xf>
    <xf numFmtId="0" fontId="12" fillId="4" borderId="2" xfId="3" applyFont="1" applyAlignment="1">
      <alignment horizontal="left"/>
    </xf>
    <xf numFmtId="0" fontId="10" fillId="4" borderId="2" xfId="3" applyFont="1" applyAlignment="1">
      <alignment horizontal="left"/>
    </xf>
    <xf numFmtId="0" fontId="17" fillId="4" borderId="2" xfId="3" applyFont="1" applyAlignment="1">
      <alignment horizontal="center"/>
    </xf>
    <xf numFmtId="0" fontId="18" fillId="4" borderId="2" xfId="3" applyFont="1"/>
    <xf numFmtId="0" fontId="16" fillId="4" borderId="2" xfId="3" applyFont="1"/>
    <xf numFmtId="3" fontId="12" fillId="0" borderId="0" xfId="0" applyNumberFormat="1" applyFont="1" applyAlignment="1">
      <alignment horizontal="center"/>
    </xf>
    <xf numFmtId="0" fontId="15" fillId="4" borderId="2" xfId="3" applyFont="1" applyAlignment="1">
      <alignment horizontal="left"/>
    </xf>
    <xf numFmtId="1" fontId="12" fillId="0" borderId="0" xfId="0" applyNumberFormat="1" applyFont="1" applyAlignment="1">
      <alignment horizontal="center"/>
    </xf>
    <xf numFmtId="0" fontId="15" fillId="4" borderId="2" xfId="3" applyFont="1"/>
    <xf numFmtId="0" fontId="7" fillId="0" borderId="0" xfId="2" applyAlignment="1">
      <alignment horizontal="center"/>
    </xf>
    <xf numFmtId="0" fontId="8" fillId="4" borderId="2" xfId="3" applyFont="1" applyAlignment="1">
      <alignment horizontal="center"/>
    </xf>
    <xf numFmtId="3" fontId="12" fillId="4" borderId="2" xfId="3" applyNumberFormat="1" applyFont="1" applyAlignment="1">
      <alignment horizontal="center"/>
    </xf>
    <xf numFmtId="1" fontId="6" fillId="3" borderId="1" xfId="1" applyNumberFormat="1" applyAlignment="1">
      <alignment horizontal="center"/>
    </xf>
    <xf numFmtId="1" fontId="6" fillId="4" borderId="2" xfId="3" applyNumberFormat="1" applyFont="1" applyAlignment="1">
      <alignment horizontal="center"/>
    </xf>
    <xf numFmtId="0" fontId="6" fillId="4" borderId="2" xfId="3" applyFont="1" applyAlignment="1">
      <alignment horizontal="center"/>
    </xf>
    <xf numFmtId="1" fontId="12" fillId="4" borderId="2" xfId="3" applyNumberFormat="1" applyFont="1" applyAlignment="1">
      <alignment horizontal="center"/>
    </xf>
    <xf numFmtId="0" fontId="12" fillId="4" borderId="2" xfId="3" applyFont="1" applyAlignment="1">
      <alignment horizontal="center"/>
    </xf>
    <xf numFmtId="0" fontId="19" fillId="5" borderId="0" xfId="0" applyFont="1" applyFill="1" applyAlignment="1">
      <alignment horizontal="center"/>
    </xf>
    <xf numFmtId="0" fontId="18" fillId="0" borderId="0" xfId="0" applyFont="1"/>
    <xf numFmtId="0" fontId="20" fillId="0" borderId="0" xfId="0" applyFont="1"/>
    <xf numFmtId="0" fontId="21" fillId="0" borderId="0" xfId="0" applyFont="1"/>
    <xf numFmtId="0" fontId="17" fillId="0" borderId="0" xfId="0" applyFont="1"/>
    <xf numFmtId="0" fontId="22" fillId="4" borderId="2" xfId="3" applyFont="1"/>
    <xf numFmtId="4" fontId="12" fillId="4" borderId="2" xfId="3" applyNumberFormat="1" applyFont="1" applyAlignment="1">
      <alignment horizontal="center"/>
    </xf>
    <xf numFmtId="3" fontId="8" fillId="4" borderId="2" xfId="3" applyNumberFormat="1" applyFont="1" applyAlignment="1">
      <alignment horizontal="center"/>
    </xf>
    <xf numFmtId="0" fontId="16" fillId="4" borderId="2" xfId="3" applyFont="1" applyAlignment="1">
      <alignment horizontal="center"/>
    </xf>
    <xf numFmtId="0" fontId="23" fillId="4" borderId="2" xfId="3" applyFont="1" applyAlignment="1">
      <alignment horizontal="center"/>
    </xf>
    <xf numFmtId="3" fontId="23" fillId="4" borderId="2" xfId="3" applyNumberFormat="1" applyFont="1" applyAlignment="1">
      <alignment horizontal="center"/>
    </xf>
    <xf numFmtId="3" fontId="20" fillId="0" borderId="0" xfId="0" applyNumberFormat="1" applyFont="1" applyAlignment="1">
      <alignment horizontal="center"/>
    </xf>
    <xf numFmtId="4" fontId="20" fillId="0" borderId="0" xfId="0" applyNumberFormat="1" applyFont="1" applyAlignment="1">
      <alignment horizontal="center"/>
    </xf>
    <xf numFmtId="0" fontId="20" fillId="0" borderId="0" xfId="0" applyFont="1" applyAlignment="1">
      <alignment horizontal="center"/>
    </xf>
    <xf numFmtId="1" fontId="6" fillId="7" borderId="1" xfId="1" applyNumberFormat="1" applyFill="1" applyAlignment="1">
      <alignment horizontal="center"/>
    </xf>
    <xf numFmtId="1" fontId="20" fillId="0" borderId="0" xfId="0" applyNumberFormat="1" applyFont="1" applyAlignment="1">
      <alignment horizontal="center"/>
    </xf>
    <xf numFmtId="3" fontId="20" fillId="0" borderId="0" xfId="0" applyNumberFormat="1" applyFont="1"/>
    <xf numFmtId="3" fontId="21" fillId="0" borderId="0" xfId="0" applyNumberFormat="1" applyFont="1" applyAlignment="1">
      <alignment horizontal="center"/>
    </xf>
    <xf numFmtId="0" fontId="24" fillId="0" borderId="0" xfId="0" applyFont="1"/>
    <xf numFmtId="0" fontId="21" fillId="0" borderId="0" xfId="0" applyFont="1" applyAlignment="1">
      <alignment horizontal="center"/>
    </xf>
    <xf numFmtId="0" fontId="25" fillId="0" borderId="0" xfId="0" applyFont="1"/>
    <xf numFmtId="0" fontId="17" fillId="8" borderId="0" xfId="0" applyFont="1" applyFill="1" applyAlignment="1">
      <alignment horizontal="center"/>
    </xf>
    <xf numFmtId="0" fontId="22" fillId="0" borderId="0" xfId="0" applyFont="1" applyAlignment="1">
      <alignment horizontal="center"/>
    </xf>
    <xf numFmtId="1" fontId="6" fillId="11" borderId="1" xfId="1" applyNumberFormat="1" applyFill="1" applyAlignment="1">
      <alignment horizontal="center"/>
    </xf>
    <xf numFmtId="3" fontId="8" fillId="0" borderId="0" xfId="0" applyNumberFormat="1" applyFont="1" applyAlignment="1">
      <alignment horizontal="center"/>
    </xf>
    <xf numFmtId="0" fontId="12" fillId="10" borderId="0" xfId="0" applyFont="1" applyFill="1" applyAlignment="1">
      <alignment horizontal="center"/>
    </xf>
    <xf numFmtId="0" fontId="19" fillId="4" borderId="2" xfId="3" applyFont="1" applyAlignment="1">
      <alignment horizontal="center"/>
    </xf>
    <xf numFmtId="0" fontId="19" fillId="6" borderId="0" xfId="0" applyFont="1" applyFill="1" applyAlignment="1">
      <alignment horizontal="center"/>
    </xf>
    <xf numFmtId="0" fontId="17" fillId="9" borderId="0" xfId="0" applyFont="1" applyFill="1" applyAlignment="1">
      <alignment horizontal="center"/>
    </xf>
    <xf numFmtId="0" fontId="26" fillId="0" borderId="0" xfId="0" applyFont="1"/>
    <xf numFmtId="0" fontId="22" fillId="0" borderId="0" xfId="0" applyFont="1"/>
    <xf numFmtId="0" fontId="27" fillId="0" borderId="0" xfId="0" applyFont="1" applyAlignment="1">
      <alignment horizontal="center"/>
    </xf>
    <xf numFmtId="0" fontId="7" fillId="2" borderId="0" xfId="2" applyFill="1" applyAlignment="1">
      <alignment horizontal="center"/>
    </xf>
    <xf numFmtId="0" fontId="7" fillId="10" borderId="0" xfId="2" applyFill="1" applyAlignment="1">
      <alignment horizontal="center"/>
    </xf>
    <xf numFmtId="1" fontId="6" fillId="12" borderId="1" xfId="1" applyNumberFormat="1" applyFill="1" applyAlignment="1">
      <alignment horizontal="center"/>
    </xf>
    <xf numFmtId="0" fontId="23" fillId="0" borderId="0" xfId="2" applyFont="1" applyAlignment="1">
      <alignment horizontal="center"/>
    </xf>
    <xf numFmtId="0" fontId="23" fillId="13" borderId="0" xfId="2" applyFont="1" applyFill="1" applyAlignment="1">
      <alignment horizontal="center"/>
    </xf>
    <xf numFmtId="3" fontId="22" fillId="0" borderId="0" xfId="0" applyNumberFormat="1" applyFont="1" applyAlignment="1">
      <alignment horizontal="center"/>
    </xf>
    <xf numFmtId="0" fontId="17" fillId="14" borderId="0" xfId="0" applyFont="1" applyFill="1" applyAlignment="1">
      <alignment horizontal="center"/>
    </xf>
    <xf numFmtId="0" fontId="17" fillId="15" borderId="0" xfId="0" applyFont="1" applyFill="1" applyAlignment="1">
      <alignment horizontal="center"/>
    </xf>
    <xf numFmtId="0" fontId="6" fillId="16" borderId="1" xfId="1" applyFill="1" applyAlignment="1">
      <alignment horizontal="center"/>
    </xf>
    <xf numFmtId="1" fontId="6" fillId="16" borderId="1" xfId="1" applyNumberFormat="1" applyFill="1" applyAlignment="1">
      <alignment horizontal="center"/>
    </xf>
    <xf numFmtId="1" fontId="6" fillId="18" borderId="1" xfId="1" applyNumberFormat="1" applyFill="1" applyAlignment="1">
      <alignment horizontal="center"/>
    </xf>
    <xf numFmtId="1" fontId="6" fillId="17" borderId="1" xfId="1" applyNumberFormat="1" applyFill="1" applyAlignment="1">
      <alignment horizontal="center"/>
    </xf>
    <xf numFmtId="1" fontId="12" fillId="19" borderId="0" xfId="0" applyNumberFormat="1" applyFont="1" applyFill="1" applyAlignment="1">
      <alignment horizontal="center"/>
    </xf>
    <xf numFmtId="1" fontId="6" fillId="21" borderId="1" xfId="1" applyNumberFormat="1" applyFill="1" applyAlignment="1">
      <alignment horizontal="center"/>
    </xf>
    <xf numFmtId="1" fontId="6" fillId="20" borderId="1" xfId="1" applyNumberFormat="1" applyFill="1" applyAlignment="1">
      <alignment horizontal="center"/>
    </xf>
    <xf numFmtId="0" fontId="19" fillId="14" borderId="0" xfId="0" applyFont="1" applyFill="1" applyAlignment="1">
      <alignment horizontal="center"/>
    </xf>
    <xf numFmtId="0" fontId="19" fillId="15" borderId="0" xfId="0" applyFont="1" applyFill="1" applyAlignment="1">
      <alignment horizontal="center"/>
    </xf>
    <xf numFmtId="1" fontId="6" fillId="22" borderId="1" xfId="1" applyNumberFormat="1" applyFill="1" applyAlignment="1">
      <alignment horizontal="center"/>
    </xf>
    <xf numFmtId="0" fontId="23" fillId="23" borderId="0" xfId="2" applyFont="1" applyFill="1" applyAlignment="1">
      <alignment horizontal="center"/>
    </xf>
    <xf numFmtId="1" fontId="6" fillId="24" borderId="1" xfId="1" applyNumberFormat="1" applyFill="1" applyAlignment="1">
      <alignment horizontal="center"/>
    </xf>
    <xf numFmtId="1" fontId="8" fillId="0" borderId="0" xfId="0" applyNumberFormat="1" applyFont="1" applyAlignment="1">
      <alignment horizontal="center"/>
    </xf>
  </cellXfs>
  <cellStyles count="4">
    <cellStyle name="Calculation" xfId="1" builtinId="22"/>
    <cellStyle name="Normal" xfId="0" builtinId="0"/>
    <cellStyle name="Note" xfId="3" builtinId="10"/>
    <cellStyle name="Warning Text" xfId="2" builtinId="11"/>
  </cellStyles>
  <dxfs count="13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entury Gothic"/>
        <family val="2"/>
        <scheme val="none"/>
      </font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entury Gothic"/>
        <family val="2"/>
        <scheme val="none"/>
      </font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entury Gothic"/>
        <family val="2"/>
        <scheme val="none"/>
      </font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entury Gothic"/>
        <family val="2"/>
        <scheme val="none"/>
      </font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entury Gothic"/>
        <family val="2"/>
        <scheme val="none"/>
      </font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entury Gothic"/>
        <family val="2"/>
        <scheme val="none"/>
      </font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entury Gothic"/>
        <family val="2"/>
        <scheme val="none"/>
      </font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entury Gothic"/>
        <family val="2"/>
        <scheme val="none"/>
      </font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entury Gothic"/>
        <family val="2"/>
        <scheme val="none"/>
      </font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entury Gothic"/>
        <family val="2"/>
        <scheme val="none"/>
      </font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entury Gothic"/>
        <family val="2"/>
        <scheme val="none"/>
      </font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entury Gothic"/>
        <family val="2"/>
        <scheme val="none"/>
      </font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entury Gothic"/>
        <family val="2"/>
        <scheme val="none"/>
      </font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entury Gothic"/>
        <family val="2"/>
        <scheme val="none"/>
      </font>
      <numFmt numFmtId="3" formatCode="#,##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000000"/>
        <name val="Century Gothic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entury Gothic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entury Gothic"/>
        <family val="2"/>
        <scheme val="none"/>
      </font>
      <fill>
        <patternFill>
          <bgColor theme="2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entury Gothic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entury Gothic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entury Gothic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entury Gothic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entury Gothic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entury Gothic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entury Gothic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entury Gothic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entury Gothic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entury Gothic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entury Gothic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entury Gothic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entury Gothic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entury Gothic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entury Gothic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entury Gothic"/>
        <family val="2"/>
        <scheme val="none"/>
      </font>
      <fill>
        <patternFill>
          <bgColor theme="0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entury Gothic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entury Gothic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entury Gothic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entury Gothic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entury Gothic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entury Gothic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entury Gothic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entury Gothic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entury Gothic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entury Gothic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entury Gothic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entury Gothic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entury Gothic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entury Gothic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000000"/>
        <name val="Century Gothic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entury Gothic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entury Gothic"/>
        <family val="2"/>
        <scheme val="none"/>
      </font>
      <fill>
        <patternFill patternType="solid">
          <bgColor theme="2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entury Gothic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entury Gothic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entury Gothic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entury Gothic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entury Gothic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entury Gothic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entury Gothic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entury Gothic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entury Gothic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entury Gothic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entury Gothic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entury Gothic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entury Gothic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entury Gothic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000000"/>
        <name val="Century Gothic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entury Gothic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entury Gothic"/>
        <family val="2"/>
        <scheme val="none"/>
      </font>
      <fill>
        <patternFill>
          <bgColor theme="2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entury Gothic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entury Gothic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entury Gothic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entury Gothic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entury Gothic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entury Gothic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entury Gothic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entury Gothic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entury Gothic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entury Gothic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entury Gothic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entury Gothic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entury Gothic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entury Gothic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entury Gothic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entury Gothic"/>
        <family val="2"/>
        <scheme val="none"/>
      </font>
      <fill>
        <patternFill>
          <bgColor theme="0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rgb="FF000000"/>
        <name val="Century Gothic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family val="2"/>
        <scheme val="none"/>
      </font>
      <fill>
        <patternFill>
          <bgColor theme="2"/>
        </patternFill>
      </fill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entury Gothic"/>
        <family val="2"/>
        <scheme val="none"/>
      </font>
      <fill>
        <patternFill patternType="solid">
          <fgColor rgb="FFFFFFFF"/>
          <bgColor rgb="FFFFFFFF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entury Gothic"/>
        <family val="2"/>
        <scheme val="none"/>
      </font>
      <fill>
        <patternFill patternType="solid">
          <fgColor rgb="FFFFFFFF"/>
          <bgColor rgb="FFFFFFFF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entury Gothic"/>
        <family val="2"/>
        <scheme val="none"/>
      </font>
      <fill>
        <patternFill patternType="solid">
          <fgColor rgb="FFFFFFFF"/>
          <bgColor rgb="FFFFFFFF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entury Gothic"/>
        <family val="2"/>
        <scheme val="none"/>
      </font>
      <fill>
        <patternFill patternType="solid">
          <fgColor rgb="FFFFFFFF"/>
          <bgColor rgb="FFFFFFFF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entury Gothic"/>
        <family val="2"/>
        <scheme val="none"/>
      </font>
      <fill>
        <patternFill patternType="solid">
          <fgColor rgb="FFFFFFFF"/>
          <bgColor rgb="FFFFFFFF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entury Gothic"/>
        <family val="2"/>
        <scheme val="none"/>
      </font>
      <fill>
        <patternFill patternType="solid">
          <fgColor rgb="FFFFFFFF"/>
          <bgColor rgb="FFFFFFFF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entury Gothic"/>
        <family val="2"/>
        <scheme val="none"/>
      </font>
      <fill>
        <patternFill patternType="solid">
          <fgColor rgb="FFFFFFFF"/>
          <bgColor rgb="FFFFFFFF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entury Gothic"/>
        <family val="2"/>
        <scheme val="none"/>
      </font>
      <fill>
        <patternFill patternType="solid">
          <fgColor rgb="FFFFFFFF"/>
          <bgColor rgb="FFFFFFFF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entury Gothic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entury Gothic"/>
        <family val="2"/>
        <scheme val="none"/>
      </font>
      <fill>
        <patternFill>
          <bgColor theme="2" tint="-4.9989318521683403E-2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entury Gothic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color auto="1"/>
      </font>
    </dxf>
    <dxf>
      <font>
        <b/>
        <strike val="0"/>
        <outline val="0"/>
        <shadow val="0"/>
        <u val="none"/>
        <vertAlign val="baseline"/>
        <color auto="1"/>
      </font>
    </dxf>
    <dxf>
      <font>
        <b/>
        <strike val="0"/>
        <outline val="0"/>
        <shadow val="0"/>
        <u val="none"/>
        <vertAlign val="baseline"/>
        <color auto="1"/>
      </font>
    </dxf>
    <dxf>
      <font>
        <b/>
        <strike val="0"/>
        <outline val="0"/>
        <shadow val="0"/>
        <u val="none"/>
        <vertAlign val="baseline"/>
        <color auto="1"/>
      </font>
    </dxf>
    <dxf>
      <font>
        <b/>
        <strike val="0"/>
        <outline val="0"/>
        <shadow val="0"/>
        <u val="none"/>
        <vertAlign val="baseline"/>
        <color auto="1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entury Gothic"/>
        <family val="2"/>
        <scheme val="none"/>
      </font>
      <fill>
        <patternFill patternType="solid">
          <fgColor rgb="FFFFFFFF"/>
          <bgColor rgb="FFFFFFFF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entury Gothic"/>
        <family val="2"/>
        <scheme val="none"/>
      </font>
      <fill>
        <patternFill patternType="solid">
          <fgColor rgb="FFFFFFFF"/>
          <bgColor rgb="FFFFFFFF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entury Gothic"/>
        <family val="2"/>
        <scheme val="none"/>
      </font>
      <fill>
        <patternFill patternType="solid">
          <fgColor rgb="FFFFFFFF"/>
          <bgColor rgb="FFFFFFFF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entury Gothic"/>
        <family val="2"/>
        <scheme val="none"/>
      </font>
      <fill>
        <patternFill patternType="solid">
          <fgColor rgb="FFFFFFFF"/>
          <bgColor rgb="FFFFFFFF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entury Gothic"/>
        <family val="2"/>
        <scheme val="none"/>
      </font>
      <fill>
        <patternFill patternType="solid">
          <fgColor rgb="FFFFFFFF"/>
          <bgColor rgb="FFFFFFFF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entury Gothic"/>
        <family val="2"/>
        <scheme val="none"/>
      </font>
      <fill>
        <patternFill patternType="solid">
          <fgColor rgb="FFFFFFFF"/>
          <bgColor rgb="FFFFFFFF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entury Gothic"/>
        <family val="2"/>
        <scheme val="none"/>
      </font>
      <fill>
        <patternFill patternType="solid">
          <fgColor rgb="FFFFFFFF"/>
          <bgColor rgb="FFFFFFFF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entury Gothic"/>
        <family val="2"/>
        <scheme val="none"/>
      </font>
      <fill>
        <patternFill patternType="solid">
          <fgColor rgb="FFFFFFFF"/>
          <bgColor rgb="FFFFFFFF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entury Gothic"/>
        <family val="2"/>
        <scheme val="none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family val="2"/>
        <scheme val="none"/>
      </font>
      <alignment horizontal="center" vertical="bottom" textRotation="0" wrapText="0" indent="0" justifyLastLine="0" shrinkToFit="0" readingOrder="0"/>
    </dxf>
    <dxf>
      <fill>
        <patternFill>
          <bgColor rgb="FF7030A0"/>
        </patternFill>
      </fill>
    </dxf>
  </dxfs>
  <tableStyles count="2" defaultTableStyle="TableStyleMedium2" defaultPivotStyle="PivotStyleLight16">
    <tableStyle name="Table Style 1" pivot="0" count="0" xr9:uid="{D4156CD2-554A-4B2E-AB24-B77E81F55337}"/>
    <tableStyle name="Table Style 2" pivot="0" count="1" xr9:uid="{B95B62C1-D9DB-472E-B627-1CD565389320}">
      <tableStyleElement type="wholeTable" dxfId="13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D6A422D-E6C9-430C-AB22-A10712360797}" name="Table2" displayName="Table2" ref="A37:O69" totalsRowShown="0" headerRowDxfId="131">
  <autoFilter ref="A37:O69" xr:uid="{FD6A422D-E6C9-430C-AB22-A10712360797}"/>
  <tableColumns count="15">
    <tableColumn id="1" xr3:uid="{4FFA9257-AB13-4F48-8716-C89CC69DDD62}" name="Regional Overview" dataDxfId="130"/>
    <tableColumn id="2" xr3:uid="{862CB25B-B4A3-4375-84DA-FDB6E1CB0E64}" name="2010" dataDxfId="129"/>
    <tableColumn id="3" xr3:uid="{B95BEBF0-2034-4697-95B7-AA70774C77E7}" name="2011" dataDxfId="128"/>
    <tableColumn id="4" xr3:uid="{CE3746F2-8368-4076-8EEA-62A30585EAD1}" name="2012" dataDxfId="127"/>
    <tableColumn id="5" xr3:uid="{F9071D9A-6A66-44D9-9024-9B1F880C4027}" name="2013" dataDxfId="126"/>
    <tableColumn id="6" xr3:uid="{2817825C-35F2-47A6-8D75-177CBC44BB79}" name="2014" dataDxfId="125"/>
    <tableColumn id="7" xr3:uid="{7A22F11C-7B7F-4740-B80E-30841F9F86D5}" name="2015" dataDxfId="124"/>
    <tableColumn id="8" xr3:uid="{F33ED267-05FC-4A10-A938-1F104C1C8D95}" name="2016" dataDxfId="123"/>
    <tableColumn id="9" xr3:uid="{65778CEE-0564-4C65-88CA-C090A451E17F}" name="2017" dataDxfId="122"/>
    <tableColumn id="10" xr3:uid="{BF0C0422-C6E6-4E17-8BAD-B07DD7B53222}" name="2018" dataDxfId="121"/>
    <tableColumn id="11" xr3:uid="{AB17CA83-E24D-4C31-BA6E-9EF990109E55}" name="2019" dataDxfId="120"/>
    <tableColumn id="12" xr3:uid="{01A0D836-88A7-4F5F-AF96-C47844D693BA}" name="2020" dataDxfId="119"/>
    <tableColumn id="13" xr3:uid="{B3DB8BEA-2322-4BF8-9050-B658663539BA}" name="2021" dataDxfId="118"/>
    <tableColumn id="14" xr3:uid="{0C0ED7D7-3F6C-4D2D-90F7-E02FFAEF56F8}" name="2022" dataDxfId="117"/>
    <tableColumn id="15" xr3:uid="{22DCA595-D6BB-4BD7-993F-E4D7AF91DDE5}" name="2023" dataDxfId="116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937AE02-037F-49EE-AFAF-2026B17D2010}" name="Table3" displayName="Table3" ref="A73:O105" totalsRowShown="0" headerRowDxfId="115">
  <autoFilter ref="A73:O105" xr:uid="{8937AE02-037F-49EE-AFAF-2026B17D2010}"/>
  <tableColumns count="15">
    <tableColumn id="1" xr3:uid="{AEA09AB4-7FC7-4D72-81F4-91F2567C1E9F}" name="Regional Overview" dataDxfId="114"/>
    <tableColumn id="2" xr3:uid="{DB9745E8-242F-4769-802F-F46B70EEEB66}" name="2010" dataDxfId="113"/>
    <tableColumn id="3" xr3:uid="{6C97FF6B-7564-46BF-B786-96A6C4E36695}" name="2011" dataDxfId="112"/>
    <tableColumn id="4" xr3:uid="{A3A58F50-7122-4EE3-B1DC-E0CBE78FDACE}" name="2012" dataDxfId="111"/>
    <tableColumn id="5" xr3:uid="{A45BD7F7-91B2-417B-90D1-2BFDA97CD099}" name="2013" dataDxfId="110"/>
    <tableColumn id="6" xr3:uid="{5512269C-9A5F-4F93-84FB-7C15B98F49FA}" name="2014" dataDxfId="109"/>
    <tableColumn id="7" xr3:uid="{6DBE3F14-EF27-4EE2-8225-1C5AFAC60862}" name="2015" dataDxfId="108"/>
    <tableColumn id="8" xr3:uid="{AE7A8CF7-9B77-4261-8BC2-4C614DB7B0B7}" name="2016" dataDxfId="107"/>
    <tableColumn id="9" xr3:uid="{4DA4D6A0-794B-458E-BF5C-D37C0C33BDD1}" name="2017" dataDxfId="106"/>
    <tableColumn id="10" xr3:uid="{C2A01E1B-EE3B-4AA6-92D0-35E9FFD8D11B}" name="2018" dataDxfId="105"/>
    <tableColumn id="11" xr3:uid="{FEC318F4-A5A8-44D4-8C5E-3CFBDE294639}" name="2019" dataDxfId="104"/>
    <tableColumn id="12" xr3:uid="{9F5DF193-76F5-4479-8DC4-92ABAF064350}" name="2020" dataDxfId="103"/>
    <tableColumn id="13" xr3:uid="{9C3224DE-E5A5-431C-9A5E-F64FC49455C4}" name="2021" dataDxfId="102"/>
    <tableColumn id="14" xr3:uid="{716BB28B-CC13-4D78-931E-840E12A2DAC5}" name="2022" dataDxfId="101"/>
    <tableColumn id="15" xr3:uid="{DB43FC57-2DAE-4397-8E54-F2791FC6AFBF}" name="2023" dataDxfId="100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9EC65EA-B127-4F04-B49F-E03B2A18945C}" name="Table4" displayName="Table4" ref="A109:O141" totalsRowShown="0" headerRowDxfId="99" dataDxfId="98">
  <autoFilter ref="A109:O141" xr:uid="{A9EC65EA-B127-4F04-B49F-E03B2A18945C}"/>
  <tableColumns count="15">
    <tableColumn id="1" xr3:uid="{81C28F8C-2AB0-4DE2-8251-279BDB5EFB25}" name="Regional Overview" dataDxfId="97"/>
    <tableColumn id="2" xr3:uid="{2EEE1240-4712-4C63-B889-1BAAF7B6064C}" name="2010" dataDxfId="96"/>
    <tableColumn id="3" xr3:uid="{18E47BC2-AB86-47DC-B83C-9597C96D8DC3}" name="2011" dataDxfId="95"/>
    <tableColumn id="4" xr3:uid="{6658337A-981C-4D97-9F45-E935ED0EEDEC}" name="2012" dataDxfId="94"/>
    <tableColumn id="5" xr3:uid="{1DCA5BED-7811-437B-B042-CE775CA29A33}" name="2013" dataDxfId="93"/>
    <tableColumn id="6" xr3:uid="{0155D244-2DEF-4A88-98CA-6E839BEA1E4A}" name="2014" dataDxfId="92"/>
    <tableColumn id="7" xr3:uid="{EB936A1B-F72A-4B37-9971-3339614BEDC8}" name="2015" dataDxfId="91"/>
    <tableColumn id="8" xr3:uid="{48687B9A-CB57-44D6-93E5-E14F6C941BA6}" name="2016" dataDxfId="90"/>
    <tableColumn id="9" xr3:uid="{843879CA-8703-4BE1-98FE-DE85D5351648}" name="2017" dataDxfId="89"/>
    <tableColumn id="10" xr3:uid="{5DB958B4-ED6D-4A2A-80C0-58BCA0473419}" name="2018" dataDxfId="88"/>
    <tableColumn id="11" xr3:uid="{E92EE583-8681-48F7-A4DA-37CC4E1AAB69}" name="2019" dataDxfId="87"/>
    <tableColumn id="12" xr3:uid="{B76A4644-4570-449E-96DF-840F06720715}" name="2020" dataDxfId="86"/>
    <tableColumn id="13" xr3:uid="{6A4197D0-8D0D-4057-A141-7DF6596DCE78}" name="2021" dataDxfId="85"/>
    <tableColumn id="14" xr3:uid="{64C5CF01-8D9F-4AB9-99F6-B6D7C0CCD9F7}" name="2022" dataDxfId="84"/>
    <tableColumn id="15" xr3:uid="{A05D87C8-BEF8-4F96-919C-43B2F916232B}" name="2023" dataDxfId="83"/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05666EB-E1E0-49DE-8E07-5C23010364DF}" name="Table5" displayName="Table5" ref="A145:O177" totalsRowShown="0" headerRowDxfId="82" dataDxfId="81">
  <autoFilter ref="A145:O177" xr:uid="{305666EB-E1E0-49DE-8E07-5C23010364DF}"/>
  <tableColumns count="15">
    <tableColumn id="1" xr3:uid="{EC1088AE-66C8-43A3-88AF-1E548C92234E}" name="Regional Overview"/>
    <tableColumn id="2" xr3:uid="{B9613BC0-2136-4B4F-9697-42BFC7F7BDB9}" name="2010" dataDxfId="80"/>
    <tableColumn id="3" xr3:uid="{3F819665-44AF-40A3-8AEF-932BB0CAD005}" name="2011" dataDxfId="79"/>
    <tableColumn id="4" xr3:uid="{355B83D9-5F8F-461E-B74C-4F98E0FCB110}" name="2012" dataDxfId="78"/>
    <tableColumn id="5" xr3:uid="{3962D437-13D2-41D8-B1E2-5FDB0092A148}" name="2013" dataDxfId="77"/>
    <tableColumn id="6" xr3:uid="{48863F82-2316-4186-A244-C5D8B553C264}" name="2014" dataDxfId="76"/>
    <tableColumn id="7" xr3:uid="{0121CA0B-5714-4908-AC93-7CB0251D39D1}" name="2015" dataDxfId="75"/>
    <tableColumn id="8" xr3:uid="{F65FC965-0029-4230-8395-38F3FCA79FE2}" name="2016" dataDxfId="74"/>
    <tableColumn id="9" xr3:uid="{E56EA73E-FDEE-4B62-A1A3-FEF7741C528D}" name="2017" dataDxfId="73"/>
    <tableColumn id="10" xr3:uid="{A44B979B-BDB0-4DD0-B904-6FF057EEF9C7}" name="2018" dataDxfId="72"/>
    <tableColumn id="11" xr3:uid="{EDAE43CA-9A7C-4A84-8300-73938ADBD277}" name="2019" dataDxfId="71"/>
    <tableColumn id="12" xr3:uid="{CD134D74-7960-4CC7-843B-B42294B3FB84}" name="2020" dataDxfId="70"/>
    <tableColumn id="13" xr3:uid="{59A07A9A-9E97-4B77-BC3F-0F9B6725B209}" name="2021" dataDxfId="69"/>
    <tableColumn id="14" xr3:uid="{6474F215-0B70-4297-ACF9-133A98F0079D}" name="2022" dataDxfId="68"/>
    <tableColumn id="15" xr3:uid="{FBA323B4-1695-4D17-B9E3-CBB8A2D14C39}" name="2023" dataDxfId="67"/>
  </tableColumns>
  <tableStyleInfo name="TableStyleMedium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89FF00E-FE4F-4493-A244-5B3A2DD56685}" name="Table6" displayName="Table6" ref="A181:O213" totalsRowShown="0" headerRowDxfId="66" dataDxfId="65">
  <autoFilter ref="A181:O213" xr:uid="{C89FF00E-FE4F-4493-A244-5B3A2DD56685}"/>
  <tableColumns count="15">
    <tableColumn id="1" xr3:uid="{BB5B023C-2F05-41AF-B3F8-6183DEB90B5E}" name="Regional Overview" dataDxfId="64" dataCellStyle="Normal"/>
    <tableColumn id="2" xr3:uid="{4AD559D8-5572-44D1-92DD-51361C6A7234}" name="2010" dataDxfId="63"/>
    <tableColumn id="3" xr3:uid="{EEA9E50B-6640-4D2F-AD84-0BA868753184}" name="2011" dataDxfId="62"/>
    <tableColumn id="4" xr3:uid="{D46EEB72-509B-4595-B37B-CC43062A0E50}" name="2012" dataDxfId="61"/>
    <tableColumn id="5" xr3:uid="{E682CB7C-0B7F-4B54-9333-66DED9FF0B24}" name="2013" dataDxfId="60"/>
    <tableColumn id="6" xr3:uid="{94CC3B57-B017-48C9-A295-947304995AF2}" name="2014" dataDxfId="59"/>
    <tableColumn id="7" xr3:uid="{4CAED985-23FF-4298-9FDF-AA71CFBEBA58}" name="2015" dataDxfId="58"/>
    <tableColumn id="8" xr3:uid="{2AD056C0-AFFD-43EC-BAEF-E0BA14668DC2}" name="2016" dataDxfId="57"/>
    <tableColumn id="9" xr3:uid="{FABDD0FF-E9D0-435B-9D4E-488FD0A5DAB4}" name="2017" dataDxfId="56"/>
    <tableColumn id="10" xr3:uid="{09E5D014-5EEE-4ADE-83C5-AF6D6B20469B}" name="2018" dataDxfId="55"/>
    <tableColumn id="11" xr3:uid="{E91395E3-9D48-4015-BD83-8A94E3BC2CD3}" name="2019" dataDxfId="54"/>
    <tableColumn id="12" xr3:uid="{8D50420B-1347-497A-894B-0956DFAACB9E}" name="2020" dataDxfId="53"/>
    <tableColumn id="13" xr3:uid="{0A569534-2DF9-489C-9B19-9330D5C0DFAC}" name="2021" dataDxfId="52"/>
    <tableColumn id="14" xr3:uid="{82937AB4-FFBD-4415-BBF9-EE6C488B3300}" name="2022" dataDxfId="51"/>
    <tableColumn id="15" xr3:uid="{DAA03517-8061-407B-B9A7-D1A862762AF6}" name="2023" dataDxfId="50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1EC7A35-0FC2-40C6-A6DE-4B0E65E23290}" name="Table7" displayName="Table7" ref="A217:O249" totalsRowShown="0" headerRowDxfId="49" dataDxfId="48">
  <autoFilter ref="A217:O249" xr:uid="{F1EC7A35-0FC2-40C6-A6DE-4B0E65E23290}"/>
  <tableColumns count="15">
    <tableColumn id="1" xr3:uid="{0C0B26CE-0CCA-4C70-B2E0-475A007AF9E6}" name="Regional Overview" dataDxfId="47" dataCellStyle="Normal"/>
    <tableColumn id="2" xr3:uid="{B3414F86-5DCD-46A7-909E-D8B2F499A9E2}" name="2010" dataDxfId="46"/>
    <tableColumn id="3" xr3:uid="{BA76E863-4707-463B-8BF0-349FD60102BB}" name="2011" dataDxfId="45"/>
    <tableColumn id="4" xr3:uid="{89DEACC0-1E7F-4910-AC37-7DC4B9CF60DD}" name="2012" dataDxfId="44"/>
    <tableColumn id="5" xr3:uid="{9EF15F70-285A-4F6C-9D52-4B2E685CDF1C}" name="2013" dataDxfId="43"/>
    <tableColumn id="6" xr3:uid="{43208F07-4E12-4B4E-8982-1FAEA9D0A047}" name="2014" dataDxfId="42"/>
    <tableColumn id="7" xr3:uid="{C4EC0CEC-984A-40FA-B022-5FB2D172F50D}" name="2015" dataDxfId="41"/>
    <tableColumn id="8" xr3:uid="{4AA5618A-E7AB-4A91-80EA-A2C59AFFDC80}" name="2016" dataDxfId="40"/>
    <tableColumn id="9" xr3:uid="{D20994EB-51AD-4C9C-97C9-02FB6C0FDB83}" name="2017" dataDxfId="39"/>
    <tableColumn id="10" xr3:uid="{A1DAA8A3-5491-42C2-AB03-B0BF25AAB832}" name="2018" dataDxfId="38"/>
    <tableColumn id="11" xr3:uid="{DB9E1865-4633-4ACF-A391-6524E862D815}" name="2019" dataDxfId="37"/>
    <tableColumn id="12" xr3:uid="{D0AF568D-36AA-4BAF-A90D-5C97453ABA6D}" name="2020" dataDxfId="36"/>
    <tableColumn id="13" xr3:uid="{68B05002-106A-4646-BB38-9B0FF54C365B}" name="2021" dataDxfId="35"/>
    <tableColumn id="14" xr3:uid="{258B215A-48F2-4C48-A924-4578B280B6A6}" name="2022" dataDxfId="34"/>
    <tableColumn id="15" xr3:uid="{72D336E9-FADB-43D2-A0F9-E981F70B80F9}" name="2023" dataDxfId="33"/>
  </tableColumns>
  <tableStyleInfo name="TableStyleMedium14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7B897C2-F0B1-4A9F-B8AF-5A5224E15F6A}" name="Table9" displayName="Table9" ref="A253:O285" totalsRowShown="0" headerRowDxfId="32" dataDxfId="31">
  <autoFilter ref="A253:O285" xr:uid="{C7B897C2-F0B1-4A9F-B8AF-5A5224E15F6A}"/>
  <tableColumns count="15">
    <tableColumn id="1" xr3:uid="{014045AA-E989-44ED-AD83-CCCBF7C13E37}" name="Regional Overview" dataCellStyle="Normal"/>
    <tableColumn id="2" xr3:uid="{E2A35F5F-7B2F-4CE5-B819-4A7E4BFA1536}" name="2010" dataDxfId="30"/>
    <tableColumn id="3" xr3:uid="{07B1223C-3425-4A41-A020-4E5C1E1F6655}" name="2011" dataDxfId="29"/>
    <tableColumn id="4" xr3:uid="{74219172-BA1C-4762-9E2C-E8E25629FA2E}" name="2012" dataDxfId="28"/>
    <tableColumn id="5" xr3:uid="{76EE0968-075C-44D5-9CB8-0392FF538F05}" name="2013" dataDxfId="27"/>
    <tableColumn id="6" xr3:uid="{DD1CE11F-9B97-4A75-9BDB-A869E09718AF}" name="2014" dataDxfId="26"/>
    <tableColumn id="7" xr3:uid="{D95BBAC4-38EB-4FBB-B2DA-31DB0BDAF4D8}" name="2015" dataDxfId="25"/>
    <tableColumn id="8" xr3:uid="{841ED103-C32F-4002-9175-3B7E076EBBCE}" name="2016" dataDxfId="24"/>
    <tableColumn id="9" xr3:uid="{7092B8DA-889C-4A82-A29B-89C3D9EC95BF}" name="2017" dataDxfId="23"/>
    <tableColumn id="10" xr3:uid="{E447CCD8-CA9D-42D4-B041-429F8FEB262A}" name="2018" dataDxfId="22"/>
    <tableColumn id="11" xr3:uid="{856B23E8-46E4-45B8-8FBD-54FF4FA3443E}" name="2019" dataDxfId="21"/>
    <tableColumn id="12" xr3:uid="{A8387FE4-13B5-451B-B5A9-412115B34B43}" name="2020" dataDxfId="20"/>
    <tableColumn id="13" xr3:uid="{5A516CCE-56BC-4C58-8AF2-15D0661FAC3E}" name="2021" dataDxfId="19"/>
    <tableColumn id="14" xr3:uid="{1A7EB77F-0251-43EE-BEA7-4473B58740DD}" name="2022" dataDxfId="18"/>
    <tableColumn id="15" xr3:uid="{57CF4D70-405D-4891-AFEA-55ABE2F0C073}" name="2023" dataDxfId="17"/>
  </tableColumns>
  <tableStyleInfo name="TableStyleLight15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F49E5244-517B-429E-9103-00A22BC345C8}" name="Table10" displayName="Table10" ref="A289:O312" totalsRowShown="0" headerRowDxfId="16" dataDxfId="15">
  <autoFilter ref="A289:O312" xr:uid="{F49E5244-517B-429E-9103-00A22BC345C8}"/>
  <tableColumns count="15">
    <tableColumn id="1" xr3:uid="{44C15060-6F40-4D28-B796-3190C8036F2D}" name="Regional Overview" dataDxfId="14" dataCellStyle="Normal"/>
    <tableColumn id="2" xr3:uid="{41E1D720-940B-45B6-AD6A-B82339C50E7B}" name="2010" dataDxfId="13"/>
    <tableColumn id="3" xr3:uid="{CDB97068-2E69-4E1E-83C8-20206F6A0489}" name="2011" dataDxfId="12"/>
    <tableColumn id="4" xr3:uid="{03CF8F2F-E5C1-43A1-95AA-07926BDBD235}" name="2012" dataDxfId="11"/>
    <tableColumn id="5" xr3:uid="{EF312B6E-49C9-4CBB-82F4-6AC9BB91B8F9}" name="2013" dataDxfId="10"/>
    <tableColumn id="6" xr3:uid="{61212876-6575-41D0-B6E0-E11600F68158}" name="2014" dataDxfId="9"/>
    <tableColumn id="7" xr3:uid="{BCC73DF9-A128-48FB-AD07-9E589A375BBD}" name="2015" dataDxfId="8"/>
    <tableColumn id="8" xr3:uid="{FA7F1096-1A58-4AD6-BD1F-AC61DEC826A6}" name="2016" dataDxfId="7"/>
    <tableColumn id="9" xr3:uid="{7D9E0996-A222-426A-816A-D2CEC93BE363}" name="2017" dataDxfId="6"/>
    <tableColumn id="10" xr3:uid="{44988C90-4DFC-465E-8B43-2E07DBD266E2}" name="2018" dataDxfId="5"/>
    <tableColumn id="11" xr3:uid="{2C9446AC-638A-4B86-A1D1-BD04EB8142E2}" name="2019" dataDxfId="4"/>
    <tableColumn id="12" xr3:uid="{8AECBCB4-CF2D-4197-9693-0737D91C044C}" name="2020" dataDxfId="3"/>
    <tableColumn id="13" xr3:uid="{1F3B99BC-1C4F-4C72-BEF0-341C9ED43EB4}" name="2021" dataDxfId="2"/>
    <tableColumn id="14" xr3:uid="{685738FB-F9BC-4728-A2A0-DDE575874BEA}" name="2022" dataDxfId="1"/>
    <tableColumn id="15" xr3:uid="{109E374C-7BA8-4E7B-8E0B-4A4E4AFB4DAC}" name="2023" dataDxfId="0"/>
  </tableColumns>
  <tableStyleInfo name="TableStyleMedium24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329"/>
  <sheetViews>
    <sheetView tabSelected="1" topLeftCell="A6" zoomScale="98" zoomScaleNormal="98" workbookViewId="0">
      <selection activeCell="A34" sqref="A34"/>
    </sheetView>
  </sheetViews>
  <sheetFormatPr defaultColWidth="12.5703125" defaultRowHeight="15.75" customHeight="1" x14ac:dyDescent="0.25"/>
  <cols>
    <col min="1" max="1" width="89.140625" style="14" customWidth="1"/>
    <col min="2" max="15" width="25.85546875" style="14" customWidth="1"/>
  </cols>
  <sheetData>
    <row r="1" spans="1:18" ht="15.75" customHeight="1" x14ac:dyDescent="0.25">
      <c r="A1" s="29" t="s">
        <v>0</v>
      </c>
      <c r="B1" s="70">
        <v>2010</v>
      </c>
      <c r="C1" s="70">
        <v>2011</v>
      </c>
      <c r="D1" s="70">
        <v>2012</v>
      </c>
      <c r="E1" s="70">
        <v>2013</v>
      </c>
      <c r="F1" s="70">
        <v>2014</v>
      </c>
      <c r="G1" s="70">
        <v>2015</v>
      </c>
      <c r="H1" s="70">
        <v>2016</v>
      </c>
      <c r="I1" s="70">
        <v>2017</v>
      </c>
      <c r="J1" s="70">
        <v>2018</v>
      </c>
      <c r="K1" s="70">
        <v>2019</v>
      </c>
      <c r="L1" s="70">
        <v>2020</v>
      </c>
      <c r="M1" s="70">
        <v>2021</v>
      </c>
      <c r="N1" s="70">
        <v>2022</v>
      </c>
      <c r="O1" s="70">
        <v>2023</v>
      </c>
      <c r="P1" s="1"/>
      <c r="Q1" s="1"/>
      <c r="R1" s="1"/>
    </row>
    <row r="2" spans="1:18" ht="15.75" customHeight="1" x14ac:dyDescent="0.25">
      <c r="A2" s="30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1"/>
      <c r="Q2" s="1"/>
      <c r="R2" s="1"/>
    </row>
    <row r="3" spans="1:18" ht="15.75" customHeight="1" x14ac:dyDescent="0.2">
      <c r="A3" s="22" t="s">
        <v>2</v>
      </c>
      <c r="B3" s="38"/>
      <c r="C3" s="50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4"/>
      <c r="Q3" s="4"/>
      <c r="R3" s="4"/>
    </row>
    <row r="4" spans="1:18" ht="15.75" customHeight="1" x14ac:dyDescent="0.3">
      <c r="A4" s="23" t="s">
        <v>40</v>
      </c>
      <c r="B4" s="38">
        <v>310000</v>
      </c>
      <c r="C4" s="38">
        <v>280000</v>
      </c>
      <c r="D4" s="38">
        <v>260000</v>
      </c>
      <c r="E4" s="38">
        <v>240000</v>
      </c>
      <c r="F4" s="38">
        <v>230000</v>
      </c>
      <c r="G4" s="38">
        <v>220000</v>
      </c>
      <c r="H4" s="38">
        <v>200000</v>
      </c>
      <c r="I4" s="38">
        <v>190000</v>
      </c>
      <c r="J4" s="38">
        <v>180000</v>
      </c>
      <c r="K4" s="38">
        <v>160000</v>
      </c>
      <c r="L4" s="38">
        <v>160000</v>
      </c>
      <c r="M4" s="38">
        <v>160000</v>
      </c>
      <c r="N4" s="38">
        <v>160000</v>
      </c>
      <c r="O4" s="38">
        <v>150000</v>
      </c>
      <c r="P4" s="4"/>
      <c r="Q4" s="4"/>
      <c r="R4" s="4"/>
    </row>
    <row r="5" spans="1:18" ht="15.75" customHeight="1" x14ac:dyDescent="0.3">
      <c r="A5" s="23" t="s">
        <v>41</v>
      </c>
      <c r="B5" s="38">
        <v>350000</v>
      </c>
      <c r="C5" s="38">
        <v>350000</v>
      </c>
      <c r="D5" s="38">
        <v>340000</v>
      </c>
      <c r="E5" s="38">
        <v>320000</v>
      </c>
      <c r="F5" s="38">
        <v>320000</v>
      </c>
      <c r="G5" s="38">
        <v>320000</v>
      </c>
      <c r="H5" s="38">
        <v>310000</v>
      </c>
      <c r="I5" s="38">
        <v>310000</v>
      </c>
      <c r="J5" s="38">
        <v>310000</v>
      </c>
      <c r="K5" s="38">
        <v>300000</v>
      </c>
      <c r="L5" s="38">
        <v>300000</v>
      </c>
      <c r="M5" s="38">
        <v>300000</v>
      </c>
      <c r="N5" s="38">
        <v>310000</v>
      </c>
      <c r="O5" s="38">
        <v>300000</v>
      </c>
      <c r="P5" s="4"/>
      <c r="Q5" s="4"/>
      <c r="R5" s="4"/>
    </row>
    <row r="6" spans="1:18" ht="15.75" customHeight="1" x14ac:dyDescent="0.3">
      <c r="A6" s="23" t="s">
        <v>42</v>
      </c>
      <c r="B6" s="38">
        <v>5700000</v>
      </c>
      <c r="C6" s="38">
        <v>5700000</v>
      </c>
      <c r="D6" s="38">
        <v>5800000</v>
      </c>
      <c r="E6" s="38">
        <v>5800000</v>
      </c>
      <c r="F6" s="38">
        <v>5900000</v>
      </c>
      <c r="G6" s="38">
        <v>5900000</v>
      </c>
      <c r="H6" s="38">
        <v>6000000</v>
      </c>
      <c r="I6" s="38">
        <v>6100000</v>
      </c>
      <c r="J6" s="38">
        <v>6200000</v>
      </c>
      <c r="K6" s="38">
        <v>6300000</v>
      </c>
      <c r="L6" s="38">
        <v>6400000</v>
      </c>
      <c r="M6" s="38">
        <v>6500000</v>
      </c>
      <c r="N6" s="38">
        <v>6600000</v>
      </c>
      <c r="O6" s="38">
        <v>6700000</v>
      </c>
      <c r="P6" s="3"/>
      <c r="Q6" s="3"/>
      <c r="R6" s="3"/>
    </row>
    <row r="7" spans="1:18" ht="15.75" customHeight="1" x14ac:dyDescent="0.3">
      <c r="A7" s="23" t="s">
        <v>43</v>
      </c>
      <c r="B7" s="38">
        <v>350000</v>
      </c>
      <c r="C7" s="38">
        <v>350000</v>
      </c>
      <c r="D7" s="38">
        <v>340000</v>
      </c>
      <c r="E7" s="38">
        <v>320000</v>
      </c>
      <c r="F7" s="38">
        <v>320000</v>
      </c>
      <c r="G7" s="38">
        <v>320000</v>
      </c>
      <c r="H7" s="38">
        <v>310000</v>
      </c>
      <c r="I7" s="38">
        <v>310000</v>
      </c>
      <c r="J7" s="38">
        <v>310000</v>
      </c>
      <c r="K7" s="38">
        <v>300000</v>
      </c>
      <c r="L7" s="38">
        <v>300000</v>
      </c>
      <c r="M7" s="38">
        <v>300000</v>
      </c>
      <c r="N7" s="38">
        <v>310000</v>
      </c>
      <c r="O7" s="38">
        <v>300000</v>
      </c>
      <c r="P7" s="3"/>
      <c r="Q7" s="3"/>
      <c r="R7" s="4"/>
    </row>
    <row r="8" spans="1:18" ht="15.75" customHeight="1" x14ac:dyDescent="0.3">
      <c r="A8" s="23" t="s">
        <v>44</v>
      </c>
      <c r="B8" s="38">
        <v>310000</v>
      </c>
      <c r="C8" s="38">
        <v>280000</v>
      </c>
      <c r="D8" s="38">
        <v>260000</v>
      </c>
      <c r="E8" s="38">
        <v>240000</v>
      </c>
      <c r="F8" s="38">
        <v>230000</v>
      </c>
      <c r="G8" s="38">
        <v>220000</v>
      </c>
      <c r="H8" s="38">
        <v>200000</v>
      </c>
      <c r="I8" s="38">
        <v>190000</v>
      </c>
      <c r="J8" s="38">
        <v>180000</v>
      </c>
      <c r="K8" s="38">
        <v>160000</v>
      </c>
      <c r="L8" s="38">
        <v>160000</v>
      </c>
      <c r="M8" s="38">
        <v>160000</v>
      </c>
      <c r="N8" s="38">
        <v>160000</v>
      </c>
      <c r="O8" s="38">
        <v>150000</v>
      </c>
      <c r="P8" s="3"/>
      <c r="Q8" s="3"/>
      <c r="R8" s="4"/>
    </row>
    <row r="9" spans="1:18" ht="15.75" customHeight="1" x14ac:dyDescent="0.3">
      <c r="A9" s="23" t="s">
        <v>3</v>
      </c>
      <c r="B9" s="38">
        <f t="shared" ref="B9:O9" si="0">SUM(B4:B8)</f>
        <v>7020000</v>
      </c>
      <c r="C9" s="38">
        <f t="shared" si="0"/>
        <v>6960000</v>
      </c>
      <c r="D9" s="38">
        <f t="shared" si="0"/>
        <v>7000000</v>
      </c>
      <c r="E9" s="38">
        <f t="shared" si="0"/>
        <v>6920000</v>
      </c>
      <c r="F9" s="38">
        <f t="shared" si="0"/>
        <v>7000000</v>
      </c>
      <c r="G9" s="38">
        <f t="shared" si="0"/>
        <v>6980000</v>
      </c>
      <c r="H9" s="38">
        <f t="shared" si="0"/>
        <v>7020000</v>
      </c>
      <c r="I9" s="38">
        <f t="shared" si="0"/>
        <v>7100000</v>
      </c>
      <c r="J9" s="38">
        <f t="shared" si="0"/>
        <v>7180000</v>
      </c>
      <c r="K9" s="38">
        <f t="shared" si="0"/>
        <v>7220000</v>
      </c>
      <c r="L9" s="38">
        <f t="shared" si="0"/>
        <v>7320000</v>
      </c>
      <c r="M9" s="38">
        <f t="shared" si="0"/>
        <v>7420000</v>
      </c>
      <c r="N9" s="38">
        <f t="shared" si="0"/>
        <v>7540000</v>
      </c>
      <c r="O9" s="38">
        <f t="shared" si="0"/>
        <v>7600000</v>
      </c>
    </row>
    <row r="10" spans="1:18" ht="15.75" customHeight="1" x14ac:dyDescent="0.3">
      <c r="A10" s="35" t="s">
        <v>4</v>
      </c>
      <c r="B10" s="38">
        <f t="shared" ref="B10:O10" si="1">AVERAGE(B4:B8)</f>
        <v>1404000</v>
      </c>
      <c r="C10" s="38">
        <f t="shared" si="1"/>
        <v>1392000</v>
      </c>
      <c r="D10" s="38">
        <f t="shared" si="1"/>
        <v>1400000</v>
      </c>
      <c r="E10" s="38">
        <f t="shared" si="1"/>
        <v>1384000</v>
      </c>
      <c r="F10" s="38">
        <f t="shared" si="1"/>
        <v>1400000</v>
      </c>
      <c r="G10" s="38">
        <f t="shared" si="1"/>
        <v>1396000</v>
      </c>
      <c r="H10" s="38">
        <f t="shared" si="1"/>
        <v>1404000</v>
      </c>
      <c r="I10" s="38">
        <f t="shared" si="1"/>
        <v>1420000</v>
      </c>
      <c r="J10" s="38">
        <f t="shared" si="1"/>
        <v>1436000</v>
      </c>
      <c r="K10" s="38">
        <f t="shared" si="1"/>
        <v>1444000</v>
      </c>
      <c r="L10" s="38">
        <f t="shared" si="1"/>
        <v>1464000</v>
      </c>
      <c r="M10" s="38">
        <f t="shared" si="1"/>
        <v>1484000</v>
      </c>
      <c r="N10" s="38">
        <f t="shared" si="1"/>
        <v>1508000</v>
      </c>
      <c r="O10" s="38">
        <f t="shared" si="1"/>
        <v>1520000</v>
      </c>
    </row>
    <row r="11" spans="1:18" ht="15.75" customHeight="1" x14ac:dyDescent="0.2">
      <c r="A11" s="49"/>
      <c r="B11" s="24"/>
      <c r="C11" s="25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</row>
    <row r="12" spans="1:18" ht="15.75" customHeight="1" x14ac:dyDescent="0.2">
      <c r="A12" s="22" t="s">
        <v>5</v>
      </c>
      <c r="B12" s="43"/>
      <c r="C12" s="43"/>
      <c r="D12" s="43"/>
      <c r="E12" s="43"/>
      <c r="F12" s="43"/>
      <c r="G12" s="43"/>
      <c r="H12" s="43"/>
      <c r="I12" s="43"/>
      <c r="J12" s="43"/>
      <c r="K12" s="24"/>
      <c r="L12" s="24"/>
      <c r="M12" s="24"/>
      <c r="N12" s="24"/>
      <c r="O12" s="24"/>
    </row>
    <row r="13" spans="1:18" ht="15.75" customHeight="1" x14ac:dyDescent="0.3">
      <c r="A13" s="33" t="s">
        <v>45</v>
      </c>
      <c r="B13" s="40">
        <f>_xlfn.FORECAST.LINEAR(2010, G13:O13, G1:O1 )</f>
        <v>50.111111111111313</v>
      </c>
      <c r="C13" s="40">
        <f>_xlfn.FORECAST.LINEAR(2011, G13:O13, G1:O1 )</f>
        <v>52.111111111111313</v>
      </c>
      <c r="D13" s="40">
        <f>_xlfn.FORECAST.LINEAR(2012, G13:O13, G1:O1 )</f>
        <v>54.111111111111313</v>
      </c>
      <c r="E13" s="40">
        <f>_xlfn.FORECAST.LINEAR(2013, G13:O13, G1:O1 )</f>
        <v>56.111111111111313</v>
      </c>
      <c r="F13" s="40">
        <f>_xlfn.FORECAST.LINEAR(2014, G13:O13, G1:O1 )</f>
        <v>58.111111111111313</v>
      </c>
      <c r="G13" s="51">
        <v>62</v>
      </c>
      <c r="H13" s="43">
        <v>64</v>
      </c>
      <c r="I13" s="43">
        <v>62</v>
      </c>
      <c r="J13" s="43">
        <v>65</v>
      </c>
      <c r="K13" s="43">
        <v>67</v>
      </c>
      <c r="L13" s="43">
        <v>68</v>
      </c>
      <c r="M13" s="43">
        <v>72</v>
      </c>
      <c r="N13" s="43">
        <v>75</v>
      </c>
      <c r="O13" s="43">
        <v>78</v>
      </c>
      <c r="P13" s="2"/>
    </row>
    <row r="14" spans="1:18" ht="15.75" customHeight="1" x14ac:dyDescent="0.3">
      <c r="A14" s="33" t="s">
        <v>46</v>
      </c>
      <c r="B14" s="40">
        <f>_xlfn.FORECAST.LINEAR(2010, G14:O14, G1:O1 )</f>
        <v>18.494444444444525</v>
      </c>
      <c r="C14" s="40">
        <f>_xlfn.FORECAST.LINEAR(2011, G14:O14, G1:O1 )</f>
        <v>22.377777777777737</v>
      </c>
      <c r="D14" s="40">
        <f>_xlfn.FORECAST.LINEAR(2012, G14:O14, G1:O1 )</f>
        <v>26.261111111110949</v>
      </c>
      <c r="E14" s="40">
        <f>_xlfn.FORECAST.LINEAR(2013, G14:O14, G1:O1 )</f>
        <v>30.144444444444161</v>
      </c>
      <c r="F14" s="40">
        <f>_xlfn.FORECAST.LINEAR(2014, G14:O14, G1:O1 )</f>
        <v>34.027777777777374</v>
      </c>
      <c r="G14" s="51">
        <v>36</v>
      </c>
      <c r="H14" s="43">
        <v>41</v>
      </c>
      <c r="I14" s="43">
        <v>45</v>
      </c>
      <c r="J14" s="43">
        <v>51</v>
      </c>
      <c r="K14" s="43">
        <v>57</v>
      </c>
      <c r="L14" s="43">
        <v>59</v>
      </c>
      <c r="M14" s="43">
        <v>61</v>
      </c>
      <c r="N14" s="43">
        <v>64</v>
      </c>
      <c r="O14" s="43">
        <v>67</v>
      </c>
      <c r="P14" s="2"/>
    </row>
    <row r="15" spans="1:18" ht="15.75" customHeight="1" x14ac:dyDescent="0.3">
      <c r="A15" s="33" t="s">
        <v>47</v>
      </c>
      <c r="B15" s="40">
        <f>_xlfn.FORECAST.LINEAR(2010, G15:O15, G1:O1 )</f>
        <v>11.099999999998545</v>
      </c>
      <c r="C15" s="40">
        <f>_xlfn.FORECAST.LINEAR(2011, G15:O15, G1:O1 )</f>
        <v>15.199999999998909</v>
      </c>
      <c r="D15" s="40">
        <f>_xlfn.FORECAST.LINEAR(2012, G15:O15, G1:O1 )</f>
        <v>19.299999999999272</v>
      </c>
      <c r="E15" s="40">
        <f>_xlfn.FORECAST.LINEAR(2013, G15:O15, G1:O1 )</f>
        <v>23.399999999999636</v>
      </c>
      <c r="F15" s="40">
        <f>_xlfn.FORECAST.LINEAR(2014, G15:O15, G1:O1 )</f>
        <v>27.5</v>
      </c>
      <c r="G15" s="40">
        <f>_xlfn.FORECAST.LINEAR(2015, L15:O15, L1:O1 )</f>
        <v>31.600000000000364</v>
      </c>
      <c r="H15" s="40">
        <f>_xlfn.FORECAST.LINEAR(2016, L15:O15, L1:O1)</f>
        <v>35.699999999998909</v>
      </c>
      <c r="I15" s="40">
        <f>_xlfn.FORECAST.LINEAR(2017, L15:O15, L1:O1 )</f>
        <v>39.799999999999272</v>
      </c>
      <c r="J15" s="40">
        <f>_xlfn.FORECAST.LINEAR(2018, L15:O15, L1:O1)</f>
        <v>43.899999999999636</v>
      </c>
      <c r="K15" s="41">
        <f>_xlfn.FORECAST.LINEAR(2019, L15:O15, L1:O1 )</f>
        <v>48</v>
      </c>
      <c r="L15" s="43">
        <v>53</v>
      </c>
      <c r="M15" s="43">
        <v>55</v>
      </c>
      <c r="N15" s="43">
        <v>60</v>
      </c>
      <c r="O15" s="43">
        <v>65</v>
      </c>
      <c r="P15" s="2"/>
    </row>
    <row r="16" spans="1:18" ht="15.75" customHeight="1" x14ac:dyDescent="0.3">
      <c r="A16" s="23" t="s">
        <v>6</v>
      </c>
      <c r="B16" s="40">
        <f t="shared" ref="B16:O16" si="2">AVERAGE(B13:B15)</f>
        <v>26.568518518518129</v>
      </c>
      <c r="C16" s="40">
        <f t="shared" si="2"/>
        <v>29.896296296295986</v>
      </c>
      <c r="D16" s="40">
        <f t="shared" si="2"/>
        <v>33.224074074073847</v>
      </c>
      <c r="E16" s="40">
        <f t="shared" si="2"/>
        <v>36.551851851851701</v>
      </c>
      <c r="F16" s="40">
        <f t="shared" si="2"/>
        <v>39.879629629629562</v>
      </c>
      <c r="G16" s="42">
        <f t="shared" si="2"/>
        <v>43.200000000000124</v>
      </c>
      <c r="H16" s="42">
        <f t="shared" si="2"/>
        <v>46.899999999999636</v>
      </c>
      <c r="I16" s="42">
        <f t="shared" si="2"/>
        <v>48.933333333333088</v>
      </c>
      <c r="J16" s="42">
        <f t="shared" si="2"/>
        <v>53.299999999999876</v>
      </c>
      <c r="K16" s="42">
        <f t="shared" si="2"/>
        <v>57.333333333333336</v>
      </c>
      <c r="L16" s="42">
        <f t="shared" si="2"/>
        <v>60</v>
      </c>
      <c r="M16" s="42">
        <f t="shared" si="2"/>
        <v>62.666666666666664</v>
      </c>
      <c r="N16" s="42">
        <f t="shared" si="2"/>
        <v>66.333333333333329</v>
      </c>
      <c r="O16" s="42">
        <f t="shared" si="2"/>
        <v>70</v>
      </c>
      <c r="P16" s="2"/>
    </row>
    <row r="17" spans="1:17" ht="15.75" customHeight="1" x14ac:dyDescent="0.25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"/>
    </row>
    <row r="18" spans="1:17" ht="15.75" customHeight="1" x14ac:dyDescent="0.25">
      <c r="A18" s="22" t="s">
        <v>7</v>
      </c>
      <c r="B18" s="49"/>
      <c r="C18" s="49"/>
      <c r="D18" s="49"/>
      <c r="E18" s="49"/>
      <c r="F18" s="49"/>
      <c r="G18" s="49"/>
      <c r="H18" s="49"/>
      <c r="I18" s="49"/>
      <c r="J18" s="49"/>
      <c r="K18" s="49"/>
      <c r="L18" s="49"/>
      <c r="M18" s="49"/>
      <c r="N18" s="49"/>
      <c r="O18" s="49"/>
      <c r="P18" s="2"/>
    </row>
    <row r="19" spans="1:17" ht="15.75" customHeight="1" x14ac:dyDescent="0.3">
      <c r="A19" s="35" t="s">
        <v>48</v>
      </c>
      <c r="B19" s="43">
        <v>31</v>
      </c>
      <c r="C19" s="43">
        <v>30</v>
      </c>
      <c r="D19" s="43">
        <v>29</v>
      </c>
      <c r="E19" s="43">
        <v>27</v>
      </c>
      <c r="F19" s="43">
        <v>26</v>
      </c>
      <c r="G19" s="43">
        <v>25</v>
      </c>
      <c r="H19" s="43">
        <v>24</v>
      </c>
      <c r="I19" s="43">
        <v>24</v>
      </c>
      <c r="J19" s="43">
        <v>23</v>
      </c>
      <c r="K19" s="43">
        <v>24</v>
      </c>
      <c r="L19" s="43">
        <v>24</v>
      </c>
      <c r="M19" s="43">
        <v>23</v>
      </c>
      <c r="N19" s="43">
        <v>22</v>
      </c>
      <c r="O19" s="43">
        <v>19</v>
      </c>
    </row>
    <row r="20" spans="1:17" ht="15.75" customHeight="1" x14ac:dyDescent="0.3">
      <c r="A20" s="35" t="s">
        <v>49</v>
      </c>
      <c r="B20" s="38">
        <v>5600</v>
      </c>
      <c r="C20" s="38">
        <v>5600</v>
      </c>
      <c r="D20" s="38">
        <v>6200</v>
      </c>
      <c r="E20" s="38">
        <v>6700</v>
      </c>
      <c r="F20" s="38">
        <v>7500</v>
      </c>
      <c r="G20" s="38">
        <v>7400</v>
      </c>
      <c r="H20" s="38">
        <v>8100</v>
      </c>
      <c r="I20" s="38">
        <v>7900</v>
      </c>
      <c r="J20" s="38">
        <v>8100</v>
      </c>
      <c r="K20" s="38">
        <v>8200</v>
      </c>
      <c r="L20" s="38">
        <v>7300</v>
      </c>
      <c r="M20" s="38">
        <v>7400</v>
      </c>
      <c r="N20" s="38">
        <v>8300</v>
      </c>
      <c r="O20" s="38">
        <v>9200</v>
      </c>
      <c r="P20" s="2"/>
    </row>
    <row r="21" spans="1:17" ht="15.75" customHeight="1" x14ac:dyDescent="0.3">
      <c r="A21" s="35" t="s">
        <v>50</v>
      </c>
      <c r="B21" s="38">
        <v>790000</v>
      </c>
      <c r="C21" s="38">
        <v>780000</v>
      </c>
      <c r="D21" s="38">
        <v>770000</v>
      </c>
      <c r="E21" s="38">
        <v>750000</v>
      </c>
      <c r="F21" s="38">
        <v>740000</v>
      </c>
      <c r="G21" s="38">
        <v>730000</v>
      </c>
      <c r="H21" s="38">
        <v>720000</v>
      </c>
      <c r="I21" s="38">
        <v>710000</v>
      </c>
      <c r="J21" s="38">
        <v>700000</v>
      </c>
      <c r="K21" s="38">
        <v>700000</v>
      </c>
      <c r="L21" s="38">
        <v>690000</v>
      </c>
      <c r="M21" s="38">
        <v>680000</v>
      </c>
      <c r="N21" s="38">
        <v>670000</v>
      </c>
      <c r="O21" s="38">
        <v>670000</v>
      </c>
      <c r="P21" s="2"/>
      <c r="Q21" s="2"/>
    </row>
    <row r="22" spans="1:17" ht="15.75" customHeight="1" x14ac:dyDescent="0.3">
      <c r="A22" s="35" t="s">
        <v>51</v>
      </c>
      <c r="B22" s="43">
        <v>15</v>
      </c>
      <c r="C22" s="40">
        <f ca="1">IFERROR(__xludf.DUMMYFUNCTION("FORECAST.LINEAR(2011, FILTER(B22:O22, B22:O22&lt;&gt;C22, B22:O22&lt;&gt;D22), FILTER(B1:O1, B1:O1&lt;&gt;C1, B1:O1&lt;&gt;D1))
"),19.0434782608717)</f>
        <v>19.043478260871701</v>
      </c>
      <c r="D22" s="40">
        <f ca="1">IFERROR(__xludf.DUMMYFUNCTION("FORECAST.LINEAR(2012, FILTER(B22:O22, B22:O22&lt;&gt;C22, B22:O22&lt;&gt;D22), FILTER(B1:O1, B1:O1&lt;&gt;C1, B1:O1&lt;&gt;D1))
"),21.3260869565237)</f>
        <v>21.326086956523699</v>
      </c>
      <c r="E22" s="52">
        <v>33</v>
      </c>
      <c r="F22" s="52">
        <v>25</v>
      </c>
      <c r="G22" s="52">
        <v>29</v>
      </c>
      <c r="H22" s="43">
        <v>27</v>
      </c>
      <c r="I22" s="43">
        <v>27</v>
      </c>
      <c r="J22" s="43">
        <v>33</v>
      </c>
      <c r="K22" s="43">
        <v>39</v>
      </c>
      <c r="L22" s="43">
        <v>40</v>
      </c>
      <c r="M22" s="43">
        <v>40</v>
      </c>
      <c r="N22" s="43">
        <v>39</v>
      </c>
      <c r="O22" s="43">
        <v>55</v>
      </c>
    </row>
    <row r="23" spans="1:17" ht="15.75" customHeight="1" x14ac:dyDescent="0.3">
      <c r="A23" s="23" t="s">
        <v>8</v>
      </c>
      <c r="B23" s="38">
        <f t="shared" ref="B23:O23" si="3">SUM(B19:B22)</f>
        <v>795646</v>
      </c>
      <c r="C23" s="38">
        <f t="shared" ca="1" si="3"/>
        <v>785649.04347826086</v>
      </c>
      <c r="D23" s="38">
        <f t="shared" ca="1" si="3"/>
        <v>776250.32608695654</v>
      </c>
      <c r="E23" s="38">
        <f t="shared" si="3"/>
        <v>756760</v>
      </c>
      <c r="F23" s="38">
        <f t="shared" si="3"/>
        <v>747551</v>
      </c>
      <c r="G23" s="38">
        <f t="shared" si="3"/>
        <v>737454</v>
      </c>
      <c r="H23" s="38">
        <f t="shared" si="3"/>
        <v>728151</v>
      </c>
      <c r="I23" s="38">
        <f t="shared" si="3"/>
        <v>717951</v>
      </c>
      <c r="J23" s="38">
        <f t="shared" si="3"/>
        <v>708156</v>
      </c>
      <c r="K23" s="38">
        <f t="shared" si="3"/>
        <v>708263</v>
      </c>
      <c r="L23" s="38">
        <f t="shared" si="3"/>
        <v>697364</v>
      </c>
      <c r="M23" s="38">
        <f t="shared" si="3"/>
        <v>687463</v>
      </c>
      <c r="N23" s="38">
        <f t="shared" si="3"/>
        <v>678361</v>
      </c>
      <c r="O23" s="38">
        <f t="shared" si="3"/>
        <v>679274</v>
      </c>
    </row>
    <row r="24" spans="1:17" ht="15.75" customHeight="1" x14ac:dyDescent="0.3">
      <c r="A24" s="23" t="s">
        <v>9</v>
      </c>
      <c r="B24" s="38">
        <f t="shared" ref="B24:O24" si="4">AVERAGE(B19:B22)</f>
        <v>198911.5</v>
      </c>
      <c r="C24" s="38">
        <f t="shared" ca="1" si="4"/>
        <v>196412.26086956522</v>
      </c>
      <c r="D24" s="38">
        <f t="shared" ca="1" si="4"/>
        <v>194062.58152173914</v>
      </c>
      <c r="E24" s="38">
        <f t="shared" si="4"/>
        <v>189190</v>
      </c>
      <c r="F24" s="38">
        <f t="shared" si="4"/>
        <v>186887.75</v>
      </c>
      <c r="G24" s="38">
        <f t="shared" si="4"/>
        <v>184363.5</v>
      </c>
      <c r="H24" s="38">
        <f t="shared" si="4"/>
        <v>182037.75</v>
      </c>
      <c r="I24" s="38">
        <f t="shared" si="4"/>
        <v>179487.75</v>
      </c>
      <c r="J24" s="38">
        <f t="shared" si="4"/>
        <v>177039</v>
      </c>
      <c r="K24" s="38">
        <f t="shared" si="4"/>
        <v>177065.75</v>
      </c>
      <c r="L24" s="38">
        <f t="shared" si="4"/>
        <v>174341</v>
      </c>
      <c r="M24" s="38">
        <f t="shared" si="4"/>
        <v>171865.75</v>
      </c>
      <c r="N24" s="38">
        <f t="shared" si="4"/>
        <v>169590.25</v>
      </c>
      <c r="O24" s="38">
        <f t="shared" si="4"/>
        <v>169818.5</v>
      </c>
    </row>
    <row r="25" spans="1:17" ht="15.75" customHeight="1" x14ac:dyDescent="0.2">
      <c r="A25" s="24"/>
      <c r="B25" s="24"/>
      <c r="C25" s="31"/>
      <c r="D25" s="31"/>
      <c r="E25" s="31"/>
      <c r="F25" s="31"/>
      <c r="G25" s="31"/>
      <c r="H25" s="24"/>
      <c r="I25" s="24"/>
      <c r="J25" s="24"/>
      <c r="K25" s="24"/>
      <c r="L25" s="24"/>
      <c r="M25" s="24"/>
      <c r="N25" s="24"/>
      <c r="O25" s="24"/>
    </row>
    <row r="26" spans="1:17" ht="15.75" customHeight="1" x14ac:dyDescent="0.2">
      <c r="A26" s="26" t="s">
        <v>38</v>
      </c>
      <c r="B26" s="37"/>
      <c r="C26" s="37"/>
      <c r="D26" s="37"/>
      <c r="E26" s="37"/>
      <c r="F26" s="37"/>
      <c r="G26" s="37"/>
      <c r="H26" s="37"/>
      <c r="I26" s="37"/>
      <c r="J26" s="43"/>
      <c r="K26" s="43"/>
      <c r="L26" s="43"/>
      <c r="M26" s="43"/>
      <c r="N26" s="43"/>
      <c r="O26" s="43"/>
    </row>
    <row r="27" spans="1:17" ht="16.5" x14ac:dyDescent="0.3">
      <c r="A27" s="33" t="s">
        <v>54</v>
      </c>
      <c r="B27" s="53" t="s">
        <v>10</v>
      </c>
      <c r="C27" s="53" t="s">
        <v>10</v>
      </c>
      <c r="D27" s="53" t="s">
        <v>10</v>
      </c>
      <c r="E27" s="53" t="s">
        <v>10</v>
      </c>
      <c r="F27" s="53" t="s">
        <v>10</v>
      </c>
      <c r="G27" s="53" t="s">
        <v>10</v>
      </c>
      <c r="H27" s="53" t="s">
        <v>10</v>
      </c>
      <c r="I27" s="53" t="s">
        <v>10</v>
      </c>
      <c r="J27" s="38">
        <v>45029</v>
      </c>
      <c r="K27" s="38">
        <v>59939</v>
      </c>
      <c r="L27" s="38">
        <v>107270</v>
      </c>
      <c r="M27" s="38">
        <v>122780</v>
      </c>
      <c r="N27" s="38">
        <v>212120</v>
      </c>
      <c r="O27" s="38">
        <v>255387</v>
      </c>
    </row>
    <row r="28" spans="1:17" ht="15.75" customHeight="1" x14ac:dyDescent="0.3">
      <c r="A28" s="33" t="s">
        <v>52</v>
      </c>
      <c r="B28" s="53" t="s">
        <v>10</v>
      </c>
      <c r="C28" s="53" t="s">
        <v>10</v>
      </c>
      <c r="D28" s="53" t="s">
        <v>10</v>
      </c>
      <c r="E28" s="53" t="s">
        <v>10</v>
      </c>
      <c r="F28" s="53" t="s">
        <v>10</v>
      </c>
      <c r="G28" s="53" t="s">
        <v>10</v>
      </c>
      <c r="H28" s="53" t="s">
        <v>10</v>
      </c>
      <c r="I28" s="53" t="s">
        <v>10</v>
      </c>
      <c r="J28" s="54" t="s">
        <v>10</v>
      </c>
      <c r="K28" s="38">
        <v>343176107</v>
      </c>
      <c r="L28" s="54" t="s">
        <v>10</v>
      </c>
      <c r="M28" s="54" t="s">
        <v>10</v>
      </c>
      <c r="N28" s="38">
        <v>74302506</v>
      </c>
      <c r="O28" s="38">
        <v>80233814</v>
      </c>
    </row>
    <row r="29" spans="1:17" ht="15.75" customHeight="1" x14ac:dyDescent="0.3">
      <c r="A29" s="28" t="s">
        <v>11</v>
      </c>
      <c r="B29" s="53" t="s">
        <v>10</v>
      </c>
      <c r="C29" s="53" t="s">
        <v>10</v>
      </c>
      <c r="D29" s="53" t="s">
        <v>10</v>
      </c>
      <c r="E29" s="53" t="s">
        <v>10</v>
      </c>
      <c r="F29" s="53" t="s">
        <v>10</v>
      </c>
      <c r="G29" s="53" t="s">
        <v>10</v>
      </c>
      <c r="H29" s="53" t="s">
        <v>10</v>
      </c>
      <c r="I29" s="53" t="s">
        <v>10</v>
      </c>
      <c r="J29" s="54" t="s">
        <v>10</v>
      </c>
      <c r="K29" s="38">
        <f t="shared" ref="K29:O29" si="5">SUM(K27:K28)</f>
        <v>343236046</v>
      </c>
      <c r="L29" s="38">
        <f t="shared" si="5"/>
        <v>107270</v>
      </c>
      <c r="M29" s="38">
        <f t="shared" si="5"/>
        <v>122780</v>
      </c>
      <c r="N29" s="38">
        <f t="shared" si="5"/>
        <v>74514626</v>
      </c>
      <c r="O29" s="38">
        <f t="shared" si="5"/>
        <v>80489201</v>
      </c>
    </row>
    <row r="30" spans="1:17" ht="15.75" customHeight="1" x14ac:dyDescent="0.3">
      <c r="A30" s="28" t="s">
        <v>12</v>
      </c>
      <c r="B30" s="53" t="s">
        <v>10</v>
      </c>
      <c r="C30" s="53" t="s">
        <v>10</v>
      </c>
      <c r="D30" s="53" t="s">
        <v>10</v>
      </c>
      <c r="E30" s="53" t="s">
        <v>10</v>
      </c>
      <c r="F30" s="53" t="s">
        <v>10</v>
      </c>
      <c r="G30" s="53" t="s">
        <v>10</v>
      </c>
      <c r="H30" s="53" t="s">
        <v>10</v>
      </c>
      <c r="I30" s="53" t="s">
        <v>10</v>
      </c>
      <c r="J30" s="38">
        <f t="shared" ref="J30:O30" si="6">AVERAGE(J27:J29)</f>
        <v>45029</v>
      </c>
      <c r="K30" s="38">
        <f t="shared" si="6"/>
        <v>228824030.66666666</v>
      </c>
      <c r="L30" s="38">
        <f t="shared" si="6"/>
        <v>107270</v>
      </c>
      <c r="M30" s="38">
        <f t="shared" si="6"/>
        <v>122780</v>
      </c>
      <c r="N30" s="38">
        <f t="shared" si="6"/>
        <v>49676417.333333336</v>
      </c>
      <c r="O30" s="38">
        <f t="shared" si="6"/>
        <v>53659467.333333336</v>
      </c>
    </row>
    <row r="31" spans="1:17" ht="15.75" customHeight="1" x14ac:dyDescent="0.25">
      <c r="A31" s="27"/>
      <c r="B31" s="53"/>
      <c r="C31" s="53"/>
      <c r="D31" s="53"/>
      <c r="E31" s="53"/>
      <c r="F31" s="53"/>
      <c r="G31" s="53"/>
      <c r="H31" s="53"/>
      <c r="I31" s="53"/>
      <c r="J31" s="38"/>
      <c r="K31" s="38"/>
      <c r="L31" s="38"/>
      <c r="M31" s="38"/>
      <c r="N31" s="38"/>
      <c r="O31" s="38"/>
    </row>
    <row r="32" spans="1:17" ht="15.75" customHeight="1" x14ac:dyDescent="0.25">
      <c r="A32" s="26" t="s">
        <v>39</v>
      </c>
      <c r="B32" s="53" t="s">
        <v>10</v>
      </c>
      <c r="C32" s="53" t="s">
        <v>10</v>
      </c>
      <c r="D32" s="53" t="s">
        <v>10</v>
      </c>
      <c r="E32" s="53" t="s">
        <v>10</v>
      </c>
      <c r="F32" s="53" t="s">
        <v>10</v>
      </c>
      <c r="G32" s="53" t="s">
        <v>10</v>
      </c>
      <c r="H32" s="53" t="s">
        <v>10</v>
      </c>
      <c r="I32" s="53" t="s">
        <v>10</v>
      </c>
      <c r="J32" s="54" t="s">
        <v>10</v>
      </c>
      <c r="K32" s="54" t="s">
        <v>10</v>
      </c>
      <c r="L32" s="54" t="s">
        <v>10</v>
      </c>
      <c r="M32" s="54" t="s">
        <v>10</v>
      </c>
      <c r="N32" s="54" t="s">
        <v>10</v>
      </c>
      <c r="O32" s="38">
        <v>318.99</v>
      </c>
    </row>
    <row r="33" spans="1:18" ht="15.75" customHeight="1" x14ac:dyDescent="0.3">
      <c r="A33" s="28" t="s">
        <v>53</v>
      </c>
      <c r="B33" s="53" t="s">
        <v>10</v>
      </c>
      <c r="C33" s="53" t="s">
        <v>10</v>
      </c>
      <c r="D33" s="53" t="s">
        <v>10</v>
      </c>
      <c r="E33" s="53" t="s">
        <v>10</v>
      </c>
      <c r="F33" s="53" t="s">
        <v>10</v>
      </c>
      <c r="G33" s="53" t="s">
        <v>10</v>
      </c>
      <c r="H33" s="53" t="s">
        <v>10</v>
      </c>
      <c r="I33" s="53" t="s">
        <v>10</v>
      </c>
      <c r="J33" s="54" t="s">
        <v>10</v>
      </c>
      <c r="K33" s="54" t="s">
        <v>10</v>
      </c>
      <c r="L33" s="54" t="s">
        <v>10</v>
      </c>
      <c r="M33" s="54" t="s">
        <v>10</v>
      </c>
      <c r="N33" s="54" t="s">
        <v>10</v>
      </c>
      <c r="O33" s="38">
        <f>AVERAGE(O32)</f>
        <v>318.99</v>
      </c>
    </row>
    <row r="34" spans="1:18" ht="15.75" customHeight="1" x14ac:dyDescent="0.3">
      <c r="A34" s="10"/>
      <c r="B34" s="21"/>
      <c r="C34" s="21"/>
      <c r="D34" s="21"/>
      <c r="E34" s="21"/>
      <c r="F34" s="21"/>
      <c r="G34" s="21"/>
      <c r="H34" s="21"/>
      <c r="I34" s="21"/>
      <c r="J34" s="10"/>
      <c r="K34" s="10"/>
      <c r="L34" s="10"/>
      <c r="M34" s="10"/>
      <c r="N34" s="10"/>
      <c r="O34" s="10"/>
    </row>
    <row r="35" spans="1:18" ht="15.75" customHeight="1" x14ac:dyDescent="0.3">
      <c r="A35" s="10"/>
      <c r="B35" s="21"/>
      <c r="C35" s="21"/>
      <c r="D35" s="21"/>
      <c r="E35" s="21"/>
      <c r="F35" s="21"/>
      <c r="G35" s="21"/>
      <c r="H35" s="21"/>
      <c r="I35" s="21"/>
      <c r="J35" s="10"/>
      <c r="K35" s="10"/>
      <c r="L35" s="10"/>
      <c r="M35" s="10"/>
      <c r="N35" s="10"/>
      <c r="O35" s="10"/>
    </row>
    <row r="36" spans="1:18" ht="15.75" customHeight="1" x14ac:dyDescent="0.3">
      <c r="A36" s="12"/>
      <c r="B36" s="10"/>
      <c r="C36" s="10"/>
      <c r="D36" s="10" t="s">
        <v>13</v>
      </c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</row>
    <row r="37" spans="1:18" ht="15.75" customHeight="1" x14ac:dyDescent="0.25">
      <c r="A37" s="44" t="s">
        <v>0</v>
      </c>
      <c r="B37" s="71" t="s">
        <v>24</v>
      </c>
      <c r="C37" s="71" t="s">
        <v>25</v>
      </c>
      <c r="D37" s="71" t="s">
        <v>26</v>
      </c>
      <c r="E37" s="71" t="s">
        <v>27</v>
      </c>
      <c r="F37" s="71" t="s">
        <v>28</v>
      </c>
      <c r="G37" s="71" t="s">
        <v>29</v>
      </c>
      <c r="H37" s="71" t="s">
        <v>30</v>
      </c>
      <c r="I37" s="71" t="s">
        <v>31</v>
      </c>
      <c r="J37" s="71" t="s">
        <v>32</v>
      </c>
      <c r="K37" s="71" t="s">
        <v>33</v>
      </c>
      <c r="L37" s="71" t="s">
        <v>34</v>
      </c>
      <c r="M37" s="71" t="s">
        <v>35</v>
      </c>
      <c r="N37" s="71" t="s">
        <v>36</v>
      </c>
      <c r="O37" s="71" t="s">
        <v>37</v>
      </c>
    </row>
    <row r="38" spans="1:18" ht="15.75" customHeight="1" x14ac:dyDescent="0.25">
      <c r="A38" s="48" t="s">
        <v>14</v>
      </c>
      <c r="B38" s="46"/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</row>
    <row r="39" spans="1:18" x14ac:dyDescent="0.25">
      <c r="A39" s="11" t="s">
        <v>2</v>
      </c>
      <c r="B39" s="46"/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2"/>
    </row>
    <row r="40" spans="1:18" ht="16.5" x14ac:dyDescent="0.3">
      <c r="A40" s="10" t="s">
        <v>40</v>
      </c>
      <c r="B40" s="55">
        <v>12000</v>
      </c>
      <c r="C40" s="55">
        <v>12000</v>
      </c>
      <c r="D40" s="55">
        <v>11000</v>
      </c>
      <c r="E40" s="55">
        <v>11000</v>
      </c>
      <c r="F40" s="55">
        <v>9900</v>
      </c>
      <c r="G40" s="55">
        <v>9500</v>
      </c>
      <c r="H40" s="55">
        <v>9700</v>
      </c>
      <c r="I40" s="55">
        <v>8800</v>
      </c>
      <c r="J40" s="55">
        <v>7500</v>
      </c>
      <c r="K40" s="55">
        <v>6800</v>
      </c>
      <c r="L40" s="55">
        <v>6200</v>
      </c>
      <c r="M40" s="55">
        <v>5800</v>
      </c>
      <c r="N40" s="55">
        <v>5400</v>
      </c>
      <c r="O40" s="55">
        <v>5100</v>
      </c>
      <c r="P40" s="2"/>
    </row>
    <row r="41" spans="1:18" ht="16.5" x14ac:dyDescent="0.3">
      <c r="A41" s="10" t="s">
        <v>41</v>
      </c>
      <c r="B41" s="55">
        <v>19000</v>
      </c>
      <c r="C41" s="55">
        <v>18000</v>
      </c>
      <c r="D41" s="55">
        <v>17000</v>
      </c>
      <c r="E41" s="55">
        <v>17000</v>
      </c>
      <c r="F41" s="55">
        <v>17000</v>
      </c>
      <c r="G41" s="56">
        <v>17000</v>
      </c>
      <c r="H41" s="56">
        <v>17000</v>
      </c>
      <c r="I41" s="55">
        <v>17000</v>
      </c>
      <c r="J41" s="55">
        <v>17000</v>
      </c>
      <c r="K41" s="55">
        <v>17000</v>
      </c>
      <c r="L41" s="55">
        <v>16000</v>
      </c>
      <c r="M41" s="55">
        <v>16000</v>
      </c>
      <c r="N41" s="55">
        <v>15000</v>
      </c>
      <c r="O41" s="55">
        <v>15000</v>
      </c>
    </row>
    <row r="42" spans="1:18" ht="16.5" x14ac:dyDescent="0.3">
      <c r="A42" s="10" t="s">
        <v>42</v>
      </c>
      <c r="B42" s="55">
        <v>270000</v>
      </c>
      <c r="C42" s="55">
        <v>270000</v>
      </c>
      <c r="D42" s="55">
        <v>270000</v>
      </c>
      <c r="E42" s="55">
        <v>280000</v>
      </c>
      <c r="F42" s="55">
        <v>280000</v>
      </c>
      <c r="G42" s="55">
        <v>290000</v>
      </c>
      <c r="H42" s="55">
        <v>290000</v>
      </c>
      <c r="I42" s="55">
        <v>300000</v>
      </c>
      <c r="J42" s="55">
        <v>300000</v>
      </c>
      <c r="K42" s="55">
        <v>310000</v>
      </c>
      <c r="L42" s="55">
        <v>320000</v>
      </c>
      <c r="M42" s="55">
        <v>320000</v>
      </c>
      <c r="N42" s="55">
        <v>330000</v>
      </c>
      <c r="O42" s="55">
        <v>340000</v>
      </c>
      <c r="P42" s="2"/>
      <c r="Q42" s="2"/>
      <c r="R42" s="2"/>
    </row>
    <row r="43" spans="1:18" ht="16.5" x14ac:dyDescent="0.3">
      <c r="A43" s="10" t="s">
        <v>43</v>
      </c>
      <c r="B43" s="55">
        <v>19000</v>
      </c>
      <c r="C43" s="55">
        <v>18000</v>
      </c>
      <c r="D43" s="55">
        <v>17000</v>
      </c>
      <c r="E43" s="55">
        <v>17000</v>
      </c>
      <c r="F43" s="55">
        <v>17000</v>
      </c>
      <c r="G43" s="55">
        <v>17000</v>
      </c>
      <c r="H43" s="55">
        <v>17000</v>
      </c>
      <c r="I43" s="55">
        <v>17000</v>
      </c>
      <c r="J43" s="55">
        <v>17000</v>
      </c>
      <c r="K43" s="55">
        <v>17000</v>
      </c>
      <c r="L43" s="55">
        <v>16000</v>
      </c>
      <c r="M43" s="55">
        <v>16000</v>
      </c>
      <c r="N43" s="55">
        <v>15000</v>
      </c>
      <c r="O43" s="55">
        <v>15000</v>
      </c>
      <c r="P43" s="2"/>
      <c r="Q43" s="2"/>
    </row>
    <row r="44" spans="1:18" ht="16.5" x14ac:dyDescent="0.3">
      <c r="A44" s="10" t="s">
        <v>44</v>
      </c>
      <c r="B44" s="55">
        <v>12000</v>
      </c>
      <c r="C44" s="55">
        <v>12000</v>
      </c>
      <c r="D44" s="55">
        <v>11000</v>
      </c>
      <c r="E44" s="55">
        <v>11000</v>
      </c>
      <c r="F44" s="55">
        <v>9900</v>
      </c>
      <c r="G44" s="55">
        <v>9500</v>
      </c>
      <c r="H44" s="55">
        <v>9700</v>
      </c>
      <c r="I44" s="55">
        <v>8800</v>
      </c>
      <c r="J44" s="55">
        <v>7500</v>
      </c>
      <c r="K44" s="55">
        <v>6800</v>
      </c>
      <c r="L44" s="55">
        <v>6200</v>
      </c>
      <c r="M44" s="55">
        <v>5800</v>
      </c>
      <c r="N44" s="55">
        <v>5400</v>
      </c>
      <c r="O44" s="55">
        <v>5100</v>
      </c>
      <c r="P44" s="2"/>
      <c r="Q44" s="2"/>
    </row>
    <row r="45" spans="1:18" ht="16.5" x14ac:dyDescent="0.3">
      <c r="A45" s="10" t="s">
        <v>3</v>
      </c>
      <c r="B45" s="55">
        <f t="shared" ref="B45:O45" si="7">SUM(B40:B44)</f>
        <v>332000</v>
      </c>
      <c r="C45" s="55">
        <f t="shared" si="7"/>
        <v>330000</v>
      </c>
      <c r="D45" s="55">
        <f t="shared" si="7"/>
        <v>326000</v>
      </c>
      <c r="E45" s="55">
        <f t="shared" si="7"/>
        <v>336000</v>
      </c>
      <c r="F45" s="55">
        <f t="shared" si="7"/>
        <v>333800</v>
      </c>
      <c r="G45" s="55">
        <f t="shared" si="7"/>
        <v>343000</v>
      </c>
      <c r="H45" s="55">
        <f t="shared" si="7"/>
        <v>343400</v>
      </c>
      <c r="I45" s="55">
        <f t="shared" si="7"/>
        <v>351600</v>
      </c>
      <c r="J45" s="55">
        <f t="shared" si="7"/>
        <v>349000</v>
      </c>
      <c r="K45" s="55">
        <f t="shared" si="7"/>
        <v>357600</v>
      </c>
      <c r="L45" s="55">
        <f t="shared" si="7"/>
        <v>364400</v>
      </c>
      <c r="M45" s="55">
        <f t="shared" si="7"/>
        <v>363600</v>
      </c>
      <c r="N45" s="55">
        <f t="shared" si="7"/>
        <v>370800</v>
      </c>
      <c r="O45" s="55">
        <f t="shared" si="7"/>
        <v>380200</v>
      </c>
    </row>
    <row r="46" spans="1:18" ht="16.5" x14ac:dyDescent="0.3">
      <c r="A46" s="10" t="s">
        <v>4</v>
      </c>
      <c r="B46" s="55">
        <f t="shared" ref="B46:O46" si="8">AVERAGE(B40:B44)</f>
        <v>66400</v>
      </c>
      <c r="C46" s="55">
        <f t="shared" si="8"/>
        <v>66000</v>
      </c>
      <c r="D46" s="55">
        <f t="shared" si="8"/>
        <v>65200</v>
      </c>
      <c r="E46" s="55">
        <f t="shared" si="8"/>
        <v>67200</v>
      </c>
      <c r="F46" s="55">
        <f t="shared" si="8"/>
        <v>66760</v>
      </c>
      <c r="G46" s="55">
        <f t="shared" si="8"/>
        <v>68600</v>
      </c>
      <c r="H46" s="55">
        <f t="shared" si="8"/>
        <v>68680</v>
      </c>
      <c r="I46" s="55">
        <f t="shared" si="8"/>
        <v>70320</v>
      </c>
      <c r="J46" s="55">
        <f t="shared" si="8"/>
        <v>69800</v>
      </c>
      <c r="K46" s="55">
        <f t="shared" si="8"/>
        <v>71520</v>
      </c>
      <c r="L46" s="55">
        <f t="shared" si="8"/>
        <v>72880</v>
      </c>
      <c r="M46" s="55">
        <f t="shared" si="8"/>
        <v>72720</v>
      </c>
      <c r="N46" s="55">
        <f t="shared" si="8"/>
        <v>74160</v>
      </c>
      <c r="O46" s="55">
        <f t="shared" si="8"/>
        <v>76040</v>
      </c>
    </row>
    <row r="47" spans="1:18" ht="14.25" x14ac:dyDescent="0.2">
      <c r="A47" s="12"/>
      <c r="B47" s="46"/>
      <c r="C47" s="47"/>
      <c r="D47" s="46"/>
      <c r="E47" s="46"/>
      <c r="F47" s="46"/>
      <c r="G47" s="46"/>
      <c r="H47" s="46"/>
      <c r="I47" s="46"/>
      <c r="J47" s="46"/>
      <c r="K47" s="46"/>
      <c r="L47" s="46"/>
      <c r="M47" s="46"/>
      <c r="N47" s="46"/>
      <c r="O47" s="46"/>
    </row>
    <row r="48" spans="1:18" ht="15" x14ac:dyDescent="0.2">
      <c r="A48" s="11" t="s">
        <v>5</v>
      </c>
      <c r="B48" s="46"/>
      <c r="C48" s="47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</row>
    <row r="49" spans="1:17" ht="16.5" x14ac:dyDescent="0.3">
      <c r="A49" s="10" t="s">
        <v>45</v>
      </c>
      <c r="B49" s="39">
        <f>_xlfn.FORECAST.LINEAR(2010, G49:O49, G1:O1 )</f>
        <v>48.044444444444707</v>
      </c>
      <c r="C49" s="39">
        <f>_xlfn.FORECAST.LINEAR(2011, G49:O49, G1:O1 )</f>
        <v>50.977777777777192</v>
      </c>
      <c r="D49" s="39">
        <f>_xlfn.FORECAST.LINEAR(2012, G49:O49, G1:O1 )</f>
        <v>53.911111111110586</v>
      </c>
      <c r="E49" s="39">
        <f>_xlfn.FORECAST.LINEAR(2013, G49:O49, G1:O1 )</f>
        <v>56.84444444444398</v>
      </c>
      <c r="F49" s="39">
        <f>_xlfn.FORECAST.LINEAR(2014, G49:O49, G1:O1 )</f>
        <v>59.777777777777374</v>
      </c>
      <c r="G49" s="57">
        <v>62</v>
      </c>
      <c r="H49" s="57">
        <v>65</v>
      </c>
      <c r="I49" s="57">
        <v>69</v>
      </c>
      <c r="J49" s="57">
        <v>72</v>
      </c>
      <c r="K49" s="57">
        <v>75</v>
      </c>
      <c r="L49" s="57">
        <v>78</v>
      </c>
      <c r="M49" s="57">
        <v>81</v>
      </c>
      <c r="N49" s="57">
        <v>83</v>
      </c>
      <c r="O49" s="57">
        <v>85</v>
      </c>
      <c r="P49" s="2"/>
    </row>
    <row r="50" spans="1:17" ht="16.5" x14ac:dyDescent="0.3">
      <c r="A50" s="10" t="s">
        <v>46</v>
      </c>
      <c r="B50" s="58">
        <f>_xlfn.FORECAST.LINEAR(2010, G50:O50, G1:O1 )</f>
        <v>14.233333333333576</v>
      </c>
      <c r="C50" s="58">
        <f>_xlfn.FORECAST.LINEAR(2011, G50:O50, G1:O1 )</f>
        <v>18.799999999999272</v>
      </c>
      <c r="D50" s="58">
        <f>_xlfn.FORECAST.LINEAR(2012, G50:O50, G1:O1 )</f>
        <v>23.366666666666788</v>
      </c>
      <c r="E50" s="58">
        <f>_xlfn.FORECAST.LINEAR(2013, G50:O50, G1:O1 )</f>
        <v>27.933333333332484</v>
      </c>
      <c r="F50" s="58">
        <f>_xlfn.FORECAST.LINEAR(2014, G50:O50, G1:O1 )</f>
        <v>32.5</v>
      </c>
      <c r="G50" s="57">
        <v>37</v>
      </c>
      <c r="H50" s="57">
        <v>38</v>
      </c>
      <c r="I50" s="57">
        <v>48</v>
      </c>
      <c r="J50" s="57">
        <v>50</v>
      </c>
      <c r="K50" s="57">
        <v>57</v>
      </c>
      <c r="L50" s="57">
        <v>63</v>
      </c>
      <c r="M50" s="57">
        <v>66</v>
      </c>
      <c r="N50" s="57">
        <v>69</v>
      </c>
      <c r="O50" s="57">
        <v>70</v>
      </c>
    </row>
    <row r="51" spans="1:17" ht="16.5" x14ac:dyDescent="0.3">
      <c r="A51" s="10" t="s">
        <v>47</v>
      </c>
      <c r="B51" s="39">
        <f ca="1">IFERROR(__xludf.DUMMYFUNCTION("FORECAST.LINEAR(2010, FILTER(B50:O50, (B1:O1 &gt;= 2015) * (B1:O1 &lt;&gt; 2016)), FILTER(B1:O1, (B1:O1 &gt;= 2015) * (B1:O1 &lt;&gt; 2016)))
"),38.6240601503759)</f>
        <v>38.624060150375897</v>
      </c>
      <c r="C51" s="39">
        <f ca="1">IFERROR(__xludf.DUMMYFUNCTION("FORECAST.LINEAR(2011, FILTER(B50:O50, (B1:O1 &gt;= 2015) * (B1:O1 &lt;&gt; 2016)), FILTER(B1:O1, (B1:O1 &gt;= 2015) * (B1:O1 &lt;&gt; 2016)))
"),39.9974937343358)</f>
        <v>39.997493734335798</v>
      </c>
      <c r="D51" s="39">
        <f ca="1">IFERROR(__xludf.DUMMYFUNCTION("FORECAST.LINEAR(2012, FILTER(B50:O50, (B1:O1 &gt;= 2015) * (B1:O1 &lt;&gt; 2016)), FILTER(B1:O1, (B1:O1 &gt;= 2015) * (B1:O1 &lt;&gt; 2016)))
"),41.3709273182958)</f>
        <v>41.370927318295799</v>
      </c>
      <c r="E51" s="39">
        <f ca="1">IFERROR(__xludf.DUMMYFUNCTION("FORECAST.LINEAR(2013, FILTER(B50:O50, (B1:O1 &gt;= 2015) * (B1:O1 &lt;&gt; 2016)), FILTER(B1:O1, (B1:O1 &gt;= 2015) * (B1:O1 &lt;&gt; 2016)))
"),42.7443609022557)</f>
        <v>42.7443609022557</v>
      </c>
      <c r="F51" s="39">
        <f ca="1">IFERROR(__xludf.DUMMYFUNCTION("FORECAST.LINEAR(2014, FILTER(B50:O50, (B1:O1 &gt;= 2015) * (B1:O1 &lt;&gt; 2016)), FILTER(B1:O1, (B1:O1 &gt;= 2015) * (B1:O1 &lt;&gt; 2016)))
"),44.1177944862156)</f>
        <v>44.117794486215601</v>
      </c>
      <c r="G51" s="57">
        <v>65</v>
      </c>
      <c r="H51" s="39">
        <f ca="1">IFERROR(__xludf.DUMMYFUNCTION("FORECAST.LINEAR(2016, FILTER(B50:O50, (B1:O1 &gt;= 2015) * (B1:O1 &lt;&gt; 2016)), FILTER(B1:O1, (B1:O1 &gt;= 2015) * (B1:O1 &lt;&gt; 2016)))
"),46.8646616541354)</f>
        <v>46.864661654135404</v>
      </c>
      <c r="I51" s="57">
        <v>33</v>
      </c>
      <c r="J51" s="57">
        <v>39</v>
      </c>
      <c r="K51" s="57">
        <v>45</v>
      </c>
      <c r="L51" s="57">
        <v>53</v>
      </c>
      <c r="M51" s="57">
        <v>57</v>
      </c>
      <c r="N51" s="57">
        <v>59</v>
      </c>
      <c r="O51" s="57">
        <v>61</v>
      </c>
    </row>
    <row r="52" spans="1:17" ht="16.5" x14ac:dyDescent="0.3">
      <c r="A52" s="10" t="s">
        <v>6</v>
      </c>
      <c r="B52" s="59">
        <f t="shared" ref="B52:O52" ca="1" si="9">SUM(B49:B51)</f>
        <v>100.90183792815418</v>
      </c>
      <c r="C52" s="59">
        <f t="shared" ca="1" si="9"/>
        <v>109.77527151211225</v>
      </c>
      <c r="D52" s="59">
        <f t="shared" ca="1" si="9"/>
        <v>118.64870509607317</v>
      </c>
      <c r="E52" s="59">
        <f t="shared" ca="1" si="9"/>
        <v>127.52213868003216</v>
      </c>
      <c r="F52" s="59">
        <f t="shared" ca="1" si="9"/>
        <v>136.39557226399296</v>
      </c>
      <c r="G52" s="59">
        <f t="shared" si="9"/>
        <v>164</v>
      </c>
      <c r="H52" s="59">
        <f t="shared" ca="1" si="9"/>
        <v>149.8646616541354</v>
      </c>
      <c r="I52" s="59">
        <f t="shared" si="9"/>
        <v>150</v>
      </c>
      <c r="J52" s="59">
        <f t="shared" si="9"/>
        <v>161</v>
      </c>
      <c r="K52" s="59">
        <f t="shared" si="9"/>
        <v>177</v>
      </c>
      <c r="L52" s="59">
        <f t="shared" si="9"/>
        <v>194</v>
      </c>
      <c r="M52" s="59">
        <f t="shared" si="9"/>
        <v>204</v>
      </c>
      <c r="N52" s="59">
        <f t="shared" si="9"/>
        <v>211</v>
      </c>
      <c r="O52" s="59">
        <f t="shared" si="9"/>
        <v>216</v>
      </c>
    </row>
    <row r="53" spans="1:17" ht="14.25" x14ac:dyDescent="0.2">
      <c r="A53" s="12"/>
      <c r="B53" s="46"/>
      <c r="C53" s="46"/>
      <c r="D53" s="46"/>
      <c r="E53" s="46"/>
      <c r="F53" s="46"/>
      <c r="G53" s="46"/>
      <c r="H53" s="46"/>
      <c r="I53" s="60"/>
      <c r="J53" s="46"/>
      <c r="K53" s="46"/>
      <c r="L53" s="46"/>
      <c r="M53" s="46"/>
      <c r="N53" s="46"/>
      <c r="O53" s="46"/>
    </row>
    <row r="54" spans="1:17" ht="15" x14ac:dyDescent="0.2">
      <c r="A54" s="11" t="s">
        <v>7</v>
      </c>
      <c r="B54" s="46"/>
      <c r="C54" s="46"/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6"/>
    </row>
    <row r="55" spans="1:17" ht="16.5" x14ac:dyDescent="0.3">
      <c r="A55" s="10" t="s">
        <v>48</v>
      </c>
      <c r="B55" s="57">
        <v>22</v>
      </c>
      <c r="C55" s="57">
        <v>16</v>
      </c>
      <c r="D55" s="57">
        <v>13</v>
      </c>
      <c r="E55" s="57">
        <v>15</v>
      </c>
      <c r="F55" s="57">
        <v>16</v>
      </c>
      <c r="G55" s="57">
        <v>17</v>
      </c>
      <c r="H55" s="57">
        <v>18</v>
      </c>
      <c r="I55" s="57">
        <v>17</v>
      </c>
      <c r="J55" s="57">
        <v>16</v>
      </c>
      <c r="K55" s="57">
        <v>15</v>
      </c>
      <c r="L55" s="57">
        <v>17</v>
      </c>
      <c r="M55" s="57">
        <v>16</v>
      </c>
      <c r="N55" s="57">
        <v>16</v>
      </c>
      <c r="O55" s="57">
        <v>14</v>
      </c>
    </row>
    <row r="56" spans="1:17" ht="16.5" x14ac:dyDescent="0.3">
      <c r="A56" s="10" t="s">
        <v>49</v>
      </c>
      <c r="B56" s="55">
        <v>1100</v>
      </c>
      <c r="C56" s="55">
        <v>1600</v>
      </c>
      <c r="D56" s="55">
        <v>1900</v>
      </c>
      <c r="E56" s="55">
        <v>1600</v>
      </c>
      <c r="F56" s="55">
        <v>1600</v>
      </c>
      <c r="G56" s="55">
        <v>1500</v>
      </c>
      <c r="H56" s="55">
        <v>1400</v>
      </c>
      <c r="I56" s="55">
        <v>1500</v>
      </c>
      <c r="J56" s="55">
        <v>1600</v>
      </c>
      <c r="K56" s="55">
        <v>1600</v>
      </c>
      <c r="L56" s="55">
        <v>1300</v>
      </c>
      <c r="M56" s="55">
        <v>1300</v>
      </c>
      <c r="N56" s="55">
        <v>1300</v>
      </c>
      <c r="O56" s="55">
        <v>1500</v>
      </c>
      <c r="P56" s="2"/>
      <c r="Q56" s="2"/>
    </row>
    <row r="57" spans="1:17" ht="16.5" x14ac:dyDescent="0.3">
      <c r="A57" s="10" t="s">
        <v>50</v>
      </c>
      <c r="B57" s="55">
        <v>110000</v>
      </c>
      <c r="C57" s="55">
        <v>110000</v>
      </c>
      <c r="D57" s="55">
        <v>110000</v>
      </c>
      <c r="E57" s="55">
        <v>110000</v>
      </c>
      <c r="F57" s="55">
        <v>110000</v>
      </c>
      <c r="G57" s="55">
        <v>110000</v>
      </c>
      <c r="H57" s="55">
        <v>110000</v>
      </c>
      <c r="I57" s="55">
        <v>110000</v>
      </c>
      <c r="J57" s="55">
        <v>110000</v>
      </c>
      <c r="K57" s="55">
        <v>110000</v>
      </c>
      <c r="L57" s="55">
        <v>110000</v>
      </c>
      <c r="M57" s="55">
        <v>110000</v>
      </c>
      <c r="N57" s="55">
        <v>110000</v>
      </c>
      <c r="O57" s="55">
        <v>110000</v>
      </c>
      <c r="P57" s="2"/>
      <c r="Q57" s="2"/>
    </row>
    <row r="58" spans="1:17" ht="16.5" x14ac:dyDescent="0.3">
      <c r="A58" s="10" t="s">
        <v>51</v>
      </c>
      <c r="B58" s="58">
        <f ca="1">IFERROR(__xludf.DUMMYFUNCTION("FORECAST.LINEAR(2010, FILTER(B57:O57, (B1:O1 &gt;= 2011) * (B1:O1 &lt;= 2023)), FILTER(B1:O1, (B1:O1 &gt;= 2011) * (B1:O1 &lt;= 2023)))
"),49.7692307692307)</f>
        <v>49.769230769230703</v>
      </c>
      <c r="C58" s="57">
        <v>49</v>
      </c>
      <c r="D58" s="57">
        <v>58</v>
      </c>
      <c r="E58" s="57">
        <v>39</v>
      </c>
      <c r="F58" s="57">
        <v>48</v>
      </c>
      <c r="G58" s="57">
        <v>45</v>
      </c>
      <c r="H58" s="57">
        <v>41</v>
      </c>
      <c r="I58" s="57">
        <v>45</v>
      </c>
      <c r="J58" s="57">
        <v>46</v>
      </c>
      <c r="K58" s="57">
        <v>47</v>
      </c>
      <c r="L58" s="57">
        <v>38</v>
      </c>
      <c r="M58" s="57">
        <v>41</v>
      </c>
      <c r="N58" s="57">
        <v>47</v>
      </c>
      <c r="O58" s="57">
        <v>39</v>
      </c>
    </row>
    <row r="59" spans="1:17" ht="16.5" x14ac:dyDescent="0.3">
      <c r="A59" s="10" t="s">
        <v>8</v>
      </c>
      <c r="B59" s="61">
        <f t="shared" ref="B59:O59" ca="1" si="10">SUM(B55:B58)</f>
        <v>111171.76923076923</v>
      </c>
      <c r="C59" s="61">
        <f t="shared" si="10"/>
        <v>111665</v>
      </c>
      <c r="D59" s="61">
        <f t="shared" si="10"/>
        <v>111971</v>
      </c>
      <c r="E59" s="61">
        <f t="shared" si="10"/>
        <v>111654</v>
      </c>
      <c r="F59" s="61">
        <f t="shared" si="10"/>
        <v>111664</v>
      </c>
      <c r="G59" s="61">
        <f t="shared" si="10"/>
        <v>111562</v>
      </c>
      <c r="H59" s="61">
        <f t="shared" si="10"/>
        <v>111459</v>
      </c>
      <c r="I59" s="61">
        <f t="shared" si="10"/>
        <v>111562</v>
      </c>
      <c r="J59" s="61">
        <f t="shared" si="10"/>
        <v>111662</v>
      </c>
      <c r="K59" s="61">
        <f t="shared" si="10"/>
        <v>111662</v>
      </c>
      <c r="L59" s="61">
        <f t="shared" si="10"/>
        <v>111355</v>
      </c>
      <c r="M59" s="61">
        <f t="shared" si="10"/>
        <v>111357</v>
      </c>
      <c r="N59" s="61">
        <f t="shared" si="10"/>
        <v>111363</v>
      </c>
      <c r="O59" s="61">
        <f t="shared" si="10"/>
        <v>111553</v>
      </c>
    </row>
    <row r="60" spans="1:17" ht="16.5" x14ac:dyDescent="0.3">
      <c r="A60" s="10" t="s">
        <v>9</v>
      </c>
      <c r="B60" s="61">
        <f t="shared" ref="B60:O60" ca="1" si="11">AVERAGE(B55:B58)</f>
        <v>27792.942307692309</v>
      </c>
      <c r="C60" s="61">
        <f t="shared" si="11"/>
        <v>27916.25</v>
      </c>
      <c r="D60" s="61">
        <f t="shared" si="11"/>
        <v>27992.75</v>
      </c>
      <c r="E60" s="61">
        <f t="shared" si="11"/>
        <v>27913.5</v>
      </c>
      <c r="F60" s="61">
        <f t="shared" si="11"/>
        <v>27916</v>
      </c>
      <c r="G60" s="61">
        <f t="shared" si="11"/>
        <v>27890.5</v>
      </c>
      <c r="H60" s="61">
        <f t="shared" si="11"/>
        <v>27864.75</v>
      </c>
      <c r="I60" s="61">
        <f t="shared" si="11"/>
        <v>27890.5</v>
      </c>
      <c r="J60" s="61">
        <f t="shared" si="11"/>
        <v>27915.5</v>
      </c>
      <c r="K60" s="61">
        <f t="shared" si="11"/>
        <v>27915.5</v>
      </c>
      <c r="L60" s="61">
        <f t="shared" si="11"/>
        <v>27838.75</v>
      </c>
      <c r="M60" s="61">
        <f t="shared" si="11"/>
        <v>27839.25</v>
      </c>
      <c r="N60" s="61">
        <f t="shared" si="11"/>
        <v>27840.75</v>
      </c>
      <c r="O60" s="61">
        <f t="shared" si="11"/>
        <v>27888.25</v>
      </c>
    </row>
    <row r="61" spans="1:17" ht="15.75" customHeight="1" x14ac:dyDescent="0.2">
      <c r="A61" s="12"/>
      <c r="B61" s="47"/>
      <c r="C61" s="47"/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</row>
    <row r="62" spans="1:17" ht="15" x14ac:dyDescent="0.2">
      <c r="A62" s="11" t="s">
        <v>38</v>
      </c>
      <c r="B62" s="47"/>
      <c r="C62" s="47"/>
      <c r="D62" s="47"/>
      <c r="E62" s="47"/>
      <c r="F62" s="47"/>
      <c r="G62" s="47"/>
      <c r="H62" s="47"/>
      <c r="I62" s="47"/>
      <c r="J62" s="47"/>
      <c r="K62" s="47"/>
      <c r="L62" s="47"/>
      <c r="M62" s="47"/>
      <c r="N62" s="47"/>
      <c r="O62" s="47"/>
    </row>
    <row r="63" spans="1:17" ht="16.5" x14ac:dyDescent="0.3">
      <c r="A63" s="10" t="s">
        <v>54</v>
      </c>
      <c r="B63" s="36" t="s">
        <v>10</v>
      </c>
      <c r="C63" s="36" t="s">
        <v>10</v>
      </c>
      <c r="D63" s="36" t="s">
        <v>10</v>
      </c>
      <c r="E63" s="36" t="s">
        <v>10</v>
      </c>
      <c r="F63" s="36" t="s">
        <v>10</v>
      </c>
      <c r="G63" s="36" t="s">
        <v>10</v>
      </c>
      <c r="H63" s="36" t="s">
        <v>10</v>
      </c>
      <c r="I63" s="36" t="s">
        <v>10</v>
      </c>
      <c r="J63" s="61">
        <v>2045</v>
      </c>
      <c r="K63" s="61">
        <v>5222</v>
      </c>
      <c r="L63" s="61">
        <v>4492</v>
      </c>
      <c r="M63" s="61">
        <v>8706</v>
      </c>
      <c r="N63" s="61">
        <v>9323</v>
      </c>
      <c r="O63" s="61">
        <v>13303</v>
      </c>
    </row>
    <row r="64" spans="1:17" ht="16.5" x14ac:dyDescent="0.3">
      <c r="A64" s="10" t="s">
        <v>52</v>
      </c>
      <c r="B64" s="36" t="s">
        <v>10</v>
      </c>
      <c r="C64" s="36" t="s">
        <v>10</v>
      </c>
      <c r="D64" s="36" t="s">
        <v>10</v>
      </c>
      <c r="E64" s="36" t="s">
        <v>10</v>
      </c>
      <c r="F64" s="36" t="s">
        <v>10</v>
      </c>
      <c r="G64" s="36" t="s">
        <v>10</v>
      </c>
      <c r="H64" s="36" t="s">
        <v>10</v>
      </c>
      <c r="I64" s="36" t="s">
        <v>10</v>
      </c>
      <c r="J64" s="36" t="s">
        <v>10</v>
      </c>
      <c r="K64" s="61">
        <v>3570017</v>
      </c>
      <c r="L64" s="36" t="s">
        <v>10</v>
      </c>
      <c r="M64" s="36" t="s">
        <v>10</v>
      </c>
      <c r="N64" s="61">
        <v>2643215</v>
      </c>
      <c r="O64" s="61">
        <v>2456228</v>
      </c>
    </row>
    <row r="65" spans="1:18" ht="16.5" x14ac:dyDescent="0.3">
      <c r="A65" s="10" t="s">
        <v>11</v>
      </c>
      <c r="B65" s="36" t="s">
        <v>10</v>
      </c>
      <c r="C65" s="36" t="s">
        <v>10</v>
      </c>
      <c r="D65" s="36" t="s">
        <v>10</v>
      </c>
      <c r="E65" s="36" t="s">
        <v>10</v>
      </c>
      <c r="F65" s="36" t="s">
        <v>10</v>
      </c>
      <c r="G65" s="36" t="s">
        <v>10</v>
      </c>
      <c r="H65" s="36" t="s">
        <v>10</v>
      </c>
      <c r="I65" s="36" t="s">
        <v>10</v>
      </c>
      <c r="J65" s="61">
        <f t="shared" ref="J65:O65" si="12">SUM(J63:J64)</f>
        <v>2045</v>
      </c>
      <c r="K65" s="61">
        <f t="shared" si="12"/>
        <v>3575239</v>
      </c>
      <c r="L65" s="61">
        <f t="shared" si="12"/>
        <v>4492</v>
      </c>
      <c r="M65" s="61">
        <f t="shared" si="12"/>
        <v>8706</v>
      </c>
      <c r="N65" s="61">
        <f t="shared" si="12"/>
        <v>2652538</v>
      </c>
      <c r="O65" s="61">
        <f t="shared" si="12"/>
        <v>2469531</v>
      </c>
    </row>
    <row r="66" spans="1:18" ht="16.5" x14ac:dyDescent="0.3">
      <c r="A66" s="10" t="s">
        <v>12</v>
      </c>
      <c r="B66" s="36" t="s">
        <v>10</v>
      </c>
      <c r="C66" s="36" t="s">
        <v>10</v>
      </c>
      <c r="D66" s="36" t="s">
        <v>10</v>
      </c>
      <c r="E66" s="36" t="s">
        <v>10</v>
      </c>
      <c r="F66" s="36" t="s">
        <v>10</v>
      </c>
      <c r="G66" s="36" t="s">
        <v>10</v>
      </c>
      <c r="H66" s="36" t="s">
        <v>10</v>
      </c>
      <c r="I66" s="36" t="s">
        <v>10</v>
      </c>
      <c r="J66" s="61">
        <f t="shared" ref="J66:O66" si="13">AVERAGE(J63:J64)</f>
        <v>2045</v>
      </c>
      <c r="K66" s="61">
        <f t="shared" si="13"/>
        <v>1787619.5</v>
      </c>
      <c r="L66" s="61">
        <f t="shared" si="13"/>
        <v>4492</v>
      </c>
      <c r="M66" s="61">
        <f t="shared" si="13"/>
        <v>8706</v>
      </c>
      <c r="N66" s="61">
        <f t="shared" si="13"/>
        <v>1326269</v>
      </c>
      <c r="O66" s="61">
        <f t="shared" si="13"/>
        <v>1234765.5</v>
      </c>
    </row>
    <row r="67" spans="1:18" ht="14.25" x14ac:dyDescent="0.2">
      <c r="A67" s="12"/>
      <c r="B67" s="36"/>
      <c r="C67" s="36"/>
      <c r="D67" s="36"/>
      <c r="E67" s="36"/>
      <c r="F67" s="36"/>
      <c r="G67" s="36"/>
      <c r="H67" s="36"/>
      <c r="I67" s="36"/>
      <c r="J67" s="62"/>
      <c r="K67" s="62"/>
      <c r="L67" s="62"/>
      <c r="M67" s="62"/>
      <c r="N67" s="62"/>
      <c r="O67" s="63"/>
    </row>
    <row r="68" spans="1:18" ht="15" x14ac:dyDescent="0.2">
      <c r="A68" s="11" t="s">
        <v>39</v>
      </c>
      <c r="B68" s="36" t="s">
        <v>10</v>
      </c>
      <c r="C68" s="36" t="s">
        <v>10</v>
      </c>
      <c r="D68" s="36" t="s">
        <v>10</v>
      </c>
      <c r="E68" s="36" t="s">
        <v>10</v>
      </c>
      <c r="F68" s="36" t="s">
        <v>10</v>
      </c>
      <c r="G68" s="36" t="s">
        <v>10</v>
      </c>
      <c r="H68" s="36" t="s">
        <v>10</v>
      </c>
      <c r="I68" s="36" t="s">
        <v>10</v>
      </c>
      <c r="J68" s="36" t="s">
        <v>10</v>
      </c>
      <c r="K68" s="36" t="s">
        <v>10</v>
      </c>
      <c r="L68" s="36" t="s">
        <v>10</v>
      </c>
      <c r="M68" s="36" t="s">
        <v>10</v>
      </c>
      <c r="N68" s="36" t="s">
        <v>10</v>
      </c>
      <c r="O68" s="63">
        <v>149.1</v>
      </c>
    </row>
    <row r="69" spans="1:18" ht="16.5" x14ac:dyDescent="0.3">
      <c r="A69" s="10" t="s">
        <v>53</v>
      </c>
      <c r="B69" s="36" t="s">
        <v>10</v>
      </c>
      <c r="C69" s="36" t="s">
        <v>10</v>
      </c>
      <c r="D69" s="36" t="s">
        <v>10</v>
      </c>
      <c r="E69" s="36" t="s">
        <v>10</v>
      </c>
      <c r="F69" s="36" t="s">
        <v>10</v>
      </c>
      <c r="G69" s="36" t="s">
        <v>10</v>
      </c>
      <c r="H69" s="36" t="s">
        <v>10</v>
      </c>
      <c r="I69" s="36" t="s">
        <v>10</v>
      </c>
      <c r="J69" s="36" t="s">
        <v>10</v>
      </c>
      <c r="K69" s="36" t="s">
        <v>10</v>
      </c>
      <c r="L69" s="36" t="s">
        <v>10</v>
      </c>
      <c r="M69" s="36" t="s">
        <v>10</v>
      </c>
      <c r="N69" s="36" t="s">
        <v>10</v>
      </c>
      <c r="O69" s="63">
        <f>AVERAGE(O68)</f>
        <v>149.1</v>
      </c>
    </row>
    <row r="70" spans="1:18" ht="15" x14ac:dyDescent="0.25">
      <c r="A70" s="19"/>
      <c r="B70"/>
      <c r="C70"/>
      <c r="D70"/>
      <c r="E70"/>
      <c r="F70"/>
      <c r="G70"/>
      <c r="H70"/>
      <c r="I70"/>
      <c r="J70"/>
      <c r="K70"/>
      <c r="L70"/>
      <c r="M70"/>
      <c r="N70"/>
      <c r="O70" s="18"/>
    </row>
    <row r="71" spans="1:18" ht="15" x14ac:dyDescent="0.25">
      <c r="A71" s="19"/>
      <c r="B71"/>
      <c r="C71"/>
      <c r="D71"/>
      <c r="E71"/>
      <c r="F71"/>
      <c r="G71"/>
      <c r="H71"/>
      <c r="I71"/>
      <c r="J71"/>
      <c r="K71"/>
      <c r="L71"/>
      <c r="M71"/>
      <c r="N71"/>
      <c r="O71" s="18"/>
    </row>
    <row r="72" spans="1:18" ht="12.75" x14ac:dyDescent="0.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</row>
    <row r="73" spans="1:18" ht="18" x14ac:dyDescent="0.25">
      <c r="A73" s="65" t="s">
        <v>0</v>
      </c>
      <c r="B73" s="72" t="s">
        <v>24</v>
      </c>
      <c r="C73" s="72" t="s">
        <v>25</v>
      </c>
      <c r="D73" s="72" t="s">
        <v>26</v>
      </c>
      <c r="E73" s="72" t="s">
        <v>27</v>
      </c>
      <c r="F73" s="72" t="s">
        <v>28</v>
      </c>
      <c r="G73" s="72" t="s">
        <v>29</v>
      </c>
      <c r="H73" s="72" t="s">
        <v>30</v>
      </c>
      <c r="I73" s="72" t="s">
        <v>31</v>
      </c>
      <c r="J73" s="72" t="s">
        <v>32</v>
      </c>
      <c r="K73" s="72" t="s">
        <v>33</v>
      </c>
      <c r="L73" s="72" t="s">
        <v>34</v>
      </c>
      <c r="M73" s="72" t="s">
        <v>35</v>
      </c>
      <c r="N73" s="72" t="s">
        <v>36</v>
      </c>
      <c r="O73" s="72" t="s">
        <v>37</v>
      </c>
    </row>
    <row r="74" spans="1:18" ht="18" x14ac:dyDescent="0.25">
      <c r="A74" s="45" t="s">
        <v>15</v>
      </c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</row>
    <row r="75" spans="1:18" x14ac:dyDescent="0.25">
      <c r="A75" s="11" t="s">
        <v>2</v>
      </c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2"/>
    </row>
    <row r="76" spans="1:18" ht="16.5" x14ac:dyDescent="0.3">
      <c r="A76" s="10" t="s">
        <v>40</v>
      </c>
      <c r="B76" s="32">
        <v>600000</v>
      </c>
      <c r="C76" s="32">
        <v>530000</v>
      </c>
      <c r="D76" s="32">
        <v>480000</v>
      </c>
      <c r="E76" s="32">
        <v>440000</v>
      </c>
      <c r="F76" s="32">
        <v>400000</v>
      </c>
      <c r="G76" s="32">
        <v>370000</v>
      </c>
      <c r="H76" s="32">
        <v>350000</v>
      </c>
      <c r="I76" s="32">
        <v>340000</v>
      </c>
      <c r="J76" s="32">
        <v>320000</v>
      </c>
      <c r="K76" s="32">
        <v>320000</v>
      </c>
      <c r="L76" s="32">
        <v>310000</v>
      </c>
      <c r="M76" s="32">
        <v>290000</v>
      </c>
      <c r="N76" s="32">
        <v>280000</v>
      </c>
      <c r="O76" s="32">
        <v>260000</v>
      </c>
      <c r="P76" s="2"/>
    </row>
    <row r="77" spans="1:18" ht="16.5" x14ac:dyDescent="0.3">
      <c r="A77" s="10" t="s">
        <v>41</v>
      </c>
      <c r="B77" s="32">
        <v>1100000</v>
      </c>
      <c r="C77" s="32">
        <v>1100000</v>
      </c>
      <c r="D77" s="32">
        <v>1000000</v>
      </c>
      <c r="E77" s="32">
        <v>970000</v>
      </c>
      <c r="F77" s="32">
        <v>920000</v>
      </c>
      <c r="G77" s="32">
        <v>880000</v>
      </c>
      <c r="H77" s="32">
        <v>830000</v>
      </c>
      <c r="I77" s="32">
        <v>760000</v>
      </c>
      <c r="J77" s="32">
        <v>710000</v>
      </c>
      <c r="K77" s="32">
        <v>650000</v>
      </c>
      <c r="L77" s="32">
        <v>600000</v>
      </c>
      <c r="M77" s="32">
        <v>560000</v>
      </c>
      <c r="N77" s="32">
        <v>500000</v>
      </c>
      <c r="O77" s="32">
        <v>450000</v>
      </c>
    </row>
    <row r="78" spans="1:18" ht="16.5" x14ac:dyDescent="0.3">
      <c r="A78" s="10" t="s">
        <v>42</v>
      </c>
      <c r="B78" s="32">
        <v>16800000</v>
      </c>
      <c r="C78" s="32">
        <v>17300000</v>
      </c>
      <c r="D78" s="32">
        <v>17700000</v>
      </c>
      <c r="E78" s="32">
        <v>18200000</v>
      </c>
      <c r="F78" s="32">
        <v>18600000</v>
      </c>
      <c r="G78" s="32">
        <v>19100000</v>
      </c>
      <c r="H78" s="32">
        <v>19500000</v>
      </c>
      <c r="I78" s="32">
        <v>19800000</v>
      </c>
      <c r="J78" s="32">
        <v>20100000</v>
      </c>
      <c r="K78" s="32">
        <v>20400000</v>
      </c>
      <c r="L78" s="32">
        <v>20600000</v>
      </c>
      <c r="M78" s="32">
        <v>20700000</v>
      </c>
      <c r="N78" s="32">
        <v>20800000</v>
      </c>
      <c r="O78" s="32">
        <v>20800000</v>
      </c>
      <c r="P78" s="2"/>
      <c r="Q78" s="2"/>
      <c r="R78" s="2"/>
    </row>
    <row r="79" spans="1:18" ht="16.5" x14ac:dyDescent="0.3">
      <c r="A79" s="10" t="s">
        <v>43</v>
      </c>
      <c r="B79" s="32">
        <v>1100000</v>
      </c>
      <c r="C79" s="32">
        <v>1100000</v>
      </c>
      <c r="D79" s="32">
        <v>1000000</v>
      </c>
      <c r="E79" s="32">
        <v>970000</v>
      </c>
      <c r="F79" s="32">
        <v>920000</v>
      </c>
      <c r="G79" s="32">
        <v>880000</v>
      </c>
      <c r="H79" s="32">
        <v>830000</v>
      </c>
      <c r="I79" s="32">
        <v>760000</v>
      </c>
      <c r="J79" s="32">
        <v>710000</v>
      </c>
      <c r="K79" s="32">
        <v>650000</v>
      </c>
      <c r="L79" s="32">
        <v>600000</v>
      </c>
      <c r="M79" s="32">
        <v>560000</v>
      </c>
      <c r="N79" s="32">
        <v>500000</v>
      </c>
      <c r="O79" s="32">
        <v>450000</v>
      </c>
      <c r="P79" s="2"/>
      <c r="Q79" s="2"/>
    </row>
    <row r="80" spans="1:18" ht="16.5" x14ac:dyDescent="0.3">
      <c r="A80" s="10" t="s">
        <v>44</v>
      </c>
      <c r="B80" s="32">
        <v>600000</v>
      </c>
      <c r="C80" s="32">
        <v>530000</v>
      </c>
      <c r="D80" s="32">
        <v>480000</v>
      </c>
      <c r="E80" s="32">
        <v>440000</v>
      </c>
      <c r="F80" s="32">
        <v>400000</v>
      </c>
      <c r="G80" s="32">
        <v>370000</v>
      </c>
      <c r="H80" s="32">
        <v>350000</v>
      </c>
      <c r="I80" s="32">
        <v>340000</v>
      </c>
      <c r="J80" s="32">
        <v>320000</v>
      </c>
      <c r="K80" s="32">
        <v>320000</v>
      </c>
      <c r="L80" s="32">
        <v>310000</v>
      </c>
      <c r="M80" s="32">
        <v>290000</v>
      </c>
      <c r="N80" s="32">
        <v>280000</v>
      </c>
      <c r="O80" s="32">
        <v>260000</v>
      </c>
      <c r="P80" s="2"/>
      <c r="Q80" s="2"/>
    </row>
    <row r="81" spans="1:17" ht="16.5" x14ac:dyDescent="0.3">
      <c r="A81" s="10" t="s">
        <v>3</v>
      </c>
      <c r="B81" s="32">
        <f>SUM(B76:B80)</f>
        <v>20200000</v>
      </c>
      <c r="C81" s="32">
        <f t="shared" ref="C81:O81" si="14">SUM(C76:C80)</f>
        <v>20560000</v>
      </c>
      <c r="D81" s="32">
        <f t="shared" si="14"/>
        <v>20660000</v>
      </c>
      <c r="E81" s="32">
        <f t="shared" si="14"/>
        <v>21020000</v>
      </c>
      <c r="F81" s="32">
        <f t="shared" si="14"/>
        <v>21240000</v>
      </c>
      <c r="G81" s="32">
        <f t="shared" si="14"/>
        <v>21600000</v>
      </c>
      <c r="H81" s="32">
        <f t="shared" si="14"/>
        <v>21860000</v>
      </c>
      <c r="I81" s="32">
        <f t="shared" si="14"/>
        <v>22000000</v>
      </c>
      <c r="J81" s="32">
        <f t="shared" si="14"/>
        <v>22160000</v>
      </c>
      <c r="K81" s="32">
        <f t="shared" si="14"/>
        <v>22340000</v>
      </c>
      <c r="L81" s="32">
        <f t="shared" si="14"/>
        <v>22420000</v>
      </c>
      <c r="M81" s="32">
        <f t="shared" si="14"/>
        <v>22400000</v>
      </c>
      <c r="N81" s="32">
        <f t="shared" si="14"/>
        <v>22360000</v>
      </c>
      <c r="O81" s="32">
        <f t="shared" si="14"/>
        <v>22220000</v>
      </c>
    </row>
    <row r="82" spans="1:17" ht="16.5" x14ac:dyDescent="0.3">
      <c r="A82" s="10" t="s">
        <v>4</v>
      </c>
      <c r="B82" s="32">
        <f>AVERAGE(B76:B80)</f>
        <v>4040000</v>
      </c>
      <c r="C82" s="32">
        <f t="shared" ref="C82:O82" si="15">AVERAGE(C76:C80)</f>
        <v>4112000</v>
      </c>
      <c r="D82" s="32">
        <f t="shared" si="15"/>
        <v>4132000</v>
      </c>
      <c r="E82" s="32">
        <f t="shared" si="15"/>
        <v>4204000</v>
      </c>
      <c r="F82" s="32">
        <f t="shared" si="15"/>
        <v>4248000</v>
      </c>
      <c r="G82" s="32">
        <f t="shared" si="15"/>
        <v>4320000</v>
      </c>
      <c r="H82" s="32">
        <f t="shared" si="15"/>
        <v>4372000</v>
      </c>
      <c r="I82" s="32">
        <f t="shared" si="15"/>
        <v>4400000</v>
      </c>
      <c r="J82" s="32">
        <f t="shared" si="15"/>
        <v>4432000</v>
      </c>
      <c r="K82" s="32">
        <f t="shared" si="15"/>
        <v>4468000</v>
      </c>
      <c r="L82" s="32">
        <f t="shared" si="15"/>
        <v>4484000</v>
      </c>
      <c r="M82" s="32">
        <f t="shared" si="15"/>
        <v>4480000</v>
      </c>
      <c r="N82" s="32">
        <f t="shared" si="15"/>
        <v>4472000</v>
      </c>
      <c r="O82" s="32">
        <f t="shared" si="15"/>
        <v>4444000</v>
      </c>
    </row>
    <row r="83" spans="1:17" ht="17.25" x14ac:dyDescent="0.3">
      <c r="A83" s="9"/>
      <c r="B83" s="16"/>
      <c r="C83" s="6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</row>
    <row r="84" spans="1:17" ht="15" x14ac:dyDescent="0.2">
      <c r="A84" s="11" t="s">
        <v>5</v>
      </c>
      <c r="B84" s="16"/>
      <c r="C84" s="6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</row>
    <row r="85" spans="1:17" ht="16.5" x14ac:dyDescent="0.3">
      <c r="A85" s="10" t="s">
        <v>45</v>
      </c>
      <c r="B85" s="39">
        <f>_xlfn.FORECAST.LINEAR(2010, G85:O85, G1:O1 )</f>
        <v>73.866666666666333</v>
      </c>
      <c r="C85" s="39">
        <f>_xlfn.FORECAST.LINEAR(2011, G85:O85, G1:O1 )</f>
        <v>75.400000000000091</v>
      </c>
      <c r="D85" s="39">
        <f>_xlfn.FORECAST.LINEAR(2012, G85:O85, G1:O1 )</f>
        <v>76.933333333333394</v>
      </c>
      <c r="E85" s="39">
        <f>_xlfn.FORECAST.LINEAR(2013, G85:O85, G1:O1 )</f>
        <v>78.466666666666697</v>
      </c>
      <c r="F85" s="39">
        <f>_xlfn.FORECAST.LINEAR(2014, G85:O85, G1:O1 )</f>
        <v>80</v>
      </c>
      <c r="G85" s="16">
        <v>80</v>
      </c>
      <c r="H85" s="16">
        <v>83</v>
      </c>
      <c r="I85" s="16">
        <v>85</v>
      </c>
      <c r="J85" s="16">
        <v>87</v>
      </c>
      <c r="K85" s="16">
        <v>89</v>
      </c>
      <c r="L85" s="16">
        <v>90</v>
      </c>
      <c r="M85" s="16">
        <v>90</v>
      </c>
      <c r="N85" s="16">
        <v>92</v>
      </c>
      <c r="O85" s="16">
        <v>93</v>
      </c>
      <c r="P85" s="2"/>
    </row>
    <row r="86" spans="1:17" ht="16.5" x14ac:dyDescent="0.3">
      <c r="A86" s="10" t="s">
        <v>46</v>
      </c>
      <c r="B86" s="67">
        <f>_xlfn.FORECAST.LINEAR(2010, G86:O86, G1:O1 )</f>
        <v>38.305555555555657</v>
      </c>
      <c r="C86" s="67">
        <f>_xlfn.FORECAST.LINEAR(2011, G86:O86, G1:O1 )</f>
        <v>41.888888888889596</v>
      </c>
      <c r="D86" s="67">
        <f>_xlfn.FORECAST.LINEAR(2012, G86:O86, G1:O1 )</f>
        <v>45.472222222222626</v>
      </c>
      <c r="E86" s="67">
        <f>_xlfn.FORECAST.LINEAR(2013, G86:O86, G1:O1 )</f>
        <v>49.055555555555657</v>
      </c>
      <c r="F86" s="67">
        <f>_xlfn.FORECAST.LINEAR(2014, G86:O86, G1:O1 )</f>
        <v>52.638888888889596</v>
      </c>
      <c r="G86" s="16">
        <v>54</v>
      </c>
      <c r="H86" s="16">
        <v>59</v>
      </c>
      <c r="I86" s="16">
        <v>65</v>
      </c>
      <c r="J86" s="16">
        <v>68</v>
      </c>
      <c r="K86" s="16">
        <v>72</v>
      </c>
      <c r="L86" s="16">
        <v>75</v>
      </c>
      <c r="M86" s="16">
        <v>78</v>
      </c>
      <c r="N86" s="16">
        <v>81</v>
      </c>
      <c r="O86" s="16">
        <v>83</v>
      </c>
      <c r="P86" s="2"/>
    </row>
    <row r="87" spans="1:17" ht="16.5" x14ac:dyDescent="0.3">
      <c r="A87" s="10" t="s">
        <v>47</v>
      </c>
      <c r="B87" s="39">
        <f>_xlfn.FORECAST.LINEAR(2010, G87:O87, G1:O1 )</f>
        <v>52.300000000000182</v>
      </c>
      <c r="C87" s="39">
        <f>_xlfn.FORECAST.LINEAR(2011, G87:O87, G1:O1 )</f>
        <v>53.933333333333394</v>
      </c>
      <c r="D87" s="39">
        <f>_xlfn.FORECAST.LINEAR(2012, G87:O87, G1:O1 )</f>
        <v>55.566666666666606</v>
      </c>
      <c r="E87" s="39">
        <f>_xlfn.FORECAST.LINEAR(2013, G87:O87, G1:O1 )</f>
        <v>57.200000000000273</v>
      </c>
      <c r="F87" s="39">
        <f>_xlfn.FORECAST.LINEAR(2014, G87:O87, G1:O1 )</f>
        <v>58.833333333333485</v>
      </c>
      <c r="G87" s="16">
        <v>83</v>
      </c>
      <c r="H87" s="16">
        <v>50</v>
      </c>
      <c r="I87" s="16">
        <v>55</v>
      </c>
      <c r="J87" s="16">
        <v>59</v>
      </c>
      <c r="K87" s="16">
        <v>63</v>
      </c>
      <c r="L87" s="16">
        <v>68</v>
      </c>
      <c r="M87" s="16">
        <v>72</v>
      </c>
      <c r="N87" s="16">
        <v>75</v>
      </c>
      <c r="O87" s="16">
        <v>78</v>
      </c>
      <c r="P87" s="2"/>
    </row>
    <row r="88" spans="1:17" ht="16.5" x14ac:dyDescent="0.3">
      <c r="A88" s="10" t="s">
        <v>6</v>
      </c>
      <c r="B88" s="34">
        <f t="shared" ref="B88:O88" si="16">AVERAGE(B85:B87)</f>
        <v>54.824074074074055</v>
      </c>
      <c r="C88" s="34">
        <f t="shared" si="16"/>
        <v>57.07407407407436</v>
      </c>
      <c r="D88" s="34">
        <f t="shared" si="16"/>
        <v>59.324074074074211</v>
      </c>
      <c r="E88" s="34">
        <f t="shared" si="16"/>
        <v>61.574074074074211</v>
      </c>
      <c r="F88" s="34">
        <f t="shared" si="16"/>
        <v>63.82407407407436</v>
      </c>
      <c r="G88" s="34">
        <f t="shared" si="16"/>
        <v>72.333333333333329</v>
      </c>
      <c r="H88" s="34">
        <f t="shared" si="16"/>
        <v>64</v>
      </c>
      <c r="I88" s="34">
        <f t="shared" si="16"/>
        <v>68.333333333333329</v>
      </c>
      <c r="J88" s="34">
        <f t="shared" si="16"/>
        <v>71.333333333333329</v>
      </c>
      <c r="K88" s="34">
        <f t="shared" si="16"/>
        <v>74.666666666666671</v>
      </c>
      <c r="L88" s="34">
        <f t="shared" si="16"/>
        <v>77.666666666666671</v>
      </c>
      <c r="M88" s="34">
        <f t="shared" si="16"/>
        <v>80</v>
      </c>
      <c r="N88" s="34">
        <f t="shared" si="16"/>
        <v>82.666666666666671</v>
      </c>
      <c r="O88" s="34">
        <f t="shared" si="16"/>
        <v>84.666666666666671</v>
      </c>
      <c r="P88" s="2"/>
    </row>
    <row r="89" spans="1:17" ht="17.25" x14ac:dyDescent="0.3">
      <c r="A89" s="9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2"/>
    </row>
    <row r="90" spans="1:17" x14ac:dyDescent="0.25">
      <c r="A90" s="11" t="s">
        <v>7</v>
      </c>
      <c r="B90" s="16">
        <v>19</v>
      </c>
      <c r="C90" s="16">
        <v>16</v>
      </c>
      <c r="D90" s="16">
        <v>13</v>
      </c>
      <c r="E90" s="16">
        <v>12</v>
      </c>
      <c r="F90" s="16">
        <v>12</v>
      </c>
      <c r="G90" s="16">
        <v>11</v>
      </c>
      <c r="H90" s="16">
        <v>10</v>
      </c>
      <c r="I90" s="16">
        <v>9</v>
      </c>
      <c r="J90" s="16">
        <v>8</v>
      </c>
      <c r="K90" s="16">
        <v>8</v>
      </c>
      <c r="L90" s="16">
        <v>8</v>
      </c>
      <c r="M90" s="16">
        <v>7</v>
      </c>
      <c r="N90" s="16">
        <v>7</v>
      </c>
      <c r="O90" s="16">
        <v>6</v>
      </c>
      <c r="P90" s="2"/>
    </row>
    <row r="91" spans="1:17" ht="16.5" x14ac:dyDescent="0.3">
      <c r="A91" s="10" t="s">
        <v>48</v>
      </c>
      <c r="B91" s="16">
        <v>19</v>
      </c>
      <c r="C91" s="16">
        <v>16</v>
      </c>
      <c r="D91" s="16">
        <v>13</v>
      </c>
      <c r="E91" s="16">
        <v>12</v>
      </c>
      <c r="F91" s="16">
        <v>12</v>
      </c>
      <c r="G91" s="16">
        <v>11</v>
      </c>
      <c r="H91" s="16">
        <v>10</v>
      </c>
      <c r="I91" s="16">
        <v>9</v>
      </c>
      <c r="J91" s="16">
        <v>8</v>
      </c>
      <c r="K91" s="16">
        <v>8</v>
      </c>
      <c r="L91" s="16">
        <v>8</v>
      </c>
      <c r="M91" s="16">
        <v>7</v>
      </c>
      <c r="N91" s="16">
        <v>7</v>
      </c>
      <c r="O91" s="16">
        <v>6</v>
      </c>
    </row>
    <row r="92" spans="1:17" ht="16.5" x14ac:dyDescent="0.3">
      <c r="A92" s="10" t="s">
        <v>49</v>
      </c>
      <c r="B92" s="32">
        <v>150000</v>
      </c>
      <c r="C92" s="32">
        <v>180000</v>
      </c>
      <c r="D92" s="32">
        <v>190000</v>
      </c>
      <c r="E92" s="32">
        <v>200000</v>
      </c>
      <c r="F92" s="32">
        <v>200000</v>
      </c>
      <c r="G92" s="32">
        <v>200000</v>
      </c>
      <c r="H92" s="32">
        <v>200000</v>
      </c>
      <c r="I92" s="32">
        <v>200000</v>
      </c>
      <c r="J92" s="32">
        <v>210000</v>
      </c>
      <c r="K92" s="32">
        <v>200000</v>
      </c>
      <c r="L92" s="32">
        <v>200000</v>
      </c>
      <c r="M92" s="32">
        <v>190000</v>
      </c>
      <c r="N92" s="32">
        <v>180000</v>
      </c>
      <c r="O92" s="32">
        <v>180000</v>
      </c>
      <c r="P92" s="2"/>
      <c r="Q92" s="2"/>
    </row>
    <row r="93" spans="1:17" ht="16.5" x14ac:dyDescent="0.3">
      <c r="A93" s="10" t="s">
        <v>50</v>
      </c>
      <c r="B93" s="32">
        <v>8500000</v>
      </c>
      <c r="C93" s="32">
        <v>8900000</v>
      </c>
      <c r="D93" s="32">
        <v>9200000</v>
      </c>
      <c r="E93" s="32">
        <v>9500000</v>
      </c>
      <c r="F93" s="32">
        <v>9800000</v>
      </c>
      <c r="G93" s="32">
        <v>10100000</v>
      </c>
      <c r="H93" s="32">
        <v>10400000</v>
      </c>
      <c r="I93" s="32">
        <v>10700000</v>
      </c>
      <c r="J93" s="32">
        <v>11000000</v>
      </c>
      <c r="K93" s="32">
        <v>11300000</v>
      </c>
      <c r="L93" s="32">
        <v>11500000</v>
      </c>
      <c r="M93" s="32">
        <v>11700000</v>
      </c>
      <c r="N93" s="32">
        <v>11800000</v>
      </c>
      <c r="O93" s="32">
        <v>11800000</v>
      </c>
    </row>
    <row r="94" spans="1:17" ht="16.5" x14ac:dyDescent="0.3">
      <c r="A94" s="10" t="s">
        <v>51</v>
      </c>
      <c r="B94" s="16">
        <v>42</v>
      </c>
      <c r="C94" s="16">
        <v>45</v>
      </c>
      <c r="D94" s="16">
        <v>51</v>
      </c>
      <c r="E94" s="16">
        <v>49</v>
      </c>
      <c r="F94" s="16">
        <v>49</v>
      </c>
      <c r="G94" s="16">
        <v>60</v>
      </c>
      <c r="H94" s="16">
        <v>53</v>
      </c>
      <c r="I94" s="16">
        <v>62</v>
      </c>
      <c r="J94" s="16">
        <v>67</v>
      </c>
      <c r="K94" s="16">
        <v>68</v>
      </c>
      <c r="L94" s="16">
        <v>74</v>
      </c>
      <c r="M94" s="16">
        <v>76</v>
      </c>
      <c r="N94" s="16">
        <v>81</v>
      </c>
      <c r="O94" s="16">
        <v>80</v>
      </c>
    </row>
    <row r="95" spans="1:17" ht="16.5" x14ac:dyDescent="0.3">
      <c r="A95" s="10" t="s">
        <v>8</v>
      </c>
      <c r="B95" s="32">
        <f t="shared" ref="B95:O95" si="17">SUM(B90:B94)</f>
        <v>8650080</v>
      </c>
      <c r="C95" s="32">
        <f t="shared" si="17"/>
        <v>9080077</v>
      </c>
      <c r="D95" s="32">
        <f t="shared" si="17"/>
        <v>9390077</v>
      </c>
      <c r="E95" s="32">
        <f t="shared" si="17"/>
        <v>9700073</v>
      </c>
      <c r="F95" s="32">
        <f t="shared" si="17"/>
        <v>10000073</v>
      </c>
      <c r="G95" s="32">
        <f t="shared" si="17"/>
        <v>10300082</v>
      </c>
      <c r="H95" s="32">
        <f t="shared" si="17"/>
        <v>10600073</v>
      </c>
      <c r="I95" s="32">
        <f t="shared" si="17"/>
        <v>10900080</v>
      </c>
      <c r="J95" s="32">
        <f t="shared" si="17"/>
        <v>11210083</v>
      </c>
      <c r="K95" s="32">
        <f t="shared" si="17"/>
        <v>11500084</v>
      </c>
      <c r="L95" s="32">
        <f t="shared" si="17"/>
        <v>11700090</v>
      </c>
      <c r="M95" s="32">
        <f t="shared" si="17"/>
        <v>11890090</v>
      </c>
      <c r="N95" s="32">
        <f t="shared" si="17"/>
        <v>11980095</v>
      </c>
      <c r="O95" s="32">
        <f t="shared" si="17"/>
        <v>11980092</v>
      </c>
    </row>
    <row r="96" spans="1:17" ht="16.5" x14ac:dyDescent="0.3">
      <c r="A96" s="10" t="s">
        <v>9</v>
      </c>
      <c r="B96" s="68">
        <f t="shared" ref="B96:O96" si="18">AVERAGE(B90:B94)</f>
        <v>1730016</v>
      </c>
      <c r="C96" s="68">
        <f t="shared" si="18"/>
        <v>1816015.4</v>
      </c>
      <c r="D96" s="68">
        <f t="shared" si="18"/>
        <v>1878015.4</v>
      </c>
      <c r="E96" s="68">
        <f t="shared" si="18"/>
        <v>1940014.6</v>
      </c>
      <c r="F96" s="68">
        <f t="shared" si="18"/>
        <v>2000014.6</v>
      </c>
      <c r="G96" s="68">
        <f t="shared" si="18"/>
        <v>2060016.4</v>
      </c>
      <c r="H96" s="68">
        <f t="shared" si="18"/>
        <v>2120014.6</v>
      </c>
      <c r="I96" s="68">
        <f t="shared" si="18"/>
        <v>2180016</v>
      </c>
      <c r="J96" s="68">
        <f t="shared" si="18"/>
        <v>2242016.6</v>
      </c>
      <c r="K96" s="68">
        <f t="shared" si="18"/>
        <v>2300016.7999999998</v>
      </c>
      <c r="L96" s="68">
        <f t="shared" si="18"/>
        <v>2340018</v>
      </c>
      <c r="M96" s="68">
        <f t="shared" si="18"/>
        <v>2378018</v>
      </c>
      <c r="N96" s="68">
        <f t="shared" si="18"/>
        <v>2396019</v>
      </c>
      <c r="O96" s="68">
        <f t="shared" si="18"/>
        <v>2396018.4</v>
      </c>
    </row>
    <row r="97" spans="1:16" ht="17.25" x14ac:dyDescent="0.3">
      <c r="A97" s="9"/>
      <c r="B97" s="66"/>
      <c r="C97" s="66"/>
      <c r="D97" s="66"/>
      <c r="E97" s="66"/>
      <c r="F97" s="66"/>
      <c r="G97" s="66"/>
      <c r="H97" s="66"/>
      <c r="I97" s="66"/>
      <c r="J97" s="66"/>
      <c r="K97" s="66"/>
      <c r="L97" s="66"/>
      <c r="M97" s="66"/>
      <c r="N97" s="66"/>
      <c r="O97" s="66"/>
    </row>
    <row r="98" spans="1:16" ht="15" x14ac:dyDescent="0.2">
      <c r="A98" s="11" t="s">
        <v>38</v>
      </c>
      <c r="B98" s="66"/>
      <c r="C98" s="66"/>
      <c r="D98" s="66"/>
      <c r="E98" s="66"/>
      <c r="F98" s="66"/>
      <c r="G98" s="66"/>
      <c r="H98" s="66"/>
      <c r="I98" s="66"/>
      <c r="J98" s="66"/>
      <c r="K98" s="66"/>
      <c r="L98" s="66"/>
      <c r="M98" s="66"/>
      <c r="N98" s="66"/>
      <c r="O98" s="66"/>
    </row>
    <row r="99" spans="1:16" ht="16.5" x14ac:dyDescent="0.3">
      <c r="A99" s="10" t="s">
        <v>54</v>
      </c>
      <c r="B99" s="76" t="s">
        <v>10</v>
      </c>
      <c r="C99" s="76" t="s">
        <v>10</v>
      </c>
      <c r="D99" s="76" t="s">
        <v>10</v>
      </c>
      <c r="E99" s="76" t="s">
        <v>10</v>
      </c>
      <c r="F99" s="76" t="s">
        <v>10</v>
      </c>
      <c r="G99" s="76" t="s">
        <v>10</v>
      </c>
      <c r="H99" s="76" t="s">
        <v>10</v>
      </c>
      <c r="I99" s="76" t="s">
        <v>10</v>
      </c>
      <c r="J99" s="68">
        <v>40573</v>
      </c>
      <c r="K99" s="68">
        <v>63792</v>
      </c>
      <c r="L99" s="68">
        <v>51603</v>
      </c>
      <c r="M99" s="68">
        <v>94398</v>
      </c>
      <c r="N99" s="68">
        <v>94704</v>
      </c>
      <c r="O99" s="68">
        <v>165527</v>
      </c>
    </row>
    <row r="100" spans="1:16" ht="16.5" x14ac:dyDescent="0.3">
      <c r="A100" s="10" t="s">
        <v>52</v>
      </c>
      <c r="B100" s="77" t="s">
        <v>10</v>
      </c>
      <c r="C100" s="77" t="s">
        <v>10</v>
      </c>
      <c r="D100" s="77" t="s">
        <v>10</v>
      </c>
      <c r="E100" s="77" t="s">
        <v>10</v>
      </c>
      <c r="F100" s="77" t="s">
        <v>10</v>
      </c>
      <c r="G100" s="77" t="s">
        <v>10</v>
      </c>
      <c r="H100" s="77" t="s">
        <v>10</v>
      </c>
      <c r="I100" s="77" t="s">
        <v>10</v>
      </c>
      <c r="J100" s="69" t="s">
        <v>10</v>
      </c>
      <c r="K100" s="68">
        <v>55610061</v>
      </c>
      <c r="L100" s="69" t="s">
        <v>10</v>
      </c>
      <c r="M100" s="69" t="s">
        <v>10</v>
      </c>
      <c r="N100" s="68">
        <v>49175509</v>
      </c>
      <c r="O100" s="68">
        <v>63359562</v>
      </c>
    </row>
    <row r="101" spans="1:16" ht="16.5" x14ac:dyDescent="0.3">
      <c r="A101" s="10" t="s">
        <v>11</v>
      </c>
      <c r="B101" s="76" t="s">
        <v>10</v>
      </c>
      <c r="C101" s="76" t="s">
        <v>10</v>
      </c>
      <c r="D101" s="76" t="s">
        <v>10</v>
      </c>
      <c r="E101" s="76" t="s">
        <v>10</v>
      </c>
      <c r="F101" s="76" t="s">
        <v>10</v>
      </c>
      <c r="G101" s="76" t="s">
        <v>10</v>
      </c>
      <c r="H101" s="76" t="s">
        <v>10</v>
      </c>
      <c r="I101" s="76" t="s">
        <v>10</v>
      </c>
      <c r="J101" s="68">
        <f t="shared" ref="J101:O101" si="19">SUM(J99:J100)</f>
        <v>40573</v>
      </c>
      <c r="K101" s="68">
        <f t="shared" si="19"/>
        <v>55673853</v>
      </c>
      <c r="L101" s="68">
        <f t="shared" si="19"/>
        <v>51603</v>
      </c>
      <c r="M101" s="68">
        <f t="shared" si="19"/>
        <v>94398</v>
      </c>
      <c r="N101" s="68">
        <f t="shared" si="19"/>
        <v>49270213</v>
      </c>
      <c r="O101" s="68">
        <f t="shared" si="19"/>
        <v>63525089</v>
      </c>
    </row>
    <row r="102" spans="1:16" ht="16.5" x14ac:dyDescent="0.3">
      <c r="A102" s="10" t="s">
        <v>12</v>
      </c>
      <c r="B102" s="77" t="s">
        <v>10</v>
      </c>
      <c r="C102" s="77" t="s">
        <v>10</v>
      </c>
      <c r="D102" s="77" t="s">
        <v>10</v>
      </c>
      <c r="E102" s="77" t="s">
        <v>10</v>
      </c>
      <c r="F102" s="77" t="s">
        <v>10</v>
      </c>
      <c r="G102" s="77" t="s">
        <v>10</v>
      </c>
      <c r="H102" s="77" t="s">
        <v>10</v>
      </c>
      <c r="I102" s="77" t="s">
        <v>10</v>
      </c>
      <c r="J102" s="68">
        <f t="shared" ref="J102:O102" si="20">AVERAGE(J99:J100)</f>
        <v>40573</v>
      </c>
      <c r="K102" s="68">
        <f t="shared" si="20"/>
        <v>27836926.5</v>
      </c>
      <c r="L102" s="68">
        <f t="shared" si="20"/>
        <v>51603</v>
      </c>
      <c r="M102" s="68">
        <f t="shared" si="20"/>
        <v>94398</v>
      </c>
      <c r="N102" s="68">
        <f t="shared" si="20"/>
        <v>24635106.5</v>
      </c>
      <c r="O102" s="68">
        <f t="shared" si="20"/>
        <v>31762544.5</v>
      </c>
    </row>
    <row r="103" spans="1:16" ht="16.5" x14ac:dyDescent="0.3">
      <c r="A103" s="10"/>
      <c r="B103" s="36"/>
      <c r="C103" s="36"/>
      <c r="D103" s="36"/>
      <c r="E103" s="36"/>
      <c r="F103" s="36"/>
      <c r="G103" s="36"/>
      <c r="H103" s="36"/>
      <c r="I103" s="36"/>
      <c r="J103" s="66"/>
      <c r="K103" s="66"/>
      <c r="L103" s="66"/>
      <c r="M103" s="66"/>
      <c r="N103" s="66"/>
      <c r="O103" s="66"/>
    </row>
    <row r="104" spans="1:16" ht="15" x14ac:dyDescent="0.2">
      <c r="A104" s="11" t="s">
        <v>39</v>
      </c>
      <c r="B104" s="77" t="s">
        <v>10</v>
      </c>
      <c r="C104" s="77" t="s">
        <v>10</v>
      </c>
      <c r="D104" s="77" t="s">
        <v>10</v>
      </c>
      <c r="E104" s="77" t="s">
        <v>10</v>
      </c>
      <c r="F104" s="77" t="s">
        <v>10</v>
      </c>
      <c r="G104" s="77" t="s">
        <v>10</v>
      </c>
      <c r="H104" s="77" t="s">
        <v>10</v>
      </c>
      <c r="I104" s="77" t="s">
        <v>10</v>
      </c>
      <c r="J104" s="77" t="s">
        <v>10</v>
      </c>
      <c r="K104" s="77" t="s">
        <v>10</v>
      </c>
      <c r="L104" s="77" t="s">
        <v>10</v>
      </c>
      <c r="M104" s="77" t="s">
        <v>10</v>
      </c>
      <c r="N104" s="77" t="s">
        <v>10</v>
      </c>
      <c r="O104" s="8">
        <v>335.82</v>
      </c>
    </row>
    <row r="105" spans="1:16" ht="16.5" x14ac:dyDescent="0.3">
      <c r="A105" s="10" t="s">
        <v>53</v>
      </c>
      <c r="B105" s="76" t="s">
        <v>10</v>
      </c>
      <c r="C105" s="76" t="s">
        <v>10</v>
      </c>
      <c r="D105" s="76" t="s">
        <v>10</v>
      </c>
      <c r="E105" s="76" t="s">
        <v>10</v>
      </c>
      <c r="F105" s="76" t="s">
        <v>10</v>
      </c>
      <c r="G105" s="76" t="s">
        <v>10</v>
      </c>
      <c r="H105" s="76" t="s">
        <v>10</v>
      </c>
      <c r="I105" s="76" t="s">
        <v>10</v>
      </c>
      <c r="J105" s="76" t="s">
        <v>10</v>
      </c>
      <c r="K105" s="76" t="s">
        <v>10</v>
      </c>
      <c r="L105" s="76" t="s">
        <v>10</v>
      </c>
      <c r="M105" s="76" t="s">
        <v>10</v>
      </c>
      <c r="N105" s="76" t="s">
        <v>10</v>
      </c>
      <c r="O105" s="8">
        <f>AVERAGE(O104)</f>
        <v>335.82</v>
      </c>
    </row>
    <row r="106" spans="1:16" ht="15" x14ac:dyDescent="0.2">
      <c r="A106" s="64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 spans="1:16" ht="15" x14ac:dyDescent="0.2">
      <c r="A107" s="64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9" spans="1:16" ht="18" x14ac:dyDescent="0.25">
      <c r="A109" s="44" t="s">
        <v>0</v>
      </c>
      <c r="B109" s="71" t="s">
        <v>24</v>
      </c>
      <c r="C109" s="71" t="s">
        <v>25</v>
      </c>
      <c r="D109" s="71" t="s">
        <v>26</v>
      </c>
      <c r="E109" s="71" t="s">
        <v>27</v>
      </c>
      <c r="F109" s="71" t="s">
        <v>28</v>
      </c>
      <c r="G109" s="71" t="s">
        <v>29</v>
      </c>
      <c r="H109" s="71" t="s">
        <v>30</v>
      </c>
      <c r="I109" s="71" t="s">
        <v>31</v>
      </c>
      <c r="J109" s="71" t="s">
        <v>32</v>
      </c>
      <c r="K109" s="71" t="s">
        <v>33</v>
      </c>
      <c r="L109" s="71" t="s">
        <v>34</v>
      </c>
      <c r="M109" s="71" t="s">
        <v>35</v>
      </c>
      <c r="N109" s="71" t="s">
        <v>36</v>
      </c>
      <c r="O109" s="71" t="s">
        <v>37</v>
      </c>
      <c r="P109" s="73"/>
    </row>
    <row r="110" spans="1:16" ht="18" x14ac:dyDescent="0.25">
      <c r="A110" s="45" t="s">
        <v>16</v>
      </c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</row>
    <row r="111" spans="1:16" x14ac:dyDescent="0.25">
      <c r="A111" s="11" t="s">
        <v>2</v>
      </c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2"/>
    </row>
    <row r="112" spans="1:16" ht="16.5" x14ac:dyDescent="0.3">
      <c r="A112" s="10" t="s">
        <v>40</v>
      </c>
      <c r="B112" s="32">
        <v>33000</v>
      </c>
      <c r="C112" s="32">
        <v>36000</v>
      </c>
      <c r="D112" s="32">
        <v>37000</v>
      </c>
      <c r="E112" s="32">
        <v>37000</v>
      </c>
      <c r="F112" s="32">
        <v>37000</v>
      </c>
      <c r="G112" s="32">
        <v>38000</v>
      </c>
      <c r="H112" s="32">
        <v>36000</v>
      </c>
      <c r="I112" s="32">
        <v>33000</v>
      </c>
      <c r="J112" s="32">
        <v>34000</v>
      </c>
      <c r="K112" s="32">
        <v>34000</v>
      </c>
      <c r="L112" s="32">
        <v>34000</v>
      </c>
      <c r="M112" s="32">
        <v>37000</v>
      </c>
      <c r="N112" s="32">
        <v>41000</v>
      </c>
      <c r="O112" s="32">
        <v>44000</v>
      </c>
      <c r="P112" s="2"/>
    </row>
    <row r="113" spans="1:18" ht="16.5" x14ac:dyDescent="0.3">
      <c r="A113" s="10" t="s">
        <v>41</v>
      </c>
      <c r="B113" s="32">
        <v>120000</v>
      </c>
      <c r="C113" s="32">
        <v>120000</v>
      </c>
      <c r="D113" s="32">
        <v>130000</v>
      </c>
      <c r="E113" s="32">
        <v>130000</v>
      </c>
      <c r="F113" s="32">
        <v>130000</v>
      </c>
      <c r="G113" s="32">
        <v>130000</v>
      </c>
      <c r="H113" s="32">
        <v>140000</v>
      </c>
      <c r="I113" s="32">
        <v>140000</v>
      </c>
      <c r="J113" s="32">
        <v>140000</v>
      </c>
      <c r="K113" s="32">
        <v>140000</v>
      </c>
      <c r="L113" s="32">
        <v>140000</v>
      </c>
      <c r="M113" s="32">
        <v>140000</v>
      </c>
      <c r="N113" s="32">
        <v>140000</v>
      </c>
      <c r="O113" s="32">
        <v>140000</v>
      </c>
    </row>
    <row r="114" spans="1:18" ht="16.5" x14ac:dyDescent="0.3">
      <c r="A114" s="10" t="s">
        <v>42</v>
      </c>
      <c r="B114" s="32">
        <v>920000</v>
      </c>
      <c r="C114" s="32">
        <v>1000000</v>
      </c>
      <c r="D114" s="32">
        <v>1100000</v>
      </c>
      <c r="E114" s="32">
        <v>1200000</v>
      </c>
      <c r="F114" s="32">
        <v>1300000</v>
      </c>
      <c r="G114" s="32">
        <v>1400000</v>
      </c>
      <c r="H114" s="32">
        <v>1500000</v>
      </c>
      <c r="I114" s="32">
        <v>1600000</v>
      </c>
      <c r="J114" s="32">
        <v>1700000</v>
      </c>
      <c r="K114" s="32">
        <v>1800000</v>
      </c>
      <c r="L114" s="32">
        <v>1900000</v>
      </c>
      <c r="M114" s="32">
        <v>1900000</v>
      </c>
      <c r="N114" s="32">
        <v>2000000</v>
      </c>
      <c r="O114" s="32">
        <v>2100000</v>
      </c>
      <c r="P114" s="2"/>
      <c r="Q114" s="2"/>
      <c r="R114" s="2"/>
    </row>
    <row r="115" spans="1:18" ht="16.5" x14ac:dyDescent="0.3">
      <c r="A115" s="10" t="s">
        <v>43</v>
      </c>
      <c r="B115" s="32">
        <v>120000</v>
      </c>
      <c r="C115" s="32">
        <v>120000</v>
      </c>
      <c r="D115" s="32">
        <v>130000</v>
      </c>
      <c r="E115" s="32">
        <v>130000</v>
      </c>
      <c r="F115" s="32">
        <v>130000</v>
      </c>
      <c r="G115" s="32">
        <v>130000</v>
      </c>
      <c r="H115" s="32">
        <v>140000</v>
      </c>
      <c r="I115" s="32">
        <v>140000</v>
      </c>
      <c r="J115" s="32">
        <v>140000</v>
      </c>
      <c r="K115" s="32">
        <v>140000</v>
      </c>
      <c r="L115" s="32">
        <v>140000</v>
      </c>
      <c r="M115" s="32">
        <v>140000</v>
      </c>
      <c r="N115" s="32">
        <v>140000</v>
      </c>
      <c r="O115" s="32">
        <v>140000</v>
      </c>
      <c r="P115" s="2"/>
      <c r="Q115" s="2"/>
    </row>
    <row r="116" spans="1:18" ht="16.5" x14ac:dyDescent="0.3">
      <c r="A116" s="10" t="s">
        <v>44</v>
      </c>
      <c r="B116" s="32">
        <v>33000</v>
      </c>
      <c r="C116" s="32">
        <v>36000</v>
      </c>
      <c r="D116" s="32">
        <v>37000</v>
      </c>
      <c r="E116" s="32">
        <v>37000</v>
      </c>
      <c r="F116" s="32">
        <v>37000</v>
      </c>
      <c r="G116" s="32">
        <v>38000</v>
      </c>
      <c r="H116" s="32">
        <v>36000</v>
      </c>
      <c r="I116" s="32">
        <v>33000</v>
      </c>
      <c r="J116" s="32">
        <v>34000</v>
      </c>
      <c r="K116" s="32">
        <v>34000</v>
      </c>
      <c r="L116" s="32">
        <v>34000</v>
      </c>
      <c r="M116" s="32">
        <v>37000</v>
      </c>
      <c r="N116" s="32">
        <v>41000</v>
      </c>
      <c r="O116" s="32">
        <v>44000</v>
      </c>
      <c r="P116" s="2"/>
      <c r="Q116" s="2"/>
    </row>
    <row r="117" spans="1:18" ht="16.5" x14ac:dyDescent="0.3">
      <c r="A117" s="10" t="s">
        <v>3</v>
      </c>
      <c r="B117" s="32">
        <f t="shared" ref="B117:O117" si="21">SUM(B112:B116)</f>
        <v>1226000</v>
      </c>
      <c r="C117" s="32">
        <f t="shared" si="21"/>
        <v>1312000</v>
      </c>
      <c r="D117" s="32">
        <f t="shared" si="21"/>
        <v>1434000</v>
      </c>
      <c r="E117" s="32">
        <f t="shared" si="21"/>
        <v>1534000</v>
      </c>
      <c r="F117" s="32">
        <f t="shared" si="21"/>
        <v>1634000</v>
      </c>
      <c r="G117" s="32">
        <f t="shared" si="21"/>
        <v>1736000</v>
      </c>
      <c r="H117" s="32">
        <f t="shared" si="21"/>
        <v>1852000</v>
      </c>
      <c r="I117" s="32">
        <f t="shared" si="21"/>
        <v>1946000</v>
      </c>
      <c r="J117" s="32">
        <f t="shared" si="21"/>
        <v>2048000</v>
      </c>
      <c r="K117" s="32">
        <f t="shared" si="21"/>
        <v>2148000</v>
      </c>
      <c r="L117" s="32">
        <f t="shared" si="21"/>
        <v>2248000</v>
      </c>
      <c r="M117" s="32">
        <f t="shared" si="21"/>
        <v>2254000</v>
      </c>
      <c r="N117" s="32">
        <f t="shared" si="21"/>
        <v>2362000</v>
      </c>
      <c r="O117" s="32">
        <f t="shared" si="21"/>
        <v>2468000</v>
      </c>
    </row>
    <row r="118" spans="1:18" ht="16.5" x14ac:dyDescent="0.3">
      <c r="A118" s="10" t="s">
        <v>4</v>
      </c>
      <c r="B118" s="32">
        <f t="shared" ref="B118:O118" si="22">AVERAGE(B112:B116)</f>
        <v>245200</v>
      </c>
      <c r="C118" s="32">
        <f t="shared" si="22"/>
        <v>262400</v>
      </c>
      <c r="D118" s="32">
        <f t="shared" si="22"/>
        <v>286800</v>
      </c>
      <c r="E118" s="32">
        <f t="shared" si="22"/>
        <v>306800</v>
      </c>
      <c r="F118" s="32">
        <f t="shared" si="22"/>
        <v>326800</v>
      </c>
      <c r="G118" s="32">
        <f t="shared" si="22"/>
        <v>347200</v>
      </c>
      <c r="H118" s="32">
        <f t="shared" si="22"/>
        <v>370400</v>
      </c>
      <c r="I118" s="32">
        <f t="shared" si="22"/>
        <v>389200</v>
      </c>
      <c r="J118" s="32">
        <f t="shared" si="22"/>
        <v>409600</v>
      </c>
      <c r="K118" s="32">
        <f t="shared" si="22"/>
        <v>429600</v>
      </c>
      <c r="L118" s="32">
        <f t="shared" si="22"/>
        <v>449600</v>
      </c>
      <c r="M118" s="32">
        <f t="shared" si="22"/>
        <v>450800</v>
      </c>
      <c r="N118" s="32">
        <f t="shared" si="22"/>
        <v>472400</v>
      </c>
      <c r="O118" s="32">
        <f t="shared" si="22"/>
        <v>493600</v>
      </c>
    </row>
    <row r="119" spans="1:18" ht="15" x14ac:dyDescent="0.25">
      <c r="B119" s="16"/>
      <c r="C119" s="6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</row>
    <row r="120" spans="1:18" ht="15" x14ac:dyDescent="0.2">
      <c r="A120" s="11" t="s">
        <v>5</v>
      </c>
      <c r="B120" s="16"/>
      <c r="C120" s="6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</row>
    <row r="121" spans="1:18" ht="16.5" x14ac:dyDescent="0.3">
      <c r="A121" s="10" t="s">
        <v>45</v>
      </c>
      <c r="B121" s="39">
        <f>_xlfn.FORECAST.LINEAR(2010, G121:O121, G1:O1 )</f>
        <v>42.611111111111313</v>
      </c>
      <c r="C121" s="39">
        <f>_xlfn.FORECAST.LINEAR(2011, G121:O121, G1:O1 )</f>
        <v>44.111111111111313</v>
      </c>
      <c r="D121" s="39">
        <f>_xlfn.FORECAST.LINEAR(2012, G121:O121, G1:O1 )</f>
        <v>45.611111111111313</v>
      </c>
      <c r="E121" s="39">
        <f>_xlfn.FORECAST.LINEAR(2013, G121:O121, G1:O1 )</f>
        <v>47.111111111111313</v>
      </c>
      <c r="F121" s="39">
        <f>_xlfn.FORECAST.LINEAR(2014, G121:O121, G1:O1 )</f>
        <v>48.611111111111313</v>
      </c>
      <c r="G121" s="16">
        <v>47</v>
      </c>
      <c r="H121" s="16">
        <v>50</v>
      </c>
      <c r="I121" s="16">
        <v>53</v>
      </c>
      <c r="J121" s="16">
        <v>58</v>
      </c>
      <c r="K121" s="16">
        <v>60</v>
      </c>
      <c r="L121" s="16">
        <v>60</v>
      </c>
      <c r="M121" s="16">
        <v>58</v>
      </c>
      <c r="N121" s="16">
        <v>60</v>
      </c>
      <c r="O121" s="16">
        <v>59</v>
      </c>
      <c r="P121" s="2"/>
    </row>
    <row r="122" spans="1:18" ht="16.5" x14ac:dyDescent="0.3">
      <c r="A122" s="10" t="s">
        <v>46</v>
      </c>
      <c r="B122" s="78">
        <f>_xlfn.FORECAST.LINEAR(2010, G122:O122, G1:O1 )</f>
        <v>10.405555555555111</v>
      </c>
      <c r="C122" s="78">
        <f>_xlfn.FORECAST.LINEAR(2011, G122:O122, G1:O1 )</f>
        <v>13.755555555555475</v>
      </c>
      <c r="D122" s="78">
        <f>_xlfn.FORECAST.LINEAR(2012, G122:O122, G1:O1 )</f>
        <v>17.105555555554929</v>
      </c>
      <c r="E122" s="78">
        <f>_xlfn.FORECAST.LINEAR(2013, G122:O122, G1:O1 )</f>
        <v>20.455555555555293</v>
      </c>
      <c r="F122" s="78">
        <f>_xlfn.FORECAST.LINEAR(2014, G122:O122, G1:O1 )</f>
        <v>23.805555555555657</v>
      </c>
      <c r="G122" s="16">
        <v>24</v>
      </c>
      <c r="H122" s="16">
        <v>30</v>
      </c>
      <c r="I122" s="16">
        <v>34</v>
      </c>
      <c r="J122" s="16">
        <v>38</v>
      </c>
      <c r="K122" s="16">
        <v>44</v>
      </c>
      <c r="L122" s="16">
        <v>47</v>
      </c>
      <c r="M122" s="16">
        <v>48</v>
      </c>
      <c r="N122" s="16">
        <v>50</v>
      </c>
      <c r="O122" s="16">
        <v>50</v>
      </c>
      <c r="P122" s="2"/>
    </row>
    <row r="123" spans="1:18" ht="16.5" x14ac:dyDescent="0.3">
      <c r="A123" s="10" t="s">
        <v>47</v>
      </c>
      <c r="B123" s="39">
        <f>_xlfn.FORECAST.LINEAR(2010, K123:O123, K1:O1 )</f>
        <v>26.099999999999909</v>
      </c>
      <c r="C123" s="39">
        <f>_xlfn.FORECAST.LINEAR(2011, K123:O123, K1:O1 )</f>
        <v>27.400000000000091</v>
      </c>
      <c r="D123" s="39">
        <f>_xlfn.FORECAST.LINEAR(2012, K123:O123, K1:O1 )</f>
        <v>28.699999999999818</v>
      </c>
      <c r="E123" s="39">
        <f>_xlfn.FORECAST.LINEAR(2013, K123:O123, K1:O1 )</f>
        <v>30</v>
      </c>
      <c r="F123" s="39">
        <f>_xlfn.FORECAST.LINEAR(2014, K123:O123, K1:O1 )</f>
        <v>31.300000000000182</v>
      </c>
      <c r="G123" s="39">
        <f>_xlfn.FORECAST.LINEAR(2015, K123:O123, K1:O1 )</f>
        <v>32.599999999999909</v>
      </c>
      <c r="H123" s="39">
        <f>_xlfn.FORECAST.LINEAR(2016, K123:O123, K1:O1)</f>
        <v>33.900000000000091</v>
      </c>
      <c r="I123" s="39">
        <f>_xlfn.FORECAST.LINEAR(2017, K123:O123, K1:O1 )</f>
        <v>35.199999999999818</v>
      </c>
      <c r="J123" s="39">
        <f>_xlfn.FORECAST.LINEAR(2018, K123:O123, K1:O1)</f>
        <v>36.5</v>
      </c>
      <c r="K123" s="16">
        <v>37</v>
      </c>
      <c r="L123" s="16">
        <v>39</v>
      </c>
      <c r="M123" s="16">
        <v>42</v>
      </c>
      <c r="N123" s="16">
        <v>42</v>
      </c>
      <c r="O123" s="16">
        <v>42</v>
      </c>
      <c r="P123" s="2"/>
    </row>
    <row r="124" spans="1:18" ht="16.5" x14ac:dyDescent="0.3">
      <c r="A124" s="10" t="s">
        <v>6</v>
      </c>
      <c r="B124" s="34">
        <f t="shared" ref="B124:O124" si="23">AVERAGE(B121:B123)</f>
        <v>26.37222222222211</v>
      </c>
      <c r="C124" s="34">
        <f t="shared" si="23"/>
        <v>28.422222222222292</v>
      </c>
      <c r="D124" s="34">
        <f t="shared" si="23"/>
        <v>30.472222222222019</v>
      </c>
      <c r="E124" s="34">
        <f t="shared" si="23"/>
        <v>32.522222222222204</v>
      </c>
      <c r="F124" s="34">
        <f t="shared" si="23"/>
        <v>34.572222222222386</v>
      </c>
      <c r="G124" s="34">
        <f t="shared" si="23"/>
        <v>34.533333333333303</v>
      </c>
      <c r="H124" s="34">
        <f t="shared" si="23"/>
        <v>37.966666666666697</v>
      </c>
      <c r="I124" s="34">
        <f t="shared" si="23"/>
        <v>40.73333333333327</v>
      </c>
      <c r="J124" s="34">
        <f t="shared" si="23"/>
        <v>44.166666666666664</v>
      </c>
      <c r="K124" s="34">
        <f t="shared" si="23"/>
        <v>47</v>
      </c>
      <c r="L124" s="34">
        <f t="shared" si="23"/>
        <v>48.666666666666664</v>
      </c>
      <c r="M124" s="34">
        <f t="shared" si="23"/>
        <v>49.333333333333336</v>
      </c>
      <c r="N124" s="34">
        <f t="shared" si="23"/>
        <v>50.666666666666664</v>
      </c>
      <c r="O124" s="34">
        <f t="shared" si="23"/>
        <v>50.333333333333336</v>
      </c>
      <c r="P124" s="2"/>
    </row>
    <row r="125" spans="1:18" ht="15" x14ac:dyDescent="0.25"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2"/>
    </row>
    <row r="126" spans="1:18" x14ac:dyDescent="0.25">
      <c r="A126" s="11" t="s">
        <v>7</v>
      </c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2"/>
    </row>
    <row r="127" spans="1:18" ht="16.5" x14ac:dyDescent="0.3">
      <c r="A127" s="10" t="s">
        <v>48</v>
      </c>
      <c r="B127" s="16">
        <v>18</v>
      </c>
      <c r="C127" s="16">
        <v>17</v>
      </c>
      <c r="D127" s="16">
        <v>16</v>
      </c>
      <c r="E127" s="16">
        <v>14</v>
      </c>
      <c r="F127" s="16">
        <v>14</v>
      </c>
      <c r="G127" s="16">
        <v>13</v>
      </c>
      <c r="H127" s="16">
        <v>13</v>
      </c>
      <c r="I127" s="16">
        <v>12</v>
      </c>
      <c r="J127" s="16">
        <v>12</v>
      </c>
      <c r="K127" s="16">
        <v>8</v>
      </c>
      <c r="L127" s="16">
        <v>7</v>
      </c>
      <c r="M127" s="16">
        <v>7</v>
      </c>
      <c r="N127" s="16">
        <v>7</v>
      </c>
      <c r="O127" s="16">
        <v>7</v>
      </c>
    </row>
    <row r="128" spans="1:18" ht="16.5" x14ac:dyDescent="0.3">
      <c r="A128" s="10" t="s">
        <v>49</v>
      </c>
      <c r="B128" s="32">
        <v>2100</v>
      </c>
      <c r="C128" s="32">
        <v>2400</v>
      </c>
      <c r="D128" s="32">
        <v>2800</v>
      </c>
      <c r="E128" s="32">
        <v>3000</v>
      </c>
      <c r="F128" s="32">
        <v>3100</v>
      </c>
      <c r="G128" s="32">
        <v>3200</v>
      </c>
      <c r="H128" s="32">
        <v>3300</v>
      </c>
      <c r="I128" s="32">
        <v>3300</v>
      </c>
      <c r="J128" s="32">
        <v>3400</v>
      </c>
      <c r="K128" s="32">
        <v>3400</v>
      </c>
      <c r="L128" s="32">
        <v>3600</v>
      </c>
      <c r="M128" s="32">
        <v>3700</v>
      </c>
      <c r="N128" s="32">
        <v>3600</v>
      </c>
      <c r="O128" s="32">
        <v>3700</v>
      </c>
    </row>
    <row r="129" spans="1:15" ht="16.5" x14ac:dyDescent="0.3">
      <c r="A129" s="10" t="s">
        <v>50</v>
      </c>
      <c r="B129" s="32">
        <v>2500000</v>
      </c>
      <c r="C129" s="32">
        <v>2500000</v>
      </c>
      <c r="D129" s="32">
        <v>2600000</v>
      </c>
      <c r="E129" s="32">
        <v>2600000</v>
      </c>
      <c r="F129" s="32">
        <v>2700000</v>
      </c>
      <c r="G129" s="32">
        <v>2700000</v>
      </c>
      <c r="H129" s="32">
        <v>2700000</v>
      </c>
      <c r="I129" s="32">
        <v>2700000</v>
      </c>
      <c r="J129" s="32">
        <v>2800000</v>
      </c>
      <c r="K129" s="32">
        <v>2800000</v>
      </c>
      <c r="L129" s="32">
        <v>2800000</v>
      </c>
      <c r="M129" s="32">
        <v>2800000</v>
      </c>
      <c r="N129" s="32">
        <v>2800000</v>
      </c>
      <c r="O129" s="32">
        <v>2800000</v>
      </c>
    </row>
    <row r="130" spans="1:15" ht="16.5" x14ac:dyDescent="0.3">
      <c r="A130" s="10" t="s">
        <v>51</v>
      </c>
      <c r="B130" s="34">
        <v>51</v>
      </c>
      <c r="C130" s="34">
        <v>46</v>
      </c>
      <c r="D130" s="78">
        <f t="array" ref="D130">_xlfn.FORECAST.LINEAR(2012, {51,46,64,87,87}, {2010,2011,2014,2017,2018})</f>
        <v>56.319999999999709</v>
      </c>
      <c r="E130" s="78">
        <f t="array" ref="E130">_xlfn.FORECAST.LINEAR(2013, {51,46,64,87,87}, {2010,2011,2014,2017,2018})</f>
        <v>61.659999999999854</v>
      </c>
      <c r="F130" s="34">
        <v>64</v>
      </c>
      <c r="G130" s="78">
        <f t="array" ref="G130">_xlfn.FORECAST.LINEAR(2015, {51,46,64,87,87}, {2010,2011,2014,2017,2018})</f>
        <v>72.340000000000146</v>
      </c>
      <c r="H130" s="78">
        <f t="array" ref="H130">_xlfn.FORECAST.LINEAR(2016, {51,46,64,87,87}, {2010,2011,2014,2017,2018})</f>
        <v>77.680000000000291</v>
      </c>
      <c r="I130" s="34">
        <v>87</v>
      </c>
      <c r="J130" s="34">
        <v>87</v>
      </c>
      <c r="K130" s="78">
        <f t="array" ref="K130">_xlfn.FORECAST.LINEAR(2019, {51,46,64,87,87}, {2010,2011,2014,2017,2018})</f>
        <v>93.699999999998909</v>
      </c>
      <c r="L130" s="78">
        <f t="array" ref="L130">_xlfn.FORECAST.LINEAR(2020, {51,46,64,87,87}, {2010,2011,2014,2017,2018})</f>
        <v>99.039999999999054</v>
      </c>
      <c r="M130" s="78">
        <f t="array" ref="M130">_xlfn.FORECAST.LINEAR(2021, {51,46,64,87,87}, {2010,2011,2014,2017,2018})</f>
        <v>104.3799999999992</v>
      </c>
      <c r="N130" s="78">
        <f t="array" ref="N130">_xlfn.FORECAST.LINEAR(2022, {51,46,64,87,87}, {2010,2011,2014,2017,2018})</f>
        <v>109.71999999999935</v>
      </c>
      <c r="O130" s="78">
        <f t="array" ref="O130">_xlfn.FORECAST.LINEAR(2023, {51,46,64,87,87}, {2010,2011,2014,2017,2018})</f>
        <v>115.05999999999949</v>
      </c>
    </row>
    <row r="131" spans="1:15" ht="16.5" x14ac:dyDescent="0.3">
      <c r="A131" s="10" t="s">
        <v>8</v>
      </c>
      <c r="B131" s="32">
        <f t="shared" ref="B131:O131" si="24">SUM(B127:B130)</f>
        <v>2502169</v>
      </c>
      <c r="C131" s="32">
        <f t="shared" si="24"/>
        <v>2502463</v>
      </c>
      <c r="D131" s="32">
        <f t="shared" si="24"/>
        <v>2602872.3199999998</v>
      </c>
      <c r="E131" s="32">
        <f t="shared" si="24"/>
        <v>2603075.66</v>
      </c>
      <c r="F131" s="32">
        <f t="shared" si="24"/>
        <v>2703178</v>
      </c>
      <c r="G131" s="32">
        <f t="shared" si="24"/>
        <v>2703285.34</v>
      </c>
      <c r="H131" s="32">
        <f t="shared" si="24"/>
        <v>2703390.68</v>
      </c>
      <c r="I131" s="32">
        <f t="shared" si="24"/>
        <v>2703399</v>
      </c>
      <c r="J131" s="32">
        <f t="shared" si="24"/>
        <v>2803499</v>
      </c>
      <c r="K131" s="32">
        <f t="shared" si="24"/>
        <v>2803501.7</v>
      </c>
      <c r="L131" s="32">
        <f t="shared" si="24"/>
        <v>2803706.04</v>
      </c>
      <c r="M131" s="32">
        <f t="shared" si="24"/>
        <v>2803811.38</v>
      </c>
      <c r="N131" s="32">
        <f t="shared" si="24"/>
        <v>2803716.72</v>
      </c>
      <c r="O131" s="32">
        <f t="shared" si="24"/>
        <v>2803822.06</v>
      </c>
    </row>
    <row r="132" spans="1:15" ht="16.5" x14ac:dyDescent="0.3">
      <c r="A132" s="10" t="s">
        <v>9</v>
      </c>
      <c r="B132" s="68">
        <f t="shared" ref="B132:O132" si="25">AVERAGE(B127:B130)</f>
        <v>625542.25</v>
      </c>
      <c r="C132" s="68">
        <f t="shared" si="25"/>
        <v>625615.75</v>
      </c>
      <c r="D132" s="68">
        <f t="shared" si="25"/>
        <v>650718.07999999996</v>
      </c>
      <c r="E132" s="68">
        <f t="shared" si="25"/>
        <v>650768.91500000004</v>
      </c>
      <c r="F132" s="68">
        <f t="shared" si="25"/>
        <v>675794.5</v>
      </c>
      <c r="G132" s="68">
        <f t="shared" si="25"/>
        <v>675821.33499999996</v>
      </c>
      <c r="H132" s="68">
        <f t="shared" si="25"/>
        <v>675847.67</v>
      </c>
      <c r="I132" s="68">
        <f t="shared" si="25"/>
        <v>675849.75</v>
      </c>
      <c r="J132" s="68">
        <f t="shared" si="25"/>
        <v>700874.75</v>
      </c>
      <c r="K132" s="68">
        <f t="shared" si="25"/>
        <v>700875.42500000005</v>
      </c>
      <c r="L132" s="68">
        <f t="shared" si="25"/>
        <v>700926.51</v>
      </c>
      <c r="M132" s="68">
        <f t="shared" si="25"/>
        <v>700952.84499999997</v>
      </c>
      <c r="N132" s="68">
        <f t="shared" si="25"/>
        <v>700929.18</v>
      </c>
      <c r="O132" s="68">
        <f t="shared" si="25"/>
        <v>700955.51500000001</v>
      </c>
    </row>
    <row r="133" spans="1:15" ht="13.5" x14ac:dyDescent="0.25"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</row>
    <row r="134" spans="1:15" ht="15" x14ac:dyDescent="0.2">
      <c r="A134" s="11" t="s">
        <v>38</v>
      </c>
      <c r="B134" s="75"/>
      <c r="C134" s="75"/>
      <c r="D134" s="75"/>
      <c r="E134" s="75"/>
      <c r="F134" s="75"/>
      <c r="G134" s="75"/>
      <c r="H134" s="75"/>
      <c r="I134" s="75"/>
      <c r="J134" s="66"/>
      <c r="K134" s="66"/>
      <c r="L134" s="66"/>
      <c r="M134" s="66"/>
      <c r="N134" s="66"/>
      <c r="O134" s="66"/>
    </row>
    <row r="135" spans="1:15" ht="16.5" x14ac:dyDescent="0.3">
      <c r="A135" s="10" t="s">
        <v>54</v>
      </c>
      <c r="B135" s="79" t="s">
        <v>10</v>
      </c>
      <c r="C135" s="79" t="s">
        <v>10</v>
      </c>
      <c r="D135" s="79" t="s">
        <v>10</v>
      </c>
      <c r="E135" s="79" t="s">
        <v>10</v>
      </c>
      <c r="F135" s="79" t="s">
        <v>10</v>
      </c>
      <c r="G135" s="79" t="s">
        <v>10</v>
      </c>
      <c r="H135" s="79" t="s">
        <v>10</v>
      </c>
      <c r="I135" s="79" t="s">
        <v>10</v>
      </c>
      <c r="J135" s="68">
        <v>8899</v>
      </c>
      <c r="K135" s="68">
        <v>16517</v>
      </c>
      <c r="L135" s="68">
        <v>21809</v>
      </c>
      <c r="M135" s="68">
        <v>26510</v>
      </c>
      <c r="N135" s="68">
        <v>28754</v>
      </c>
      <c r="O135" s="68">
        <v>44694</v>
      </c>
    </row>
    <row r="136" spans="1:15" ht="16.5" x14ac:dyDescent="0.3">
      <c r="A136" s="10" t="s">
        <v>52</v>
      </c>
      <c r="B136" s="79" t="s">
        <v>10</v>
      </c>
      <c r="C136" s="79" t="s">
        <v>10</v>
      </c>
      <c r="D136" s="79" t="s">
        <v>10</v>
      </c>
      <c r="E136" s="79" t="s">
        <v>10</v>
      </c>
      <c r="F136" s="79" t="s">
        <v>10</v>
      </c>
      <c r="G136" s="79" t="s">
        <v>10</v>
      </c>
      <c r="H136" s="79" t="s">
        <v>10</v>
      </c>
      <c r="I136" s="79" t="s">
        <v>10</v>
      </c>
      <c r="J136" s="80" t="s">
        <v>10</v>
      </c>
      <c r="K136" s="68">
        <v>4156451</v>
      </c>
      <c r="L136" s="80" t="s">
        <v>10</v>
      </c>
      <c r="M136" s="80" t="s">
        <v>10</v>
      </c>
      <c r="N136" s="68">
        <v>8209611</v>
      </c>
      <c r="O136" s="68">
        <v>5389653</v>
      </c>
    </row>
    <row r="137" spans="1:15" ht="16.5" x14ac:dyDescent="0.3">
      <c r="A137" s="10" t="s">
        <v>11</v>
      </c>
      <c r="B137" s="79" t="s">
        <v>10</v>
      </c>
      <c r="C137" s="79" t="s">
        <v>10</v>
      </c>
      <c r="D137" s="79" t="s">
        <v>10</v>
      </c>
      <c r="E137" s="79" t="s">
        <v>10</v>
      </c>
      <c r="F137" s="79" t="s">
        <v>10</v>
      </c>
      <c r="G137" s="79" t="s">
        <v>10</v>
      </c>
      <c r="H137" s="79" t="s">
        <v>10</v>
      </c>
      <c r="I137" s="79" t="s">
        <v>10</v>
      </c>
      <c r="J137" s="81">
        <f>SUM(J135)</f>
        <v>8899</v>
      </c>
      <c r="K137" s="81">
        <f t="shared" ref="K137:O137" si="26">SUM(K135)</f>
        <v>16517</v>
      </c>
      <c r="L137" s="81">
        <f t="shared" si="26"/>
        <v>21809</v>
      </c>
      <c r="M137" s="81">
        <f t="shared" si="26"/>
        <v>26510</v>
      </c>
      <c r="N137" s="81">
        <f t="shared" si="26"/>
        <v>28754</v>
      </c>
      <c r="O137" s="81">
        <f t="shared" si="26"/>
        <v>44694</v>
      </c>
    </row>
    <row r="138" spans="1:15" ht="16.5" x14ac:dyDescent="0.3">
      <c r="A138" s="10" t="s">
        <v>12</v>
      </c>
      <c r="B138" s="79" t="s">
        <v>10</v>
      </c>
      <c r="C138" s="79" t="s">
        <v>10</v>
      </c>
      <c r="D138" s="79" t="s">
        <v>10</v>
      </c>
      <c r="E138" s="79" t="s">
        <v>10</v>
      </c>
      <c r="F138" s="79" t="s">
        <v>10</v>
      </c>
      <c r="G138" s="79" t="s">
        <v>10</v>
      </c>
      <c r="H138" s="79" t="s">
        <v>10</v>
      </c>
      <c r="I138" s="79" t="s">
        <v>10</v>
      </c>
      <c r="J138" s="68">
        <f>AVERAGE(J135:J136)</f>
        <v>8899</v>
      </c>
      <c r="K138" s="68">
        <f t="shared" ref="K138:O138" si="27">AVERAGE(K135:K136)</f>
        <v>2086484</v>
      </c>
      <c r="L138" s="68">
        <f t="shared" si="27"/>
        <v>21809</v>
      </c>
      <c r="M138" s="68">
        <f t="shared" si="27"/>
        <v>26510</v>
      </c>
      <c r="N138" s="68">
        <f t="shared" si="27"/>
        <v>4119182.5</v>
      </c>
      <c r="O138" s="68">
        <f t="shared" si="27"/>
        <v>2717173.5</v>
      </c>
    </row>
    <row r="139" spans="1:15" ht="15" x14ac:dyDescent="0.25">
      <c r="B139" s="79"/>
      <c r="C139" s="79"/>
      <c r="D139" s="79"/>
      <c r="E139" s="79"/>
      <c r="F139" s="79"/>
      <c r="G139" s="79"/>
      <c r="H139" s="79"/>
      <c r="I139" s="79"/>
      <c r="J139" s="8"/>
      <c r="K139" s="8"/>
      <c r="L139" s="8"/>
      <c r="M139" s="8"/>
      <c r="N139" s="8"/>
      <c r="O139" s="8"/>
    </row>
    <row r="140" spans="1:15" x14ac:dyDescent="0.25">
      <c r="A140" s="11" t="s">
        <v>39</v>
      </c>
      <c r="B140" s="79" t="s">
        <v>10</v>
      </c>
      <c r="C140" s="79" t="s">
        <v>10</v>
      </c>
      <c r="D140" s="79" t="s">
        <v>10</v>
      </c>
      <c r="E140" s="79" t="s">
        <v>10</v>
      </c>
      <c r="F140" s="79" t="s">
        <v>10</v>
      </c>
      <c r="G140" s="79" t="s">
        <v>10</v>
      </c>
      <c r="H140" s="79" t="s">
        <v>10</v>
      </c>
      <c r="I140" s="79" t="s">
        <v>10</v>
      </c>
      <c r="J140" s="79" t="s">
        <v>10</v>
      </c>
      <c r="K140" s="79" t="s">
        <v>10</v>
      </c>
      <c r="L140" s="79" t="s">
        <v>10</v>
      </c>
      <c r="M140" s="79" t="s">
        <v>10</v>
      </c>
      <c r="N140" s="79" t="s">
        <v>10</v>
      </c>
      <c r="O140" s="8">
        <v>268.08</v>
      </c>
    </row>
    <row r="141" spans="1:15" ht="16.5" x14ac:dyDescent="0.3">
      <c r="A141" s="10" t="s">
        <v>53</v>
      </c>
      <c r="B141" s="79" t="s">
        <v>10</v>
      </c>
      <c r="C141" s="79" t="s">
        <v>10</v>
      </c>
      <c r="D141" s="79" t="s">
        <v>10</v>
      </c>
      <c r="E141" s="79" t="s">
        <v>10</v>
      </c>
      <c r="F141" s="79" t="s">
        <v>10</v>
      </c>
      <c r="G141" s="79" t="s">
        <v>10</v>
      </c>
      <c r="H141" s="79" t="s">
        <v>10</v>
      </c>
      <c r="I141" s="79" t="s">
        <v>10</v>
      </c>
      <c r="J141" s="79" t="s">
        <v>10</v>
      </c>
      <c r="K141" s="79" t="s">
        <v>10</v>
      </c>
      <c r="L141" s="79" t="s">
        <v>10</v>
      </c>
      <c r="M141" s="79" t="s">
        <v>10</v>
      </c>
      <c r="N141" s="79" t="s">
        <v>10</v>
      </c>
      <c r="O141" s="8">
        <f>AVERAGE(O140)</f>
        <v>268.08</v>
      </c>
    </row>
    <row r="142" spans="1:15" ht="16.5" x14ac:dyDescent="0.3">
      <c r="A142" s="10"/>
      <c r="B142" s="79"/>
      <c r="C142" s="79"/>
      <c r="D142" s="79"/>
      <c r="E142" s="79"/>
      <c r="F142" s="79"/>
      <c r="G142" s="79"/>
      <c r="H142" s="79"/>
      <c r="I142" s="79"/>
      <c r="J142" s="79"/>
      <c r="K142" s="79"/>
      <c r="L142" s="79"/>
      <c r="M142" s="79"/>
      <c r="N142" s="79"/>
      <c r="O142" s="8"/>
    </row>
    <row r="143" spans="1:15" ht="16.5" x14ac:dyDescent="0.3">
      <c r="A143" s="10"/>
      <c r="B143" s="79"/>
      <c r="C143" s="79"/>
      <c r="D143" s="79"/>
      <c r="E143" s="79"/>
      <c r="F143" s="79"/>
      <c r="G143" s="79"/>
      <c r="H143" s="79"/>
      <c r="I143" s="79"/>
      <c r="J143" s="79"/>
      <c r="K143" s="79"/>
      <c r="L143" s="79"/>
      <c r="M143" s="79"/>
      <c r="N143" s="79"/>
      <c r="O143" s="8"/>
    </row>
    <row r="144" spans="1:15" ht="12.75" x14ac:dyDescent="0.2">
      <c r="A144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</row>
    <row r="145" spans="1:18" ht="18" x14ac:dyDescent="0.25">
      <c r="A145" s="82" t="s">
        <v>0</v>
      </c>
      <c r="B145" s="83" t="s">
        <v>24</v>
      </c>
      <c r="C145" s="83" t="s">
        <v>25</v>
      </c>
      <c r="D145" s="83" t="s">
        <v>26</v>
      </c>
      <c r="E145" s="83" t="s">
        <v>27</v>
      </c>
      <c r="F145" s="83" t="s">
        <v>28</v>
      </c>
      <c r="G145" s="83" t="s">
        <v>29</v>
      </c>
      <c r="H145" s="83" t="s">
        <v>30</v>
      </c>
      <c r="I145" s="83" t="s">
        <v>31</v>
      </c>
      <c r="J145" s="83" t="s">
        <v>32</v>
      </c>
      <c r="K145" s="83" t="s">
        <v>33</v>
      </c>
      <c r="L145" s="83" t="s">
        <v>34</v>
      </c>
      <c r="M145" s="83" t="s">
        <v>35</v>
      </c>
      <c r="N145" s="83" t="s">
        <v>36</v>
      </c>
      <c r="O145" s="83" t="s">
        <v>37</v>
      </c>
    </row>
    <row r="146" spans="1:18" ht="18" x14ac:dyDescent="0.25">
      <c r="A146" s="45" t="s">
        <v>17</v>
      </c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</row>
    <row r="147" spans="1:18" x14ac:dyDescent="0.25">
      <c r="A147" s="11" t="s">
        <v>2</v>
      </c>
      <c r="B147" s="12"/>
      <c r="C147" s="12"/>
      <c r="D147" s="12"/>
      <c r="E147" s="12"/>
      <c r="F147" s="12"/>
      <c r="G147" s="74"/>
      <c r="H147" s="74"/>
      <c r="I147" s="74"/>
      <c r="J147" s="74"/>
      <c r="K147" s="74"/>
      <c r="L147" s="74"/>
      <c r="M147" s="74"/>
      <c r="N147" s="74"/>
      <c r="O147" s="12"/>
      <c r="P147" s="2"/>
    </row>
    <row r="148" spans="1:18" ht="16.5" x14ac:dyDescent="0.3">
      <c r="A148" s="10" t="s">
        <v>40</v>
      </c>
      <c r="B148" s="32">
        <v>42000</v>
      </c>
      <c r="C148" s="32">
        <v>41000</v>
      </c>
      <c r="D148" s="32">
        <v>41000</v>
      </c>
      <c r="E148" s="32">
        <v>42000</v>
      </c>
      <c r="F148" s="32">
        <v>43000</v>
      </c>
      <c r="G148" s="32">
        <v>42000</v>
      </c>
      <c r="H148" s="32">
        <v>39000</v>
      </c>
      <c r="I148" s="32">
        <v>39000</v>
      </c>
      <c r="J148" s="32">
        <v>40000</v>
      </c>
      <c r="K148" s="32">
        <v>37000</v>
      </c>
      <c r="L148" s="32">
        <v>34000</v>
      </c>
      <c r="M148" s="32">
        <v>33000</v>
      </c>
      <c r="N148" s="32">
        <v>32000</v>
      </c>
      <c r="O148" s="32">
        <v>30000</v>
      </c>
      <c r="P148" s="2"/>
    </row>
    <row r="149" spans="1:18" ht="16.5" x14ac:dyDescent="0.3">
      <c r="A149" s="10" t="s">
        <v>41</v>
      </c>
      <c r="B149" s="32">
        <v>110000</v>
      </c>
      <c r="C149" s="32">
        <v>110000</v>
      </c>
      <c r="D149" s="32">
        <v>110000</v>
      </c>
      <c r="E149" s="32">
        <v>110000</v>
      </c>
      <c r="F149" s="32">
        <v>110000</v>
      </c>
      <c r="G149" s="32">
        <v>110000</v>
      </c>
      <c r="H149" s="32">
        <v>110000</v>
      </c>
      <c r="I149" s="32">
        <v>110000</v>
      </c>
      <c r="J149" s="32">
        <v>110000</v>
      </c>
      <c r="K149" s="32">
        <v>110000</v>
      </c>
      <c r="L149" s="32">
        <v>110000</v>
      </c>
      <c r="M149" s="32">
        <v>120000</v>
      </c>
      <c r="N149" s="32">
        <v>120000</v>
      </c>
      <c r="O149" s="32">
        <v>120000</v>
      </c>
    </row>
    <row r="150" spans="1:18" ht="16.5" x14ac:dyDescent="0.3">
      <c r="A150" s="10" t="s">
        <v>42</v>
      </c>
      <c r="B150" s="32">
        <v>1500000</v>
      </c>
      <c r="C150" s="32">
        <v>1500000</v>
      </c>
      <c r="D150" s="32">
        <v>1600000</v>
      </c>
      <c r="E150" s="32">
        <v>1600000</v>
      </c>
      <c r="F150" s="32">
        <v>1700000</v>
      </c>
      <c r="G150" s="32">
        <v>1800000</v>
      </c>
      <c r="H150" s="32">
        <v>1800000</v>
      </c>
      <c r="I150" s="32">
        <v>1900000</v>
      </c>
      <c r="J150" s="32">
        <v>2000000</v>
      </c>
      <c r="K150" s="32">
        <v>2000000</v>
      </c>
      <c r="L150" s="32">
        <v>2100000</v>
      </c>
      <c r="M150" s="32">
        <v>2200000</v>
      </c>
      <c r="N150" s="32">
        <v>2200000</v>
      </c>
      <c r="O150" s="32">
        <v>2300000</v>
      </c>
      <c r="P150" s="2"/>
      <c r="Q150" s="2"/>
      <c r="R150" s="2"/>
    </row>
    <row r="151" spans="1:18" ht="16.5" x14ac:dyDescent="0.3">
      <c r="A151" s="10" t="s">
        <v>43</v>
      </c>
      <c r="B151" s="32">
        <v>110000</v>
      </c>
      <c r="C151" s="32">
        <v>110000</v>
      </c>
      <c r="D151" s="32">
        <v>110000</v>
      </c>
      <c r="E151" s="32">
        <v>110000</v>
      </c>
      <c r="F151" s="32">
        <v>110000</v>
      </c>
      <c r="G151" s="32">
        <v>110000</v>
      </c>
      <c r="H151" s="32">
        <v>110000</v>
      </c>
      <c r="I151" s="32">
        <v>110000</v>
      </c>
      <c r="J151" s="32">
        <v>110000</v>
      </c>
      <c r="K151" s="32">
        <v>110000</v>
      </c>
      <c r="L151" s="32">
        <v>110000</v>
      </c>
      <c r="M151" s="32">
        <v>120000</v>
      </c>
      <c r="N151" s="32">
        <v>120000</v>
      </c>
      <c r="O151" s="32">
        <v>120000</v>
      </c>
      <c r="P151" s="2"/>
      <c r="Q151" s="2"/>
    </row>
    <row r="152" spans="1:18" ht="16.5" x14ac:dyDescent="0.3">
      <c r="A152" s="10" t="s">
        <v>44</v>
      </c>
      <c r="B152" s="32">
        <v>42000</v>
      </c>
      <c r="C152" s="32">
        <v>41000</v>
      </c>
      <c r="D152" s="32">
        <v>41000</v>
      </c>
      <c r="E152" s="32">
        <v>42000</v>
      </c>
      <c r="F152" s="32">
        <v>43000</v>
      </c>
      <c r="G152" s="32">
        <v>42000</v>
      </c>
      <c r="H152" s="32">
        <v>39000</v>
      </c>
      <c r="I152" s="32">
        <v>39000</v>
      </c>
      <c r="J152" s="32">
        <v>40000</v>
      </c>
      <c r="K152" s="32">
        <v>37000</v>
      </c>
      <c r="L152" s="32">
        <v>34000</v>
      </c>
      <c r="M152" s="32">
        <v>33000</v>
      </c>
      <c r="N152" s="32">
        <v>32000</v>
      </c>
      <c r="O152" s="32">
        <v>30000</v>
      </c>
      <c r="P152" s="2"/>
      <c r="Q152" s="2"/>
    </row>
    <row r="153" spans="1:18" ht="16.5" x14ac:dyDescent="0.3">
      <c r="A153" s="10" t="s">
        <v>3</v>
      </c>
      <c r="B153" s="32">
        <f t="shared" ref="B153:O153" si="28">SUM(B148:B152)</f>
        <v>1804000</v>
      </c>
      <c r="C153" s="32">
        <f t="shared" si="28"/>
        <v>1802000</v>
      </c>
      <c r="D153" s="32">
        <f t="shared" si="28"/>
        <v>1902000</v>
      </c>
      <c r="E153" s="32">
        <f t="shared" si="28"/>
        <v>1904000</v>
      </c>
      <c r="F153" s="32">
        <f t="shared" si="28"/>
        <v>2006000</v>
      </c>
      <c r="G153" s="32">
        <f t="shared" si="28"/>
        <v>2104000</v>
      </c>
      <c r="H153" s="32">
        <f t="shared" si="28"/>
        <v>2098000</v>
      </c>
      <c r="I153" s="32">
        <f t="shared" si="28"/>
        <v>2198000</v>
      </c>
      <c r="J153" s="32">
        <f t="shared" si="28"/>
        <v>2300000</v>
      </c>
      <c r="K153" s="32">
        <f t="shared" si="28"/>
        <v>2294000</v>
      </c>
      <c r="L153" s="32">
        <f t="shared" si="28"/>
        <v>2388000</v>
      </c>
      <c r="M153" s="32">
        <f t="shared" si="28"/>
        <v>2506000</v>
      </c>
      <c r="N153" s="32">
        <f t="shared" si="28"/>
        <v>2504000</v>
      </c>
      <c r="O153" s="32">
        <f t="shared" si="28"/>
        <v>2600000</v>
      </c>
    </row>
    <row r="154" spans="1:18" ht="16.5" x14ac:dyDescent="0.3">
      <c r="A154" s="10" t="s">
        <v>4</v>
      </c>
      <c r="B154" s="32">
        <f t="shared" ref="B154:O154" si="29">AVERAGE(B148:B152)</f>
        <v>360800</v>
      </c>
      <c r="C154" s="32">
        <f t="shared" si="29"/>
        <v>360400</v>
      </c>
      <c r="D154" s="32">
        <f t="shared" si="29"/>
        <v>380400</v>
      </c>
      <c r="E154" s="32">
        <f t="shared" si="29"/>
        <v>380800</v>
      </c>
      <c r="F154" s="32">
        <f t="shared" si="29"/>
        <v>401200</v>
      </c>
      <c r="G154" s="32">
        <f t="shared" si="29"/>
        <v>420800</v>
      </c>
      <c r="H154" s="32">
        <f t="shared" si="29"/>
        <v>419600</v>
      </c>
      <c r="I154" s="32">
        <f t="shared" si="29"/>
        <v>439600</v>
      </c>
      <c r="J154" s="32">
        <f t="shared" si="29"/>
        <v>460000</v>
      </c>
      <c r="K154" s="32">
        <f t="shared" si="29"/>
        <v>458800</v>
      </c>
      <c r="L154" s="32">
        <f t="shared" si="29"/>
        <v>477600</v>
      </c>
      <c r="M154" s="32">
        <f t="shared" si="29"/>
        <v>501200</v>
      </c>
      <c r="N154" s="32">
        <f t="shared" si="29"/>
        <v>500800</v>
      </c>
      <c r="O154" s="32">
        <f t="shared" si="29"/>
        <v>520000</v>
      </c>
    </row>
    <row r="155" spans="1:18" ht="16.5" x14ac:dyDescent="0.3">
      <c r="A155" s="10"/>
      <c r="B155" s="16"/>
      <c r="C155" s="8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</row>
    <row r="156" spans="1:18" ht="15" x14ac:dyDescent="0.2">
      <c r="A156" s="11" t="s">
        <v>5</v>
      </c>
      <c r="B156" s="16"/>
      <c r="C156" s="8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</row>
    <row r="157" spans="1:18" ht="16.5" x14ac:dyDescent="0.3">
      <c r="A157" s="10" t="s">
        <v>45</v>
      </c>
      <c r="B157" s="39">
        <f>_xlfn.FORECAST.LINEAR(2010, G157:O157, G1:O1 )</f>
        <v>62.555555555555657</v>
      </c>
      <c r="C157" s="39">
        <f>_xlfn.FORECAST.LINEAR(2011, G157:O157, G1:O1 )</f>
        <v>64.555555555555657</v>
      </c>
      <c r="D157" s="39">
        <f>_xlfn.FORECAST.LINEAR(2012, G157:O157, G1:O1 )</f>
        <v>66.555555555555657</v>
      </c>
      <c r="E157" s="39">
        <f>_xlfn.FORECAST.LINEAR(2013, G157:O157, G1:O1 )</f>
        <v>68.555555555555657</v>
      </c>
      <c r="F157" s="39">
        <f>_xlfn.FORECAST.LINEAR(2014, G157:O157, G1:O1 )</f>
        <v>70.555555555555657</v>
      </c>
      <c r="G157" s="16">
        <v>71</v>
      </c>
      <c r="H157" s="16">
        <v>75</v>
      </c>
      <c r="I157" s="16">
        <v>77</v>
      </c>
      <c r="J157" s="16">
        <v>79</v>
      </c>
      <c r="K157" s="16">
        <v>83</v>
      </c>
      <c r="L157" s="16">
        <v>82</v>
      </c>
      <c r="M157" s="16">
        <v>83</v>
      </c>
      <c r="N157" s="16">
        <v>86</v>
      </c>
      <c r="O157" s="16">
        <v>89</v>
      </c>
      <c r="P157" s="2"/>
    </row>
    <row r="158" spans="1:18" ht="16.5" x14ac:dyDescent="0.3">
      <c r="A158" s="10" t="s">
        <v>46</v>
      </c>
      <c r="B158" s="85">
        <f>_xlfn.FORECAST.LINEAR(2010, G158:O158, G1:O1 )</f>
        <v>39.561111111111131</v>
      </c>
      <c r="C158" s="85">
        <f>_xlfn.FORECAST.LINEAR(2011, G158:O158, G1:O1 )</f>
        <v>42.177777777777919</v>
      </c>
      <c r="D158" s="85">
        <f>_xlfn.FORECAST.LINEAR(2012, G158:O158, G1:O1 )</f>
        <v>44.794444444444707</v>
      </c>
      <c r="E158" s="85">
        <f>_xlfn.FORECAST.LINEAR(2013, G158:O158, G1:O1 )</f>
        <v>47.411111111111495</v>
      </c>
      <c r="F158" s="85">
        <f>_xlfn.FORECAST.LINEAR(2014, G158:O158, G1:O1 )</f>
        <v>50.027777777778283</v>
      </c>
      <c r="G158" s="16">
        <v>52</v>
      </c>
      <c r="H158" s="16">
        <v>55</v>
      </c>
      <c r="I158" s="16">
        <v>57</v>
      </c>
      <c r="J158" s="16">
        <v>61</v>
      </c>
      <c r="K158" s="16">
        <v>65</v>
      </c>
      <c r="L158" s="16">
        <v>67</v>
      </c>
      <c r="M158" s="16">
        <v>68</v>
      </c>
      <c r="N158" s="16">
        <v>70</v>
      </c>
      <c r="O158" s="16">
        <v>73</v>
      </c>
      <c r="P158" s="2"/>
    </row>
    <row r="159" spans="1:18" ht="16.5" x14ac:dyDescent="0.3">
      <c r="A159" s="10" t="s">
        <v>47</v>
      </c>
      <c r="B159" s="39">
        <f>_xlfn.FORECAST.LINEAR(2010, G159:O159, G1:O1 )</f>
        <v>29.705555555555293</v>
      </c>
      <c r="C159" s="39">
        <f>_xlfn.FORECAST.LINEAR(2011, H159:P159, H1:P1 )</f>
        <v>33.33333333333303</v>
      </c>
      <c r="D159" s="39">
        <f>_xlfn.FORECAST.LINEAR(2012, G159:O159, G1:O1 )</f>
        <v>35.672222222222445</v>
      </c>
      <c r="E159" s="39">
        <f>_xlfn.FORECAST.LINEAR(2013, G159:O159, G1:O1 )</f>
        <v>38.655555555555111</v>
      </c>
      <c r="F159" s="39">
        <f>_xlfn.FORECAST.LINEAR(2014, G159:O159, G1:O1 )</f>
        <v>41.638888888888687</v>
      </c>
      <c r="G159" s="16">
        <v>44</v>
      </c>
      <c r="H159" s="16">
        <v>47</v>
      </c>
      <c r="I159" s="16">
        <v>50</v>
      </c>
      <c r="J159" s="16">
        <v>54</v>
      </c>
      <c r="K159" s="16">
        <v>58</v>
      </c>
      <c r="L159" s="16">
        <v>61</v>
      </c>
      <c r="M159" s="16">
        <v>63</v>
      </c>
      <c r="N159" s="16">
        <v>65</v>
      </c>
      <c r="O159" s="16">
        <v>67</v>
      </c>
      <c r="P159" s="2"/>
    </row>
    <row r="160" spans="1:18" ht="16.5" x14ac:dyDescent="0.3">
      <c r="A160" s="10" t="s">
        <v>6</v>
      </c>
      <c r="B160" s="34">
        <f t="shared" ref="B160:O160" si="30">AVERAGE(B157:B159)</f>
        <v>43.940740740740694</v>
      </c>
      <c r="C160" s="34">
        <f t="shared" si="30"/>
        <v>46.688888888888869</v>
      </c>
      <c r="D160" s="34">
        <f t="shared" si="30"/>
        <v>49.007407407407605</v>
      </c>
      <c r="E160" s="34">
        <f t="shared" si="30"/>
        <v>51.540740740740752</v>
      </c>
      <c r="F160" s="34">
        <f t="shared" si="30"/>
        <v>54.074074074074211</v>
      </c>
      <c r="G160" s="34">
        <f t="shared" si="30"/>
        <v>55.666666666666664</v>
      </c>
      <c r="H160" s="34">
        <f t="shared" si="30"/>
        <v>59</v>
      </c>
      <c r="I160" s="34">
        <f t="shared" si="30"/>
        <v>61.333333333333336</v>
      </c>
      <c r="J160" s="34">
        <f t="shared" si="30"/>
        <v>64.666666666666671</v>
      </c>
      <c r="K160" s="34">
        <f t="shared" si="30"/>
        <v>68.666666666666671</v>
      </c>
      <c r="L160" s="34">
        <f t="shared" si="30"/>
        <v>70</v>
      </c>
      <c r="M160" s="34">
        <f t="shared" si="30"/>
        <v>71.333333333333329</v>
      </c>
      <c r="N160" s="34">
        <f t="shared" si="30"/>
        <v>73.666666666666671</v>
      </c>
      <c r="O160" s="34">
        <f t="shared" si="30"/>
        <v>76.333333333333329</v>
      </c>
      <c r="P160" s="2"/>
    </row>
    <row r="161" spans="1:17" ht="16.5" x14ac:dyDescent="0.3">
      <c r="A161" s="10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2"/>
    </row>
    <row r="162" spans="1:17" ht="15" x14ac:dyDescent="0.2">
      <c r="A162" s="11" t="s">
        <v>7</v>
      </c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</row>
    <row r="163" spans="1:17" ht="16.5" x14ac:dyDescent="0.3">
      <c r="A163" s="10" t="s">
        <v>48</v>
      </c>
      <c r="B163" s="16">
        <v>21</v>
      </c>
      <c r="C163" s="16">
        <v>20</v>
      </c>
      <c r="D163" s="16">
        <v>19</v>
      </c>
      <c r="E163" s="16">
        <v>18</v>
      </c>
      <c r="F163" s="16">
        <v>18</v>
      </c>
      <c r="G163" s="16">
        <v>17</v>
      </c>
      <c r="H163" s="16">
        <v>17</v>
      </c>
      <c r="I163" s="16">
        <v>16</v>
      </c>
      <c r="J163" s="16">
        <v>15</v>
      </c>
      <c r="K163" s="16">
        <v>14</v>
      </c>
      <c r="L163" s="16">
        <v>16</v>
      </c>
      <c r="M163" s="16">
        <v>16</v>
      </c>
      <c r="N163" s="16">
        <v>15</v>
      </c>
      <c r="O163" s="16">
        <v>15</v>
      </c>
      <c r="P163" s="2"/>
    </row>
    <row r="164" spans="1:17" ht="16.5" x14ac:dyDescent="0.3">
      <c r="A164" s="10" t="s">
        <v>49</v>
      </c>
      <c r="B164" s="32">
        <v>2500</v>
      </c>
      <c r="C164" s="32">
        <v>2700</v>
      </c>
      <c r="D164" s="32">
        <v>2800</v>
      </c>
      <c r="E164" s="32">
        <v>3100</v>
      </c>
      <c r="F164" s="32">
        <v>3200</v>
      </c>
      <c r="G164" s="32">
        <v>3300</v>
      </c>
      <c r="H164" s="32">
        <v>3400</v>
      </c>
      <c r="I164" s="32">
        <v>3600</v>
      </c>
      <c r="J164" s="32">
        <v>3700</v>
      </c>
      <c r="K164" s="32">
        <v>3800</v>
      </c>
      <c r="L164" s="32">
        <v>3500</v>
      </c>
      <c r="M164" s="32">
        <v>3400</v>
      </c>
      <c r="N164" s="32">
        <v>3500</v>
      </c>
      <c r="O164" s="32">
        <v>3500</v>
      </c>
      <c r="P164" s="2"/>
      <c r="Q164" s="2"/>
    </row>
    <row r="165" spans="1:17" ht="16.5" x14ac:dyDescent="0.3">
      <c r="A165" s="10" t="s">
        <v>50</v>
      </c>
      <c r="B165" s="32">
        <v>2500000</v>
      </c>
      <c r="C165" s="32">
        <v>2500000</v>
      </c>
      <c r="D165" s="32">
        <v>2600000</v>
      </c>
      <c r="E165" s="32">
        <v>2600000</v>
      </c>
      <c r="F165" s="32">
        <v>2700000</v>
      </c>
      <c r="G165" s="32">
        <v>2700000</v>
      </c>
      <c r="H165" s="32">
        <v>2700000</v>
      </c>
      <c r="I165" s="32">
        <v>2700000</v>
      </c>
      <c r="J165" s="32">
        <v>2800000</v>
      </c>
      <c r="K165" s="32">
        <v>2800000</v>
      </c>
      <c r="L165" s="32">
        <v>2800000</v>
      </c>
      <c r="M165" s="32">
        <v>2800000</v>
      </c>
      <c r="N165" s="32">
        <v>2800000</v>
      </c>
      <c r="O165" s="32">
        <v>2800000</v>
      </c>
    </row>
    <row r="166" spans="1:17" ht="16.5" x14ac:dyDescent="0.3">
      <c r="A166" s="10" t="s">
        <v>51</v>
      </c>
      <c r="B166" s="16">
        <v>18</v>
      </c>
      <c r="C166" s="16">
        <v>27</v>
      </c>
      <c r="D166" s="16">
        <v>18</v>
      </c>
      <c r="E166" s="16">
        <v>26</v>
      </c>
      <c r="F166" s="84">
        <f t="array" ref="F166">_xlfn.FORECAST.LINEAR(2014, {18,27,18,26}, {2010,2011,2012,2013})</f>
        <v>26</v>
      </c>
      <c r="G166" s="84">
        <f t="array" ref="G166">_xlfn.FORECAST.LINEAR(2015, {18,27,18,26}, {2010,2011,2012,2013})</f>
        <v>27.5</v>
      </c>
      <c r="H166" s="84">
        <f t="array" ref="H166">_xlfn.FORECAST.LINEAR(2016, {18,27,18,26}, {2010,2011,2012,2013})</f>
        <v>29</v>
      </c>
      <c r="I166" s="84">
        <f t="array" ref="I166">_xlfn.FORECAST.LINEAR(2017, {18,27,18,26}, {2010,2011,2012,2013})</f>
        <v>30.5</v>
      </c>
      <c r="J166" s="84">
        <f t="array" ref="J166">_xlfn.FORECAST.LINEAR(2018, {18,27,18,26}, {2010,2011,2012,2013})</f>
        <v>32</v>
      </c>
      <c r="K166" s="84">
        <f t="array" ref="K166">_xlfn.FORECAST.LINEAR(2019, {18,27,18,26}, {2010,2011,2012,2013})</f>
        <v>33.5</v>
      </c>
      <c r="L166" s="84">
        <f t="array" ref="L166">_xlfn.FORECAST.LINEAR(2020, {18,27,18,26}, {2010,2011,2012,2013})</f>
        <v>35</v>
      </c>
      <c r="M166" s="84">
        <f t="array" ref="M166">_xlfn.FORECAST.LINEAR(2021, {18,27,18,26}, {2010,2011,2012,2013})</f>
        <v>36.5</v>
      </c>
      <c r="N166" s="84">
        <f t="array" ref="N166">_xlfn.FORECAST.LINEAR(2022, {18,27,18,26}, {2010,2011,2012,2013})</f>
        <v>38</v>
      </c>
      <c r="O166" s="84">
        <f t="array" ref="O166">_xlfn.FORECAST.LINEAR(2023, {18,27,18,26}, {2010,2011,2012,2013})</f>
        <v>39.5</v>
      </c>
    </row>
    <row r="167" spans="1:17" ht="16.5" x14ac:dyDescent="0.3">
      <c r="A167" s="10" t="s">
        <v>8</v>
      </c>
      <c r="B167" s="32">
        <f t="shared" ref="B167:O167" si="31">SUM(B163:B166)</f>
        <v>2502539</v>
      </c>
      <c r="C167" s="32">
        <f t="shared" si="31"/>
        <v>2502747</v>
      </c>
      <c r="D167" s="32">
        <f t="shared" si="31"/>
        <v>2602837</v>
      </c>
      <c r="E167" s="32">
        <f t="shared" si="31"/>
        <v>2603144</v>
      </c>
      <c r="F167" s="32">
        <f t="shared" si="31"/>
        <v>2703244</v>
      </c>
      <c r="G167" s="32">
        <f t="shared" si="31"/>
        <v>2703344.5</v>
      </c>
      <c r="H167" s="32">
        <f t="shared" si="31"/>
        <v>2703446</v>
      </c>
      <c r="I167" s="32">
        <f t="shared" si="31"/>
        <v>2703646.5</v>
      </c>
      <c r="J167" s="32">
        <f t="shared" si="31"/>
        <v>2803747</v>
      </c>
      <c r="K167" s="32">
        <f t="shared" si="31"/>
        <v>2803847.5</v>
      </c>
      <c r="L167" s="32">
        <f t="shared" si="31"/>
        <v>2803551</v>
      </c>
      <c r="M167" s="32">
        <f t="shared" si="31"/>
        <v>2803452.5</v>
      </c>
      <c r="N167" s="32">
        <f t="shared" si="31"/>
        <v>2803553</v>
      </c>
      <c r="O167" s="32">
        <f t="shared" si="31"/>
        <v>2803554.5</v>
      </c>
    </row>
    <row r="168" spans="1:17" ht="16.5" x14ac:dyDescent="0.3">
      <c r="A168" s="10" t="s">
        <v>9</v>
      </c>
      <c r="B168" s="68">
        <f t="shared" ref="B168:O168" si="32">AVERAGE(B163:B166)</f>
        <v>625634.75</v>
      </c>
      <c r="C168" s="68">
        <f t="shared" si="32"/>
        <v>625686.75</v>
      </c>
      <c r="D168" s="68">
        <f t="shared" si="32"/>
        <v>650709.25</v>
      </c>
      <c r="E168" s="68">
        <f t="shared" si="32"/>
        <v>650786</v>
      </c>
      <c r="F168" s="68">
        <f t="shared" si="32"/>
        <v>675811</v>
      </c>
      <c r="G168" s="68">
        <f t="shared" si="32"/>
        <v>675836.125</v>
      </c>
      <c r="H168" s="68">
        <f t="shared" si="32"/>
        <v>675861.5</v>
      </c>
      <c r="I168" s="68">
        <f t="shared" si="32"/>
        <v>675911.625</v>
      </c>
      <c r="J168" s="68">
        <f t="shared" si="32"/>
        <v>700936.75</v>
      </c>
      <c r="K168" s="68">
        <f t="shared" si="32"/>
        <v>700961.875</v>
      </c>
      <c r="L168" s="68">
        <f t="shared" si="32"/>
        <v>700887.75</v>
      </c>
      <c r="M168" s="68">
        <f t="shared" si="32"/>
        <v>700863.125</v>
      </c>
      <c r="N168" s="68">
        <f t="shared" si="32"/>
        <v>700888.25</v>
      </c>
      <c r="O168" s="68">
        <f t="shared" si="32"/>
        <v>700888.625</v>
      </c>
    </row>
    <row r="169" spans="1:17" ht="16.5" x14ac:dyDescent="0.3">
      <c r="A169" s="10"/>
      <c r="B169" s="66"/>
      <c r="C169" s="66"/>
      <c r="D169" s="66"/>
      <c r="E169" s="66"/>
      <c r="F169" s="66"/>
      <c r="G169" s="66"/>
      <c r="H169" s="66"/>
      <c r="I169" s="66"/>
      <c r="J169" s="66"/>
      <c r="K169" s="66"/>
      <c r="L169" s="66"/>
      <c r="M169" s="66"/>
      <c r="N169" s="66"/>
      <c r="O169" s="66"/>
    </row>
    <row r="170" spans="1:17" ht="15" x14ac:dyDescent="0.2">
      <c r="A170" s="11" t="s">
        <v>38</v>
      </c>
      <c r="B170" s="66"/>
      <c r="C170" s="66"/>
      <c r="D170" s="66"/>
      <c r="E170" s="66"/>
      <c r="F170" s="66"/>
      <c r="G170" s="66"/>
      <c r="H170" s="66"/>
      <c r="I170" s="66"/>
      <c r="J170" s="66"/>
      <c r="K170" s="66"/>
      <c r="L170" s="66"/>
      <c r="M170" s="66"/>
      <c r="N170" s="66"/>
      <c r="O170" s="66"/>
    </row>
    <row r="171" spans="1:17" ht="16.5" x14ac:dyDescent="0.3">
      <c r="A171" s="10" t="s">
        <v>54</v>
      </c>
      <c r="B171" s="36" t="s">
        <v>10</v>
      </c>
      <c r="C171" s="36" t="s">
        <v>10</v>
      </c>
      <c r="D171" s="36" t="s">
        <v>10</v>
      </c>
      <c r="E171" s="36" t="s">
        <v>10</v>
      </c>
      <c r="F171" s="36" t="s">
        <v>10</v>
      </c>
      <c r="G171" s="36" t="s">
        <v>10</v>
      </c>
      <c r="H171" s="36" t="s">
        <v>10</v>
      </c>
      <c r="I171" s="36" t="s">
        <v>10</v>
      </c>
      <c r="J171" s="68">
        <v>2858</v>
      </c>
      <c r="K171" s="68">
        <v>10581</v>
      </c>
      <c r="L171" s="68">
        <v>7780</v>
      </c>
      <c r="M171" s="68">
        <v>12056</v>
      </c>
      <c r="N171" s="68">
        <v>9889</v>
      </c>
      <c r="O171" s="68">
        <v>12095</v>
      </c>
    </row>
    <row r="172" spans="1:17" ht="16.5" x14ac:dyDescent="0.3">
      <c r="A172" s="10" t="s">
        <v>52</v>
      </c>
      <c r="B172" s="36" t="s">
        <v>10</v>
      </c>
      <c r="C172" s="36" t="s">
        <v>10</v>
      </c>
      <c r="D172" s="36" t="s">
        <v>10</v>
      </c>
      <c r="E172" s="36" t="s">
        <v>10</v>
      </c>
      <c r="F172" s="36" t="s">
        <v>10</v>
      </c>
      <c r="G172" s="36" t="s">
        <v>10</v>
      </c>
      <c r="H172" s="36" t="s">
        <v>10</v>
      </c>
      <c r="I172" s="36" t="s">
        <v>10</v>
      </c>
      <c r="J172" s="36" t="s">
        <v>10</v>
      </c>
      <c r="K172" s="68">
        <v>9417519</v>
      </c>
      <c r="L172" s="36" t="s">
        <v>10</v>
      </c>
      <c r="M172" s="36" t="s">
        <v>10</v>
      </c>
      <c r="N172" s="68">
        <v>10455068</v>
      </c>
      <c r="O172" s="68">
        <v>16217841</v>
      </c>
    </row>
    <row r="173" spans="1:17" ht="16.5" x14ac:dyDescent="0.3">
      <c r="A173" s="10" t="s">
        <v>11</v>
      </c>
      <c r="B173" s="36" t="s">
        <v>10</v>
      </c>
      <c r="C173" s="36" t="s">
        <v>10</v>
      </c>
      <c r="D173" s="36" t="s">
        <v>10</v>
      </c>
      <c r="E173" s="36" t="s">
        <v>10</v>
      </c>
      <c r="F173" s="36" t="s">
        <v>10</v>
      </c>
      <c r="G173" s="36" t="s">
        <v>10</v>
      </c>
      <c r="H173" s="36" t="s">
        <v>10</v>
      </c>
      <c r="I173" s="36" t="s">
        <v>10</v>
      </c>
      <c r="J173" s="81">
        <f>SUM(J171:J172)</f>
        <v>2858</v>
      </c>
      <c r="K173" s="81">
        <f t="shared" ref="K173:O173" si="33">SUM(K171:K172)</f>
        <v>9428100</v>
      </c>
      <c r="L173" s="81">
        <f t="shared" si="33"/>
        <v>7780</v>
      </c>
      <c r="M173" s="81">
        <f t="shared" si="33"/>
        <v>12056</v>
      </c>
      <c r="N173" s="81">
        <f t="shared" si="33"/>
        <v>10464957</v>
      </c>
      <c r="O173" s="81">
        <f t="shared" si="33"/>
        <v>16229936</v>
      </c>
    </row>
    <row r="174" spans="1:17" ht="16.5" x14ac:dyDescent="0.3">
      <c r="A174" s="10" t="s">
        <v>12</v>
      </c>
      <c r="B174" s="36" t="s">
        <v>10</v>
      </c>
      <c r="C174" s="36" t="s">
        <v>10</v>
      </c>
      <c r="D174" s="36" t="s">
        <v>10</v>
      </c>
      <c r="E174" s="36" t="s">
        <v>10</v>
      </c>
      <c r="F174" s="36" t="s">
        <v>10</v>
      </c>
      <c r="G174" s="36" t="s">
        <v>10</v>
      </c>
      <c r="H174" s="36" t="s">
        <v>10</v>
      </c>
      <c r="I174" s="36" t="s">
        <v>10</v>
      </c>
      <c r="J174" s="81">
        <f>AVERAGE(J171:J172)</f>
        <v>2858</v>
      </c>
      <c r="K174" s="81">
        <f t="shared" ref="K174:O174" si="34">AVERAGE(K171:K172)</f>
        <v>4714050</v>
      </c>
      <c r="L174" s="81">
        <f t="shared" si="34"/>
        <v>7780</v>
      </c>
      <c r="M174" s="81">
        <f t="shared" si="34"/>
        <v>12056</v>
      </c>
      <c r="N174" s="81">
        <f t="shared" si="34"/>
        <v>5232478.5</v>
      </c>
      <c r="O174" s="81">
        <f t="shared" si="34"/>
        <v>8114968</v>
      </c>
    </row>
    <row r="175" spans="1:17" ht="16.5" x14ac:dyDescent="0.3">
      <c r="A175" s="10"/>
      <c r="B175" s="36"/>
      <c r="C175" s="36"/>
      <c r="D175" s="36"/>
      <c r="E175" s="36"/>
      <c r="F175" s="36"/>
      <c r="G175" s="36"/>
      <c r="H175" s="36"/>
      <c r="I175" s="36"/>
      <c r="J175" s="36"/>
      <c r="K175" s="36"/>
      <c r="L175" s="36"/>
      <c r="M175" s="36"/>
      <c r="N175" s="36"/>
      <c r="O175" s="66"/>
    </row>
    <row r="176" spans="1:17" ht="15" x14ac:dyDescent="0.2">
      <c r="A176" s="11" t="s">
        <v>39</v>
      </c>
      <c r="B176" s="36" t="s">
        <v>10</v>
      </c>
      <c r="C176" s="36" t="s">
        <v>10</v>
      </c>
      <c r="D176" s="36" t="s">
        <v>10</v>
      </c>
      <c r="E176" s="36" t="s">
        <v>10</v>
      </c>
      <c r="F176" s="36" t="s">
        <v>10</v>
      </c>
      <c r="G176" s="36" t="s">
        <v>10</v>
      </c>
      <c r="H176" s="36" t="s">
        <v>10</v>
      </c>
      <c r="I176" s="36" t="s">
        <v>10</v>
      </c>
      <c r="J176" s="36" t="s">
        <v>10</v>
      </c>
      <c r="K176" s="36" t="s">
        <v>10</v>
      </c>
      <c r="L176" s="36" t="s">
        <v>10</v>
      </c>
      <c r="M176" s="36" t="s">
        <v>10</v>
      </c>
      <c r="N176" s="36" t="s">
        <v>10</v>
      </c>
      <c r="O176" s="8">
        <v>140.37</v>
      </c>
    </row>
    <row r="177" spans="1:17" ht="16.5" x14ac:dyDescent="0.3">
      <c r="A177" s="10" t="s">
        <v>53</v>
      </c>
      <c r="B177" s="36" t="s">
        <v>10</v>
      </c>
      <c r="C177" s="36" t="s">
        <v>10</v>
      </c>
      <c r="D177" s="36" t="s">
        <v>10</v>
      </c>
      <c r="E177" s="36" t="s">
        <v>10</v>
      </c>
      <c r="F177" s="36" t="s">
        <v>10</v>
      </c>
      <c r="G177" s="36" t="s">
        <v>10</v>
      </c>
      <c r="H177" s="36" t="s">
        <v>10</v>
      </c>
      <c r="I177" s="36" t="s">
        <v>10</v>
      </c>
      <c r="J177" s="36" t="s">
        <v>10</v>
      </c>
      <c r="K177" s="36" t="s">
        <v>10</v>
      </c>
      <c r="L177" s="36" t="s">
        <v>10</v>
      </c>
      <c r="M177" s="36" t="s">
        <v>10</v>
      </c>
      <c r="N177" s="36" t="s">
        <v>10</v>
      </c>
      <c r="O177" s="8">
        <v>140.37</v>
      </c>
    </row>
    <row r="178" spans="1:17" ht="16.5" x14ac:dyDescent="0.3">
      <c r="A178" s="17"/>
    </row>
    <row r="179" spans="1:17" ht="16.5" x14ac:dyDescent="0.3">
      <c r="A179" s="17"/>
    </row>
    <row r="181" spans="1:17" ht="18" x14ac:dyDescent="0.25">
      <c r="A181" s="44" t="s">
        <v>0</v>
      </c>
      <c r="B181" s="71" t="s">
        <v>24</v>
      </c>
      <c r="C181" s="71" t="s">
        <v>25</v>
      </c>
      <c r="D181" s="71" t="s">
        <v>26</v>
      </c>
      <c r="E181" s="71" t="s">
        <v>27</v>
      </c>
      <c r="F181" s="71" t="s">
        <v>28</v>
      </c>
      <c r="G181" s="71" t="s">
        <v>29</v>
      </c>
      <c r="H181" s="71" t="s">
        <v>30</v>
      </c>
      <c r="I181" s="71" t="s">
        <v>31</v>
      </c>
      <c r="J181" s="71" t="s">
        <v>32</v>
      </c>
      <c r="K181" s="71" t="s">
        <v>33</v>
      </c>
      <c r="L181" s="71" t="s">
        <v>34</v>
      </c>
      <c r="M181" s="71" t="s">
        <v>35</v>
      </c>
      <c r="N181" s="71" t="s">
        <v>36</v>
      </c>
      <c r="O181" s="71" t="s">
        <v>37</v>
      </c>
    </row>
    <row r="182" spans="1:17" ht="18" x14ac:dyDescent="0.25">
      <c r="A182" s="45" t="s">
        <v>18</v>
      </c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</row>
    <row r="183" spans="1:17" x14ac:dyDescent="0.25">
      <c r="A183" s="11" t="s">
        <v>2</v>
      </c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2"/>
    </row>
    <row r="184" spans="1:17" ht="16.5" x14ac:dyDescent="0.3">
      <c r="A184" s="10" t="s">
        <v>40</v>
      </c>
      <c r="B184" s="32">
        <v>6700</v>
      </c>
      <c r="C184" s="32">
        <v>6800</v>
      </c>
      <c r="D184" s="32">
        <v>6700</v>
      </c>
      <c r="E184" s="32">
        <v>6700</v>
      </c>
      <c r="F184" s="32">
        <v>6600</v>
      </c>
      <c r="G184" s="32">
        <v>6500</v>
      </c>
      <c r="H184" s="32">
        <v>6200</v>
      </c>
      <c r="I184" s="32">
        <v>6000</v>
      </c>
      <c r="J184" s="32">
        <v>5800</v>
      </c>
      <c r="K184" s="32">
        <v>5700</v>
      </c>
      <c r="L184" s="32">
        <v>5700</v>
      </c>
      <c r="M184" s="32">
        <v>5800</v>
      </c>
      <c r="N184" s="32">
        <v>6000</v>
      </c>
      <c r="O184" s="32">
        <v>6200</v>
      </c>
      <c r="P184" s="2"/>
    </row>
    <row r="185" spans="1:17" ht="16.5" x14ac:dyDescent="0.3">
      <c r="A185" s="10" t="s">
        <v>41</v>
      </c>
      <c r="B185" s="32">
        <v>11000</v>
      </c>
      <c r="C185" s="32">
        <v>11000</v>
      </c>
      <c r="D185" s="32">
        <v>11000</v>
      </c>
      <c r="E185" s="32">
        <v>11000</v>
      </c>
      <c r="F185" s="32">
        <v>11000</v>
      </c>
      <c r="G185" s="32">
        <v>12000</v>
      </c>
      <c r="H185" s="32">
        <v>12000</v>
      </c>
      <c r="I185" s="32">
        <v>13000</v>
      </c>
      <c r="J185" s="32">
        <v>14000</v>
      </c>
      <c r="K185" s="32">
        <v>15000</v>
      </c>
      <c r="L185" s="32">
        <v>16000</v>
      </c>
      <c r="M185" s="32">
        <v>18000</v>
      </c>
      <c r="N185" s="32">
        <v>20000</v>
      </c>
      <c r="O185" s="32">
        <v>23000</v>
      </c>
    </row>
    <row r="186" spans="1:17" ht="16.5" x14ac:dyDescent="0.3">
      <c r="A186" s="10" t="s">
        <v>42</v>
      </c>
      <c r="B186" s="32">
        <v>120000</v>
      </c>
      <c r="C186" s="32">
        <v>120000</v>
      </c>
      <c r="D186" s="32">
        <v>120000</v>
      </c>
      <c r="E186" s="32">
        <v>130000</v>
      </c>
      <c r="F186" s="32">
        <v>130000</v>
      </c>
      <c r="G186" s="32">
        <v>140000</v>
      </c>
      <c r="H186" s="32">
        <v>140000</v>
      </c>
      <c r="I186" s="32">
        <v>150000</v>
      </c>
      <c r="J186" s="32">
        <v>150000</v>
      </c>
      <c r="K186" s="32">
        <v>160000</v>
      </c>
      <c r="L186" s="32">
        <v>170000</v>
      </c>
      <c r="M186" s="32">
        <v>180000</v>
      </c>
      <c r="N186" s="32">
        <v>190000</v>
      </c>
      <c r="O186" s="32">
        <v>210000</v>
      </c>
      <c r="P186" s="2"/>
      <c r="Q186" s="2"/>
    </row>
    <row r="187" spans="1:17" ht="16.5" x14ac:dyDescent="0.3">
      <c r="A187" s="10" t="s">
        <v>43</v>
      </c>
      <c r="B187" s="32">
        <v>11000</v>
      </c>
      <c r="C187" s="32">
        <v>11000</v>
      </c>
      <c r="D187" s="32">
        <v>11000</v>
      </c>
      <c r="E187" s="32">
        <v>11000</v>
      </c>
      <c r="F187" s="32">
        <v>11000</v>
      </c>
      <c r="G187" s="32">
        <v>12000</v>
      </c>
      <c r="H187" s="32">
        <v>12000</v>
      </c>
      <c r="I187" s="32">
        <v>13000</v>
      </c>
      <c r="J187" s="32">
        <v>14000</v>
      </c>
      <c r="K187" s="32">
        <v>15000</v>
      </c>
      <c r="L187" s="32">
        <v>16000</v>
      </c>
      <c r="M187" s="32">
        <v>18000</v>
      </c>
      <c r="N187" s="32">
        <v>20000</v>
      </c>
      <c r="O187" s="32">
        <v>23000</v>
      </c>
      <c r="P187" s="2"/>
      <c r="Q187" s="2"/>
    </row>
    <row r="188" spans="1:17" ht="16.5" x14ac:dyDescent="0.3">
      <c r="A188" s="10" t="s">
        <v>44</v>
      </c>
      <c r="B188" s="32">
        <v>6700</v>
      </c>
      <c r="C188" s="32">
        <v>6800</v>
      </c>
      <c r="D188" s="32">
        <v>6700</v>
      </c>
      <c r="E188" s="32">
        <v>6700</v>
      </c>
      <c r="F188" s="32">
        <v>6600</v>
      </c>
      <c r="G188" s="32">
        <v>6500</v>
      </c>
      <c r="H188" s="32">
        <v>6200</v>
      </c>
      <c r="I188" s="32">
        <v>6000</v>
      </c>
      <c r="J188" s="32">
        <v>5800</v>
      </c>
      <c r="K188" s="32">
        <v>5700</v>
      </c>
      <c r="L188" s="32">
        <v>5700</v>
      </c>
      <c r="M188" s="32">
        <v>5800</v>
      </c>
      <c r="N188" s="32">
        <v>6000</v>
      </c>
      <c r="O188" s="32">
        <v>6200</v>
      </c>
      <c r="P188" s="2"/>
      <c r="Q188" s="2"/>
    </row>
    <row r="189" spans="1:17" ht="16.5" x14ac:dyDescent="0.3">
      <c r="A189" s="10" t="s">
        <v>3</v>
      </c>
      <c r="B189" s="32">
        <f t="shared" ref="B189:O189" si="35">SUM(B184:B188)</f>
        <v>155400</v>
      </c>
      <c r="C189" s="32">
        <f t="shared" si="35"/>
        <v>155600</v>
      </c>
      <c r="D189" s="32">
        <f t="shared" si="35"/>
        <v>155400</v>
      </c>
      <c r="E189" s="32">
        <f t="shared" si="35"/>
        <v>165400</v>
      </c>
      <c r="F189" s="32">
        <f t="shared" si="35"/>
        <v>165200</v>
      </c>
      <c r="G189" s="32">
        <f t="shared" si="35"/>
        <v>177000</v>
      </c>
      <c r="H189" s="32">
        <f t="shared" si="35"/>
        <v>176400</v>
      </c>
      <c r="I189" s="32">
        <f t="shared" si="35"/>
        <v>188000</v>
      </c>
      <c r="J189" s="32">
        <f t="shared" si="35"/>
        <v>189600</v>
      </c>
      <c r="K189" s="32">
        <f t="shared" si="35"/>
        <v>201400</v>
      </c>
      <c r="L189" s="32">
        <f t="shared" si="35"/>
        <v>213400</v>
      </c>
      <c r="M189" s="32">
        <f t="shared" si="35"/>
        <v>227600</v>
      </c>
      <c r="N189" s="32">
        <f t="shared" si="35"/>
        <v>242000</v>
      </c>
      <c r="O189" s="32">
        <f t="shared" si="35"/>
        <v>268400</v>
      </c>
    </row>
    <row r="190" spans="1:17" ht="16.5" x14ac:dyDescent="0.3">
      <c r="A190" s="10" t="s">
        <v>4</v>
      </c>
      <c r="B190" s="32">
        <f t="shared" ref="B190:O190" si="36">AVERAGE(B184:B188)</f>
        <v>31080</v>
      </c>
      <c r="C190" s="32">
        <f t="shared" si="36"/>
        <v>31120</v>
      </c>
      <c r="D190" s="32">
        <f t="shared" si="36"/>
        <v>31080</v>
      </c>
      <c r="E190" s="32">
        <f t="shared" si="36"/>
        <v>33080</v>
      </c>
      <c r="F190" s="32">
        <f t="shared" si="36"/>
        <v>33040</v>
      </c>
      <c r="G190" s="32">
        <f t="shared" si="36"/>
        <v>35400</v>
      </c>
      <c r="H190" s="32">
        <f t="shared" si="36"/>
        <v>35280</v>
      </c>
      <c r="I190" s="32">
        <f t="shared" si="36"/>
        <v>37600</v>
      </c>
      <c r="J190" s="32">
        <f t="shared" si="36"/>
        <v>37920</v>
      </c>
      <c r="K190" s="32">
        <f t="shared" si="36"/>
        <v>40280</v>
      </c>
      <c r="L190" s="32">
        <f t="shared" si="36"/>
        <v>42680</v>
      </c>
      <c r="M190" s="32">
        <f t="shared" si="36"/>
        <v>45520</v>
      </c>
      <c r="N190" s="32">
        <f t="shared" si="36"/>
        <v>48400</v>
      </c>
      <c r="O190" s="32">
        <f t="shared" si="36"/>
        <v>53680</v>
      </c>
    </row>
    <row r="191" spans="1:17" ht="16.5" x14ac:dyDescent="0.3">
      <c r="A191" s="10"/>
      <c r="B191" s="16"/>
      <c r="C191" s="6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</row>
    <row r="192" spans="1:17" ht="15" x14ac:dyDescent="0.2">
      <c r="A192" s="11" t="s">
        <v>5</v>
      </c>
      <c r="B192" s="16"/>
      <c r="C192" s="6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</row>
    <row r="193" spans="1:17" ht="16.5" x14ac:dyDescent="0.3">
      <c r="A193" s="10" t="s">
        <v>45</v>
      </c>
      <c r="B193" s="86">
        <f>_xlfn.FORECAST.LINEAR(2010, G193:O193, G1:O1 )</f>
        <v>38.238888888889051</v>
      </c>
      <c r="C193" s="86">
        <f>_xlfn.FORECAST.LINEAR(2011, H193:P193, H1:P1 )</f>
        <v>43.690476190476147</v>
      </c>
      <c r="D193" s="86">
        <f>_xlfn.FORECAST.LINEAR(2012, I193:Q193, I1:Q1 )</f>
        <v>49.285714285714221</v>
      </c>
      <c r="E193" s="86">
        <f>_xlfn.FORECAST.LINEAR(2013, J193:R193, J1:R1 )</f>
        <v>53.095238095238074</v>
      </c>
      <c r="F193" s="86">
        <f>_xlfn.FORECAST.LINEAR(2014, K193:S193, K1:S1 )</f>
        <v>56.100000000000136</v>
      </c>
      <c r="G193" s="16">
        <v>46</v>
      </c>
      <c r="H193" s="16">
        <v>50</v>
      </c>
      <c r="I193" s="16">
        <v>55</v>
      </c>
      <c r="J193" s="16">
        <v>58</v>
      </c>
      <c r="K193" s="16">
        <v>60</v>
      </c>
      <c r="L193" s="16">
        <v>62</v>
      </c>
      <c r="M193" s="16">
        <v>63</v>
      </c>
      <c r="N193" s="16">
        <v>63</v>
      </c>
      <c r="O193" s="16">
        <v>64</v>
      </c>
      <c r="P193" s="2"/>
    </row>
    <row r="194" spans="1:17" ht="16.5" x14ac:dyDescent="0.3">
      <c r="A194" s="10" t="s">
        <v>46</v>
      </c>
      <c r="B194" s="87">
        <f>_xlfn.FORECAST.LINEAR(2010, G194:O194, G1:O1 )</f>
        <v>20.288888888889232</v>
      </c>
      <c r="C194" s="87">
        <f>_xlfn.FORECAST.LINEAR(2011, H194:P194, H1:P1 )</f>
        <v>26.095238095238528</v>
      </c>
      <c r="D194" s="87">
        <f>_xlfn.FORECAST.LINEAR(2012, I194:Q194, I1:Q1 )</f>
        <v>31.142857142856883</v>
      </c>
      <c r="E194" s="87">
        <f>_xlfn.FORECAST.LINEAR(2013, J194:R194, J1:R1 )</f>
        <v>35.714285714285779</v>
      </c>
      <c r="F194" s="87">
        <f>_xlfn.FORECAST.LINEAR(2014, K194:S194, K1:S1 )</f>
        <v>38.400000000000091</v>
      </c>
      <c r="G194" s="16">
        <v>29</v>
      </c>
      <c r="H194" s="16">
        <v>34</v>
      </c>
      <c r="I194" s="16">
        <v>38</v>
      </c>
      <c r="J194" s="16">
        <v>42</v>
      </c>
      <c r="K194" s="16">
        <v>44</v>
      </c>
      <c r="L194" s="16">
        <v>46</v>
      </c>
      <c r="M194" s="16">
        <v>47</v>
      </c>
      <c r="N194" s="16">
        <v>48</v>
      </c>
      <c r="O194" s="16">
        <v>49</v>
      </c>
      <c r="P194" s="2"/>
    </row>
    <row r="195" spans="1:17" ht="16.5" x14ac:dyDescent="0.3">
      <c r="A195" s="10" t="s">
        <v>47</v>
      </c>
      <c r="B195" s="86">
        <f t="array" ref="B195">_xlfn.FORECAST.LINEAR(2010, {24,28,32,36,39,43,45}, {2015,2016,2017,2018,2019,2022,2023})</f>
        <v>13.765957446807988</v>
      </c>
      <c r="C195" s="86">
        <f t="array" ref="C195">_xlfn.FORECAST.LINEAR(2011, {24,28,32,36,39,43,45}, {2015,2016,2017,2018,2019,2022,2023})</f>
        <v>16.27659574468089</v>
      </c>
      <c r="D195" s="86">
        <f t="array" ref="D195">_xlfn.FORECAST.LINEAR(2012, {24,28,32,36,39,43,45}, {2015,2016,2017,2018,2019,2022,2023})</f>
        <v>18.787234042552882</v>
      </c>
      <c r="E195" s="86">
        <f t="array" ref="E195">_xlfn.FORECAST.LINEAR(2013, {24,28,32,36,39,43,45}, {2015,2016,2017,2018,2019,2022,2023})</f>
        <v>21.297872340425783</v>
      </c>
      <c r="F195" s="86">
        <f t="array" ref="F195">_xlfn.FORECAST.LINEAR(2014, {24,28,32,36,39,43,45}, {2015,2016,2017,2018,2019,2022,2023})</f>
        <v>23.808510638297776</v>
      </c>
      <c r="G195" s="34">
        <v>24</v>
      </c>
      <c r="H195" s="34">
        <v>28</v>
      </c>
      <c r="I195" s="34">
        <v>32</v>
      </c>
      <c r="J195" s="34">
        <v>36</v>
      </c>
      <c r="K195" s="34">
        <v>39</v>
      </c>
      <c r="L195" s="86">
        <f t="array" ref="L195">_xlfn.FORECAST.LINEAR(2020, {24,28,32,36,39,43,45}, {2015,2016,2017,2018,2019,2022,2023})</f>
        <v>38.872340425531547</v>
      </c>
      <c r="M195" s="86">
        <f t="array" ref="M195">_xlfn.FORECAST.LINEAR(2021, {24,28,32,36,39,43,45}, {2015,2016,2017,2018,2019,2022,2023})</f>
        <v>41.382978723404449</v>
      </c>
      <c r="N195" s="34">
        <v>43</v>
      </c>
      <c r="O195" s="34">
        <v>45</v>
      </c>
      <c r="P195" s="2"/>
    </row>
    <row r="196" spans="1:17" ht="16.5" x14ac:dyDescent="0.3">
      <c r="A196" s="10" t="s">
        <v>6</v>
      </c>
      <c r="B196" s="88">
        <f t="shared" ref="B196:O196" si="37">AVERAGE(B193:B195)</f>
        <v>24.097911741528758</v>
      </c>
      <c r="C196" s="88">
        <f t="shared" si="37"/>
        <v>28.687436676798523</v>
      </c>
      <c r="D196" s="88">
        <f t="shared" si="37"/>
        <v>33.071935157041331</v>
      </c>
      <c r="E196" s="88">
        <f t="shared" si="37"/>
        <v>36.702465383316543</v>
      </c>
      <c r="F196" s="88">
        <f t="shared" si="37"/>
        <v>39.436170212766001</v>
      </c>
      <c r="G196" s="88">
        <f t="shared" si="37"/>
        <v>33</v>
      </c>
      <c r="H196" s="88">
        <f t="shared" si="37"/>
        <v>37.333333333333336</v>
      </c>
      <c r="I196" s="88">
        <f t="shared" si="37"/>
        <v>41.666666666666664</v>
      </c>
      <c r="J196" s="88">
        <f t="shared" si="37"/>
        <v>45.333333333333336</v>
      </c>
      <c r="K196" s="88">
        <f t="shared" si="37"/>
        <v>47.666666666666664</v>
      </c>
      <c r="L196" s="88">
        <f t="shared" si="37"/>
        <v>48.957446808510518</v>
      </c>
      <c r="M196" s="88">
        <f t="shared" si="37"/>
        <v>50.460992907801483</v>
      </c>
      <c r="N196" s="88">
        <f t="shared" si="37"/>
        <v>51.333333333333336</v>
      </c>
      <c r="O196" s="88">
        <f t="shared" si="37"/>
        <v>52.666666666666664</v>
      </c>
      <c r="P196" s="2"/>
    </row>
    <row r="197" spans="1:17" ht="16.5" x14ac:dyDescent="0.3">
      <c r="A197" s="10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2"/>
    </row>
    <row r="198" spans="1:17" ht="15" x14ac:dyDescent="0.2">
      <c r="A198" s="11" t="s">
        <v>7</v>
      </c>
      <c r="B198" s="66"/>
      <c r="C198" s="66"/>
      <c r="D198" s="66"/>
      <c r="E198" s="66"/>
      <c r="F198" s="66"/>
      <c r="G198" s="66"/>
      <c r="H198" s="66"/>
      <c r="I198" s="66"/>
      <c r="J198" s="66"/>
      <c r="K198" s="66"/>
      <c r="L198" s="66"/>
      <c r="M198" s="66"/>
      <c r="N198" s="66"/>
      <c r="O198" s="66"/>
    </row>
    <row r="199" spans="1:17" ht="16.5" x14ac:dyDescent="0.3">
      <c r="A199" s="10" t="s">
        <v>48</v>
      </c>
      <c r="B199" s="16">
        <v>36</v>
      </c>
      <c r="C199" s="16">
        <v>36</v>
      </c>
      <c r="D199" s="16">
        <v>35</v>
      </c>
      <c r="E199" s="16">
        <v>35</v>
      </c>
      <c r="F199" s="16">
        <v>35</v>
      </c>
      <c r="G199" s="16">
        <v>35</v>
      </c>
      <c r="H199" s="16">
        <v>34</v>
      </c>
      <c r="I199" s="16">
        <v>33</v>
      </c>
      <c r="J199" s="16">
        <v>33</v>
      </c>
      <c r="K199" s="16">
        <v>33</v>
      </c>
      <c r="L199" s="16">
        <v>33</v>
      </c>
      <c r="M199" s="16">
        <v>34</v>
      </c>
      <c r="N199" s="16">
        <v>34</v>
      </c>
      <c r="O199" s="16">
        <v>35</v>
      </c>
      <c r="P199" s="2"/>
    </row>
    <row r="200" spans="1:17" ht="16.5" x14ac:dyDescent="0.3">
      <c r="A200" s="10" t="s">
        <v>49</v>
      </c>
      <c r="B200" s="16" t="s">
        <v>19</v>
      </c>
      <c r="C200" s="16" t="s">
        <v>19</v>
      </c>
      <c r="D200" s="16" t="s">
        <v>19</v>
      </c>
      <c r="E200" s="16" t="s">
        <v>19</v>
      </c>
      <c r="F200" s="16" t="s">
        <v>19</v>
      </c>
      <c r="G200" s="16" t="s">
        <v>19</v>
      </c>
      <c r="H200" s="16" t="s">
        <v>20</v>
      </c>
      <c r="I200" s="16" t="s">
        <v>20</v>
      </c>
      <c r="J200" s="16" t="s">
        <v>20</v>
      </c>
      <c r="K200" s="16" t="s">
        <v>20</v>
      </c>
      <c r="L200" s="16" t="s">
        <v>20</v>
      </c>
      <c r="M200" s="16" t="s">
        <v>20</v>
      </c>
      <c r="N200" s="16" t="s">
        <v>20</v>
      </c>
      <c r="O200" s="16" t="s">
        <v>20</v>
      </c>
      <c r="P200" s="5"/>
      <c r="Q200" s="2"/>
    </row>
    <row r="201" spans="1:17" ht="16.5" x14ac:dyDescent="0.3">
      <c r="A201" s="10" t="s">
        <v>50</v>
      </c>
      <c r="B201" s="32">
        <v>2500000</v>
      </c>
      <c r="C201" s="32">
        <v>2500000</v>
      </c>
      <c r="D201" s="32">
        <v>2600000</v>
      </c>
      <c r="E201" s="32">
        <v>2600000</v>
      </c>
      <c r="F201" s="32">
        <v>2700000</v>
      </c>
      <c r="G201" s="32">
        <v>2700000</v>
      </c>
      <c r="H201" s="32">
        <v>2700000</v>
      </c>
      <c r="I201" s="32">
        <v>2700000</v>
      </c>
      <c r="J201" s="32">
        <v>2800000</v>
      </c>
      <c r="K201" s="32">
        <v>2800000</v>
      </c>
      <c r="L201" s="32">
        <v>2800000</v>
      </c>
      <c r="M201" s="32">
        <v>2800000</v>
      </c>
      <c r="N201" s="32">
        <v>2800000</v>
      </c>
      <c r="O201" s="32">
        <v>2800000</v>
      </c>
    </row>
    <row r="202" spans="1:17" ht="16.5" x14ac:dyDescent="0.3">
      <c r="A202" s="10" t="s">
        <v>51</v>
      </c>
      <c r="B202" s="79" t="s">
        <v>10</v>
      </c>
      <c r="C202" s="79" t="s">
        <v>10</v>
      </c>
      <c r="D202" s="79" t="s">
        <v>10</v>
      </c>
      <c r="E202" s="16">
        <v>25</v>
      </c>
      <c r="F202" s="79" t="s">
        <v>10</v>
      </c>
      <c r="G202" s="79" t="s">
        <v>10</v>
      </c>
      <c r="H202" s="79" t="s">
        <v>10</v>
      </c>
      <c r="I202" s="79" t="s">
        <v>10</v>
      </c>
      <c r="J202" s="79" t="s">
        <v>10</v>
      </c>
      <c r="K202" s="79" t="s">
        <v>10</v>
      </c>
      <c r="L202" s="79" t="s">
        <v>10</v>
      </c>
      <c r="M202" s="79" t="s">
        <v>10</v>
      </c>
      <c r="N202" s="79" t="s">
        <v>10</v>
      </c>
      <c r="O202" s="79" t="s">
        <v>10</v>
      </c>
    </row>
    <row r="203" spans="1:17" ht="16.5" x14ac:dyDescent="0.3">
      <c r="A203" s="10" t="s">
        <v>8</v>
      </c>
      <c r="B203" s="32">
        <f t="shared" ref="B203:O203" si="38">SUM(B199:B202)</f>
        <v>2500036</v>
      </c>
      <c r="C203" s="32">
        <f t="shared" si="38"/>
        <v>2500036</v>
      </c>
      <c r="D203" s="32">
        <f t="shared" si="38"/>
        <v>2600035</v>
      </c>
      <c r="E203" s="32">
        <f t="shared" si="38"/>
        <v>2600060</v>
      </c>
      <c r="F203" s="32">
        <f t="shared" si="38"/>
        <v>2700035</v>
      </c>
      <c r="G203" s="32">
        <f t="shared" si="38"/>
        <v>2700035</v>
      </c>
      <c r="H203" s="32">
        <f t="shared" si="38"/>
        <v>2700034</v>
      </c>
      <c r="I203" s="32">
        <f t="shared" si="38"/>
        <v>2700033</v>
      </c>
      <c r="J203" s="32">
        <f t="shared" si="38"/>
        <v>2800033</v>
      </c>
      <c r="K203" s="32">
        <f t="shared" si="38"/>
        <v>2800033</v>
      </c>
      <c r="L203" s="32">
        <f t="shared" si="38"/>
        <v>2800033</v>
      </c>
      <c r="M203" s="32">
        <f t="shared" si="38"/>
        <v>2800034</v>
      </c>
      <c r="N203" s="32">
        <f t="shared" si="38"/>
        <v>2800034</v>
      </c>
      <c r="O203" s="32">
        <f t="shared" si="38"/>
        <v>2800035</v>
      </c>
    </row>
    <row r="204" spans="1:17" ht="16.5" x14ac:dyDescent="0.3">
      <c r="A204" s="10" t="s">
        <v>9</v>
      </c>
      <c r="B204" s="68">
        <f t="shared" ref="B204:O204" si="39">AVERAGE(B199:B202)</f>
        <v>1250018</v>
      </c>
      <c r="C204" s="68">
        <f t="shared" si="39"/>
        <v>1250018</v>
      </c>
      <c r="D204" s="68">
        <f t="shared" si="39"/>
        <v>1300017.5</v>
      </c>
      <c r="E204" s="68">
        <f t="shared" si="39"/>
        <v>866686.66666666663</v>
      </c>
      <c r="F204" s="68">
        <f t="shared" si="39"/>
        <v>1350017.5</v>
      </c>
      <c r="G204" s="68">
        <f t="shared" si="39"/>
        <v>1350017.5</v>
      </c>
      <c r="H204" s="68">
        <f t="shared" si="39"/>
        <v>1350017</v>
      </c>
      <c r="I204" s="68">
        <f t="shared" si="39"/>
        <v>1350016.5</v>
      </c>
      <c r="J204" s="68">
        <f t="shared" si="39"/>
        <v>1400016.5</v>
      </c>
      <c r="K204" s="68">
        <f t="shared" si="39"/>
        <v>1400016.5</v>
      </c>
      <c r="L204" s="68">
        <f t="shared" si="39"/>
        <v>1400016.5</v>
      </c>
      <c r="M204" s="68">
        <f t="shared" si="39"/>
        <v>1400017</v>
      </c>
      <c r="N204" s="68">
        <f t="shared" si="39"/>
        <v>1400017</v>
      </c>
      <c r="O204" s="68">
        <f t="shared" si="39"/>
        <v>1400017.5</v>
      </c>
    </row>
    <row r="205" spans="1:17" ht="16.5" x14ac:dyDescent="0.3">
      <c r="A205" s="10"/>
      <c r="B205" s="66"/>
      <c r="C205" s="66"/>
      <c r="D205" s="66"/>
      <c r="E205" s="66"/>
      <c r="F205" s="66"/>
      <c r="G205" s="66"/>
      <c r="H205" s="66"/>
      <c r="I205" s="66"/>
      <c r="J205" s="66"/>
      <c r="K205" s="66"/>
      <c r="L205" s="66"/>
      <c r="M205" s="66"/>
      <c r="N205" s="66"/>
      <c r="O205" s="66"/>
    </row>
    <row r="206" spans="1:17" ht="15" x14ac:dyDescent="0.2">
      <c r="A206" s="11" t="s">
        <v>38</v>
      </c>
      <c r="B206" s="66"/>
      <c r="C206" s="66"/>
      <c r="D206" s="66"/>
      <c r="E206" s="66"/>
      <c r="F206" s="66"/>
      <c r="G206" s="66"/>
      <c r="H206" s="66"/>
      <c r="I206" s="66"/>
      <c r="J206" s="66"/>
      <c r="K206" s="66"/>
      <c r="L206" s="66"/>
      <c r="M206" s="66"/>
      <c r="N206" s="66"/>
      <c r="O206" s="66"/>
    </row>
    <row r="207" spans="1:17" ht="16.5" x14ac:dyDescent="0.3">
      <c r="A207" s="10" t="s">
        <v>54</v>
      </c>
      <c r="B207" s="79" t="s">
        <v>10</v>
      </c>
      <c r="C207" s="79" t="s">
        <v>10</v>
      </c>
      <c r="D207" s="79" t="s">
        <v>10</v>
      </c>
      <c r="E207" s="79" t="s">
        <v>10</v>
      </c>
      <c r="F207" s="79" t="s">
        <v>10</v>
      </c>
      <c r="G207" s="79" t="s">
        <v>10</v>
      </c>
      <c r="H207" s="79" t="s">
        <v>10</v>
      </c>
      <c r="I207" s="79" t="s">
        <v>10</v>
      </c>
      <c r="J207" s="8">
        <v>249</v>
      </c>
      <c r="K207" s="8">
        <v>409</v>
      </c>
      <c r="L207" s="8">
        <v>579</v>
      </c>
      <c r="M207" s="8">
        <v>430</v>
      </c>
      <c r="N207" s="8">
        <v>264</v>
      </c>
      <c r="O207" s="8">
        <v>524</v>
      </c>
    </row>
    <row r="208" spans="1:17" ht="16.5" x14ac:dyDescent="0.3">
      <c r="A208" s="10" t="s">
        <v>52</v>
      </c>
      <c r="B208" s="79" t="s">
        <v>10</v>
      </c>
      <c r="C208" s="79" t="s">
        <v>10</v>
      </c>
      <c r="D208" s="79" t="s">
        <v>10</v>
      </c>
      <c r="E208" s="79" t="s">
        <v>10</v>
      </c>
      <c r="F208" s="79" t="s">
        <v>10</v>
      </c>
      <c r="G208" s="79" t="s">
        <v>10</v>
      </c>
      <c r="H208" s="79" t="s">
        <v>10</v>
      </c>
      <c r="I208" s="79" t="s">
        <v>10</v>
      </c>
      <c r="J208" s="79" t="s">
        <v>10</v>
      </c>
      <c r="K208" s="68">
        <v>2936253</v>
      </c>
      <c r="L208" s="79" t="s">
        <v>10</v>
      </c>
      <c r="M208" s="79" t="s">
        <v>10</v>
      </c>
      <c r="N208" s="68">
        <v>3706783</v>
      </c>
      <c r="O208" s="68">
        <v>5339097</v>
      </c>
    </row>
    <row r="209" spans="1:18" ht="16.5" x14ac:dyDescent="0.3">
      <c r="A209" s="10" t="s">
        <v>11</v>
      </c>
      <c r="B209" s="79" t="s">
        <v>10</v>
      </c>
      <c r="C209" s="79" t="s">
        <v>10</v>
      </c>
      <c r="D209" s="79" t="s">
        <v>10</v>
      </c>
      <c r="E209" s="79" t="s">
        <v>10</v>
      </c>
      <c r="F209" s="79" t="s">
        <v>10</v>
      </c>
      <c r="G209" s="79" t="s">
        <v>10</v>
      </c>
      <c r="H209" s="79" t="s">
        <v>10</v>
      </c>
      <c r="I209" s="79" t="s">
        <v>10</v>
      </c>
      <c r="J209" s="81">
        <f>SUM(J207:J208)</f>
        <v>249</v>
      </c>
      <c r="K209" s="81">
        <f t="shared" ref="K209:O209" si="40">SUM(K207:K208)</f>
        <v>2936662</v>
      </c>
      <c r="L209" s="81">
        <f t="shared" si="40"/>
        <v>579</v>
      </c>
      <c r="M209" s="81">
        <f t="shared" si="40"/>
        <v>430</v>
      </c>
      <c r="N209" s="81">
        <f t="shared" si="40"/>
        <v>3707047</v>
      </c>
      <c r="O209" s="81">
        <f t="shared" si="40"/>
        <v>5339621</v>
      </c>
    </row>
    <row r="210" spans="1:18" ht="16.5" x14ac:dyDescent="0.3">
      <c r="A210" s="10" t="s">
        <v>12</v>
      </c>
      <c r="B210" s="79" t="s">
        <v>10</v>
      </c>
      <c r="C210" s="79" t="s">
        <v>10</v>
      </c>
      <c r="D210" s="79" t="s">
        <v>10</v>
      </c>
      <c r="E210" s="79" t="s">
        <v>10</v>
      </c>
      <c r="F210" s="79" t="s">
        <v>10</v>
      </c>
      <c r="G210" s="79" t="s">
        <v>10</v>
      </c>
      <c r="H210" s="79" t="s">
        <v>10</v>
      </c>
      <c r="I210" s="79" t="s">
        <v>10</v>
      </c>
      <c r="J210" s="81">
        <f>AVERAGE(J207:J208)</f>
        <v>249</v>
      </c>
      <c r="K210" s="81">
        <f t="shared" ref="K210:O210" si="41">AVERAGE(K207:K208)</f>
        <v>1468331</v>
      </c>
      <c r="L210" s="81">
        <f t="shared" si="41"/>
        <v>579</v>
      </c>
      <c r="M210" s="81">
        <f t="shared" si="41"/>
        <v>430</v>
      </c>
      <c r="N210" s="81">
        <f t="shared" si="41"/>
        <v>1853523.5</v>
      </c>
      <c r="O210" s="81">
        <f t="shared" si="41"/>
        <v>2669810.5</v>
      </c>
    </row>
    <row r="211" spans="1:18" ht="16.5" x14ac:dyDescent="0.3">
      <c r="A211" s="10"/>
      <c r="B211" s="66"/>
      <c r="C211" s="66"/>
      <c r="D211" s="66"/>
      <c r="E211" s="66"/>
      <c r="F211" s="66"/>
      <c r="G211" s="66"/>
      <c r="H211" s="66"/>
      <c r="I211" s="66"/>
      <c r="J211" s="66"/>
      <c r="K211" s="66"/>
      <c r="L211" s="66"/>
      <c r="M211" s="66"/>
      <c r="N211" s="66"/>
      <c r="O211" s="66"/>
    </row>
    <row r="212" spans="1:18" x14ac:dyDescent="0.25">
      <c r="A212" s="11" t="s">
        <v>39</v>
      </c>
      <c r="B212" s="79" t="s">
        <v>10</v>
      </c>
      <c r="C212" s="79" t="s">
        <v>10</v>
      </c>
      <c r="D212" s="79" t="s">
        <v>10</v>
      </c>
      <c r="E212" s="79" t="s">
        <v>10</v>
      </c>
      <c r="F212" s="79" t="s">
        <v>10</v>
      </c>
      <c r="G212" s="79" t="s">
        <v>10</v>
      </c>
      <c r="H212" s="79" t="s">
        <v>10</v>
      </c>
      <c r="I212" s="79" t="s">
        <v>10</v>
      </c>
      <c r="J212" s="79" t="s">
        <v>10</v>
      </c>
      <c r="K212" s="79" t="s">
        <v>10</v>
      </c>
      <c r="L212" s="79" t="s">
        <v>10</v>
      </c>
      <c r="M212" s="79" t="s">
        <v>10</v>
      </c>
      <c r="N212" s="79" t="s">
        <v>10</v>
      </c>
      <c r="O212" s="8">
        <v>185.58</v>
      </c>
    </row>
    <row r="213" spans="1:18" ht="16.5" x14ac:dyDescent="0.3">
      <c r="A213" s="10" t="s">
        <v>53</v>
      </c>
      <c r="B213" s="79" t="s">
        <v>10</v>
      </c>
      <c r="C213" s="79" t="s">
        <v>10</v>
      </c>
      <c r="D213" s="79" t="s">
        <v>10</v>
      </c>
      <c r="E213" s="79" t="s">
        <v>10</v>
      </c>
      <c r="F213" s="79" t="s">
        <v>10</v>
      </c>
      <c r="G213" s="79" t="s">
        <v>10</v>
      </c>
      <c r="H213" s="79" t="s">
        <v>10</v>
      </c>
      <c r="I213" s="79" t="s">
        <v>10</v>
      </c>
      <c r="J213" s="79" t="s">
        <v>10</v>
      </c>
      <c r="K213" s="79" t="s">
        <v>10</v>
      </c>
      <c r="L213" s="79" t="s">
        <v>10</v>
      </c>
      <c r="M213" s="79" t="s">
        <v>10</v>
      </c>
      <c r="N213" s="79" t="s">
        <v>10</v>
      </c>
      <c r="O213" s="8">
        <v>185.58</v>
      </c>
    </row>
    <row r="214" spans="1:18" ht="16.5" x14ac:dyDescent="0.3">
      <c r="A214" s="17"/>
    </row>
    <row r="215" spans="1:18" ht="16.5" x14ac:dyDescent="0.3">
      <c r="A215" s="17"/>
    </row>
    <row r="217" spans="1:18" ht="18" x14ac:dyDescent="0.25">
      <c r="A217" s="44" t="s">
        <v>0</v>
      </c>
      <c r="B217" s="71" t="s">
        <v>24</v>
      </c>
      <c r="C217" s="71" t="s">
        <v>25</v>
      </c>
      <c r="D217" s="71" t="s">
        <v>26</v>
      </c>
      <c r="E217" s="71" t="s">
        <v>27</v>
      </c>
      <c r="F217" s="71" t="s">
        <v>28</v>
      </c>
      <c r="G217" s="71" t="s">
        <v>29</v>
      </c>
      <c r="H217" s="71" t="s">
        <v>30</v>
      </c>
      <c r="I217" s="71" t="s">
        <v>31</v>
      </c>
      <c r="J217" s="71" t="s">
        <v>32</v>
      </c>
      <c r="K217" s="71" t="s">
        <v>33</v>
      </c>
      <c r="L217" s="71" t="s">
        <v>34</v>
      </c>
      <c r="M217" s="71" t="s">
        <v>35</v>
      </c>
      <c r="N217" s="71" t="s">
        <v>36</v>
      </c>
      <c r="O217" s="71" t="s">
        <v>37</v>
      </c>
    </row>
    <row r="218" spans="1:18" ht="18" x14ac:dyDescent="0.25">
      <c r="A218" s="45" t="s">
        <v>21</v>
      </c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</row>
    <row r="219" spans="1:18" ht="16.5" x14ac:dyDescent="0.3">
      <c r="A219" s="10" t="s">
        <v>2</v>
      </c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2"/>
    </row>
    <row r="220" spans="1:18" ht="16.5" x14ac:dyDescent="0.3">
      <c r="A220" s="10" t="s">
        <v>40</v>
      </c>
      <c r="B220" s="32">
        <v>290000</v>
      </c>
      <c r="C220" s="32">
        <v>280000</v>
      </c>
      <c r="D220" s="32">
        <v>260000</v>
      </c>
      <c r="E220" s="32">
        <v>250000</v>
      </c>
      <c r="F220" s="32">
        <v>240000</v>
      </c>
      <c r="G220" s="32">
        <v>230000</v>
      </c>
      <c r="H220" s="32">
        <v>210000</v>
      </c>
      <c r="I220" s="32">
        <v>200000</v>
      </c>
      <c r="J220" s="32">
        <v>190000</v>
      </c>
      <c r="K220" s="32">
        <v>190000</v>
      </c>
      <c r="L220" s="32">
        <v>170000</v>
      </c>
      <c r="M220" s="32">
        <v>150000</v>
      </c>
      <c r="N220" s="32">
        <v>140000</v>
      </c>
      <c r="O220" s="32">
        <v>130000</v>
      </c>
      <c r="P220" s="2"/>
    </row>
    <row r="221" spans="1:18" ht="16.5" x14ac:dyDescent="0.3">
      <c r="A221" s="10" t="s">
        <v>41</v>
      </c>
      <c r="B221" s="32">
        <v>350000</v>
      </c>
      <c r="C221" s="32">
        <v>340000</v>
      </c>
      <c r="D221" s="32">
        <v>320000</v>
      </c>
      <c r="E221" s="32">
        <v>300000</v>
      </c>
      <c r="F221" s="32">
        <v>290000</v>
      </c>
      <c r="G221" s="32">
        <v>280000</v>
      </c>
      <c r="H221" s="32">
        <v>270000</v>
      </c>
      <c r="I221" s="32">
        <v>260000</v>
      </c>
      <c r="J221" s="32">
        <v>260000</v>
      </c>
      <c r="K221" s="32">
        <v>250000</v>
      </c>
      <c r="L221" s="32">
        <v>240000</v>
      </c>
      <c r="M221" s="32">
        <v>220000</v>
      </c>
      <c r="N221" s="32">
        <v>210000</v>
      </c>
      <c r="O221" s="32">
        <v>190000</v>
      </c>
    </row>
    <row r="222" spans="1:18" ht="16.5" x14ac:dyDescent="0.3">
      <c r="A222" s="10" t="s">
        <v>42</v>
      </c>
      <c r="B222" s="32">
        <v>5000000</v>
      </c>
      <c r="C222" s="32">
        <v>5000000</v>
      </c>
      <c r="D222" s="32">
        <v>5000000</v>
      </c>
      <c r="E222" s="32">
        <v>5000000</v>
      </c>
      <c r="F222" s="32">
        <v>5000000</v>
      </c>
      <c r="G222" s="32">
        <v>5000000</v>
      </c>
      <c r="H222" s="32">
        <v>5000000</v>
      </c>
      <c r="I222" s="32">
        <v>5000000</v>
      </c>
      <c r="J222" s="32">
        <v>5000000</v>
      </c>
      <c r="K222" s="32">
        <v>5100000</v>
      </c>
      <c r="L222" s="32">
        <v>5100000</v>
      </c>
      <c r="M222" s="32">
        <v>5100000</v>
      </c>
      <c r="N222" s="32">
        <v>5100000</v>
      </c>
      <c r="O222" s="32">
        <v>5100000</v>
      </c>
      <c r="P222" s="2"/>
      <c r="Q222" s="2"/>
      <c r="R222" s="2"/>
    </row>
    <row r="223" spans="1:18" ht="16.5" x14ac:dyDescent="0.3">
      <c r="A223" s="10" t="s">
        <v>43</v>
      </c>
      <c r="B223" s="32">
        <v>350000</v>
      </c>
      <c r="C223" s="32">
        <v>340000</v>
      </c>
      <c r="D223" s="32">
        <v>320000</v>
      </c>
      <c r="E223" s="32">
        <v>300000</v>
      </c>
      <c r="F223" s="32">
        <v>290000</v>
      </c>
      <c r="G223" s="32">
        <v>280000</v>
      </c>
      <c r="H223" s="32">
        <v>270000</v>
      </c>
      <c r="I223" s="32">
        <v>260000</v>
      </c>
      <c r="J223" s="32">
        <v>260000</v>
      </c>
      <c r="K223" s="32">
        <v>250000</v>
      </c>
      <c r="L223" s="32">
        <v>240000</v>
      </c>
      <c r="M223" s="32">
        <v>220000</v>
      </c>
      <c r="N223" s="32">
        <v>210000</v>
      </c>
      <c r="O223" s="32">
        <v>190000</v>
      </c>
      <c r="P223" s="2"/>
      <c r="Q223" s="2"/>
    </row>
    <row r="224" spans="1:18" ht="16.5" x14ac:dyDescent="0.3">
      <c r="A224" s="10" t="s">
        <v>44</v>
      </c>
      <c r="B224" s="32">
        <v>290000</v>
      </c>
      <c r="C224" s="32">
        <v>280000</v>
      </c>
      <c r="D224" s="32">
        <v>260000</v>
      </c>
      <c r="E224" s="32">
        <v>250000</v>
      </c>
      <c r="F224" s="32">
        <v>240000</v>
      </c>
      <c r="G224" s="32">
        <v>230000</v>
      </c>
      <c r="H224" s="32">
        <v>210000</v>
      </c>
      <c r="I224" s="32">
        <v>200000</v>
      </c>
      <c r="J224" s="32">
        <v>190000</v>
      </c>
      <c r="K224" s="32">
        <v>190000</v>
      </c>
      <c r="L224" s="32">
        <v>170000</v>
      </c>
      <c r="M224" s="32">
        <v>150000</v>
      </c>
      <c r="N224" s="32">
        <v>140000</v>
      </c>
      <c r="O224" s="32">
        <v>130000</v>
      </c>
      <c r="P224" s="2"/>
      <c r="Q224" s="2"/>
    </row>
    <row r="225" spans="1:17" ht="16.5" x14ac:dyDescent="0.3">
      <c r="A225" s="10" t="s">
        <v>3</v>
      </c>
      <c r="B225" s="32">
        <f t="shared" ref="B225:O225" si="42">SUM(B220:B224)</f>
        <v>6280000</v>
      </c>
      <c r="C225" s="32">
        <f t="shared" si="42"/>
        <v>6240000</v>
      </c>
      <c r="D225" s="32">
        <f t="shared" si="42"/>
        <v>6160000</v>
      </c>
      <c r="E225" s="32">
        <f t="shared" si="42"/>
        <v>6100000</v>
      </c>
      <c r="F225" s="32">
        <f t="shared" si="42"/>
        <v>6060000</v>
      </c>
      <c r="G225" s="32">
        <f t="shared" si="42"/>
        <v>6020000</v>
      </c>
      <c r="H225" s="32">
        <f t="shared" si="42"/>
        <v>5960000</v>
      </c>
      <c r="I225" s="32">
        <f t="shared" si="42"/>
        <v>5920000</v>
      </c>
      <c r="J225" s="32">
        <f t="shared" si="42"/>
        <v>5900000</v>
      </c>
      <c r="K225" s="32">
        <f t="shared" si="42"/>
        <v>5980000</v>
      </c>
      <c r="L225" s="32">
        <f t="shared" si="42"/>
        <v>5920000</v>
      </c>
      <c r="M225" s="32">
        <f t="shared" si="42"/>
        <v>5840000</v>
      </c>
      <c r="N225" s="32">
        <f t="shared" si="42"/>
        <v>5800000</v>
      </c>
      <c r="O225" s="32">
        <f t="shared" si="42"/>
        <v>5740000</v>
      </c>
    </row>
    <row r="226" spans="1:17" ht="16.5" x14ac:dyDescent="0.3">
      <c r="A226" s="10" t="s">
        <v>4</v>
      </c>
      <c r="B226" s="32">
        <f t="shared" ref="B226:O226" si="43">AVERAGE(B220:B224)</f>
        <v>1256000</v>
      </c>
      <c r="C226" s="32">
        <f t="shared" si="43"/>
        <v>1248000</v>
      </c>
      <c r="D226" s="32">
        <f t="shared" si="43"/>
        <v>1232000</v>
      </c>
      <c r="E226" s="32">
        <f t="shared" si="43"/>
        <v>1220000</v>
      </c>
      <c r="F226" s="32">
        <f t="shared" si="43"/>
        <v>1212000</v>
      </c>
      <c r="G226" s="32">
        <f t="shared" si="43"/>
        <v>1204000</v>
      </c>
      <c r="H226" s="32">
        <f t="shared" si="43"/>
        <v>1192000</v>
      </c>
      <c r="I226" s="32">
        <f t="shared" si="43"/>
        <v>1184000</v>
      </c>
      <c r="J226" s="32">
        <f t="shared" si="43"/>
        <v>1180000</v>
      </c>
      <c r="K226" s="32">
        <f t="shared" si="43"/>
        <v>1196000</v>
      </c>
      <c r="L226" s="32">
        <f t="shared" si="43"/>
        <v>1184000</v>
      </c>
      <c r="M226" s="32">
        <f t="shared" si="43"/>
        <v>1168000</v>
      </c>
      <c r="N226" s="32">
        <f t="shared" si="43"/>
        <v>1160000</v>
      </c>
      <c r="O226" s="32">
        <f t="shared" si="43"/>
        <v>1148000</v>
      </c>
    </row>
    <row r="227" spans="1:17" ht="16.5" x14ac:dyDescent="0.3">
      <c r="A227" s="10"/>
      <c r="B227" s="16"/>
      <c r="C227" s="6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</row>
    <row r="228" spans="1:17" ht="15" x14ac:dyDescent="0.2">
      <c r="A228" s="11" t="s">
        <v>5</v>
      </c>
      <c r="B228" s="16"/>
      <c r="C228" s="6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</row>
    <row r="229" spans="1:17" ht="16.5" x14ac:dyDescent="0.3">
      <c r="A229" s="10" t="s">
        <v>45</v>
      </c>
      <c r="B229" s="89">
        <f>_xlfn.FORECAST.LINEAR(2010, G229:O229, G1:O1 )</f>
        <v>31.033333333332848</v>
      </c>
      <c r="C229" s="89">
        <f>_xlfn.FORECAST.LINEAR(2011, G229:O229, G1:O1 )</f>
        <v>34.733333333333576</v>
      </c>
      <c r="D229" s="89">
        <f>_xlfn.FORECAST.LINEAR(2012, G229:O229, G1:O1 )</f>
        <v>38.433333333333394</v>
      </c>
      <c r="E229" s="89">
        <f>_xlfn.FORECAST.LINEAR(2013, G229:O229, G1:O1 )</f>
        <v>42.133333333333212</v>
      </c>
      <c r="F229" s="89">
        <f>_xlfn.FORECAST.LINEAR(2014, G229:O229, G1:O1 )</f>
        <v>45.83333333333303</v>
      </c>
      <c r="G229" s="34">
        <v>50</v>
      </c>
      <c r="H229" s="34">
        <v>54</v>
      </c>
      <c r="I229" s="34">
        <v>58</v>
      </c>
      <c r="J229" s="34">
        <v>60</v>
      </c>
      <c r="K229" s="34">
        <v>63</v>
      </c>
      <c r="L229" s="34">
        <v>66</v>
      </c>
      <c r="M229" s="34">
        <v>71</v>
      </c>
      <c r="N229" s="34">
        <v>76</v>
      </c>
      <c r="O229" s="34">
        <v>81</v>
      </c>
      <c r="P229" s="2"/>
    </row>
    <row r="230" spans="1:17" ht="16.5" x14ac:dyDescent="0.3">
      <c r="A230" s="10" t="s">
        <v>46</v>
      </c>
      <c r="B230" s="90">
        <f>_xlfn.FORECAST.LINEAR(2010, G230:O230, G1:O1 )</f>
        <v>8.211111111111677</v>
      </c>
      <c r="C230" s="90">
        <f>_xlfn.FORECAST.LINEAR(2011, G230:O230, G1:O1 )</f>
        <v>13.311111111110222</v>
      </c>
      <c r="D230" s="90">
        <f>_xlfn.FORECAST.LINEAR(2012, G230:O230, G1:O1 )</f>
        <v>18.411111111110586</v>
      </c>
      <c r="E230" s="90">
        <f>_xlfn.FORECAST.LINEAR(2013, G230:O230, G1:O1 )</f>
        <v>23.511111111110949</v>
      </c>
      <c r="F230" s="90">
        <f>_xlfn.FORECAST.LINEAR(2014, G230:O230, G1:O1 )</f>
        <v>28.611111111111313</v>
      </c>
      <c r="G230" s="34">
        <v>35</v>
      </c>
      <c r="H230" s="34">
        <v>40</v>
      </c>
      <c r="I230" s="34">
        <v>45</v>
      </c>
      <c r="J230" s="34">
        <v>46</v>
      </c>
      <c r="K230" s="34">
        <v>52</v>
      </c>
      <c r="L230" s="34">
        <v>58</v>
      </c>
      <c r="M230" s="34">
        <v>65</v>
      </c>
      <c r="N230" s="34">
        <v>70</v>
      </c>
      <c r="O230" s="34">
        <v>76</v>
      </c>
      <c r="P230" s="2"/>
    </row>
    <row r="231" spans="1:17" ht="16.5" x14ac:dyDescent="0.3">
      <c r="A231" s="10" t="s">
        <v>47</v>
      </c>
      <c r="B231" s="89">
        <f>_xlfn.FORECAST.LINEAR(2010, K231:O231, K1:O1 )</f>
        <v>-18.199999999998909</v>
      </c>
      <c r="C231" s="89">
        <f>_xlfn.FORECAST.LINEAR(2011, K231:O231, K1:O1 )</f>
        <v>-11.399999999999636</v>
      </c>
      <c r="D231" s="89">
        <f>_xlfn.FORECAST.LINEAR(2012, K231:O231, K1:O1 )</f>
        <v>-4.5999999999985448</v>
      </c>
      <c r="E231" s="89">
        <f>_xlfn.FORECAST.LINEAR(2013, K231:O231, K1:O1 )</f>
        <v>2.2000000000007276</v>
      </c>
      <c r="F231" s="89">
        <f>_xlfn.FORECAST.LINEAR(2014, K231:O231, K1:O1 )</f>
        <v>9</v>
      </c>
      <c r="G231" s="89">
        <f>_xlfn.FORECAST.LINEAR(2015, K231:O231, K1:O1 )</f>
        <v>15.800000000001091</v>
      </c>
      <c r="H231" s="89">
        <f>_xlfn.FORECAST.LINEAR(2016, K231:O231, K1:O1)</f>
        <v>22.600000000000364</v>
      </c>
      <c r="I231" s="89">
        <f>_xlfn.FORECAST.LINEAR(2017, K231:O231, K1:O1 )</f>
        <v>29.400000000001455</v>
      </c>
      <c r="J231" s="89">
        <f>_xlfn.FORECAST.LINEAR(2018, K231:O231, K1:O1)</f>
        <v>36.200000000000728</v>
      </c>
      <c r="K231" s="34">
        <v>43</v>
      </c>
      <c r="L231" s="34">
        <v>49</v>
      </c>
      <c r="M231" s="34">
        <v>58</v>
      </c>
      <c r="N231" s="34">
        <v>63</v>
      </c>
      <c r="O231" s="34">
        <v>70</v>
      </c>
      <c r="P231" s="2"/>
    </row>
    <row r="232" spans="1:17" ht="16.5" x14ac:dyDescent="0.3">
      <c r="A232" s="10" t="s">
        <v>6</v>
      </c>
      <c r="B232" s="34">
        <f t="shared" ref="B232:O232" si="44">AVERAGE(B229:B231)</f>
        <v>7.0148148148152059</v>
      </c>
      <c r="C232" s="34">
        <f t="shared" si="44"/>
        <v>12.214814814814721</v>
      </c>
      <c r="D232" s="34">
        <f t="shared" si="44"/>
        <v>17.414814814815145</v>
      </c>
      <c r="E232" s="34">
        <f t="shared" si="44"/>
        <v>22.614814814814963</v>
      </c>
      <c r="F232" s="34">
        <f t="shared" si="44"/>
        <v>27.814814814814781</v>
      </c>
      <c r="G232" s="34">
        <f t="shared" si="44"/>
        <v>33.600000000000364</v>
      </c>
      <c r="H232" s="34">
        <f t="shared" si="44"/>
        <v>38.866666666666788</v>
      </c>
      <c r="I232" s="34">
        <f t="shared" si="44"/>
        <v>44.133333333333816</v>
      </c>
      <c r="J232" s="34">
        <f t="shared" si="44"/>
        <v>47.40000000000024</v>
      </c>
      <c r="K232" s="34">
        <f t="shared" si="44"/>
        <v>52.666666666666664</v>
      </c>
      <c r="L232" s="34">
        <f t="shared" si="44"/>
        <v>57.666666666666664</v>
      </c>
      <c r="M232" s="34">
        <f t="shared" si="44"/>
        <v>64.666666666666671</v>
      </c>
      <c r="N232" s="34">
        <f t="shared" si="44"/>
        <v>69.666666666666671</v>
      </c>
      <c r="O232" s="34">
        <f t="shared" si="44"/>
        <v>75.666666666666671</v>
      </c>
      <c r="P232" s="2"/>
    </row>
    <row r="233" spans="1:17" ht="16.5" x14ac:dyDescent="0.3">
      <c r="A233" s="10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2"/>
    </row>
    <row r="234" spans="1:17" ht="15" x14ac:dyDescent="0.2">
      <c r="A234" s="11" t="s">
        <v>7</v>
      </c>
      <c r="B234" s="66"/>
      <c r="C234" s="66"/>
      <c r="D234" s="66"/>
      <c r="E234" s="66"/>
      <c r="F234" s="66"/>
      <c r="G234" s="66"/>
      <c r="H234" s="66"/>
      <c r="I234" s="66"/>
      <c r="J234" s="66"/>
      <c r="K234" s="66"/>
      <c r="L234" s="66"/>
      <c r="M234" s="66"/>
      <c r="N234" s="66"/>
      <c r="O234" s="66"/>
    </row>
    <row r="235" spans="1:17" ht="16.5" x14ac:dyDescent="0.3">
      <c r="A235" s="10" t="s">
        <v>48</v>
      </c>
      <c r="B235" s="16">
        <v>30</v>
      </c>
      <c r="C235" s="16">
        <v>28</v>
      </c>
      <c r="D235" s="16">
        <v>26</v>
      </c>
      <c r="E235" s="16">
        <v>23</v>
      </c>
      <c r="F235" s="16">
        <v>21</v>
      </c>
      <c r="G235" s="16">
        <v>22</v>
      </c>
      <c r="H235" s="16">
        <v>22</v>
      </c>
      <c r="I235" s="16">
        <v>22</v>
      </c>
      <c r="J235" s="16">
        <v>23</v>
      </c>
      <c r="K235" s="16">
        <v>22</v>
      </c>
      <c r="L235" s="16">
        <v>22</v>
      </c>
      <c r="M235" s="16">
        <v>22</v>
      </c>
      <c r="N235" s="16">
        <v>21</v>
      </c>
      <c r="O235" s="16">
        <v>20</v>
      </c>
      <c r="P235" s="2"/>
    </row>
    <row r="236" spans="1:17" ht="16.5" x14ac:dyDescent="0.3">
      <c r="A236" s="10" t="s">
        <v>49</v>
      </c>
      <c r="B236" s="32">
        <v>24000</v>
      </c>
      <c r="C236" s="32">
        <v>28000</v>
      </c>
      <c r="D236" s="32">
        <v>32000</v>
      </c>
      <c r="E236" s="32">
        <v>39000</v>
      </c>
      <c r="F236" s="32">
        <v>43000</v>
      </c>
      <c r="G236" s="32">
        <v>41000</v>
      </c>
      <c r="H236" s="32">
        <v>41000</v>
      </c>
      <c r="I236" s="32">
        <v>38000</v>
      </c>
      <c r="J236" s="32">
        <v>36000</v>
      </c>
      <c r="K236" s="32">
        <v>38000</v>
      </c>
      <c r="L236" s="32">
        <v>35000</v>
      </c>
      <c r="M236" s="32">
        <v>34000</v>
      </c>
      <c r="N236" s="32">
        <v>32000</v>
      </c>
      <c r="O236" s="32">
        <v>30000</v>
      </c>
      <c r="P236" s="2"/>
      <c r="Q236" s="2"/>
    </row>
    <row r="237" spans="1:17" ht="16.5" x14ac:dyDescent="0.3">
      <c r="A237" s="10" t="s">
        <v>50</v>
      </c>
      <c r="B237" s="32">
        <v>2500000</v>
      </c>
      <c r="C237" s="32">
        <v>2500000</v>
      </c>
      <c r="D237" s="32">
        <v>2600000</v>
      </c>
      <c r="E237" s="32">
        <v>2600000</v>
      </c>
      <c r="F237" s="32">
        <v>2700000</v>
      </c>
      <c r="G237" s="32">
        <v>2700000</v>
      </c>
      <c r="H237" s="32">
        <v>2700000</v>
      </c>
      <c r="I237" s="32">
        <v>2700000</v>
      </c>
      <c r="J237" s="32">
        <v>2800000</v>
      </c>
      <c r="K237" s="32">
        <v>2800000</v>
      </c>
      <c r="L237" s="32">
        <v>2800000</v>
      </c>
      <c r="M237" s="32">
        <v>2800000</v>
      </c>
      <c r="N237" s="32">
        <v>2800000</v>
      </c>
      <c r="O237" s="32">
        <v>2800000</v>
      </c>
    </row>
    <row r="238" spans="1:17" ht="16.5" x14ac:dyDescent="0.3">
      <c r="A238" s="10" t="s">
        <v>51</v>
      </c>
      <c r="B238" s="16">
        <v>10</v>
      </c>
      <c r="C238" s="16">
        <v>10</v>
      </c>
      <c r="D238" s="16">
        <v>12</v>
      </c>
      <c r="E238" s="16">
        <v>12</v>
      </c>
      <c r="F238" s="16">
        <v>16</v>
      </c>
      <c r="G238" s="16">
        <v>18</v>
      </c>
      <c r="H238" s="16">
        <v>25</v>
      </c>
      <c r="I238" s="16">
        <v>28</v>
      </c>
      <c r="J238" s="16">
        <v>28</v>
      </c>
      <c r="K238" s="16">
        <v>34</v>
      </c>
      <c r="L238" s="16">
        <v>28</v>
      </c>
      <c r="M238" s="16">
        <v>26</v>
      </c>
      <c r="N238" s="16">
        <v>24</v>
      </c>
      <c r="O238" s="16">
        <v>26</v>
      </c>
    </row>
    <row r="239" spans="1:17" ht="16.5" x14ac:dyDescent="0.3">
      <c r="A239" s="10" t="s">
        <v>8</v>
      </c>
      <c r="B239" s="32">
        <f t="shared" ref="B239:O239" si="45">SUM(B235:B238)</f>
        <v>2524040</v>
      </c>
      <c r="C239" s="32">
        <f t="shared" si="45"/>
        <v>2528038</v>
      </c>
      <c r="D239" s="32">
        <f t="shared" si="45"/>
        <v>2632038</v>
      </c>
      <c r="E239" s="32">
        <f t="shared" si="45"/>
        <v>2639035</v>
      </c>
      <c r="F239" s="32">
        <f t="shared" si="45"/>
        <v>2743037</v>
      </c>
      <c r="G239" s="32">
        <f t="shared" si="45"/>
        <v>2741040</v>
      </c>
      <c r="H239" s="32">
        <f t="shared" si="45"/>
        <v>2741047</v>
      </c>
      <c r="I239" s="32">
        <f t="shared" si="45"/>
        <v>2738050</v>
      </c>
      <c r="J239" s="32">
        <f t="shared" si="45"/>
        <v>2836051</v>
      </c>
      <c r="K239" s="32">
        <f t="shared" si="45"/>
        <v>2838056</v>
      </c>
      <c r="L239" s="32">
        <f t="shared" si="45"/>
        <v>2835050</v>
      </c>
      <c r="M239" s="32">
        <f t="shared" si="45"/>
        <v>2834048</v>
      </c>
      <c r="N239" s="32">
        <f t="shared" si="45"/>
        <v>2832045</v>
      </c>
      <c r="O239" s="32">
        <f t="shared" si="45"/>
        <v>2830046</v>
      </c>
    </row>
    <row r="240" spans="1:17" ht="16.5" x14ac:dyDescent="0.3">
      <c r="A240" s="10" t="s">
        <v>9</v>
      </c>
      <c r="B240" s="32">
        <f t="shared" ref="B240:O240" si="46">AVERAGE(B235:B238)</f>
        <v>631010</v>
      </c>
      <c r="C240" s="32">
        <f t="shared" si="46"/>
        <v>632009.5</v>
      </c>
      <c r="D240" s="32">
        <f t="shared" si="46"/>
        <v>658009.5</v>
      </c>
      <c r="E240" s="32">
        <f t="shared" si="46"/>
        <v>659758.75</v>
      </c>
      <c r="F240" s="32">
        <f t="shared" si="46"/>
        <v>685759.25</v>
      </c>
      <c r="G240" s="32">
        <f t="shared" si="46"/>
        <v>685260</v>
      </c>
      <c r="H240" s="32">
        <f t="shared" si="46"/>
        <v>685261.75</v>
      </c>
      <c r="I240" s="32">
        <f t="shared" si="46"/>
        <v>684512.5</v>
      </c>
      <c r="J240" s="32">
        <f t="shared" si="46"/>
        <v>709012.75</v>
      </c>
      <c r="K240" s="32">
        <f t="shared" si="46"/>
        <v>709514</v>
      </c>
      <c r="L240" s="32">
        <f t="shared" si="46"/>
        <v>708762.5</v>
      </c>
      <c r="M240" s="32">
        <f t="shared" si="46"/>
        <v>708512</v>
      </c>
      <c r="N240" s="32">
        <f t="shared" si="46"/>
        <v>708011.25</v>
      </c>
      <c r="O240" s="32">
        <f t="shared" si="46"/>
        <v>707511.5</v>
      </c>
    </row>
    <row r="241" spans="1:16" ht="16.5" x14ac:dyDescent="0.3">
      <c r="A241" s="10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</row>
    <row r="242" spans="1:16" ht="15" x14ac:dyDescent="0.2">
      <c r="A242" s="11" t="s">
        <v>38</v>
      </c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</row>
    <row r="243" spans="1:16" ht="16.5" x14ac:dyDescent="0.3">
      <c r="A243" s="10" t="s">
        <v>54</v>
      </c>
      <c r="B243" s="79" t="s">
        <v>10</v>
      </c>
      <c r="C243" s="79" t="s">
        <v>10</v>
      </c>
      <c r="D243" s="79" t="s">
        <v>10</v>
      </c>
      <c r="E243" s="79" t="s">
        <v>10</v>
      </c>
      <c r="F243" s="79" t="s">
        <v>10</v>
      </c>
      <c r="G243" s="79" t="s">
        <v>10</v>
      </c>
      <c r="H243" s="79" t="s">
        <v>10</v>
      </c>
      <c r="I243" s="79" t="s">
        <v>10</v>
      </c>
      <c r="J243" s="68">
        <v>40573</v>
      </c>
      <c r="K243" s="68">
        <v>63792</v>
      </c>
      <c r="L243" s="68">
        <v>51603</v>
      </c>
      <c r="M243" s="68">
        <v>94398</v>
      </c>
      <c r="N243" s="68">
        <v>94704</v>
      </c>
      <c r="O243" s="68">
        <v>165527</v>
      </c>
    </row>
    <row r="244" spans="1:16" ht="16.5" x14ac:dyDescent="0.3">
      <c r="A244" s="10" t="s">
        <v>52</v>
      </c>
      <c r="B244" s="79" t="s">
        <v>10</v>
      </c>
      <c r="C244" s="79" t="s">
        <v>10</v>
      </c>
      <c r="D244" s="79" t="s">
        <v>10</v>
      </c>
      <c r="E244" s="79" t="s">
        <v>10</v>
      </c>
      <c r="F244" s="79" t="s">
        <v>10</v>
      </c>
      <c r="G244" s="79" t="s">
        <v>10</v>
      </c>
      <c r="H244" s="79" t="s">
        <v>10</v>
      </c>
      <c r="I244" s="79" t="s">
        <v>10</v>
      </c>
      <c r="J244" s="79" t="s">
        <v>10</v>
      </c>
      <c r="K244" s="32">
        <v>21757294</v>
      </c>
      <c r="L244" s="79" t="s">
        <v>10</v>
      </c>
      <c r="M244" s="79" t="s">
        <v>10</v>
      </c>
      <c r="N244" s="32">
        <v>30097632</v>
      </c>
      <c r="O244" s="32">
        <v>29459056</v>
      </c>
    </row>
    <row r="245" spans="1:16" ht="16.5" x14ac:dyDescent="0.3">
      <c r="A245" s="10" t="s">
        <v>11</v>
      </c>
      <c r="B245" s="79" t="s">
        <v>10</v>
      </c>
      <c r="C245" s="79" t="s">
        <v>10</v>
      </c>
      <c r="D245" s="79" t="s">
        <v>10</v>
      </c>
      <c r="E245" s="79" t="s">
        <v>10</v>
      </c>
      <c r="F245" s="79" t="s">
        <v>10</v>
      </c>
      <c r="G245" s="79" t="s">
        <v>10</v>
      </c>
      <c r="H245" s="79" t="s">
        <v>10</v>
      </c>
      <c r="I245" s="79" t="s">
        <v>10</v>
      </c>
      <c r="J245" s="32">
        <f>SUM(J243:J244)</f>
        <v>40573</v>
      </c>
      <c r="K245" s="32">
        <f t="shared" ref="K245:O245" si="47">SUM(K243:K244)</f>
        <v>21821086</v>
      </c>
      <c r="L245" s="32">
        <f t="shared" si="47"/>
        <v>51603</v>
      </c>
      <c r="M245" s="32">
        <f t="shared" si="47"/>
        <v>94398</v>
      </c>
      <c r="N245" s="32">
        <f t="shared" si="47"/>
        <v>30192336</v>
      </c>
      <c r="O245" s="32">
        <f t="shared" si="47"/>
        <v>29624583</v>
      </c>
    </row>
    <row r="246" spans="1:16" ht="16.5" x14ac:dyDescent="0.3">
      <c r="A246" s="10" t="s">
        <v>12</v>
      </c>
      <c r="B246" s="75" t="s">
        <v>10</v>
      </c>
      <c r="C246" s="75" t="s">
        <v>10</v>
      </c>
      <c r="D246" s="75" t="s">
        <v>10</v>
      </c>
      <c r="E246" s="75" t="s">
        <v>10</v>
      </c>
      <c r="F246" s="75" t="s">
        <v>10</v>
      </c>
      <c r="G246" s="75" t="s">
        <v>10</v>
      </c>
      <c r="H246" s="75" t="s">
        <v>10</v>
      </c>
      <c r="I246" s="75" t="s">
        <v>10</v>
      </c>
      <c r="J246" s="32">
        <f>AVERAGE(J243:J244)</f>
        <v>40573</v>
      </c>
      <c r="K246" s="32">
        <f t="shared" ref="K246:O246" si="48">AVERAGE(K243:K244)</f>
        <v>10910543</v>
      </c>
      <c r="L246" s="32">
        <f t="shared" si="48"/>
        <v>51603</v>
      </c>
      <c r="M246" s="32">
        <f t="shared" si="48"/>
        <v>94398</v>
      </c>
      <c r="N246" s="32">
        <f t="shared" si="48"/>
        <v>15096168</v>
      </c>
      <c r="O246" s="32">
        <f t="shared" si="48"/>
        <v>14812291.5</v>
      </c>
    </row>
    <row r="247" spans="1:16" ht="15.75" customHeight="1" x14ac:dyDescent="0.3">
      <c r="A247" s="10"/>
      <c r="B247" s="66"/>
      <c r="C247" s="66"/>
      <c r="D247" s="66"/>
      <c r="E247" s="66"/>
      <c r="F247" s="66"/>
      <c r="G247" s="66"/>
      <c r="H247" s="66"/>
      <c r="I247" s="66"/>
      <c r="J247" s="66"/>
      <c r="K247" s="66"/>
      <c r="L247" s="66"/>
      <c r="M247" s="66"/>
      <c r="N247" s="66"/>
      <c r="O247" s="66"/>
    </row>
    <row r="248" spans="1:16" ht="15.75" customHeight="1" x14ac:dyDescent="0.25">
      <c r="A248" s="11" t="s">
        <v>39</v>
      </c>
      <c r="B248" s="79" t="s">
        <v>10</v>
      </c>
      <c r="C248" s="79" t="s">
        <v>10</v>
      </c>
      <c r="D248" s="79" t="s">
        <v>10</v>
      </c>
      <c r="E248" s="79" t="s">
        <v>10</v>
      </c>
      <c r="F248" s="79" t="s">
        <v>10</v>
      </c>
      <c r="G248" s="79" t="s">
        <v>10</v>
      </c>
      <c r="H248" s="79" t="s">
        <v>10</v>
      </c>
      <c r="I248" s="79" t="s">
        <v>10</v>
      </c>
      <c r="J248" s="79" t="s">
        <v>10</v>
      </c>
      <c r="K248" s="79" t="s">
        <v>10</v>
      </c>
      <c r="L248" s="79" t="s">
        <v>10</v>
      </c>
      <c r="M248" s="79" t="s">
        <v>10</v>
      </c>
      <c r="N248" s="79" t="s">
        <v>10</v>
      </c>
      <c r="O248" s="16">
        <v>335.82</v>
      </c>
    </row>
    <row r="249" spans="1:16" ht="15.75" customHeight="1" x14ac:dyDescent="0.3">
      <c r="A249" s="10" t="s">
        <v>53</v>
      </c>
      <c r="B249" s="79" t="s">
        <v>10</v>
      </c>
      <c r="C249" s="79" t="s">
        <v>10</v>
      </c>
      <c r="D249" s="79" t="s">
        <v>10</v>
      </c>
      <c r="E249" s="79" t="s">
        <v>10</v>
      </c>
      <c r="F249" s="79" t="s">
        <v>10</v>
      </c>
      <c r="G249" s="79" t="s">
        <v>10</v>
      </c>
      <c r="H249" s="79" t="s">
        <v>10</v>
      </c>
      <c r="I249" s="79" t="s">
        <v>10</v>
      </c>
      <c r="J249" s="79" t="s">
        <v>10</v>
      </c>
      <c r="K249" s="79" t="s">
        <v>10</v>
      </c>
      <c r="L249" s="79" t="s">
        <v>10</v>
      </c>
      <c r="M249" s="79" t="s">
        <v>10</v>
      </c>
      <c r="N249" s="79" t="s">
        <v>10</v>
      </c>
      <c r="O249" s="16">
        <v>335.82</v>
      </c>
    </row>
    <row r="250" spans="1:16" ht="15.75" customHeight="1" x14ac:dyDescent="0.25">
      <c r="A250"/>
    </row>
    <row r="251" spans="1:16" ht="15.75" customHeight="1" x14ac:dyDescent="0.25">
      <c r="A251"/>
    </row>
    <row r="252" spans="1:16" ht="15.75" customHeight="1" x14ac:dyDescent="0.25">
      <c r="A252"/>
    </row>
    <row r="253" spans="1:16" ht="18" x14ac:dyDescent="0.25">
      <c r="A253" s="91" t="s">
        <v>0</v>
      </c>
      <c r="B253" s="92" t="s">
        <v>24</v>
      </c>
      <c r="C253" s="92" t="s">
        <v>25</v>
      </c>
      <c r="D253" s="92" t="s">
        <v>26</v>
      </c>
      <c r="E253" s="92" t="s">
        <v>27</v>
      </c>
      <c r="F253" s="92" t="s">
        <v>28</v>
      </c>
      <c r="G253" s="92" t="s">
        <v>29</v>
      </c>
      <c r="H253" s="92" t="s">
        <v>30</v>
      </c>
      <c r="I253" s="92" t="s">
        <v>31</v>
      </c>
      <c r="J253" s="92" t="s">
        <v>32</v>
      </c>
      <c r="K253" s="92" t="s">
        <v>33</v>
      </c>
      <c r="L253" s="92" t="s">
        <v>34</v>
      </c>
      <c r="M253" s="92" t="s">
        <v>35</v>
      </c>
      <c r="N253" s="92" t="s">
        <v>36</v>
      </c>
      <c r="O253" s="92" t="s">
        <v>37</v>
      </c>
    </row>
    <row r="254" spans="1:16" ht="18" x14ac:dyDescent="0.25">
      <c r="A254" s="45" t="s">
        <v>22</v>
      </c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</row>
    <row r="255" spans="1:16" ht="16.5" x14ac:dyDescent="0.3">
      <c r="A255" s="10" t="s">
        <v>2</v>
      </c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2"/>
    </row>
    <row r="256" spans="1:16" ht="16.5" x14ac:dyDescent="0.3">
      <c r="A256" s="10" t="s">
        <v>40</v>
      </c>
      <c r="B256" s="32">
        <v>19000</v>
      </c>
      <c r="C256" s="32">
        <v>18000</v>
      </c>
      <c r="D256" s="32">
        <v>16000</v>
      </c>
      <c r="E256" s="32">
        <v>15000</v>
      </c>
      <c r="F256" s="32">
        <v>14000</v>
      </c>
      <c r="G256" s="32">
        <v>13000</v>
      </c>
      <c r="H256" s="32">
        <v>13000</v>
      </c>
      <c r="I256" s="32">
        <v>13000</v>
      </c>
      <c r="J256" s="32">
        <v>12000</v>
      </c>
      <c r="K256" s="32">
        <v>12000</v>
      </c>
      <c r="L256" s="32">
        <v>13000</v>
      </c>
      <c r="M256" s="32">
        <v>13000</v>
      </c>
      <c r="N256" s="32">
        <v>13000</v>
      </c>
      <c r="O256" s="32">
        <v>13000</v>
      </c>
      <c r="P256" s="2"/>
    </row>
    <row r="257" spans="1:18" ht="16.5" x14ac:dyDescent="0.3">
      <c r="A257" s="10" t="s">
        <v>41</v>
      </c>
      <c r="B257" s="32">
        <v>74000</v>
      </c>
      <c r="C257" s="32">
        <v>72000</v>
      </c>
      <c r="D257" s="32">
        <v>73000</v>
      </c>
      <c r="E257" s="32">
        <v>71000</v>
      </c>
      <c r="F257" s="32">
        <v>71000</v>
      </c>
      <c r="G257" s="32">
        <v>70000</v>
      </c>
      <c r="H257" s="32">
        <v>70000</v>
      </c>
      <c r="I257" s="32">
        <v>68000</v>
      </c>
      <c r="J257" s="32">
        <v>67000</v>
      </c>
      <c r="K257" s="32">
        <v>64000</v>
      </c>
      <c r="L257" s="32">
        <v>62000</v>
      </c>
      <c r="M257" s="32">
        <v>59000</v>
      </c>
      <c r="N257" s="32">
        <v>57000</v>
      </c>
      <c r="O257" s="32">
        <v>56000</v>
      </c>
    </row>
    <row r="258" spans="1:18" ht="16.5" x14ac:dyDescent="0.3">
      <c r="A258" s="10" t="s">
        <v>42</v>
      </c>
      <c r="B258" s="32">
        <v>1700000</v>
      </c>
      <c r="C258" s="32">
        <v>1800000</v>
      </c>
      <c r="D258" s="32">
        <v>1900000</v>
      </c>
      <c r="E258" s="32">
        <v>1900000</v>
      </c>
      <c r="F258" s="32">
        <v>2000000</v>
      </c>
      <c r="G258" s="32">
        <v>2000000</v>
      </c>
      <c r="H258" s="32">
        <v>2100000</v>
      </c>
      <c r="I258" s="32">
        <v>2100000</v>
      </c>
      <c r="J258" s="32">
        <v>2100000</v>
      </c>
      <c r="K258" s="32">
        <v>2200000</v>
      </c>
      <c r="L258" s="32">
        <v>2200000</v>
      </c>
      <c r="M258" s="32">
        <v>2300000</v>
      </c>
      <c r="N258" s="32">
        <v>2300000</v>
      </c>
      <c r="O258" s="32">
        <v>2300000</v>
      </c>
      <c r="P258" s="2"/>
      <c r="Q258" s="2"/>
      <c r="R258" s="2"/>
    </row>
    <row r="259" spans="1:18" ht="16.5" x14ac:dyDescent="0.3">
      <c r="A259" s="10" t="s">
        <v>43</v>
      </c>
      <c r="B259" s="32">
        <v>74000</v>
      </c>
      <c r="C259" s="32">
        <v>72000</v>
      </c>
      <c r="D259" s="32">
        <v>73000</v>
      </c>
      <c r="E259" s="32">
        <v>71000</v>
      </c>
      <c r="F259" s="32">
        <v>71000</v>
      </c>
      <c r="G259" s="32">
        <v>70000</v>
      </c>
      <c r="H259" s="32">
        <v>70000</v>
      </c>
      <c r="I259" s="32">
        <v>68000</v>
      </c>
      <c r="J259" s="32">
        <v>67000</v>
      </c>
      <c r="K259" s="32">
        <v>64000</v>
      </c>
      <c r="L259" s="32">
        <v>62000</v>
      </c>
      <c r="M259" s="32">
        <v>59000</v>
      </c>
      <c r="N259" s="32">
        <v>57000</v>
      </c>
      <c r="O259" s="32">
        <v>56000</v>
      </c>
      <c r="P259" s="2"/>
      <c r="Q259" s="2"/>
    </row>
    <row r="260" spans="1:18" ht="16.5" x14ac:dyDescent="0.3">
      <c r="A260" s="10" t="s">
        <v>44</v>
      </c>
      <c r="B260" s="32">
        <v>19000</v>
      </c>
      <c r="C260" s="32">
        <v>18000</v>
      </c>
      <c r="D260" s="32">
        <v>16000</v>
      </c>
      <c r="E260" s="32">
        <v>15000</v>
      </c>
      <c r="F260" s="32">
        <v>14000</v>
      </c>
      <c r="G260" s="32">
        <v>13000</v>
      </c>
      <c r="H260" s="32">
        <v>13000</v>
      </c>
      <c r="I260" s="32">
        <v>13000</v>
      </c>
      <c r="J260" s="32">
        <v>12000</v>
      </c>
      <c r="K260" s="32">
        <v>12000</v>
      </c>
      <c r="L260" s="32">
        <v>13000</v>
      </c>
      <c r="M260" s="32">
        <v>13000</v>
      </c>
      <c r="N260" s="32">
        <v>13000</v>
      </c>
      <c r="O260" s="32">
        <v>13000</v>
      </c>
      <c r="P260" s="2"/>
      <c r="Q260" s="2"/>
    </row>
    <row r="261" spans="1:18" ht="16.5" x14ac:dyDescent="0.3">
      <c r="A261" s="10" t="s">
        <v>3</v>
      </c>
      <c r="B261" s="32">
        <f t="shared" ref="B261:O261" si="49">SUM(B256:B260)</f>
        <v>1886000</v>
      </c>
      <c r="C261" s="32">
        <f t="shared" si="49"/>
        <v>1980000</v>
      </c>
      <c r="D261" s="32">
        <f t="shared" si="49"/>
        <v>2078000</v>
      </c>
      <c r="E261" s="32">
        <f t="shared" si="49"/>
        <v>2072000</v>
      </c>
      <c r="F261" s="32">
        <f t="shared" si="49"/>
        <v>2170000</v>
      </c>
      <c r="G261" s="32">
        <f t="shared" si="49"/>
        <v>2166000</v>
      </c>
      <c r="H261" s="32">
        <f t="shared" si="49"/>
        <v>2266000</v>
      </c>
      <c r="I261" s="32">
        <f t="shared" si="49"/>
        <v>2262000</v>
      </c>
      <c r="J261" s="32">
        <f t="shared" si="49"/>
        <v>2258000</v>
      </c>
      <c r="K261" s="32">
        <f t="shared" si="49"/>
        <v>2352000</v>
      </c>
      <c r="L261" s="32">
        <f t="shared" si="49"/>
        <v>2350000</v>
      </c>
      <c r="M261" s="32">
        <f t="shared" si="49"/>
        <v>2444000</v>
      </c>
      <c r="N261" s="32">
        <f t="shared" si="49"/>
        <v>2440000</v>
      </c>
      <c r="O261" s="32">
        <f t="shared" si="49"/>
        <v>2438000</v>
      </c>
    </row>
    <row r="262" spans="1:18" ht="16.5" x14ac:dyDescent="0.3">
      <c r="A262" s="10" t="s">
        <v>4</v>
      </c>
      <c r="B262" s="32">
        <f t="shared" ref="B262:O262" si="50">AVERAGE(B256:B260)</f>
        <v>377200</v>
      </c>
      <c r="C262" s="32">
        <f t="shared" si="50"/>
        <v>396000</v>
      </c>
      <c r="D262" s="32">
        <f t="shared" si="50"/>
        <v>415600</v>
      </c>
      <c r="E262" s="32">
        <f t="shared" si="50"/>
        <v>414400</v>
      </c>
      <c r="F262" s="32">
        <f t="shared" si="50"/>
        <v>434000</v>
      </c>
      <c r="G262" s="32">
        <f t="shared" si="50"/>
        <v>433200</v>
      </c>
      <c r="H262" s="32">
        <f t="shared" si="50"/>
        <v>453200</v>
      </c>
      <c r="I262" s="32">
        <f t="shared" si="50"/>
        <v>452400</v>
      </c>
      <c r="J262" s="32">
        <f t="shared" si="50"/>
        <v>451600</v>
      </c>
      <c r="K262" s="32">
        <f t="shared" si="50"/>
        <v>470400</v>
      </c>
      <c r="L262" s="32">
        <f t="shared" si="50"/>
        <v>470000</v>
      </c>
      <c r="M262" s="32">
        <f t="shared" si="50"/>
        <v>488800</v>
      </c>
      <c r="N262" s="32">
        <f t="shared" si="50"/>
        <v>488000</v>
      </c>
      <c r="O262" s="32">
        <f t="shared" si="50"/>
        <v>487600</v>
      </c>
    </row>
    <row r="263" spans="1:18" ht="16.5" x14ac:dyDescent="0.3">
      <c r="A263" s="10"/>
      <c r="B263" s="75"/>
      <c r="C263" s="75"/>
      <c r="D263" s="75"/>
      <c r="E263" s="75"/>
      <c r="F263" s="75"/>
      <c r="G263" s="75"/>
      <c r="H263" s="75"/>
      <c r="I263" s="75"/>
      <c r="J263" s="75"/>
      <c r="K263" s="75"/>
      <c r="L263" s="75"/>
      <c r="M263" s="75"/>
      <c r="N263" s="75"/>
      <c r="O263" s="75"/>
    </row>
    <row r="264" spans="1:18" ht="15" x14ac:dyDescent="0.2">
      <c r="A264" s="11" t="s">
        <v>5</v>
      </c>
      <c r="B264" s="75"/>
      <c r="C264" s="75"/>
      <c r="D264" s="75"/>
      <c r="E264" s="75"/>
      <c r="F264" s="75"/>
      <c r="G264" s="75"/>
      <c r="H264" s="75"/>
      <c r="I264" s="75"/>
      <c r="J264" s="75"/>
      <c r="K264" s="75"/>
      <c r="L264" s="75"/>
      <c r="M264" s="75"/>
      <c r="N264" s="75"/>
      <c r="O264" s="75"/>
    </row>
    <row r="265" spans="1:18" ht="16.5" x14ac:dyDescent="0.3">
      <c r="A265" s="10" t="s">
        <v>45</v>
      </c>
      <c r="B265" s="39">
        <f t="array" ref="B265">_xlfn.FORECAST.LINEAR(2010, {84,86,87,87,88,89,89}, {2015,2016,2017,2018,2019,2021,2022})</f>
        <v>81.73913043478251</v>
      </c>
      <c r="C265" s="39">
        <f t="array" ref="C265">_xlfn.FORECAST.LINEAR(2011, {84,86,87,87,88,89,89}, {2015,2016,2017,2018,2019,2021,2022})</f>
        <v>82.391304347826008</v>
      </c>
      <c r="D265" s="39">
        <f t="array" ref="D265">_xlfn.FORECAST.LINEAR(2012, {84,86,87,87,88,89,89}, {2015,2016,2017,2018,2019,2021,2022})</f>
        <v>83.043478260869506</v>
      </c>
      <c r="E265" s="39">
        <f t="array" ref="E265">_xlfn.FORECAST.LINEAR(2013, {84,86,87,87,88,89,89}, {2015,2016,2017,2018,2019,2021,2022})</f>
        <v>83.695652173913004</v>
      </c>
      <c r="F265" s="39">
        <f t="array" ref="F265">_xlfn.FORECAST.LINEAR(2014, {84,86,87,87,88,89,89}, {2015,2016,2017,2018,2019,2021,2022})</f>
        <v>84.347826086956502</v>
      </c>
      <c r="G265" s="16">
        <v>84</v>
      </c>
      <c r="H265" s="16">
        <v>86</v>
      </c>
      <c r="I265" s="16">
        <v>87</v>
      </c>
      <c r="J265" s="16">
        <v>87</v>
      </c>
      <c r="K265" s="16">
        <v>88</v>
      </c>
      <c r="L265" s="39">
        <f t="array" ref="L265">_xlfn.FORECAST.LINEAR(2020, {84,86,87,87,88,89,89}, {2015,2016,2017,2018,2019,2021,2022})</f>
        <v>88.260869565217263</v>
      </c>
      <c r="M265" s="16">
        <v>89</v>
      </c>
      <c r="N265" s="16">
        <v>89</v>
      </c>
      <c r="O265" s="39">
        <f t="array" ref="O265">_xlfn.FORECAST.LINEAR(2023, {84,86,87,87,88,89,89}, {2015,2016,2017,2018,2019,2021,2022})</f>
        <v>90.217391304347757</v>
      </c>
    </row>
    <row r="266" spans="1:18" ht="16.5" x14ac:dyDescent="0.3">
      <c r="A266" s="10" t="s">
        <v>46</v>
      </c>
      <c r="B266" s="93">
        <f t="array" ref="B266">_xlfn.FORECAST.LINEAR(2010, {68,70,71,73,74,74,74,75,77}, {2015,2016,2017,2018,2019,2020,2021,2022,2023})</f>
        <v>64.188888888888869</v>
      </c>
      <c r="C266" s="93">
        <f t="array" ref="C266">_xlfn.FORECAST.LINEAR(2011, {68,70,71,73,74,74,74,75,77}, {2015,2016,2017,2018,2019,2020,2021,2022,2023})</f>
        <v>65.155555555555566</v>
      </c>
      <c r="D266" s="93">
        <f t="array" ref="D266">_xlfn.FORECAST.LINEAR(2012, {68,70,71,73,74,74,74,75,77}, {2015,2016,2017,2018,2019,2020,2021,2022,2023})</f>
        <v>66.122222222222263</v>
      </c>
      <c r="E266" s="93">
        <f t="array" ref="E266">_xlfn.FORECAST.LINEAR(2013, {68,70,71,73,74,74,74,75,77}, {2015,2016,2017,2018,2019,2020,2021,2022,2023})</f>
        <v>67.08888888888896</v>
      </c>
      <c r="F266" s="93">
        <f t="array" ref="F266">_xlfn.FORECAST.LINEAR(2014, {68,70,71,73,74,74,74,75,77}, {2015,2016,2017,2018,2019,2020,2021,2022,2023})</f>
        <v>68.055555555555657</v>
      </c>
      <c r="G266" s="16">
        <v>68</v>
      </c>
      <c r="H266" s="16">
        <v>70</v>
      </c>
      <c r="I266" s="16">
        <v>71</v>
      </c>
      <c r="J266" s="16">
        <v>73</v>
      </c>
      <c r="K266" s="16">
        <v>74</v>
      </c>
      <c r="L266" s="16">
        <v>74</v>
      </c>
      <c r="M266" s="16">
        <v>74</v>
      </c>
      <c r="N266" s="16">
        <v>75</v>
      </c>
      <c r="O266" s="16">
        <v>77</v>
      </c>
      <c r="P266" s="2"/>
    </row>
    <row r="267" spans="1:18" ht="16.5" x14ac:dyDescent="0.3">
      <c r="A267" s="10" t="s">
        <v>47</v>
      </c>
      <c r="B267" s="39">
        <f t="array" ref="B267">_xlfn.FORECAST.LINEAR(2010, {61,64,66,67,69,70,70}, {2015,2016,2017,2018,2019,2021,2022})</f>
        <v>56.507246376811963</v>
      </c>
      <c r="C267" s="39">
        <f t="array" ref="C267">_xlfn.FORECAST.LINEAR(2011, {61,64,66,67,69,70,70}, {2015,2016,2017,2018,2019,2021,2022})</f>
        <v>57.739130434782965</v>
      </c>
      <c r="D267" s="39">
        <f t="array" ref="D267">_xlfn.FORECAST.LINEAR(2012, {61,64,66,67,69,70,70}, {2015,2016,2017,2018,2019,2021,2022})</f>
        <v>58.971014492753966</v>
      </c>
      <c r="E267" s="39">
        <f t="array" ref="E267">_xlfn.FORECAST.LINEAR(2013, {61,64,66,67,69,70,70}, {2015,2016,2017,2018,2019,2021,2022})</f>
        <v>60.202898550724967</v>
      </c>
      <c r="F267" s="39">
        <f t="array" ref="F267">_xlfn.FORECAST.LINEAR(2014, {61,64,66,67,69,70,70}, {2015,2016,2017,2018,2019,2021,2022})</f>
        <v>61.434782608695969</v>
      </c>
      <c r="G267" s="16">
        <v>61</v>
      </c>
      <c r="H267" s="16">
        <v>64</v>
      </c>
      <c r="I267" s="16">
        <v>66</v>
      </c>
      <c r="J267" s="16">
        <v>67</v>
      </c>
      <c r="K267" s="16">
        <v>69</v>
      </c>
      <c r="L267" s="39">
        <f t="array" ref="L267">_xlfn.FORECAST.LINEAR(2020, {61,64,66,67,69,70,70}, {2015,2016,2017,2018,2019,2021,2022})</f>
        <v>68.826086956521976</v>
      </c>
      <c r="M267" s="16">
        <v>70</v>
      </c>
      <c r="N267" s="16">
        <v>70</v>
      </c>
      <c r="O267" s="39">
        <f t="array" ref="O267">_xlfn.FORECAST.LINEAR(2023, {61,64,66,67,69,70,70}, {2015,2016,2017,2018,2019,2021,2022})</f>
        <v>72.52173913043498</v>
      </c>
    </row>
    <row r="268" spans="1:18" ht="16.5" x14ac:dyDescent="0.3">
      <c r="A268" s="10" t="s">
        <v>6</v>
      </c>
      <c r="B268" s="34">
        <f t="shared" ref="B268:O268" si="51">AVERAGE(B265:B267)</f>
        <v>67.478421900161109</v>
      </c>
      <c r="C268" s="34">
        <f t="shared" si="51"/>
        <v>68.428663446054841</v>
      </c>
      <c r="D268" s="34">
        <f t="shared" si="51"/>
        <v>69.378904991948573</v>
      </c>
      <c r="E268" s="34">
        <f t="shared" si="51"/>
        <v>70.329146537842306</v>
      </c>
      <c r="F268" s="34">
        <f t="shared" si="51"/>
        <v>71.279388083736038</v>
      </c>
      <c r="G268" s="34">
        <f t="shared" si="51"/>
        <v>71</v>
      </c>
      <c r="H268" s="34">
        <f t="shared" si="51"/>
        <v>73.333333333333329</v>
      </c>
      <c r="I268" s="34">
        <f t="shared" si="51"/>
        <v>74.666666666666671</v>
      </c>
      <c r="J268" s="34">
        <f t="shared" si="51"/>
        <v>75.666666666666671</v>
      </c>
      <c r="K268" s="34">
        <f t="shared" si="51"/>
        <v>77</v>
      </c>
      <c r="L268" s="34">
        <f t="shared" si="51"/>
        <v>77.028985507246418</v>
      </c>
      <c r="M268" s="34">
        <f t="shared" si="51"/>
        <v>77.666666666666671</v>
      </c>
      <c r="N268" s="34">
        <f t="shared" si="51"/>
        <v>78</v>
      </c>
      <c r="O268" s="34">
        <f t="shared" si="51"/>
        <v>79.913043478260917</v>
      </c>
      <c r="P268" s="2"/>
    </row>
    <row r="269" spans="1:18" ht="16.5" x14ac:dyDescent="0.3">
      <c r="A269" s="10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2"/>
    </row>
    <row r="270" spans="1:18" ht="15" x14ac:dyDescent="0.2">
      <c r="A270" s="11" t="s">
        <v>7</v>
      </c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75"/>
    </row>
    <row r="271" spans="1:18" ht="16.5" x14ac:dyDescent="0.3">
      <c r="A271" s="10" t="s">
        <v>48</v>
      </c>
      <c r="B271" s="79" t="s">
        <v>10</v>
      </c>
      <c r="C271" s="79" t="s">
        <v>10</v>
      </c>
      <c r="D271" s="79" t="s">
        <v>10</v>
      </c>
      <c r="E271" s="79" t="s">
        <v>10</v>
      </c>
      <c r="F271" s="79" t="s">
        <v>10</v>
      </c>
      <c r="G271" s="79" t="s">
        <v>10</v>
      </c>
      <c r="H271" s="79" t="s">
        <v>10</v>
      </c>
      <c r="I271" s="79" t="s">
        <v>10</v>
      </c>
      <c r="J271" s="79" t="s">
        <v>10</v>
      </c>
      <c r="K271" s="79" t="s">
        <v>10</v>
      </c>
      <c r="L271" s="79" t="s">
        <v>10</v>
      </c>
      <c r="M271" s="79" t="s">
        <v>10</v>
      </c>
      <c r="N271" s="79" t="s">
        <v>10</v>
      </c>
      <c r="O271" s="79" t="s">
        <v>10</v>
      </c>
    </row>
    <row r="272" spans="1:18" ht="16.5" x14ac:dyDescent="0.3">
      <c r="A272" s="10" t="s">
        <v>49</v>
      </c>
      <c r="B272" s="79" t="s">
        <v>10</v>
      </c>
      <c r="C272" s="79" t="s">
        <v>10</v>
      </c>
      <c r="D272" s="79" t="s">
        <v>10</v>
      </c>
      <c r="E272" s="79" t="s">
        <v>10</v>
      </c>
      <c r="F272" s="79" t="s">
        <v>10</v>
      </c>
      <c r="G272" s="79" t="s">
        <v>10</v>
      </c>
      <c r="H272" s="79" t="s">
        <v>10</v>
      </c>
      <c r="I272" s="79" t="s">
        <v>10</v>
      </c>
      <c r="J272" s="79" t="s">
        <v>10</v>
      </c>
      <c r="K272" s="79" t="s">
        <v>10</v>
      </c>
      <c r="L272" s="79" t="s">
        <v>10</v>
      </c>
      <c r="M272" s="79" t="s">
        <v>10</v>
      </c>
      <c r="N272" s="79" t="s">
        <v>10</v>
      </c>
      <c r="O272" s="79" t="s">
        <v>10</v>
      </c>
      <c r="Q272" s="2"/>
    </row>
    <row r="273" spans="1:15" ht="16.5" x14ac:dyDescent="0.3">
      <c r="A273" s="10" t="s">
        <v>50</v>
      </c>
      <c r="B273" s="79" t="s">
        <v>10</v>
      </c>
      <c r="C273" s="79" t="s">
        <v>10</v>
      </c>
      <c r="D273" s="79" t="s">
        <v>10</v>
      </c>
      <c r="E273" s="79" t="s">
        <v>10</v>
      </c>
      <c r="F273" s="79" t="s">
        <v>10</v>
      </c>
      <c r="G273" s="79" t="s">
        <v>10</v>
      </c>
      <c r="H273" s="79" t="s">
        <v>10</v>
      </c>
      <c r="I273" s="79" t="s">
        <v>10</v>
      </c>
      <c r="J273" s="79" t="s">
        <v>10</v>
      </c>
      <c r="K273" s="79" t="s">
        <v>10</v>
      </c>
      <c r="L273" s="79" t="s">
        <v>10</v>
      </c>
      <c r="M273" s="79" t="s">
        <v>10</v>
      </c>
      <c r="N273" s="79" t="s">
        <v>10</v>
      </c>
      <c r="O273" s="79" t="s">
        <v>10</v>
      </c>
    </row>
    <row r="274" spans="1:15" ht="16.5" x14ac:dyDescent="0.3">
      <c r="A274" s="10" t="s">
        <v>51</v>
      </c>
      <c r="B274" s="16">
        <v>10</v>
      </c>
      <c r="C274" s="16">
        <v>10</v>
      </c>
      <c r="D274" s="16">
        <v>12</v>
      </c>
      <c r="E274" s="16">
        <v>12</v>
      </c>
      <c r="F274" s="16">
        <v>16</v>
      </c>
      <c r="G274" s="16">
        <v>18</v>
      </c>
      <c r="H274" s="16">
        <v>25</v>
      </c>
      <c r="I274" s="16">
        <v>28</v>
      </c>
      <c r="J274" s="16">
        <v>28</v>
      </c>
      <c r="K274" s="16">
        <v>34</v>
      </c>
      <c r="L274" s="16">
        <v>28</v>
      </c>
      <c r="M274" s="16">
        <v>26</v>
      </c>
      <c r="N274" s="16">
        <v>24</v>
      </c>
      <c r="O274" s="16">
        <v>26</v>
      </c>
    </row>
    <row r="275" spans="1:15" ht="16.5" x14ac:dyDescent="0.3">
      <c r="A275" s="10" t="s">
        <v>8</v>
      </c>
      <c r="B275" s="16">
        <f t="shared" ref="B275:O275" si="52">SUM(B271:B274)</f>
        <v>10</v>
      </c>
      <c r="C275" s="16">
        <f t="shared" si="52"/>
        <v>10</v>
      </c>
      <c r="D275" s="16">
        <f t="shared" si="52"/>
        <v>12</v>
      </c>
      <c r="E275" s="16">
        <f t="shared" si="52"/>
        <v>12</v>
      </c>
      <c r="F275" s="16">
        <f t="shared" si="52"/>
        <v>16</v>
      </c>
      <c r="G275" s="16">
        <f t="shared" si="52"/>
        <v>18</v>
      </c>
      <c r="H275" s="16">
        <f t="shared" si="52"/>
        <v>25</v>
      </c>
      <c r="I275" s="16">
        <f t="shared" si="52"/>
        <v>28</v>
      </c>
      <c r="J275" s="16">
        <f t="shared" si="52"/>
        <v>28</v>
      </c>
      <c r="K275" s="16">
        <f t="shared" si="52"/>
        <v>34</v>
      </c>
      <c r="L275" s="16">
        <f t="shared" si="52"/>
        <v>28</v>
      </c>
      <c r="M275" s="16">
        <f t="shared" si="52"/>
        <v>26</v>
      </c>
      <c r="N275" s="16">
        <f t="shared" si="52"/>
        <v>24</v>
      </c>
      <c r="O275" s="16">
        <f t="shared" si="52"/>
        <v>26</v>
      </c>
    </row>
    <row r="276" spans="1:15" ht="16.5" x14ac:dyDescent="0.3">
      <c r="A276" s="10" t="s">
        <v>9</v>
      </c>
      <c r="B276" s="8">
        <f t="shared" ref="B276:O276" si="53">AVERAGE(B271:B274)</f>
        <v>10</v>
      </c>
      <c r="C276" s="8">
        <f t="shared" si="53"/>
        <v>10</v>
      </c>
      <c r="D276" s="8">
        <f t="shared" si="53"/>
        <v>12</v>
      </c>
      <c r="E276" s="8">
        <f t="shared" si="53"/>
        <v>12</v>
      </c>
      <c r="F276" s="8">
        <f t="shared" si="53"/>
        <v>16</v>
      </c>
      <c r="G276" s="8">
        <f t="shared" si="53"/>
        <v>18</v>
      </c>
      <c r="H276" s="8">
        <f t="shared" si="53"/>
        <v>25</v>
      </c>
      <c r="I276" s="8">
        <f t="shared" si="53"/>
        <v>28</v>
      </c>
      <c r="J276" s="8">
        <f t="shared" si="53"/>
        <v>28</v>
      </c>
      <c r="K276" s="8">
        <f t="shared" si="53"/>
        <v>34</v>
      </c>
      <c r="L276" s="8">
        <f t="shared" si="53"/>
        <v>28</v>
      </c>
      <c r="M276" s="8">
        <f t="shared" si="53"/>
        <v>26</v>
      </c>
      <c r="N276" s="8">
        <f t="shared" si="53"/>
        <v>24</v>
      </c>
      <c r="O276" s="8">
        <f t="shared" si="53"/>
        <v>26</v>
      </c>
    </row>
    <row r="277" spans="1:15" ht="16.5" x14ac:dyDescent="0.3">
      <c r="A277" s="10"/>
      <c r="B277" s="66"/>
      <c r="C277" s="66"/>
      <c r="D277" s="66"/>
      <c r="E277" s="66"/>
      <c r="F277" s="66"/>
      <c r="G277" s="66"/>
      <c r="H277" s="66"/>
      <c r="I277" s="66"/>
      <c r="J277" s="66"/>
      <c r="K277" s="66"/>
      <c r="L277" s="66"/>
      <c r="M277" s="66"/>
      <c r="N277" s="66"/>
      <c r="O277" s="66"/>
    </row>
    <row r="278" spans="1:15" ht="15" x14ac:dyDescent="0.2">
      <c r="A278" s="11" t="s">
        <v>38</v>
      </c>
      <c r="B278" s="66"/>
      <c r="C278" s="66"/>
      <c r="D278" s="66"/>
      <c r="E278" s="66"/>
      <c r="F278" s="66"/>
      <c r="G278" s="66"/>
      <c r="H278" s="66"/>
      <c r="I278" s="66"/>
      <c r="J278" s="66"/>
      <c r="K278" s="66"/>
      <c r="L278" s="66"/>
      <c r="M278" s="66"/>
      <c r="N278" s="66"/>
      <c r="O278" s="66"/>
    </row>
    <row r="279" spans="1:15" ht="16.5" x14ac:dyDescent="0.3">
      <c r="A279" s="10" t="s">
        <v>54</v>
      </c>
      <c r="B279" s="79" t="s">
        <v>10</v>
      </c>
      <c r="C279" s="79" t="s">
        <v>10</v>
      </c>
      <c r="D279" s="79" t="s">
        <v>10</v>
      </c>
      <c r="E279" s="79" t="s">
        <v>10</v>
      </c>
      <c r="F279" s="79" t="s">
        <v>10</v>
      </c>
      <c r="G279" s="79" t="s">
        <v>10</v>
      </c>
      <c r="H279" s="79" t="s">
        <v>10</v>
      </c>
      <c r="I279" s="79" t="s">
        <v>10</v>
      </c>
      <c r="J279" s="68">
        <v>10331</v>
      </c>
      <c r="K279" s="68">
        <v>24408</v>
      </c>
      <c r="L279" s="68">
        <v>31682</v>
      </c>
      <c r="M279" s="68">
        <v>32823</v>
      </c>
      <c r="N279" s="68">
        <v>33543</v>
      </c>
      <c r="O279" s="68">
        <v>50806</v>
      </c>
    </row>
    <row r="280" spans="1:15" ht="16.5" x14ac:dyDescent="0.3">
      <c r="A280" s="10" t="s">
        <v>52</v>
      </c>
      <c r="B280" s="79" t="s">
        <v>10</v>
      </c>
      <c r="C280" s="79" t="s">
        <v>10</v>
      </c>
      <c r="D280" s="79" t="s">
        <v>10</v>
      </c>
      <c r="E280" s="79" t="s">
        <v>10</v>
      </c>
      <c r="F280" s="79" t="s">
        <v>10</v>
      </c>
      <c r="G280" s="79" t="s">
        <v>10</v>
      </c>
      <c r="H280" s="79" t="s">
        <v>10</v>
      </c>
      <c r="I280" s="79" t="s">
        <v>10</v>
      </c>
      <c r="J280" s="94" t="s">
        <v>10</v>
      </c>
      <c r="K280" s="68">
        <v>2619989</v>
      </c>
      <c r="L280" s="94" t="s">
        <v>10</v>
      </c>
      <c r="M280" s="94" t="s">
        <v>10</v>
      </c>
      <c r="N280" s="68">
        <v>2919306</v>
      </c>
      <c r="O280" s="68">
        <v>2989585</v>
      </c>
    </row>
    <row r="281" spans="1:15" ht="16.5" x14ac:dyDescent="0.3">
      <c r="A281" s="10" t="s">
        <v>11</v>
      </c>
      <c r="B281" s="79" t="s">
        <v>10</v>
      </c>
      <c r="C281" s="79" t="s">
        <v>10</v>
      </c>
      <c r="D281" s="79" t="s">
        <v>10</v>
      </c>
      <c r="E281" s="79" t="s">
        <v>10</v>
      </c>
      <c r="F281" s="79" t="s">
        <v>10</v>
      </c>
      <c r="G281" s="79" t="s">
        <v>10</v>
      </c>
      <c r="H281" s="79" t="s">
        <v>10</v>
      </c>
      <c r="I281" s="79" t="s">
        <v>10</v>
      </c>
      <c r="J281" s="81">
        <f>SUM(J279:J280)</f>
        <v>10331</v>
      </c>
      <c r="K281" s="81">
        <f t="shared" ref="K281:O281" si="54">SUM(K279:K280)</f>
        <v>2644397</v>
      </c>
      <c r="L281" s="81">
        <f t="shared" si="54"/>
        <v>31682</v>
      </c>
      <c r="M281" s="81">
        <f t="shared" si="54"/>
        <v>32823</v>
      </c>
      <c r="N281" s="81">
        <f t="shared" si="54"/>
        <v>2952849</v>
      </c>
      <c r="O281" s="81">
        <f t="shared" si="54"/>
        <v>3040391</v>
      </c>
    </row>
    <row r="282" spans="1:15" ht="16.5" x14ac:dyDescent="0.3">
      <c r="A282" s="10" t="s">
        <v>12</v>
      </c>
      <c r="B282" s="79" t="s">
        <v>10</v>
      </c>
      <c r="C282" s="79" t="s">
        <v>10</v>
      </c>
      <c r="D282" s="79" t="s">
        <v>10</v>
      </c>
      <c r="E282" s="79" t="s">
        <v>10</v>
      </c>
      <c r="F282" s="79" t="s">
        <v>10</v>
      </c>
      <c r="G282" s="79" t="s">
        <v>10</v>
      </c>
      <c r="H282" s="79" t="s">
        <v>10</v>
      </c>
      <c r="I282" s="79" t="s">
        <v>10</v>
      </c>
      <c r="J282" s="81">
        <f>AVERAGE(J279:J280)</f>
        <v>10331</v>
      </c>
      <c r="K282" s="81">
        <f t="shared" ref="K282:O282" si="55">AVERAGE(K279:K280)</f>
        <v>1322198.5</v>
      </c>
      <c r="L282" s="81">
        <f t="shared" si="55"/>
        <v>31682</v>
      </c>
      <c r="M282" s="81">
        <f t="shared" si="55"/>
        <v>32823</v>
      </c>
      <c r="N282" s="81">
        <f t="shared" si="55"/>
        <v>1476424.5</v>
      </c>
      <c r="O282" s="81">
        <f t="shared" si="55"/>
        <v>1520195.5</v>
      </c>
    </row>
    <row r="283" spans="1:15" ht="16.5" x14ac:dyDescent="0.3">
      <c r="A283" s="10"/>
      <c r="B283" s="79"/>
      <c r="C283" s="79"/>
      <c r="D283" s="79"/>
      <c r="E283" s="79"/>
      <c r="F283" s="79"/>
      <c r="G283" s="79"/>
      <c r="H283" s="79"/>
      <c r="I283" s="79"/>
      <c r="J283" s="66"/>
      <c r="K283" s="66"/>
      <c r="L283" s="66"/>
      <c r="M283" s="66"/>
      <c r="N283" s="66"/>
      <c r="O283" s="66"/>
    </row>
    <row r="284" spans="1:15" x14ac:dyDescent="0.25">
      <c r="A284" s="11" t="s">
        <v>39</v>
      </c>
      <c r="B284" s="79" t="s">
        <v>10</v>
      </c>
      <c r="C284" s="79" t="s">
        <v>10</v>
      </c>
      <c r="D284" s="79" t="s">
        <v>10</v>
      </c>
      <c r="E284" s="79" t="s">
        <v>10</v>
      </c>
      <c r="F284" s="79" t="s">
        <v>10</v>
      </c>
      <c r="G284" s="79" t="s">
        <v>10</v>
      </c>
      <c r="H284" s="79" t="s">
        <v>10</v>
      </c>
      <c r="I284" s="79" t="s">
        <v>10</v>
      </c>
      <c r="J284" s="79" t="s">
        <v>10</v>
      </c>
      <c r="K284" s="79" t="s">
        <v>10</v>
      </c>
      <c r="L284" s="79" t="s">
        <v>10</v>
      </c>
      <c r="M284" s="79" t="s">
        <v>10</v>
      </c>
      <c r="N284" s="79" t="s">
        <v>10</v>
      </c>
      <c r="O284" s="8">
        <v>318.99</v>
      </c>
    </row>
    <row r="285" spans="1:15" ht="15" x14ac:dyDescent="0.25">
      <c r="A285" t="s">
        <v>53</v>
      </c>
      <c r="B285" s="79" t="s">
        <v>10</v>
      </c>
      <c r="C285" s="79" t="s">
        <v>10</v>
      </c>
      <c r="D285" s="79" t="s">
        <v>10</v>
      </c>
      <c r="E285" s="79" t="s">
        <v>10</v>
      </c>
      <c r="F285" s="79" t="s">
        <v>10</v>
      </c>
      <c r="G285" s="79" t="s">
        <v>10</v>
      </c>
      <c r="H285" s="79" t="s">
        <v>10</v>
      </c>
      <c r="I285" s="79" t="s">
        <v>10</v>
      </c>
      <c r="J285" s="79" t="s">
        <v>10</v>
      </c>
      <c r="K285" s="79" t="s">
        <v>10</v>
      </c>
      <c r="L285" s="79" t="s">
        <v>10</v>
      </c>
      <c r="M285" s="79" t="s">
        <v>10</v>
      </c>
      <c r="N285" s="79" t="s">
        <v>10</v>
      </c>
      <c r="O285" s="8">
        <v>318.99</v>
      </c>
    </row>
    <row r="286" spans="1:15" ht="13.5" x14ac:dyDescent="0.25">
      <c r="A286"/>
    </row>
    <row r="287" spans="1:15" ht="13.5" x14ac:dyDescent="0.25">
      <c r="A287"/>
    </row>
    <row r="289" spans="1:18" ht="18" x14ac:dyDescent="0.25">
      <c r="A289" s="44" t="s">
        <v>0</v>
      </c>
      <c r="B289" s="71" t="s">
        <v>24</v>
      </c>
      <c r="C289" s="71" t="s">
        <v>25</v>
      </c>
      <c r="D289" s="71" t="s">
        <v>26</v>
      </c>
      <c r="E289" s="71" t="s">
        <v>27</v>
      </c>
      <c r="F289" s="71" t="s">
        <v>28</v>
      </c>
      <c r="G289" s="71" t="s">
        <v>29</v>
      </c>
      <c r="H289" s="71" t="s">
        <v>30</v>
      </c>
      <c r="I289" s="71" t="s">
        <v>31</v>
      </c>
      <c r="J289" s="71" t="s">
        <v>32</v>
      </c>
      <c r="K289" s="71" t="s">
        <v>33</v>
      </c>
      <c r="L289" s="71" t="s">
        <v>34</v>
      </c>
      <c r="M289" s="71" t="s">
        <v>35</v>
      </c>
      <c r="N289" s="71" t="s">
        <v>36</v>
      </c>
      <c r="O289" s="71" t="s">
        <v>37</v>
      </c>
    </row>
    <row r="290" spans="1:18" ht="18.75" x14ac:dyDescent="0.3">
      <c r="A290" s="45" t="s">
        <v>23</v>
      </c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</row>
    <row r="291" spans="1:18" x14ac:dyDescent="0.25">
      <c r="A291" s="11" t="s">
        <v>2</v>
      </c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6"/>
    </row>
    <row r="292" spans="1:18" ht="16.5" x14ac:dyDescent="0.3">
      <c r="A292" s="10" t="s">
        <v>40</v>
      </c>
      <c r="B292" s="32">
        <v>1300000</v>
      </c>
      <c r="C292" s="32">
        <v>1200000</v>
      </c>
      <c r="D292" s="32">
        <v>1100000</v>
      </c>
      <c r="E292" s="32">
        <v>1000000</v>
      </c>
      <c r="F292" s="32">
        <v>980000</v>
      </c>
      <c r="G292" s="32">
        <v>930000</v>
      </c>
      <c r="H292" s="32">
        <v>880000</v>
      </c>
      <c r="I292" s="32">
        <v>840000</v>
      </c>
      <c r="J292" s="32">
        <v>790000</v>
      </c>
      <c r="K292" s="32">
        <v>760000</v>
      </c>
      <c r="L292" s="32">
        <v>730000</v>
      </c>
      <c r="M292" s="32">
        <v>700000</v>
      </c>
      <c r="N292" s="32">
        <v>670000</v>
      </c>
      <c r="O292" s="32">
        <v>630000</v>
      </c>
      <c r="P292" s="6"/>
    </row>
    <row r="293" spans="1:18" ht="16.5" x14ac:dyDescent="0.3">
      <c r="A293" s="10" t="s">
        <v>41</v>
      </c>
      <c r="B293" s="32">
        <v>2100000</v>
      </c>
      <c r="C293" s="32">
        <v>2100000</v>
      </c>
      <c r="D293" s="32">
        <v>2000000</v>
      </c>
      <c r="E293" s="32">
        <v>1900000</v>
      </c>
      <c r="F293" s="32">
        <v>1900000</v>
      </c>
      <c r="G293" s="32">
        <v>1800000</v>
      </c>
      <c r="H293" s="32">
        <v>1800000</v>
      </c>
      <c r="I293" s="32">
        <v>1700000</v>
      </c>
      <c r="J293" s="32">
        <v>1600000</v>
      </c>
      <c r="K293" s="32">
        <v>1500000</v>
      </c>
      <c r="L293" s="32">
        <v>1500000</v>
      </c>
      <c r="M293" s="32">
        <v>1400000</v>
      </c>
      <c r="N293" s="32">
        <v>1400000</v>
      </c>
      <c r="O293" s="32">
        <v>1300000</v>
      </c>
    </row>
    <row r="294" spans="1:18" ht="16.5" x14ac:dyDescent="0.3">
      <c r="A294" s="10" t="s">
        <v>42</v>
      </c>
      <c r="B294" s="32">
        <v>32000000</v>
      </c>
      <c r="C294" s="32">
        <v>32700000</v>
      </c>
      <c r="D294" s="32">
        <v>33400000</v>
      </c>
      <c r="E294" s="32">
        <v>34100000</v>
      </c>
      <c r="F294" s="32">
        <v>34900000</v>
      </c>
      <c r="G294" s="32">
        <v>35600000</v>
      </c>
      <c r="H294" s="32">
        <v>36300000</v>
      </c>
      <c r="I294" s="32">
        <v>36900000</v>
      </c>
      <c r="J294" s="32">
        <v>37600000</v>
      </c>
      <c r="K294" s="32">
        <v>38100000</v>
      </c>
      <c r="L294" s="32">
        <v>38700000</v>
      </c>
      <c r="M294" s="32">
        <v>39200000</v>
      </c>
      <c r="N294" s="32">
        <v>39500000</v>
      </c>
      <c r="O294" s="32">
        <v>39900000</v>
      </c>
      <c r="P294" s="7"/>
      <c r="Q294" s="7"/>
      <c r="R294" s="7"/>
    </row>
    <row r="295" spans="1:18" ht="16.5" x14ac:dyDescent="0.3">
      <c r="A295" s="10" t="s">
        <v>43</v>
      </c>
      <c r="B295" s="32">
        <v>2100000</v>
      </c>
      <c r="C295" s="32">
        <v>2100000</v>
      </c>
      <c r="D295" s="32">
        <v>2000000</v>
      </c>
      <c r="E295" s="32">
        <v>1900000</v>
      </c>
      <c r="F295" s="32">
        <v>1900000</v>
      </c>
      <c r="G295" s="32">
        <v>1800000</v>
      </c>
      <c r="H295" s="32">
        <v>1800000</v>
      </c>
      <c r="I295" s="32">
        <v>1700000</v>
      </c>
      <c r="J295" s="32">
        <v>1600000</v>
      </c>
      <c r="K295" s="32">
        <v>1500000</v>
      </c>
      <c r="L295" s="32">
        <v>1500000</v>
      </c>
      <c r="M295" s="32">
        <v>1400000</v>
      </c>
      <c r="N295" s="32">
        <v>1400000</v>
      </c>
      <c r="O295" s="32">
        <v>1300000</v>
      </c>
      <c r="P295" s="7"/>
      <c r="Q295" s="7"/>
      <c r="R295" s="7"/>
    </row>
    <row r="296" spans="1:18" ht="16.5" x14ac:dyDescent="0.3">
      <c r="A296" s="10" t="s">
        <v>44</v>
      </c>
      <c r="B296" s="32">
        <v>1300000</v>
      </c>
      <c r="C296" s="32">
        <v>1200000</v>
      </c>
      <c r="D296" s="32">
        <v>1100000</v>
      </c>
      <c r="E296" s="32">
        <v>1000000</v>
      </c>
      <c r="F296" s="32">
        <v>980000</v>
      </c>
      <c r="G296" s="32">
        <v>930000</v>
      </c>
      <c r="H296" s="32">
        <v>880000</v>
      </c>
      <c r="I296" s="32">
        <v>840000</v>
      </c>
      <c r="J296" s="32">
        <v>790000</v>
      </c>
      <c r="K296" s="32">
        <v>760000</v>
      </c>
      <c r="L296" s="32">
        <v>730000</v>
      </c>
      <c r="M296" s="32">
        <v>700000</v>
      </c>
      <c r="N296" s="32">
        <v>670000</v>
      </c>
      <c r="O296" s="32">
        <v>630000</v>
      </c>
      <c r="P296" s="7"/>
      <c r="Q296" s="7"/>
    </row>
    <row r="297" spans="1:18" ht="16.5" x14ac:dyDescent="0.3">
      <c r="A297" s="10" t="s">
        <v>3</v>
      </c>
      <c r="B297" s="68">
        <f t="shared" ref="B297:O297" si="56">SUM(B292:B296)</f>
        <v>38800000</v>
      </c>
      <c r="C297" s="68">
        <f t="shared" si="56"/>
        <v>39300000</v>
      </c>
      <c r="D297" s="68">
        <f t="shared" si="56"/>
        <v>39600000</v>
      </c>
      <c r="E297" s="68">
        <f t="shared" si="56"/>
        <v>39900000</v>
      </c>
      <c r="F297" s="68">
        <f t="shared" si="56"/>
        <v>40660000</v>
      </c>
      <c r="G297" s="68">
        <f t="shared" si="56"/>
        <v>41060000</v>
      </c>
      <c r="H297" s="68">
        <f t="shared" si="56"/>
        <v>41660000</v>
      </c>
      <c r="I297" s="68">
        <f t="shared" si="56"/>
        <v>41980000</v>
      </c>
      <c r="J297" s="68">
        <f t="shared" si="56"/>
        <v>42380000</v>
      </c>
      <c r="K297" s="68">
        <f t="shared" si="56"/>
        <v>42620000</v>
      </c>
      <c r="L297" s="68">
        <f t="shared" si="56"/>
        <v>43160000</v>
      </c>
      <c r="M297" s="68">
        <f t="shared" si="56"/>
        <v>43400000</v>
      </c>
      <c r="N297" s="68">
        <f t="shared" si="56"/>
        <v>43640000</v>
      </c>
      <c r="O297" s="68">
        <f t="shared" si="56"/>
        <v>43760000</v>
      </c>
      <c r="P297" s="7"/>
    </row>
    <row r="298" spans="1:18" ht="16.5" x14ac:dyDescent="0.3">
      <c r="A298" s="10" t="s">
        <v>4</v>
      </c>
      <c r="B298" s="68">
        <f t="shared" ref="B298:O298" si="57">AVERAGE(B292:B296)</f>
        <v>7760000</v>
      </c>
      <c r="C298" s="68">
        <f t="shared" si="57"/>
        <v>7860000</v>
      </c>
      <c r="D298" s="68">
        <f t="shared" si="57"/>
        <v>7920000</v>
      </c>
      <c r="E298" s="68">
        <f t="shared" si="57"/>
        <v>7980000</v>
      </c>
      <c r="F298" s="68">
        <f t="shared" si="57"/>
        <v>8132000</v>
      </c>
      <c r="G298" s="68">
        <f t="shared" si="57"/>
        <v>8212000</v>
      </c>
      <c r="H298" s="68">
        <f t="shared" si="57"/>
        <v>8332000</v>
      </c>
      <c r="I298" s="68">
        <f t="shared" si="57"/>
        <v>8396000</v>
      </c>
      <c r="J298" s="68">
        <f t="shared" si="57"/>
        <v>8476000</v>
      </c>
      <c r="K298" s="68">
        <f t="shared" si="57"/>
        <v>8524000</v>
      </c>
      <c r="L298" s="68">
        <f t="shared" si="57"/>
        <v>8632000</v>
      </c>
      <c r="M298" s="68">
        <f t="shared" si="57"/>
        <v>8680000</v>
      </c>
      <c r="N298" s="68">
        <f t="shared" si="57"/>
        <v>8728000</v>
      </c>
      <c r="O298" s="68">
        <f t="shared" si="57"/>
        <v>8752000</v>
      </c>
      <c r="P298" s="7"/>
    </row>
    <row r="299" spans="1:18" ht="16.5" x14ac:dyDescent="0.3">
      <c r="A299" s="10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7"/>
    </row>
    <row r="300" spans="1:18" ht="15" x14ac:dyDescent="0.2">
      <c r="A300" s="11" t="s">
        <v>5</v>
      </c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7"/>
    </row>
    <row r="301" spans="1:18" ht="16.5" x14ac:dyDescent="0.3">
      <c r="A301" s="10" t="s">
        <v>45</v>
      </c>
      <c r="B301" s="58">
        <f t="array" ref="B301">_xlfn.FORECAST.LINEAR(2010, {71,74,76,78,80,81,83,85,86}, {2015,2016,2017,2018,2019,2020,2021,2022,2023})</f>
        <v>62.833333333333485</v>
      </c>
      <c r="C301" s="58">
        <f t="array" ref="C301">_xlfn.FORECAST.LINEAR(2011, {71,74,76,78,80,81,83,85,86}, {2015,2016,2017,2018,2019,2020,2021,2022,2023})</f>
        <v>64.666666666666515</v>
      </c>
      <c r="D301" s="58">
        <f t="array" ref="D301">_xlfn.FORECAST.LINEAR(2012, {71,74,76,78,80,81,83,85,86}, {2015,2016,2017,2018,2019,2020,2021,2022,2023})</f>
        <v>66.5</v>
      </c>
      <c r="E301" s="58">
        <f t="array" ref="E301">_xlfn.FORECAST.LINEAR(2013, {71,74,76,78,80,81,83,85,86}, {2015,2016,2017,2018,2019,2020,2021,2022,2023})</f>
        <v>68.333333333333485</v>
      </c>
      <c r="F301" s="58">
        <f t="array" ref="F301">_xlfn.FORECAST.LINEAR(2014, {71,74,76,78,80,81,83,85,86}, {2015,2016,2017,2018,2019,2020,2021,2022,2023})</f>
        <v>70.166666666666515</v>
      </c>
      <c r="G301" s="8">
        <v>71</v>
      </c>
      <c r="H301" s="8">
        <v>74</v>
      </c>
      <c r="I301" s="8">
        <v>76</v>
      </c>
      <c r="J301" s="8">
        <v>78</v>
      </c>
      <c r="K301" s="8">
        <v>80</v>
      </c>
      <c r="L301" s="8">
        <v>81</v>
      </c>
      <c r="M301" s="8">
        <v>83</v>
      </c>
      <c r="N301" s="8">
        <v>85</v>
      </c>
      <c r="O301" s="8">
        <v>86</v>
      </c>
      <c r="P301" s="7"/>
    </row>
    <row r="302" spans="1:18" ht="16.5" x14ac:dyDescent="0.3">
      <c r="A302" s="10" t="s">
        <v>46</v>
      </c>
      <c r="B302" s="95">
        <f t="array" ref="B302">_xlfn.FORECAST.LINEAR(2010, {47,52,57,61,65,68,71,74,77}, {2015,2016,2017,2018,2019,2020,2021,2022,2023})</f>
        <v>30.40555555555602</v>
      </c>
      <c r="C302" s="95">
        <f t="array" ref="C302">_xlfn.FORECAST.LINEAR(2011, {47,52,57,61,65,68,71,74,77}, {2015,2016,2017,2018,2019,2020,2021,2022,2023})</f>
        <v>34.088888888888505</v>
      </c>
      <c r="D302" s="95">
        <f t="array" ref="D302">_xlfn.FORECAST.LINEAR(2012, {47,52,57,61,65,68,71,74,77}, {2015,2016,2017,2018,2019,2020,2021,2022,2023})</f>
        <v>37.772222222221899</v>
      </c>
      <c r="E302" s="95">
        <f t="array" ref="E302">_xlfn.FORECAST.LINEAR(2013, {47,52,57,61,65,68,71,74,77}, {2015,2016,2017,2018,2019,2020,2021,2022,2023})</f>
        <v>41.455555555555293</v>
      </c>
      <c r="F302" s="95">
        <f t="array" ref="F302">_xlfn.FORECAST.LINEAR(2014, {47,52,57,61,65,68,71,74,77}, {2015,2016,2017,2018,2019,2020,2021,2022,2023})</f>
        <v>45.138888888888687</v>
      </c>
      <c r="G302" s="8">
        <v>47</v>
      </c>
      <c r="H302" s="8">
        <v>52</v>
      </c>
      <c r="I302" s="8">
        <v>57</v>
      </c>
      <c r="J302" s="8">
        <v>61</v>
      </c>
      <c r="K302" s="8">
        <v>65</v>
      </c>
      <c r="L302" s="8">
        <v>68</v>
      </c>
      <c r="M302" s="8">
        <v>71</v>
      </c>
      <c r="N302" s="8">
        <v>74</v>
      </c>
      <c r="O302" s="8">
        <v>77</v>
      </c>
      <c r="P302" s="7"/>
    </row>
    <row r="303" spans="1:18" ht="16.5" x14ac:dyDescent="0.3">
      <c r="A303" s="10" t="s">
        <v>47</v>
      </c>
      <c r="B303" s="58">
        <f t="array" ref="B303">_xlfn.FORECAST.LINEAR(2010, {39,44,49,53,57,61,65,68,72}, {2015,2016,2017,2018,2019,2020,2021,2022,2023})</f>
        <v>19.84444444444307</v>
      </c>
      <c r="C303" s="58">
        <f t="array" ref="C303">_xlfn.FORECAST.LINEAR(2011, {39,44,49,53,57,61,65,68,72}, {2015,2016,2017,2018,2019,2020,2021,2022,2023})</f>
        <v>23.911111111110586</v>
      </c>
      <c r="D303" s="58">
        <f t="array" ref="D303">_xlfn.FORECAST.LINEAR(2012, {39,44,49,53,57,61,65,68,72}, {2015,2016,2017,2018,2019,2020,2021,2022,2023})</f>
        <v>27.977777777777192</v>
      </c>
      <c r="E303" s="58">
        <f t="array" ref="E303">_xlfn.FORECAST.LINEAR(2013, {39,44,49,53,57,61,65,68,72}, {2015,2016,2017,2018,2019,2020,2021,2022,2023})</f>
        <v>32.044444444443798</v>
      </c>
      <c r="F303" s="58">
        <f t="array" ref="F303">_xlfn.FORECAST.LINEAR(2014, {39,44,49,53,57,61,65,68,72}, {2015,2016,2017,2018,2019,2020,2021,2022,2023})</f>
        <v>36.111111111110404</v>
      </c>
      <c r="G303" s="8">
        <v>39</v>
      </c>
      <c r="H303" s="8">
        <v>44</v>
      </c>
      <c r="I303" s="8">
        <v>49</v>
      </c>
      <c r="J303" s="8">
        <v>53</v>
      </c>
      <c r="K303" s="8">
        <v>57</v>
      </c>
      <c r="L303" s="8">
        <v>61</v>
      </c>
      <c r="M303" s="8">
        <v>65</v>
      </c>
      <c r="N303" s="8">
        <v>68</v>
      </c>
      <c r="O303" s="8">
        <v>72</v>
      </c>
      <c r="P303" s="7"/>
    </row>
    <row r="304" spans="1:18" ht="16.5" x14ac:dyDescent="0.3">
      <c r="A304" s="10" t="s">
        <v>6</v>
      </c>
      <c r="B304" s="96">
        <f t="shared" ref="B304:O304" si="58">AVERAGE(B301:B303)</f>
        <v>37.694444444444194</v>
      </c>
      <c r="C304" s="96">
        <f t="shared" si="58"/>
        <v>40.888888888888538</v>
      </c>
      <c r="D304" s="96">
        <f t="shared" si="58"/>
        <v>44.08333333333303</v>
      </c>
      <c r="E304" s="96">
        <f t="shared" si="58"/>
        <v>47.277777777777523</v>
      </c>
      <c r="F304" s="96">
        <f t="shared" si="58"/>
        <v>50.472222222221866</v>
      </c>
      <c r="G304" s="96">
        <f t="shared" si="58"/>
        <v>52.333333333333336</v>
      </c>
      <c r="H304" s="96">
        <f t="shared" si="58"/>
        <v>56.666666666666664</v>
      </c>
      <c r="I304" s="96">
        <f t="shared" si="58"/>
        <v>60.666666666666664</v>
      </c>
      <c r="J304" s="96">
        <f t="shared" si="58"/>
        <v>64</v>
      </c>
      <c r="K304" s="96">
        <f t="shared" si="58"/>
        <v>67.333333333333329</v>
      </c>
      <c r="L304" s="96">
        <f t="shared" si="58"/>
        <v>70</v>
      </c>
      <c r="M304" s="96">
        <f t="shared" si="58"/>
        <v>73</v>
      </c>
      <c r="N304" s="96">
        <f t="shared" si="58"/>
        <v>75.666666666666671</v>
      </c>
      <c r="O304" s="96">
        <f t="shared" si="58"/>
        <v>78.333333333333329</v>
      </c>
      <c r="P304" s="7"/>
    </row>
    <row r="305" spans="1:18" ht="16.5" x14ac:dyDescent="0.3">
      <c r="A305" s="10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7"/>
    </row>
    <row r="306" spans="1:18" ht="15" x14ac:dyDescent="0.2">
      <c r="A306" s="11" t="s">
        <v>7</v>
      </c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7"/>
    </row>
    <row r="307" spans="1:18" ht="16.5" x14ac:dyDescent="0.3">
      <c r="A307" s="10" t="s">
        <v>48</v>
      </c>
      <c r="B307" s="8">
        <v>22</v>
      </c>
      <c r="C307" s="8">
        <v>19</v>
      </c>
      <c r="D307" s="8">
        <v>17</v>
      </c>
      <c r="E307" s="8">
        <v>16</v>
      </c>
      <c r="F307" s="8">
        <v>14</v>
      </c>
      <c r="G307" s="8">
        <v>14</v>
      </c>
      <c r="H307" s="8">
        <v>13</v>
      </c>
      <c r="I307" s="8">
        <v>13</v>
      </c>
      <c r="J307" s="8">
        <v>12</v>
      </c>
      <c r="K307" s="8">
        <v>12</v>
      </c>
      <c r="L307" s="8">
        <v>12</v>
      </c>
      <c r="M307" s="8">
        <v>11</v>
      </c>
      <c r="N307" s="8">
        <v>11</v>
      </c>
      <c r="O307" s="8">
        <v>10</v>
      </c>
    </row>
    <row r="308" spans="1:18" ht="16.5" x14ac:dyDescent="0.3">
      <c r="A308" s="10" t="s">
        <v>49</v>
      </c>
      <c r="B308" s="32">
        <v>190000</v>
      </c>
      <c r="C308" s="32">
        <v>220000</v>
      </c>
      <c r="D308" s="32">
        <v>240000</v>
      </c>
      <c r="E308" s="32">
        <v>250000</v>
      </c>
      <c r="F308" s="32">
        <v>260000</v>
      </c>
      <c r="G308" s="32">
        <v>260000</v>
      </c>
      <c r="H308" s="32">
        <v>260000</v>
      </c>
      <c r="I308" s="32">
        <v>260000</v>
      </c>
      <c r="J308" s="32">
        <v>260000</v>
      </c>
      <c r="K308" s="32">
        <v>260000</v>
      </c>
      <c r="L308" s="32">
        <v>250000</v>
      </c>
      <c r="M308" s="32">
        <v>240000</v>
      </c>
      <c r="N308" s="32">
        <v>230000</v>
      </c>
      <c r="O308" s="32">
        <v>230000</v>
      </c>
      <c r="P308" s="7"/>
      <c r="Q308" s="7"/>
    </row>
    <row r="309" spans="1:18" ht="16.5" x14ac:dyDescent="0.3">
      <c r="A309" s="10" t="s">
        <v>50</v>
      </c>
      <c r="B309" s="32">
        <v>12400000</v>
      </c>
      <c r="C309" s="32">
        <v>12800000</v>
      </c>
      <c r="D309" s="32">
        <v>13200000</v>
      </c>
      <c r="E309" s="32">
        <v>13600000</v>
      </c>
      <c r="F309" s="32">
        <v>13900000</v>
      </c>
      <c r="G309" s="32">
        <v>14300000</v>
      </c>
      <c r="H309" s="32">
        <v>14600000</v>
      </c>
      <c r="I309" s="32">
        <v>14900000</v>
      </c>
      <c r="J309" s="32">
        <v>15200000</v>
      </c>
      <c r="K309" s="32">
        <v>15500000</v>
      </c>
      <c r="L309" s="32">
        <v>15800000</v>
      </c>
      <c r="M309" s="32">
        <v>16000000</v>
      </c>
      <c r="N309" s="32">
        <v>16100000</v>
      </c>
      <c r="O309" s="32">
        <v>16100000</v>
      </c>
      <c r="P309" s="7"/>
      <c r="Q309" s="7"/>
      <c r="R309" s="6"/>
    </row>
    <row r="310" spans="1:18" ht="16.5" x14ac:dyDescent="0.3">
      <c r="A310" s="10" t="s">
        <v>51</v>
      </c>
      <c r="B310" s="8">
        <v>34</v>
      </c>
      <c r="C310" s="8">
        <v>37</v>
      </c>
      <c r="D310" s="8">
        <v>41</v>
      </c>
      <c r="E310" s="8">
        <v>40</v>
      </c>
      <c r="F310" s="8">
        <v>42</v>
      </c>
      <c r="G310" s="8">
        <v>50</v>
      </c>
      <c r="H310" s="8">
        <v>47</v>
      </c>
      <c r="I310" s="8">
        <v>55</v>
      </c>
      <c r="J310" s="8">
        <v>58</v>
      </c>
      <c r="K310" s="8">
        <v>61</v>
      </c>
      <c r="L310" s="8">
        <v>63</v>
      </c>
      <c r="M310" s="8">
        <v>66</v>
      </c>
      <c r="N310" s="8">
        <v>67</v>
      </c>
      <c r="O310" s="8">
        <v>67</v>
      </c>
    </row>
    <row r="311" spans="1:18" ht="16.5" x14ac:dyDescent="0.3">
      <c r="A311" s="10" t="s">
        <v>8</v>
      </c>
      <c r="B311" s="32">
        <f t="shared" ref="B311:O311" si="59">SUM(B307:B310)</f>
        <v>12590056</v>
      </c>
      <c r="C311" s="32">
        <f t="shared" si="59"/>
        <v>13020056</v>
      </c>
      <c r="D311" s="32">
        <f t="shared" si="59"/>
        <v>13440058</v>
      </c>
      <c r="E311" s="32">
        <f t="shared" si="59"/>
        <v>13850056</v>
      </c>
      <c r="F311" s="32">
        <f t="shared" si="59"/>
        <v>14160056</v>
      </c>
      <c r="G311" s="32">
        <f t="shared" si="59"/>
        <v>14560064</v>
      </c>
      <c r="H311" s="32">
        <f t="shared" si="59"/>
        <v>14860060</v>
      </c>
      <c r="I311" s="32">
        <f t="shared" si="59"/>
        <v>15160068</v>
      </c>
      <c r="J311" s="32">
        <f t="shared" si="59"/>
        <v>15460070</v>
      </c>
      <c r="K311" s="32">
        <f t="shared" si="59"/>
        <v>15760073</v>
      </c>
      <c r="L311" s="32">
        <f t="shared" si="59"/>
        <v>16050075</v>
      </c>
      <c r="M311" s="32">
        <f t="shared" si="59"/>
        <v>16240077</v>
      </c>
      <c r="N311" s="32">
        <f t="shared" si="59"/>
        <v>16330078</v>
      </c>
      <c r="O311" s="32">
        <f t="shared" si="59"/>
        <v>16330077</v>
      </c>
    </row>
    <row r="312" spans="1:18" ht="16.5" x14ac:dyDescent="0.3">
      <c r="A312" s="10" t="s">
        <v>9</v>
      </c>
      <c r="B312" s="32">
        <f t="shared" ref="B312:O312" si="60">AVERAGE(B307:B310)</f>
        <v>3147514</v>
      </c>
      <c r="C312" s="32">
        <f t="shared" si="60"/>
        <v>3255014</v>
      </c>
      <c r="D312" s="32">
        <f t="shared" si="60"/>
        <v>3360014.5</v>
      </c>
      <c r="E312" s="32">
        <f t="shared" si="60"/>
        <v>3462514</v>
      </c>
      <c r="F312" s="32">
        <f t="shared" si="60"/>
        <v>3540014</v>
      </c>
      <c r="G312" s="32">
        <f t="shared" si="60"/>
        <v>3640016</v>
      </c>
      <c r="H312" s="32">
        <f t="shared" si="60"/>
        <v>3715015</v>
      </c>
      <c r="I312" s="32">
        <f t="shared" si="60"/>
        <v>3790017</v>
      </c>
      <c r="J312" s="32">
        <f t="shared" si="60"/>
        <v>3865017.5</v>
      </c>
      <c r="K312" s="32">
        <f t="shared" si="60"/>
        <v>3940018.25</v>
      </c>
      <c r="L312" s="32">
        <f t="shared" si="60"/>
        <v>4012518.75</v>
      </c>
      <c r="M312" s="32">
        <f t="shared" si="60"/>
        <v>4060019.25</v>
      </c>
      <c r="N312" s="32">
        <f t="shared" si="60"/>
        <v>4082519.5</v>
      </c>
      <c r="O312" s="32">
        <f t="shared" si="60"/>
        <v>4082519.25</v>
      </c>
    </row>
    <row r="313" spans="1:18" ht="16.5" x14ac:dyDescent="0.3">
      <c r="A313" s="15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</row>
    <row r="314" spans="1:18" ht="16.5" x14ac:dyDescent="0.3">
      <c r="A314" s="17"/>
    </row>
    <row r="315" spans="1:18" ht="16.5" x14ac:dyDescent="0.3">
      <c r="A315" s="17"/>
    </row>
    <row r="316" spans="1:18" ht="14.25" x14ac:dyDescent="0.2">
      <c r="A316" s="20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</row>
    <row r="317" spans="1:18" ht="16.5" x14ac:dyDescent="0.3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</row>
    <row r="318" spans="1:18" ht="16.5" x14ac:dyDescent="0.3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</row>
    <row r="319" spans="1:18" ht="16.5" x14ac:dyDescent="0.3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</row>
    <row r="320" spans="1:18" ht="16.5" x14ac:dyDescent="0.3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</row>
    <row r="321" spans="1:15" ht="16.5" x14ac:dyDescent="0.3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</row>
    <row r="322" spans="1:15" ht="16.5" x14ac:dyDescent="0.3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</row>
    <row r="323" spans="1:15" ht="16.5" x14ac:dyDescent="0.3">
      <c r="A323" s="10"/>
      <c r="B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</row>
    <row r="324" spans="1:15" ht="16.5" x14ac:dyDescent="0.3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</row>
    <row r="325" spans="1:15" ht="16.5" x14ac:dyDescent="0.3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</row>
    <row r="326" spans="1:15" ht="16.5" x14ac:dyDescent="0.3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</row>
    <row r="327" spans="1:15" ht="16.5" x14ac:dyDescent="0.3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</row>
    <row r="328" spans="1:15" ht="16.5" x14ac:dyDescent="0.3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</row>
    <row r="329" spans="1:15" ht="16.5" x14ac:dyDescent="0.3">
      <c r="A329" s="12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</row>
  </sheetData>
  <pageMargins left="0.7" right="0.7" top="0.75" bottom="0.75" header="0.3" footer="0.3"/>
  <tableParts count="8"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Jarel Ocasion</cp:lastModifiedBy>
  <dcterms:modified xsi:type="dcterms:W3CDTF">2025-03-15T19:30:09Z</dcterms:modified>
</cp:coreProperties>
</file>