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0C1BBFA2-66F1-4ECE-9F7B-EFA1F540E81F}" xr6:coauthVersionLast="46" xr6:coauthVersionMax="46" xr10:uidLastSave="{00000000-0000-0000-0000-000000000000}"/>
  <bookViews>
    <workbookView xWindow="-108" yWindow="-108" windowWidth="26136" windowHeight="16896" tabRatio="844" activeTab="4" xr2:uid="{00000000-000D-0000-FFFF-FFFF00000000}"/>
  </bookViews>
  <sheets>
    <sheet name="Rolling Force" sheetId="1" r:id="rId1"/>
    <sheet name="key" sheetId="3" r:id="rId2"/>
    <sheet name="diagram " sheetId="8" r:id="rId3"/>
    <sheet name="shaft design" sheetId="9" r:id="rId4"/>
    <sheet name="Static SHAFT STRESS" sheetId="13" r:id="rId5"/>
    <sheet name="gear " sheetId="10" r:id="rId6"/>
    <sheet name="gear design" sheetId="16" r:id="rId7"/>
    <sheet name="Sheet1" sheetId="17" r:id="rId8"/>
    <sheet name="Sheet3" sheetId="19" r:id="rId9"/>
    <sheet name="bearing " sheetId="20" r:id="rId10"/>
    <sheet name="sproket" sheetId="21" r:id="rId11"/>
    <sheet name="Sheet4" sheetId="23" r:id="rId12"/>
  </sheets>
  <externalReferences>
    <externalReference r:id="rId13"/>
  </externalReferences>
  <definedNames>
    <definedName name="_xlnm._FilterDatabase" localSheetId="5" hidden="1">'gear '!#REF!</definedName>
    <definedName name="_Rm">[1]Calculation!$O$223</definedName>
    <definedName name="_xlnm.Print_Area" localSheetId="6">'gear design'!$A$1:$O$56</definedName>
    <definedName name="_xlnm.Print_Area" localSheetId="0">'Rolling Force'!$A$1:$P$47</definedName>
    <definedName name="S_Units">[1]Calculation!$H$124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0" l="1"/>
  <c r="O7" i="20"/>
  <c r="AM37" i="16"/>
  <c r="L31" i="16" l="1"/>
  <c r="E18" i="10"/>
  <c r="G24" i="1" l="1"/>
  <c r="J24" i="1" s="1"/>
  <c r="G17" i="20"/>
  <c r="G16" i="20"/>
  <c r="L31" i="10"/>
  <c r="Q8" i="3"/>
  <c r="AD13" i="16"/>
  <c r="Q9" i="3"/>
  <c r="Q7" i="3"/>
  <c r="Q6" i="3"/>
  <c r="O9" i="3"/>
  <c r="P9" i="3" s="1"/>
  <c r="P8" i="3"/>
  <c r="R8" i="3" s="1"/>
  <c r="M12" i="3" s="1"/>
  <c r="O7" i="3"/>
  <c r="P7" i="3" s="1"/>
  <c r="O6" i="3"/>
  <c r="P6" i="3" s="1"/>
  <c r="N9" i="3"/>
  <c r="N8" i="3"/>
  <c r="N7" i="3"/>
  <c r="N6" i="3"/>
  <c r="M9" i="3"/>
  <c r="M8" i="3"/>
  <c r="M7" i="3"/>
  <c r="M6" i="3"/>
  <c r="AD7" i="16"/>
  <c r="AD12" i="16" s="1"/>
  <c r="T4" i="16"/>
  <c r="T3" i="16"/>
  <c r="AD28" i="16"/>
  <c r="AQ24" i="16"/>
  <c r="AD22" i="16"/>
  <c r="AE19" i="16"/>
  <c r="AJ18" i="16"/>
  <c r="AJ23" i="16" s="1"/>
  <c r="AK15" i="16"/>
  <c r="AE11" i="16"/>
  <c r="AA11" i="16"/>
  <c r="AQ5" i="16"/>
  <c r="AQ4" i="16"/>
  <c r="AC4" i="16"/>
  <c r="AC18" i="16" s="1"/>
  <c r="E45" i="10"/>
  <c r="U3" i="16" s="1"/>
  <c r="AD8" i="16" s="1"/>
  <c r="L39" i="10"/>
  <c r="S41" i="10" s="1"/>
  <c r="L36" i="10"/>
  <c r="E13" i="3"/>
  <c r="E12" i="3"/>
  <c r="E9" i="3"/>
  <c r="E16" i="3" s="1"/>
  <c r="D23" i="3"/>
  <c r="E23" i="3"/>
  <c r="J26" i="13"/>
  <c r="J29" i="13"/>
  <c r="I34" i="13"/>
  <c r="H34" i="13"/>
  <c r="G34" i="13"/>
  <c r="C32" i="13"/>
  <c r="G26" i="13"/>
  <c r="L26" i="13" s="1"/>
  <c r="G29" i="13"/>
  <c r="L29" i="13" s="1"/>
  <c r="E37" i="13"/>
  <c r="E36" i="13"/>
  <c r="M23" i="13"/>
  <c r="G33" i="13" s="1"/>
  <c r="L23" i="13"/>
  <c r="C33" i="13" s="1"/>
  <c r="L11" i="13"/>
  <c r="F7" i="13"/>
  <c r="I20" i="8"/>
  <c r="E19" i="8" s="1"/>
  <c r="E24" i="8"/>
  <c r="D20" i="8"/>
  <c r="D22" i="8"/>
  <c r="D24" i="8"/>
  <c r="D19" i="8"/>
  <c r="D25" i="13" s="1"/>
  <c r="L10" i="13"/>
  <c r="G20" i="8"/>
  <c r="G23" i="8"/>
  <c r="E23" i="8" s="1"/>
  <c r="G22" i="8"/>
  <c r="E22" i="8" s="1"/>
  <c r="G21" i="8"/>
  <c r="E21" i="8" s="1"/>
  <c r="D25" i="8"/>
  <c r="F8" i="9" s="1"/>
  <c r="E25" i="21"/>
  <c r="J10" i="21"/>
  <c r="J8" i="21"/>
  <c r="J6" i="21"/>
  <c r="E21" i="21"/>
  <c r="E22" i="21" s="1"/>
  <c r="E16" i="21"/>
  <c r="E15" i="21"/>
  <c r="F6" i="21"/>
  <c r="C6" i="21"/>
  <c r="E13" i="21"/>
  <c r="E12" i="21"/>
  <c r="E10" i="21"/>
  <c r="E9" i="21"/>
  <c r="E8" i="21"/>
  <c r="E7" i="21"/>
  <c r="E19" i="21" s="1"/>
  <c r="Q5" i="13"/>
  <c r="G4" i="20"/>
  <c r="O4" i="20"/>
  <c r="O5" i="20"/>
  <c r="O15" i="20"/>
  <c r="O11" i="20" s="1"/>
  <c r="O10" i="20" s="1"/>
  <c r="E20" i="8" l="1"/>
  <c r="R6" i="3"/>
  <c r="G15" i="20"/>
  <c r="G11" i="20" s="1"/>
  <c r="G10" i="20" s="1"/>
  <c r="AD33" i="16"/>
  <c r="AL37" i="16"/>
  <c r="R7" i="3"/>
  <c r="J11" i="21"/>
  <c r="AQ7" i="16"/>
  <c r="R9" i="3"/>
  <c r="O2" i="20"/>
  <c r="F25" i="1"/>
  <c r="G25" i="1" s="1"/>
  <c r="F26" i="1" s="1"/>
  <c r="AQ11" i="16"/>
  <c r="AD6" i="16"/>
  <c r="AD19" i="16"/>
  <c r="L35" i="10"/>
  <c r="V3" i="16" s="1"/>
  <c r="L41" i="10"/>
  <c r="M26" i="13"/>
  <c r="M29" i="13"/>
  <c r="E11" i="21"/>
  <c r="E14" i="21"/>
  <c r="E17" i="21"/>
  <c r="E18" i="21"/>
  <c r="O21" i="20"/>
  <c r="O20" i="20" s="1"/>
  <c r="J25" i="1" l="1"/>
  <c r="G26" i="1"/>
  <c r="F27" i="1" s="1"/>
  <c r="L42" i="10"/>
  <c r="S40" i="10"/>
  <c r="L40" i="10" s="1"/>
  <c r="L37" i="10"/>
  <c r="S42" i="10"/>
  <c r="J13" i="19"/>
  <c r="J6" i="19"/>
  <c r="J9" i="19"/>
  <c r="J7" i="19"/>
  <c r="C13" i="19"/>
  <c r="C15" i="19" s="1"/>
  <c r="C11" i="19"/>
  <c r="C14" i="19" s="1"/>
  <c r="C8" i="19"/>
  <c r="C7" i="19"/>
  <c r="C6" i="19"/>
  <c r="C4" i="19"/>
  <c r="C2" i="19"/>
  <c r="J64" i="17"/>
  <c r="J53" i="17"/>
  <c r="J67" i="17" s="1"/>
  <c r="J60" i="17" s="1"/>
  <c r="I52" i="17"/>
  <c r="J52" i="17" s="1"/>
  <c r="J34" i="17"/>
  <c r="J23" i="17"/>
  <c r="J37" i="17" s="1"/>
  <c r="J30" i="17" s="1"/>
  <c r="J4" i="17"/>
  <c r="J7" i="17"/>
  <c r="C12" i="19" l="1"/>
  <c r="J10" i="19"/>
  <c r="J11" i="19" s="1"/>
  <c r="J26" i="1"/>
  <c r="G27" i="1"/>
  <c r="F28" i="1" s="1"/>
  <c r="J27" i="1"/>
  <c r="J16" i="19"/>
  <c r="J17" i="19" s="1"/>
  <c r="J19" i="19"/>
  <c r="K19" i="19" s="1"/>
  <c r="J14" i="19"/>
  <c r="J15" i="19" s="1"/>
  <c r="C16" i="19"/>
  <c r="J15" i="17"/>
  <c r="Q6" i="13"/>
  <c r="Q4" i="13"/>
  <c r="E8" i="17"/>
  <c r="D8" i="17"/>
  <c r="E6" i="17"/>
  <c r="D6" i="17"/>
  <c r="E5" i="17"/>
  <c r="J56" i="17" s="1"/>
  <c r="H68" i="17" s="1"/>
  <c r="E4" i="17"/>
  <c r="J26" i="17" s="1"/>
  <c r="J18" i="17"/>
  <c r="G28" i="1" l="1"/>
  <c r="F29" i="1" s="1"/>
  <c r="J11" i="17"/>
  <c r="E39" i="16"/>
  <c r="E34" i="16"/>
  <c r="L50" i="16"/>
  <c r="F25" i="16"/>
  <c r="L36" i="16"/>
  <c r="M28" i="16"/>
  <c r="E19" i="16"/>
  <c r="E51" i="16"/>
  <c r="F17" i="16"/>
  <c r="B17" i="16"/>
  <c r="E13" i="16"/>
  <c r="E45" i="16"/>
  <c r="L18" i="16"/>
  <c r="E44" i="16"/>
  <c r="E47" i="16" s="1"/>
  <c r="D10" i="16"/>
  <c r="D24" i="16" s="1"/>
  <c r="D4" i="16"/>
  <c r="E14" i="16" s="1"/>
  <c r="L12" i="10"/>
  <c r="S14" i="10" s="1"/>
  <c r="L4" i="10"/>
  <c r="L9" i="10" s="1"/>
  <c r="E30" i="16" s="1"/>
  <c r="E28" i="16" s="1"/>
  <c r="M13" i="13"/>
  <c r="M16" i="13" s="1"/>
  <c r="M17" i="13" s="1"/>
  <c r="F30" i="13"/>
  <c r="D30" i="13"/>
  <c r="F6" i="13" s="1"/>
  <c r="E29" i="13"/>
  <c r="I3" i="17"/>
  <c r="E28" i="13"/>
  <c r="D28" i="13"/>
  <c r="C28" i="13"/>
  <c r="J28" i="13" s="1"/>
  <c r="L9" i="13"/>
  <c r="E27" i="13"/>
  <c r="C27" i="13"/>
  <c r="E26" i="13"/>
  <c r="D26" i="13"/>
  <c r="F27" i="9"/>
  <c r="G25" i="9"/>
  <c r="G26" i="9" s="1"/>
  <c r="F24" i="9"/>
  <c r="G23" i="9"/>
  <c r="G24" i="9" s="1"/>
  <c r="F21" i="9"/>
  <c r="E7" i="8"/>
  <c r="F23" i="8"/>
  <c r="F21" i="8"/>
  <c r="H23" i="3"/>
  <c r="F23" i="3"/>
  <c r="I17" i="3"/>
  <c r="H16" i="3"/>
  <c r="I14" i="3"/>
  <c r="H13" i="3"/>
  <c r="E14" i="3"/>
  <c r="E15" i="3" s="1"/>
  <c r="N19" i="1"/>
  <c r="N11" i="1"/>
  <c r="N12" i="1" s="1"/>
  <c r="H11" i="1"/>
  <c r="F12" i="1" s="1"/>
  <c r="N9" i="1"/>
  <c r="N10" i="1" s="1"/>
  <c r="N7" i="1"/>
  <c r="D23" i="8" l="1"/>
  <c r="D29" i="13" s="1"/>
  <c r="D21" i="8"/>
  <c r="D27" i="13" s="1"/>
  <c r="J28" i="1"/>
  <c r="G29" i="1"/>
  <c r="F30" i="1" s="1"/>
  <c r="E6" i="10"/>
  <c r="E7" i="10" s="1"/>
  <c r="D10" i="10" s="1"/>
  <c r="E14" i="10" s="1"/>
  <c r="S4" i="10" s="1"/>
  <c r="E6" i="21"/>
  <c r="E23" i="21" s="1"/>
  <c r="L8" i="10"/>
  <c r="L14" i="10"/>
  <c r="E25" i="16"/>
  <c r="J27" i="13"/>
  <c r="G27" i="13"/>
  <c r="L27" i="13" s="1"/>
  <c r="G28" i="13"/>
  <c r="F8" i="13"/>
  <c r="F9" i="9"/>
  <c r="M14" i="13"/>
  <c r="L14" i="13"/>
  <c r="L17" i="13" s="1"/>
  <c r="J3" i="17"/>
  <c r="I22" i="17"/>
  <c r="J22" i="17" s="1"/>
  <c r="H38" i="17" s="1"/>
  <c r="N15" i="1"/>
  <c r="E6" i="8" s="1"/>
  <c r="E12" i="16"/>
  <c r="E18" i="16"/>
  <c r="N13" i="1"/>
  <c r="N14" i="1" s="1"/>
  <c r="N8" i="1"/>
  <c r="E19" i="10" l="1"/>
  <c r="E10" i="10"/>
  <c r="E32" i="10"/>
  <c r="E33" i="10"/>
  <c r="G30" i="1"/>
  <c r="F31" i="1" s="1"/>
  <c r="N17" i="1"/>
  <c r="J4" i="21" s="1"/>
  <c r="J12" i="21" s="1"/>
  <c r="N28" i="1"/>
  <c r="J29" i="1"/>
  <c r="M27" i="13"/>
  <c r="Q3" i="13"/>
  <c r="Q7" i="13" s="1"/>
  <c r="J5" i="21"/>
  <c r="J7" i="21" s="1"/>
  <c r="J9" i="21" s="1"/>
  <c r="E24" i="21"/>
  <c r="O19" i="10"/>
  <c r="R19" i="10" s="1"/>
  <c r="L15" i="10"/>
  <c r="S9" i="10"/>
  <c r="S8" i="10"/>
  <c r="D5" i="16"/>
  <c r="F18" i="10"/>
  <c r="E4" i="16"/>
  <c r="S13" i="10"/>
  <c r="L13" i="10" s="1"/>
  <c r="L10" i="10"/>
  <c r="S15" i="10"/>
  <c r="L28" i="13"/>
  <c r="M28" i="13"/>
  <c r="N16" i="1"/>
  <c r="N18" i="1" l="1"/>
  <c r="N20" i="1"/>
  <c r="G5" i="16" s="1"/>
  <c r="X3" i="16" s="1"/>
  <c r="E34" i="10"/>
  <c r="D37" i="10" s="1"/>
  <c r="E41" i="10" s="1"/>
  <c r="S31" i="10" s="1"/>
  <c r="S12" i="10"/>
  <c r="F4" i="16" s="1"/>
  <c r="J13" i="21"/>
  <c r="E8" i="8" s="1"/>
  <c r="G31" i="1"/>
  <c r="F32" i="1" s="1"/>
  <c r="J30" i="1"/>
  <c r="J8" i="17"/>
  <c r="H19" i="17" s="1"/>
  <c r="M11" i="3"/>
  <c r="O11" i="3" s="1"/>
  <c r="E8" i="3"/>
  <c r="F10" i="9"/>
  <c r="F5" i="13"/>
  <c r="N28" i="13" s="1"/>
  <c r="S10" i="10"/>
  <c r="E5" i="16"/>
  <c r="E52" i="16" s="1"/>
  <c r="S35" i="10" l="1"/>
  <c r="O46" i="10"/>
  <c r="R46" i="10" s="1"/>
  <c r="E37" i="10"/>
  <c r="E46" i="10"/>
  <c r="S36" i="10"/>
  <c r="L16" i="10"/>
  <c r="S16" i="10" s="1"/>
  <c r="J31" i="1"/>
  <c r="G32" i="1"/>
  <c r="F33" i="1" s="1"/>
  <c r="N26" i="13"/>
  <c r="O29" i="13"/>
  <c r="O26" i="13"/>
  <c r="N29" i="13"/>
  <c r="O27" i="13"/>
  <c r="O28" i="13"/>
  <c r="N27" i="13"/>
  <c r="AD5" i="16"/>
  <c r="AD4" i="16" s="1"/>
  <c r="AH27" i="16" s="1"/>
  <c r="X4" i="16"/>
  <c r="V4" i="16"/>
  <c r="AQ12" i="16" s="1"/>
  <c r="S37" i="10"/>
  <c r="S39" i="10"/>
  <c r="W3" i="16" s="1"/>
  <c r="F12" i="9"/>
  <c r="F14" i="9" s="1"/>
  <c r="F11" i="9"/>
  <c r="F13" i="9" s="1"/>
  <c r="C19" i="8" s="1"/>
  <c r="C25" i="13" s="1"/>
  <c r="J25" i="3"/>
  <c r="J27" i="3"/>
  <c r="J29" i="3"/>
  <c r="J31" i="3"/>
  <c r="I27" i="3"/>
  <c r="I29" i="3"/>
  <c r="I31" i="3"/>
  <c r="I25" i="3"/>
  <c r="J26" i="3"/>
  <c r="J28" i="3"/>
  <c r="J30" i="3"/>
  <c r="I26" i="3"/>
  <c r="I28" i="3"/>
  <c r="I30" i="3"/>
  <c r="F25" i="9"/>
  <c r="U4" i="16" l="1"/>
  <c r="F45" i="10"/>
  <c r="L43" i="10"/>
  <c r="S43" i="10" s="1"/>
  <c r="G33" i="1"/>
  <c r="F34" i="1" s="1"/>
  <c r="J32" i="1"/>
  <c r="AD18" i="16"/>
  <c r="AD35" i="16" s="1"/>
  <c r="AJ24" i="16" s="1"/>
  <c r="AL23" i="16" s="1"/>
  <c r="AJ4" i="16"/>
  <c r="AJ6" i="16" s="1"/>
  <c r="AD11" i="16"/>
  <c r="C30" i="13"/>
  <c r="F4" i="13" s="1"/>
  <c r="J25" i="13"/>
  <c r="F30" i="9"/>
  <c r="F32" i="9" s="1"/>
  <c r="F29" i="9"/>
  <c r="F31" i="9" s="1"/>
  <c r="AJ8" i="16" l="1"/>
  <c r="AK31" i="16"/>
  <c r="AD15" i="16"/>
  <c r="AJ15" i="16" s="1"/>
  <c r="AL14" i="16" s="1"/>
  <c r="AM30" i="16"/>
  <c r="J33" i="1"/>
  <c r="G34" i="1"/>
  <c r="F35" i="1" s="1"/>
  <c r="D24" i="3"/>
  <c r="J30" i="13"/>
  <c r="G30" i="13"/>
  <c r="L30" i="13" s="1"/>
  <c r="G4" i="16"/>
  <c r="E11" i="16" s="1"/>
  <c r="E10" i="16" s="1"/>
  <c r="E24" i="16" s="1"/>
  <c r="E41" i="16" s="1"/>
  <c r="L37" i="16" s="1"/>
  <c r="N36" i="16" s="1"/>
  <c r="AQ10" i="16" l="1"/>
  <c r="AQ9" i="16" s="1"/>
  <c r="AQ8" i="16" s="1"/>
  <c r="AQ13" i="16" s="1"/>
  <c r="AQ14" i="16" s="1"/>
  <c r="AQ25" i="16" s="1"/>
  <c r="AS24" i="16" s="1"/>
  <c r="AK28" i="16"/>
  <c r="L17" i="16"/>
  <c r="E17" i="16"/>
  <c r="E21" i="16" s="1"/>
  <c r="L28" i="16" s="1"/>
  <c r="N27" i="16" s="1"/>
  <c r="J34" i="1"/>
  <c r="G35" i="1"/>
  <c r="F36" i="1" s="1"/>
  <c r="E7" i="3"/>
  <c r="J24" i="3"/>
  <c r="I24" i="3"/>
  <c r="M30" i="13"/>
  <c r="F11" i="13"/>
  <c r="F17" i="13" s="1"/>
  <c r="F10" i="13"/>
  <c r="F16" i="13" s="1"/>
  <c r="L19" i="16" l="1"/>
  <c r="K7" i="16"/>
  <c r="L6" i="16"/>
  <c r="J35" i="1"/>
  <c r="G36" i="1"/>
  <c r="F37" i="1" s="1"/>
  <c r="E10" i="3"/>
  <c r="E11" i="3"/>
  <c r="E18" i="3"/>
  <c r="N30" i="13"/>
  <c r="O30" i="13"/>
  <c r="F18" i="13"/>
  <c r="F19" i="13"/>
  <c r="L7" i="13" s="1"/>
  <c r="L21" i="16" l="1"/>
  <c r="I3" i="16"/>
  <c r="J36" i="1"/>
  <c r="G37" i="1"/>
  <c r="F38" i="1" s="1"/>
  <c r="G5" i="20"/>
  <c r="E10" i="8"/>
  <c r="E19" i="3"/>
  <c r="H14" i="3" s="1"/>
  <c r="J13" i="3" s="1"/>
  <c r="E20" i="3"/>
  <c r="H17" i="3" s="1"/>
  <c r="J16" i="3" s="1"/>
  <c r="L5" i="13"/>
  <c r="L16" i="13" s="1"/>
  <c r="N16" i="13" s="1"/>
  <c r="E50" i="16" l="1"/>
  <c r="E49" i="16" s="1"/>
  <c r="E48" i="16" s="1"/>
  <c r="E53" i="16" s="1"/>
  <c r="E54" i="16" s="1"/>
  <c r="L51" i="16" s="1"/>
  <c r="N50" i="16" s="1"/>
  <c r="K3" i="16"/>
  <c r="G2" i="20"/>
  <c r="J37" i="1"/>
  <c r="G38" i="1"/>
  <c r="F39" i="1" s="1"/>
  <c r="G21" i="20"/>
  <c r="G20" i="20" s="1"/>
  <c r="E9" i="8"/>
  <c r="L13" i="13"/>
  <c r="N13" i="13" s="1"/>
  <c r="J38" i="1" l="1"/>
  <c r="G39" i="1"/>
  <c r="F40" i="1" s="1"/>
  <c r="G40" i="1" l="1"/>
  <c r="F41" i="1" s="1"/>
  <c r="J39" i="1"/>
  <c r="G41" i="1" l="1"/>
  <c r="F42" i="1" s="1"/>
  <c r="J40" i="1"/>
  <c r="J41" i="1" l="1"/>
  <c r="G42" i="1"/>
  <c r="J42" i="1" l="1"/>
  <c r="G25" i="13" l="1"/>
  <c r="L25" i="13" l="1"/>
  <c r="M25" i="13"/>
  <c r="F9" i="13"/>
  <c r="O25" i="13" l="1"/>
  <c r="N25" i="13"/>
  <c r="F13" i="13"/>
  <c r="F12" i="13"/>
</calcChain>
</file>

<file path=xl/sharedStrings.xml><?xml version="1.0" encoding="utf-8"?>
<sst xmlns="http://schemas.openxmlformats.org/spreadsheetml/2006/main" count="1217" uniqueCount="508">
  <si>
    <t xml:space="preserve">Thickness Befor Rolling </t>
  </si>
  <si>
    <t xml:space="preserve">Thickness After Rolling </t>
  </si>
  <si>
    <t>Radius of Roll</t>
  </si>
  <si>
    <t>mm</t>
  </si>
  <si>
    <t>*</t>
  </si>
  <si>
    <t xml:space="preserve">Angle Of Contact </t>
  </si>
  <si>
    <t>Cold Rollling Machine Design</t>
  </si>
  <si>
    <t>degree</t>
  </si>
  <si>
    <t xml:space="preserve">Strip Wide </t>
  </si>
  <si>
    <t xml:space="preserve">please enter the following parameters </t>
  </si>
  <si>
    <t xml:space="preserve">lenth of contact </t>
  </si>
  <si>
    <t xml:space="preserve">material </t>
  </si>
  <si>
    <t xml:space="preserve">yeaild stess </t>
  </si>
  <si>
    <t>ultimate stress</t>
  </si>
  <si>
    <t>Mpa</t>
  </si>
  <si>
    <t>MPa</t>
  </si>
  <si>
    <t xml:space="preserve">Calculation </t>
  </si>
  <si>
    <t>Aluminum 1100</t>
  </si>
  <si>
    <t>Rolling speed</t>
  </si>
  <si>
    <t>m/min</t>
  </si>
  <si>
    <t xml:space="preserve">Aera of contact </t>
  </si>
  <si>
    <t>mm^2</t>
  </si>
  <si>
    <t xml:space="preserve">average stress </t>
  </si>
  <si>
    <t xml:space="preserve">strain </t>
  </si>
  <si>
    <t>Q</t>
  </si>
  <si>
    <t xml:space="preserve">cooficant of friction </t>
  </si>
  <si>
    <t xml:space="preserve">Rolling force </t>
  </si>
  <si>
    <t xml:space="preserve">friction force </t>
  </si>
  <si>
    <t xml:space="preserve">friction cooficant </t>
  </si>
  <si>
    <t xml:space="preserve">rolling power </t>
  </si>
  <si>
    <t>k</t>
  </si>
  <si>
    <t>n</t>
  </si>
  <si>
    <t>KW</t>
  </si>
  <si>
    <t>N</t>
  </si>
  <si>
    <t xml:space="preserve">Shaft Diameter </t>
  </si>
  <si>
    <t>Shaft Torque</t>
  </si>
  <si>
    <t xml:space="preserve">Key Length </t>
  </si>
  <si>
    <t xml:space="preserve">key width </t>
  </si>
  <si>
    <t xml:space="preserve">key height </t>
  </si>
  <si>
    <t xml:space="preserve">key way depth shaft </t>
  </si>
  <si>
    <t>keyway depth hub</t>
  </si>
  <si>
    <t xml:space="preserve">bearing pressure </t>
  </si>
  <si>
    <t>D</t>
  </si>
  <si>
    <t>T</t>
  </si>
  <si>
    <t>L</t>
  </si>
  <si>
    <t>b</t>
  </si>
  <si>
    <t>h</t>
  </si>
  <si>
    <t>t1</t>
  </si>
  <si>
    <t>t2</t>
  </si>
  <si>
    <t>fs</t>
  </si>
  <si>
    <t>p</t>
  </si>
  <si>
    <t>N.m</t>
  </si>
  <si>
    <t xml:space="preserve">shear force </t>
  </si>
  <si>
    <t>Shaft key design</t>
  </si>
  <si>
    <t xml:space="preserve">key analysis </t>
  </si>
  <si>
    <t>hp</t>
  </si>
  <si>
    <t xml:space="preserve">strip final velosity </t>
  </si>
  <si>
    <t xml:space="preserve">assume </t>
  </si>
  <si>
    <t xml:space="preserve">from table </t>
  </si>
  <si>
    <t xml:space="preserve">safty factor </t>
  </si>
  <si>
    <t>steel 1020</t>
  </si>
  <si>
    <t xml:space="preserve">number of revolution </t>
  </si>
  <si>
    <t>rpm</t>
  </si>
  <si>
    <t>rad/sec</t>
  </si>
  <si>
    <t xml:space="preserve">shear area </t>
  </si>
  <si>
    <t>m^2</t>
  </si>
  <si>
    <t xml:space="preserve">bearing area </t>
  </si>
  <si>
    <t>tourqe  needed</t>
  </si>
  <si>
    <t>Ssy</t>
  </si>
  <si>
    <t>shear stress design</t>
  </si>
  <si>
    <t xml:space="preserve">material allowble </t>
  </si>
  <si>
    <t xml:space="preserve">Key material </t>
  </si>
  <si>
    <t xml:space="preserve">shear stress  </t>
  </si>
  <si>
    <t>sy</t>
  </si>
  <si>
    <t xml:space="preserve">shatf key design </t>
  </si>
  <si>
    <t xml:space="preserve">key list </t>
  </si>
  <si>
    <t xml:space="preserve">shat number </t>
  </si>
  <si>
    <t xml:space="preserve">binding moment and tourque diagram </t>
  </si>
  <si>
    <t xml:space="preserve">list fo subjected forces </t>
  </si>
  <si>
    <t>#1</t>
  </si>
  <si>
    <t>#2</t>
  </si>
  <si>
    <t>#3</t>
  </si>
  <si>
    <t>#4</t>
  </si>
  <si>
    <t>#5</t>
  </si>
  <si>
    <t xml:space="preserve">lift bearing reaction </t>
  </si>
  <si>
    <t xml:space="preserve">rolling force </t>
  </si>
  <si>
    <t xml:space="preserve">roll weight </t>
  </si>
  <si>
    <t xml:space="preserve">chain tintion (y) </t>
  </si>
  <si>
    <t xml:space="preserve">right bearing reaction </t>
  </si>
  <si>
    <t>m</t>
  </si>
  <si>
    <t xml:space="preserve">shaft lenth </t>
  </si>
  <si>
    <t xml:space="preserve">staic load </t>
  </si>
  <si>
    <t>ns</t>
  </si>
  <si>
    <t>assume</t>
  </si>
  <si>
    <t>material</t>
  </si>
  <si>
    <t>yeiled stress</t>
  </si>
  <si>
    <t>maximum bending moment</t>
  </si>
  <si>
    <t xml:space="preserve">maximum shear </t>
  </si>
  <si>
    <t>torque</t>
  </si>
  <si>
    <t>diameter DET</t>
  </si>
  <si>
    <t>kf</t>
  </si>
  <si>
    <t>diameter MSST</t>
  </si>
  <si>
    <t>s</t>
  </si>
  <si>
    <t>d</t>
  </si>
  <si>
    <t>ultimate tensile stress</t>
  </si>
  <si>
    <t>uts</t>
  </si>
  <si>
    <t xml:space="preserve">mean moment </t>
  </si>
  <si>
    <t xml:space="preserve">amplitude moment </t>
  </si>
  <si>
    <t xml:space="preserve">mean tourque </t>
  </si>
  <si>
    <t xml:space="preserve">amplitude tourque </t>
  </si>
  <si>
    <t>endurence stress</t>
  </si>
  <si>
    <t>se</t>
  </si>
  <si>
    <t xml:space="preserve">surface finched factor </t>
  </si>
  <si>
    <t>Mm</t>
  </si>
  <si>
    <t>Ma</t>
  </si>
  <si>
    <t>Tm</t>
  </si>
  <si>
    <t>Ta</t>
  </si>
  <si>
    <t xml:space="preserve">Fatigue load </t>
  </si>
  <si>
    <t xml:space="preserve">pinion number of teeth </t>
  </si>
  <si>
    <t xml:space="preserve">gear number of teeth </t>
  </si>
  <si>
    <t>pressure angle</t>
  </si>
  <si>
    <t>deg</t>
  </si>
  <si>
    <t xml:space="preserve"> face width</t>
  </si>
  <si>
    <t xml:space="preserve">pitch diameter pinion </t>
  </si>
  <si>
    <t xml:space="preserve">pitch diameter gear  </t>
  </si>
  <si>
    <t xml:space="preserve">diametral pitch pinion </t>
  </si>
  <si>
    <t>1/mm</t>
  </si>
  <si>
    <t xml:space="preserve">circular  pitch pinion </t>
  </si>
  <si>
    <t>pd</t>
  </si>
  <si>
    <t>pc</t>
  </si>
  <si>
    <t xml:space="preserve">base  pitch pinion </t>
  </si>
  <si>
    <t>pb</t>
  </si>
  <si>
    <t>db</t>
  </si>
  <si>
    <t xml:space="preserve">diameter base  pinion </t>
  </si>
  <si>
    <t xml:space="preserve">diameter base gear  </t>
  </si>
  <si>
    <t xml:space="preserve">addendum </t>
  </si>
  <si>
    <t>dedendum</t>
  </si>
  <si>
    <t>a</t>
  </si>
  <si>
    <t xml:space="preserve">whole depth </t>
  </si>
  <si>
    <t xml:space="preserve">clerance </t>
  </si>
  <si>
    <t>c</t>
  </si>
  <si>
    <t xml:space="preserve">outside diameter </t>
  </si>
  <si>
    <t>Do</t>
  </si>
  <si>
    <t xml:space="preserve">lingth of action </t>
  </si>
  <si>
    <t>z</t>
  </si>
  <si>
    <t xml:space="preserve">contact ratio </t>
  </si>
  <si>
    <t>mp</t>
  </si>
  <si>
    <t xml:space="preserve">pinion </t>
  </si>
  <si>
    <t>gear</t>
  </si>
  <si>
    <t>---------------------------------------------------------------</t>
  </si>
  <si>
    <t xml:space="preserve">center destance </t>
  </si>
  <si>
    <t>C</t>
  </si>
  <si>
    <t>tangential force</t>
  </si>
  <si>
    <t>diametral pitch</t>
  </si>
  <si>
    <t>width of the tooth</t>
  </si>
  <si>
    <t>corection factor</t>
  </si>
  <si>
    <t>bending stress</t>
  </si>
  <si>
    <t xml:space="preserve">width of tooth </t>
  </si>
  <si>
    <t>modified allowable bending stress</t>
  </si>
  <si>
    <t>safety factor</t>
  </si>
  <si>
    <t>temprature factor</t>
  </si>
  <si>
    <t xml:space="preserve">reliability factor </t>
  </si>
  <si>
    <t xml:space="preserve">hertz stress </t>
  </si>
  <si>
    <t xml:space="preserve">dimensionless load </t>
  </si>
  <si>
    <t>modified allowable contact stress</t>
  </si>
  <si>
    <t xml:space="preserve">section radius </t>
  </si>
  <si>
    <t xml:space="preserve">moment o inertia </t>
  </si>
  <si>
    <t xml:space="preserve">torque at section </t>
  </si>
  <si>
    <t xml:space="preserve">secound moment of area </t>
  </si>
  <si>
    <t xml:space="preserve">bending moment </t>
  </si>
  <si>
    <t>m^4</t>
  </si>
  <si>
    <t xml:space="preserve">bending stress </t>
  </si>
  <si>
    <t xml:space="preserve">shear stress </t>
  </si>
  <si>
    <t xml:space="preserve">maximum stress </t>
  </si>
  <si>
    <t xml:space="preserve">menimum stress </t>
  </si>
  <si>
    <t xml:space="preserve">bending strss consentration </t>
  </si>
  <si>
    <t xml:space="preserve">tortion stress concentration </t>
  </si>
  <si>
    <t xml:space="preserve">fluit radius </t>
  </si>
  <si>
    <t xml:space="preserve">grove diameter </t>
  </si>
  <si>
    <t>D/d</t>
  </si>
  <si>
    <t>r/d</t>
  </si>
  <si>
    <t xml:space="preserve">Shaft stress </t>
  </si>
  <si>
    <t xml:space="preserve">prencible stress </t>
  </si>
  <si>
    <t xml:space="preserve">shaft material </t>
  </si>
  <si>
    <t>safty factor</t>
  </si>
  <si>
    <t xml:space="preserve">MSST check </t>
  </si>
  <si>
    <t xml:space="preserve">applied stress </t>
  </si>
  <si>
    <t xml:space="preserve">allowble stress </t>
  </si>
  <si>
    <t xml:space="preserve">DET check </t>
  </si>
  <si>
    <t xml:space="preserve">CHECK STATIC </t>
  </si>
  <si>
    <t xml:space="preserve">grove </t>
  </si>
  <si>
    <t>#</t>
  </si>
  <si>
    <t xml:space="preserve">stress concentration </t>
  </si>
  <si>
    <t xml:space="preserve">type </t>
  </si>
  <si>
    <t xml:space="preserve">diameter </t>
  </si>
  <si>
    <t xml:space="preserve">flit </t>
  </si>
  <si>
    <t>shear force (N)</t>
  </si>
  <si>
    <t>bending moment (N.m)</t>
  </si>
  <si>
    <t>Section diameter  (mm)</t>
  </si>
  <si>
    <t>flit</t>
  </si>
  <si>
    <t>poission ratio</t>
  </si>
  <si>
    <t>elastic modulus of pinion</t>
  </si>
  <si>
    <t xml:space="preserve">elastic modulus of gear </t>
  </si>
  <si>
    <t>total force magnitude</t>
  </si>
  <si>
    <t>radial force</t>
  </si>
  <si>
    <t xml:space="preserve">number of teeth </t>
  </si>
  <si>
    <t>module</t>
  </si>
  <si>
    <t>--</t>
  </si>
  <si>
    <t xml:space="preserve">chicking interference </t>
  </si>
  <si>
    <t>Pa</t>
  </si>
  <si>
    <t>bending stress using lewis equation</t>
  </si>
  <si>
    <t>bending stress using AGMA</t>
  </si>
  <si>
    <t xml:space="preserve">BENDING STRESS </t>
  </si>
  <si>
    <t>Ft</t>
  </si>
  <si>
    <t>application or overload factor</t>
  </si>
  <si>
    <t xml:space="preserve"> Ka</t>
  </si>
  <si>
    <t xml:space="preserve">size factor </t>
  </si>
  <si>
    <t>Ks</t>
  </si>
  <si>
    <t xml:space="preserve">load distribution factor </t>
  </si>
  <si>
    <t>Km</t>
  </si>
  <si>
    <t xml:space="preserve">dynamic factor </t>
  </si>
  <si>
    <t>Kv</t>
  </si>
  <si>
    <t xml:space="preserve">idler factor </t>
  </si>
  <si>
    <t>Ki</t>
  </si>
  <si>
    <t xml:space="preserve">rim thickness factor </t>
  </si>
  <si>
    <t>Kb</t>
  </si>
  <si>
    <t xml:space="preserve">lead correction factor </t>
  </si>
  <si>
    <t>Cmc</t>
  </si>
  <si>
    <t xml:space="preserve">pinion proportion factor </t>
  </si>
  <si>
    <t>Cpf</t>
  </si>
  <si>
    <t xml:space="preserve">pinion proportion modifier </t>
  </si>
  <si>
    <t>Cpm</t>
  </si>
  <si>
    <t xml:space="preserve">mesh aligment factor </t>
  </si>
  <si>
    <t>Cma</t>
  </si>
  <si>
    <t xml:space="preserve">mesh aligment correction factor </t>
  </si>
  <si>
    <t>Ce</t>
  </si>
  <si>
    <t xml:space="preserve">transmitted load, </t>
  </si>
  <si>
    <t xml:space="preserve">Hardness </t>
  </si>
  <si>
    <t xml:space="preserve">pitch line velocity </t>
  </si>
  <si>
    <t>m/s</t>
  </si>
  <si>
    <t xml:space="preserve">velocity ratio </t>
  </si>
  <si>
    <t>mv</t>
  </si>
  <si>
    <t xml:space="preserve">input velocity </t>
  </si>
  <si>
    <t xml:space="preserve">v in </t>
  </si>
  <si>
    <t xml:space="preserve">output velocity </t>
  </si>
  <si>
    <t>v out</t>
  </si>
  <si>
    <t xml:space="preserve">rpm </t>
  </si>
  <si>
    <t>m2,3</t>
  </si>
  <si>
    <t xml:space="preserve">gear ratio </t>
  </si>
  <si>
    <t>Gear 2</t>
  </si>
  <si>
    <t>Gear 3</t>
  </si>
  <si>
    <t xml:space="preserve">Number of teeth </t>
  </si>
  <si>
    <t xml:space="preserve">Main Gearbox </t>
  </si>
  <si>
    <t xml:space="preserve">stage </t>
  </si>
  <si>
    <t>stage 1</t>
  </si>
  <si>
    <t>stage 2</t>
  </si>
  <si>
    <t xml:space="preserve">gear dimentions </t>
  </si>
  <si>
    <t>Np</t>
  </si>
  <si>
    <t>Ng</t>
  </si>
  <si>
    <t xml:space="preserve">module </t>
  </si>
  <si>
    <t>Ø</t>
  </si>
  <si>
    <t>----------------------------------------------------------------</t>
  </si>
  <si>
    <t>designe output</t>
  </si>
  <si>
    <t xml:space="preserve">tooruque </t>
  </si>
  <si>
    <t>rp</t>
  </si>
  <si>
    <t xml:space="preserve">pitch radius </t>
  </si>
  <si>
    <t xml:space="preserve">total force </t>
  </si>
  <si>
    <t>wt</t>
  </si>
  <si>
    <t>ɸ</t>
  </si>
  <si>
    <t>wr</t>
  </si>
  <si>
    <t>w</t>
  </si>
  <si>
    <t xml:space="preserve">hardeness </t>
  </si>
  <si>
    <t>HB</t>
  </si>
  <si>
    <t xml:space="preserve">ALLOBLE BENDING </t>
  </si>
  <si>
    <t>MPA</t>
  </si>
  <si>
    <t xml:space="preserve">SAFTY FACTOR </t>
  </si>
  <si>
    <t xml:space="preserve">APPLIED STRESS </t>
  </si>
  <si>
    <t xml:space="preserve">allowble BENDING  stress </t>
  </si>
  <si>
    <t>1/m</t>
  </si>
  <si>
    <t>Vt</t>
  </si>
  <si>
    <t xml:space="preserve">gear qulity </t>
  </si>
  <si>
    <t>Qv</t>
  </si>
  <si>
    <t>allowable bending stress</t>
  </si>
  <si>
    <t xml:space="preserve">stress cycle factor </t>
  </si>
  <si>
    <t xml:space="preserve"> allowable  stress</t>
  </si>
  <si>
    <t xml:space="preserve">Effective modulus </t>
  </si>
  <si>
    <t xml:space="preserve">load per unit wedth </t>
  </si>
  <si>
    <t xml:space="preserve">applied loade </t>
  </si>
  <si>
    <t xml:space="preserve">face width </t>
  </si>
  <si>
    <t>Rx</t>
  </si>
  <si>
    <t xml:space="preserve">AGMA contact stress </t>
  </si>
  <si>
    <t>AGMA contact stress</t>
  </si>
  <si>
    <t>pa</t>
  </si>
  <si>
    <t xml:space="preserve">allowable contact stress </t>
  </si>
  <si>
    <t xml:space="preserve">safety factor </t>
  </si>
  <si>
    <t xml:space="preserve">temprature factor </t>
  </si>
  <si>
    <t xml:space="preserve">reliability factor  </t>
  </si>
  <si>
    <t xml:space="preserve">hardness ratio factor </t>
  </si>
  <si>
    <t xml:space="preserve">modified allowable contact </t>
  </si>
  <si>
    <t xml:space="preserve">stress cycle factor for contact  </t>
  </si>
  <si>
    <t xml:space="preserve">aplyied contact stress </t>
  </si>
  <si>
    <t xml:space="preserve">mpa </t>
  </si>
  <si>
    <t>N/m</t>
  </si>
  <si>
    <t>ductile  cast iron class 40</t>
  </si>
  <si>
    <t xml:space="preserve">Dimention calculation Stage 1 </t>
  </si>
  <si>
    <t>Thickness</t>
  </si>
  <si>
    <t xml:space="preserve">Thickness after </t>
  </si>
  <si>
    <t xml:space="preserve">width </t>
  </si>
  <si>
    <t xml:space="preserve">intial lenth </t>
  </si>
  <si>
    <t xml:space="preserve">lenth after </t>
  </si>
  <si>
    <t>standard sheets Thickness  ( 1100-H14 SHEET )</t>
  </si>
  <si>
    <t xml:space="preserve">yeiald stress </t>
  </si>
  <si>
    <t xml:space="preserve">ultimate stress </t>
  </si>
  <si>
    <t xml:space="preserve">meen moment </t>
  </si>
  <si>
    <t xml:space="preserve">moment amplitude </t>
  </si>
  <si>
    <t xml:space="preserve">meen torque </t>
  </si>
  <si>
    <t xml:space="preserve">torque amplitude </t>
  </si>
  <si>
    <t xml:space="preserve">endurence limit </t>
  </si>
  <si>
    <t xml:space="preserve">stress concentration factor </t>
  </si>
  <si>
    <t xml:space="preserve">surface fnish factor </t>
  </si>
  <si>
    <t xml:space="preserve">rialblity factor </t>
  </si>
  <si>
    <t xml:space="preserve">temperature factor </t>
  </si>
  <si>
    <t xml:space="preserve">misclinious factor </t>
  </si>
  <si>
    <t xml:space="preserve">fatuge stress </t>
  </si>
  <si>
    <t>se/</t>
  </si>
  <si>
    <t xml:space="preserve">shaft diffliction </t>
  </si>
  <si>
    <t xml:space="preserve">load per unit lenth </t>
  </si>
  <si>
    <t>Length of the beam</t>
  </si>
  <si>
    <t>Modulus of elasticity</t>
  </si>
  <si>
    <t xml:space="preserve">Area moment of inertia </t>
  </si>
  <si>
    <r>
      <rPr>
        <sz val="14"/>
        <color theme="1"/>
        <rFont val="Calibri"/>
        <family val="2"/>
      </rPr>
      <t>ơ</t>
    </r>
    <r>
      <rPr>
        <sz val="14"/>
        <color theme="1"/>
        <rFont val="Times New Roman"/>
        <family val="1"/>
      </rPr>
      <t xml:space="preserve"> 1</t>
    </r>
  </si>
  <si>
    <r>
      <rPr>
        <sz val="14"/>
        <color theme="1"/>
        <rFont val="Calibri"/>
        <family val="2"/>
      </rPr>
      <t>ơ</t>
    </r>
    <r>
      <rPr>
        <sz val="14"/>
        <color theme="1"/>
        <rFont val="Times New Roman"/>
        <family val="1"/>
      </rPr>
      <t xml:space="preserve"> 2</t>
    </r>
  </si>
  <si>
    <r>
      <rPr>
        <sz val="14"/>
        <color theme="1"/>
        <rFont val="Calibri"/>
        <family val="2"/>
      </rPr>
      <t>ơ</t>
    </r>
    <r>
      <rPr>
        <sz val="14"/>
        <color theme="1"/>
        <rFont val="Times New Roman"/>
        <family val="1"/>
      </rPr>
      <t xml:space="preserve"> 3</t>
    </r>
  </si>
  <si>
    <t xml:space="preserve">difflection </t>
  </si>
  <si>
    <t xml:space="preserve">damerter </t>
  </si>
  <si>
    <t>Number of thread starts</t>
  </si>
  <si>
    <t>Yield strength screw</t>
  </si>
  <si>
    <t> Axial load</t>
  </si>
  <si>
    <t> Stroke length</t>
  </si>
  <si>
    <t> Nut length</t>
  </si>
  <si>
    <t> Specific wear rate</t>
  </si>
  <si>
    <t> Ratio of wear depth / 0.5P</t>
  </si>
  <si>
    <t> Coefficient of friction</t>
  </si>
  <si>
    <t>pitch P</t>
  </si>
  <si>
    <r>
      <t> pitch diameter d</t>
    </r>
    <r>
      <rPr>
        <vertAlign val="subscript"/>
        <sz val="10"/>
        <color rgb="FF000080"/>
        <rFont val="Calibri"/>
        <family val="2"/>
        <scheme val="minor"/>
      </rPr>
      <t>2</t>
    </r>
    <r>
      <rPr>
        <sz val="10"/>
        <color rgb="FF000080"/>
        <rFont val="Calibri"/>
        <family val="2"/>
        <scheme val="minor"/>
      </rPr>
      <t>=d-0.5P</t>
    </r>
  </si>
  <si>
    <r>
      <t> root diameter d</t>
    </r>
    <r>
      <rPr>
        <vertAlign val="subscript"/>
        <sz val="10"/>
        <color rgb="FF000080"/>
        <rFont val="Calibri"/>
        <family val="2"/>
        <scheme val="minor"/>
      </rPr>
      <t>3</t>
    </r>
    <r>
      <rPr>
        <sz val="10"/>
        <color rgb="FF000080"/>
        <rFont val="Calibri"/>
        <family val="2"/>
        <scheme val="minor"/>
      </rPr>
      <t>=d-2h</t>
    </r>
    <r>
      <rPr>
        <vertAlign val="subscript"/>
        <sz val="10"/>
        <color rgb="FF000080"/>
        <rFont val="Calibri"/>
        <family val="2"/>
        <scheme val="minor"/>
      </rPr>
      <t>3</t>
    </r>
  </si>
  <si>
    <r>
      <t> thread height H</t>
    </r>
    <r>
      <rPr>
        <vertAlign val="subscript"/>
        <sz val="10"/>
        <color rgb="FF000080"/>
        <rFont val="Calibri"/>
        <family val="2"/>
        <scheme val="minor"/>
      </rPr>
      <t>1</t>
    </r>
    <r>
      <rPr>
        <sz val="10"/>
        <color rgb="FF000080"/>
        <rFont val="Calibri"/>
        <family val="2"/>
        <scheme val="minor"/>
      </rPr>
      <t>=0.5P</t>
    </r>
  </si>
  <si>
    <r>
      <t> tensile stress area A</t>
    </r>
    <r>
      <rPr>
        <vertAlign val="subscript"/>
        <sz val="10"/>
        <color rgb="FF000080"/>
        <rFont val="Calibri"/>
        <family val="2"/>
        <scheme val="minor"/>
      </rPr>
      <t>t </t>
    </r>
    <r>
      <rPr>
        <sz val="10"/>
        <color rgb="FF000080"/>
        <rFont val="Calibri"/>
        <family val="2"/>
        <scheme val="minor"/>
      </rPr>
      <t>= π/4 d</t>
    </r>
    <r>
      <rPr>
        <vertAlign val="subscript"/>
        <sz val="10"/>
        <color rgb="FF000080"/>
        <rFont val="Calibri"/>
        <family val="2"/>
        <scheme val="minor"/>
      </rPr>
      <t>3</t>
    </r>
    <r>
      <rPr>
        <vertAlign val="superscript"/>
        <sz val="10"/>
        <color rgb="FF000080"/>
        <rFont val="Calibri"/>
        <family val="2"/>
        <scheme val="minor"/>
      </rPr>
      <t>3</t>
    </r>
  </si>
  <si>
    <r>
      <t> tensile stress σ</t>
    </r>
    <r>
      <rPr>
        <vertAlign val="subscript"/>
        <sz val="10"/>
        <color rgb="FF000080"/>
        <rFont val="Calibri"/>
        <family val="2"/>
        <scheme val="minor"/>
      </rPr>
      <t>t</t>
    </r>
    <r>
      <rPr>
        <sz val="10"/>
        <color rgb="FF000080"/>
        <rFont val="Calibri"/>
        <family val="2"/>
        <scheme val="minor"/>
      </rPr>
      <t> = F/A</t>
    </r>
    <r>
      <rPr>
        <vertAlign val="subscript"/>
        <sz val="10"/>
        <color rgb="FF000080"/>
        <rFont val="Calibri"/>
        <family val="2"/>
        <scheme val="minor"/>
      </rPr>
      <t>t</t>
    </r>
  </si>
  <si>
    <r>
      <t> torsional stress τ = T/W</t>
    </r>
    <r>
      <rPr>
        <vertAlign val="subscript"/>
        <sz val="10"/>
        <color rgb="FF000080"/>
        <rFont val="Calibri"/>
        <family val="2"/>
        <scheme val="minor"/>
      </rPr>
      <t>p</t>
    </r>
    <r>
      <rPr>
        <sz val="10"/>
        <color rgb="FF000080"/>
        <rFont val="Calibri"/>
        <family val="2"/>
        <scheme val="minor"/>
      </rPr>
      <t> ;  W</t>
    </r>
    <r>
      <rPr>
        <vertAlign val="subscript"/>
        <sz val="10"/>
        <color rgb="FF000080"/>
        <rFont val="Calibri"/>
        <family val="2"/>
        <scheme val="minor"/>
      </rPr>
      <t>p</t>
    </r>
    <r>
      <rPr>
        <sz val="10"/>
        <color rgb="FF000080"/>
        <rFont val="Calibri"/>
        <family val="2"/>
        <scheme val="minor"/>
      </rPr>
      <t>= π/16 d</t>
    </r>
    <r>
      <rPr>
        <vertAlign val="subscript"/>
        <sz val="10"/>
        <color rgb="FF000080"/>
        <rFont val="Calibri"/>
        <family val="2"/>
        <scheme val="minor"/>
      </rPr>
      <t>3</t>
    </r>
    <r>
      <rPr>
        <vertAlign val="superscript"/>
        <sz val="10"/>
        <color rgb="FF000080"/>
        <rFont val="Calibri"/>
        <family val="2"/>
        <scheme val="minor"/>
      </rPr>
      <t>3 </t>
    </r>
  </si>
  <si>
    <r>
      <t> equivalent stress σ</t>
    </r>
    <r>
      <rPr>
        <vertAlign val="subscript"/>
        <sz val="10"/>
        <color rgb="FF000080"/>
        <rFont val="Calibri"/>
        <family val="2"/>
        <scheme val="minor"/>
      </rPr>
      <t>e</t>
    </r>
    <r>
      <rPr>
        <sz val="10"/>
        <color rgb="FF000080"/>
        <rFont val="Calibri"/>
        <family val="2"/>
        <scheme val="minor"/>
      </rPr>
      <t> = (σ</t>
    </r>
    <r>
      <rPr>
        <vertAlign val="subscript"/>
        <sz val="10"/>
        <color rgb="FF000080"/>
        <rFont val="Calibri"/>
        <family val="2"/>
        <scheme val="minor"/>
      </rPr>
      <t>m</t>
    </r>
    <r>
      <rPr>
        <vertAlign val="superscript"/>
        <sz val="10"/>
        <color rgb="FF000080"/>
        <rFont val="Calibri"/>
        <family val="2"/>
        <scheme val="minor"/>
      </rPr>
      <t>2 </t>
    </r>
    <r>
      <rPr>
        <sz val="10"/>
        <color rgb="FF000080"/>
        <rFont val="Calibri"/>
        <family val="2"/>
        <scheme val="minor"/>
      </rPr>
      <t>+ 3τ</t>
    </r>
    <r>
      <rPr>
        <vertAlign val="superscript"/>
        <sz val="10"/>
        <color rgb="FF000080"/>
        <rFont val="Calibri"/>
        <family val="2"/>
        <scheme val="minor"/>
      </rPr>
      <t>2</t>
    </r>
    <r>
      <rPr>
        <sz val="10"/>
        <color rgb="FF000080"/>
        <rFont val="Calibri"/>
        <family val="2"/>
        <scheme val="minor"/>
      </rPr>
      <t>)</t>
    </r>
    <r>
      <rPr>
        <vertAlign val="superscript"/>
        <sz val="10"/>
        <color rgb="FF000080"/>
        <rFont val="Calibri"/>
        <family val="2"/>
        <scheme val="minor"/>
      </rPr>
      <t>½</t>
    </r>
  </si>
  <si>
    <r>
      <t> safety factor S</t>
    </r>
    <r>
      <rPr>
        <vertAlign val="subscript"/>
        <sz val="10"/>
        <color rgb="FF000080"/>
        <rFont val="Calibri"/>
        <family val="2"/>
        <scheme val="minor"/>
      </rPr>
      <t>v</t>
    </r>
    <r>
      <rPr>
        <sz val="10"/>
        <color rgb="FF000080"/>
        <rFont val="Calibri"/>
        <family val="2"/>
        <scheme val="minor"/>
      </rPr>
      <t> = R</t>
    </r>
    <r>
      <rPr>
        <vertAlign val="subscript"/>
        <sz val="10"/>
        <color rgb="FF000080"/>
        <rFont val="Calibri"/>
        <family val="2"/>
        <scheme val="minor"/>
      </rPr>
      <t>p0.2 </t>
    </r>
    <r>
      <rPr>
        <sz val="10"/>
        <color rgb="FF000080"/>
        <rFont val="Calibri"/>
        <family val="2"/>
        <scheme val="minor"/>
      </rPr>
      <t>/ σ</t>
    </r>
    <r>
      <rPr>
        <vertAlign val="subscript"/>
        <sz val="10"/>
        <color rgb="FF000080"/>
        <rFont val="Calibri"/>
        <family val="2"/>
        <scheme val="minor"/>
      </rPr>
      <t>e</t>
    </r>
  </si>
  <si>
    <r>
      <t> thread support area A</t>
    </r>
    <r>
      <rPr>
        <vertAlign val="subscript"/>
        <sz val="10"/>
        <color rgb="FF000080"/>
        <rFont val="Calibri"/>
        <family val="2"/>
        <scheme val="minor"/>
      </rPr>
      <t>1</t>
    </r>
  </si>
  <si>
    <t> total tightening torque T+</t>
  </si>
  <si>
    <t> loaded unscrew torque T-</t>
  </si>
  <si>
    <t> screw efficiency</t>
  </si>
  <si>
    <t> contact pressure p thread</t>
  </si>
  <si>
    <t> total sliding distance s=h/(k p)</t>
  </si>
  <si>
    <r>
      <t> sliding distance single move s</t>
    </r>
    <r>
      <rPr>
        <vertAlign val="subscript"/>
        <sz val="10"/>
        <color rgb="FF000080"/>
        <rFont val="Calibri"/>
        <family val="2"/>
        <scheme val="minor"/>
      </rPr>
      <t>1</t>
    </r>
    <r>
      <rPr>
        <sz val="10"/>
        <color rgb="FF000080"/>
        <rFont val="Calibri"/>
        <family val="2"/>
        <scheme val="minor"/>
      </rPr>
      <t>=π d</t>
    </r>
    <r>
      <rPr>
        <vertAlign val="subscript"/>
        <sz val="10"/>
        <color rgb="FF000080"/>
        <rFont val="Calibri"/>
        <family val="2"/>
        <scheme val="minor"/>
      </rPr>
      <t>2</t>
    </r>
    <r>
      <rPr>
        <sz val="10"/>
        <color rgb="FF000080"/>
        <rFont val="Calibri"/>
        <family val="2"/>
        <scheme val="minor"/>
      </rPr>
      <t> L</t>
    </r>
    <r>
      <rPr>
        <vertAlign val="subscript"/>
        <sz val="10"/>
        <color rgb="FF000080"/>
        <rFont val="Calibri"/>
        <family val="2"/>
        <scheme val="minor"/>
      </rPr>
      <t>stroke </t>
    </r>
    <r>
      <rPr>
        <sz val="10"/>
        <color rgb="FF000080"/>
        <rFont val="Calibri"/>
        <family val="2"/>
        <scheme val="minor"/>
      </rPr>
      <t>/ P</t>
    </r>
  </si>
  <si>
    <r>
      <t> number of moves L</t>
    </r>
    <r>
      <rPr>
        <b/>
        <vertAlign val="subscript"/>
        <sz val="10"/>
        <color rgb="FF000080"/>
        <rFont val="Calibri"/>
        <family val="2"/>
        <scheme val="minor"/>
      </rPr>
      <t>n</t>
    </r>
    <r>
      <rPr>
        <b/>
        <sz val="10"/>
        <color rgb="FF000080"/>
        <rFont val="Calibri"/>
        <family val="2"/>
        <scheme val="minor"/>
      </rPr>
      <t>=s/s</t>
    </r>
    <r>
      <rPr>
        <b/>
        <vertAlign val="subscript"/>
        <sz val="10"/>
        <color rgb="FF000080"/>
        <rFont val="Calibri"/>
        <family val="2"/>
        <scheme val="minor"/>
      </rPr>
      <t>1</t>
    </r>
  </si>
  <si>
    <t>m^2/n</t>
  </si>
  <si>
    <t xml:space="preserve">crest </t>
  </si>
  <si>
    <t>dc</t>
  </si>
  <si>
    <t xml:space="preserve">pitch </t>
  </si>
  <si>
    <t>root</t>
  </si>
  <si>
    <t>dr</t>
  </si>
  <si>
    <t xml:space="preserve">area </t>
  </si>
  <si>
    <t>at</t>
  </si>
  <si>
    <t>l</t>
  </si>
  <si>
    <t>dp</t>
  </si>
  <si>
    <t>teta n</t>
  </si>
  <si>
    <t xml:space="preserve">beta </t>
  </si>
  <si>
    <t xml:space="preserve">friction </t>
  </si>
  <si>
    <t>load</t>
  </si>
  <si>
    <t>tr</t>
  </si>
  <si>
    <t xml:space="preserve">thread </t>
  </si>
  <si>
    <t xml:space="preserve">lead </t>
  </si>
  <si>
    <t>Alfa</t>
  </si>
  <si>
    <t xml:space="preserve">rising torque </t>
  </si>
  <si>
    <t xml:space="preserve">efficiency rising </t>
  </si>
  <si>
    <t xml:space="preserve"> Lowering torque </t>
  </si>
  <si>
    <t xml:space="preserve">efficiency lowering </t>
  </si>
  <si>
    <t xml:space="preserve">self locking </t>
  </si>
  <si>
    <t>left bearing stress</t>
  </si>
  <si>
    <t>right bearing stress</t>
  </si>
  <si>
    <t>Kg</t>
  </si>
  <si>
    <t>mass</t>
  </si>
  <si>
    <t>fatigue limit</t>
  </si>
  <si>
    <t>dynamic load rating</t>
  </si>
  <si>
    <t>static load rating</t>
  </si>
  <si>
    <t>inside diameter</t>
  </si>
  <si>
    <t>WIDTH</t>
  </si>
  <si>
    <t>NCF 3005 CV</t>
  </si>
  <si>
    <t xml:space="preserve">bearing type </t>
  </si>
  <si>
    <t>factor of safety</t>
  </si>
  <si>
    <t>equivalent load</t>
  </si>
  <si>
    <t>static load factor</t>
  </si>
  <si>
    <t>force on bearing</t>
  </si>
  <si>
    <t>left bearing</t>
  </si>
  <si>
    <t>right bearing</t>
  </si>
  <si>
    <t>out side diameter</t>
  </si>
  <si>
    <t>mean diameter</t>
  </si>
  <si>
    <t>correction factor of bearing load</t>
  </si>
  <si>
    <t>correction factor of bearing size</t>
  </si>
  <si>
    <t xml:space="preserve">factor debend on bearing design </t>
  </si>
  <si>
    <t>Speed limit</t>
  </si>
  <si>
    <t>axial force</t>
  </si>
  <si>
    <t>Y</t>
  </si>
  <si>
    <t>X</t>
  </si>
  <si>
    <t>dynamic load</t>
  </si>
  <si>
    <t>load life time exponential</t>
  </si>
  <si>
    <t>million rev</t>
  </si>
  <si>
    <t>life time of bearing</t>
  </si>
  <si>
    <t xml:space="preserve">Bearings </t>
  </si>
  <si>
    <t xml:space="preserve">MSST </t>
  </si>
  <si>
    <t xml:space="preserve">DET </t>
  </si>
  <si>
    <t>AISI 1020</t>
  </si>
  <si>
    <t xml:space="preserve">Pitch </t>
  </si>
  <si>
    <t>P</t>
  </si>
  <si>
    <t>Nt</t>
  </si>
  <si>
    <t xml:space="preserve">factor of safty </t>
  </si>
  <si>
    <t xml:space="preserve">roller diameter </t>
  </si>
  <si>
    <t xml:space="preserve">pin diameter </t>
  </si>
  <si>
    <t xml:space="preserve">chain width </t>
  </si>
  <si>
    <t>bi</t>
  </si>
  <si>
    <t>thicness of link plates</t>
  </si>
  <si>
    <t>tp</t>
  </si>
  <si>
    <t xml:space="preserve">width between outer plates </t>
  </si>
  <si>
    <t>bo</t>
  </si>
  <si>
    <t xml:space="preserve">Max height of pin link plates </t>
  </si>
  <si>
    <t>ho</t>
  </si>
  <si>
    <t xml:space="preserve">Max height of roller link plates  </t>
  </si>
  <si>
    <t>hi</t>
  </si>
  <si>
    <t xml:space="preserve">length of roller </t>
  </si>
  <si>
    <t xml:space="preserve">pitch diameter </t>
  </si>
  <si>
    <t>Dp</t>
  </si>
  <si>
    <t xml:space="preserve">angle of contact </t>
  </si>
  <si>
    <t xml:space="preserve">alpa </t>
  </si>
  <si>
    <t xml:space="preserve">outer diaameter </t>
  </si>
  <si>
    <t xml:space="preserve">root diameter </t>
  </si>
  <si>
    <t>Dr</t>
  </si>
  <si>
    <t xml:space="preserve">tooth flank radius </t>
  </si>
  <si>
    <t>Rf</t>
  </si>
  <si>
    <t xml:space="preserve">center distance </t>
  </si>
  <si>
    <t xml:space="preserve">number of links </t>
  </si>
  <si>
    <t xml:space="preserve">chain lenth </t>
  </si>
  <si>
    <t xml:space="preserve">geiometry </t>
  </si>
  <si>
    <t xml:space="preserve">analysis </t>
  </si>
  <si>
    <t xml:space="preserve">chain velocity </t>
  </si>
  <si>
    <t>v</t>
  </si>
  <si>
    <t>mm/s</t>
  </si>
  <si>
    <t xml:space="preserve">driving force </t>
  </si>
  <si>
    <t>F</t>
  </si>
  <si>
    <t>Fc</t>
  </si>
  <si>
    <t xml:space="preserve">tention due to centerfugal force </t>
  </si>
  <si>
    <t xml:space="preserve">tention due to saging </t>
  </si>
  <si>
    <t>ff</t>
  </si>
  <si>
    <t xml:space="preserve">total load </t>
  </si>
  <si>
    <t>fo</t>
  </si>
  <si>
    <t xml:space="preserve">breaking sternth </t>
  </si>
  <si>
    <t>Fu</t>
  </si>
  <si>
    <t xml:space="preserve">load factor </t>
  </si>
  <si>
    <t xml:space="preserve">projection of joint bearing surface </t>
  </si>
  <si>
    <t>A</t>
  </si>
  <si>
    <t xml:space="preserve">wear pressure </t>
  </si>
  <si>
    <t>force acting on the shaft</t>
  </si>
  <si>
    <t xml:space="preserve">F sh </t>
  </si>
  <si>
    <t xml:space="preserve">gear radial force </t>
  </si>
  <si>
    <t xml:space="preserve">gear tangental force </t>
  </si>
  <si>
    <t xml:space="preserve">distans of force from bearing 2 </t>
  </si>
  <si>
    <t xml:space="preserve">distance from beging </t>
  </si>
  <si>
    <t>plain</t>
  </si>
  <si>
    <t>x-y</t>
  </si>
  <si>
    <t>x-z</t>
  </si>
  <si>
    <t>max</t>
  </si>
  <si>
    <t xml:space="preserve">shaft stress analysis section check list </t>
  </si>
  <si>
    <t>B</t>
  </si>
  <si>
    <t>D/d bending</t>
  </si>
  <si>
    <t xml:space="preserve">D/d tortion </t>
  </si>
  <si>
    <t>check shear</t>
  </si>
  <si>
    <t xml:space="preserve">check bearing </t>
  </si>
  <si>
    <t xml:space="preserve">for sheer </t>
  </si>
  <si>
    <t xml:space="preserve">for bearing </t>
  </si>
  <si>
    <t>ls</t>
  </si>
  <si>
    <t>lb</t>
  </si>
  <si>
    <t>kt</t>
  </si>
  <si>
    <t>kts</t>
  </si>
  <si>
    <t xml:space="preserve">key way </t>
  </si>
  <si>
    <t xml:space="preserve">bending </t>
  </si>
  <si>
    <t xml:space="preserve">tortion </t>
  </si>
  <si>
    <t>gear output ( lower roll) sec 6</t>
  </si>
  <si>
    <t xml:space="preserve">Dimention calculation ideler gear </t>
  </si>
  <si>
    <t xml:space="preserve">ideler </t>
  </si>
  <si>
    <t xml:space="preserve">spline key </t>
  </si>
  <si>
    <t xml:space="preserve"># of spline </t>
  </si>
  <si>
    <t xml:space="preserve">shaft diameter </t>
  </si>
  <si>
    <t xml:space="preserve">torque </t>
  </si>
  <si>
    <t>torque/l</t>
  </si>
  <si>
    <t xml:space="preserve">applyeed torque </t>
  </si>
  <si>
    <t xml:space="preserve">spline torque  </t>
  </si>
  <si>
    <t>Po</t>
  </si>
  <si>
    <t>factor</t>
  </si>
  <si>
    <t>Pr</t>
  </si>
  <si>
    <t>Pu</t>
  </si>
  <si>
    <t>dm</t>
  </si>
  <si>
    <t>f1</t>
  </si>
  <si>
    <t>f2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</si>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</sst>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0000"/>
    <numFmt numFmtId="166" formatCode="0.000000000000000"/>
    <numFmt numFmtId="167" formatCode="0.00000"/>
    <numFmt numFmtId="168" formatCode="0.0E+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name val="Cambria"/>
      <family val="1"/>
      <scheme val="major"/>
    </font>
    <font>
      <sz val="14"/>
      <color rgb="FFFF0000"/>
      <name val="Times New Roman"/>
      <family val="1"/>
    </font>
    <font>
      <b/>
      <sz val="14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name val="Times New Roman"/>
      <family val="1"/>
    </font>
    <font>
      <sz val="18"/>
      <color theme="1"/>
      <name val="Calibri"/>
      <family val="2"/>
      <scheme val="minor"/>
    </font>
    <font>
      <sz val="18"/>
      <color theme="3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8"/>
      <color theme="1"/>
      <name val="Cambria"/>
      <family val="1"/>
      <scheme val="major"/>
    </font>
    <font>
      <sz val="18"/>
      <color theme="5" tint="-0.499984740745262"/>
      <name val="Cambria"/>
      <family val="1"/>
      <scheme val="major"/>
    </font>
    <font>
      <sz val="26"/>
      <color rgb="FFFF0000"/>
      <name val="Cambria"/>
      <family val="1"/>
      <scheme val="maj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u/>
      <sz val="14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4"/>
      <color rgb="FF222222"/>
      <name val="Calibri"/>
      <family val="2"/>
      <scheme val="minor"/>
    </font>
    <font>
      <sz val="10"/>
      <color rgb="FF000080"/>
      <name val="Calibri"/>
      <family val="2"/>
      <scheme val="minor"/>
    </font>
    <font>
      <vertAlign val="superscript"/>
      <sz val="10"/>
      <color rgb="FF000080"/>
      <name val="Calibri"/>
      <family val="2"/>
      <scheme val="minor"/>
    </font>
    <font>
      <vertAlign val="subscript"/>
      <sz val="10"/>
      <color rgb="FF000080"/>
      <name val="Calibri"/>
      <family val="2"/>
      <scheme val="minor"/>
    </font>
    <font>
      <b/>
      <sz val="10"/>
      <color rgb="FF000080"/>
      <name val="Calibri"/>
      <family val="2"/>
      <scheme val="minor"/>
    </font>
    <font>
      <b/>
      <vertAlign val="subscript"/>
      <sz val="10"/>
      <color rgb="FF000080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rgb="FFFF000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FFF92"/>
        <bgColor indexed="64"/>
      </patternFill>
    </fill>
    <fill>
      <patternFill patternType="solid">
        <fgColor rgb="FF5D9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9" fillId="9" borderId="17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9" fillId="0" borderId="10" xfId="0" quotePrefix="1" applyFont="1" applyBorder="1" applyAlignment="1">
      <alignment horizontal="center" vertical="center"/>
    </xf>
    <xf numFmtId="0" fontId="29" fillId="0" borderId="13" xfId="0" quotePrefix="1" applyFont="1" applyBorder="1" applyAlignment="1">
      <alignment horizontal="center" vertical="center"/>
    </xf>
    <xf numFmtId="0" fontId="29" fillId="4" borderId="8" xfId="0" quotePrefix="1" applyFont="1" applyFill="1" applyBorder="1" applyAlignment="1">
      <alignment horizontal="center" vertical="center"/>
    </xf>
    <xf numFmtId="0" fontId="29" fillId="4" borderId="1" xfId="0" quotePrefix="1" applyFont="1" applyFill="1" applyBorder="1" applyAlignment="1">
      <alignment horizontal="center" vertical="center"/>
    </xf>
    <xf numFmtId="0" fontId="29" fillId="4" borderId="26" xfId="0" quotePrefix="1" applyFont="1" applyFill="1" applyBorder="1" applyAlignment="1">
      <alignment horizontal="center" vertical="center"/>
    </xf>
    <xf numFmtId="0" fontId="29" fillId="4" borderId="7" xfId="0" quotePrefix="1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9" fillId="4" borderId="5" xfId="0" quotePrefix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9" fillId="4" borderId="26" xfId="0" applyFont="1" applyFill="1" applyBorder="1" applyAlignment="1">
      <alignment horizontal="center" vertical="center"/>
    </xf>
    <xf numFmtId="0" fontId="29" fillId="0" borderId="1" xfId="0" quotePrefix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38" fillId="0" borderId="1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9" fillId="0" borderId="1" xfId="0" applyFont="1" applyBorder="1"/>
    <xf numFmtId="0" fontId="39" fillId="0" borderId="1" xfId="0" quotePrefix="1" applyFont="1" applyBorder="1" applyAlignment="1">
      <alignment horizontal="left"/>
    </xf>
    <xf numFmtId="168" fontId="29" fillId="0" borderId="1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/>
    <xf numFmtId="0" fontId="45" fillId="0" borderId="1" xfId="0" applyFont="1" applyBorder="1" applyAlignment="1">
      <alignment horizontal="center" vertical="center" readingOrder="1"/>
    </xf>
    <xf numFmtId="0" fontId="29" fillId="0" borderId="0" xfId="0" applyFont="1"/>
    <xf numFmtId="0" fontId="29" fillId="0" borderId="1" xfId="0" applyFont="1" applyBorder="1"/>
    <xf numFmtId="2" fontId="29" fillId="0" borderId="1" xfId="0" applyNumberFormat="1" applyFont="1" applyBorder="1"/>
    <xf numFmtId="0" fontId="29" fillId="0" borderId="0" xfId="0" applyFont="1" applyBorder="1"/>
    <xf numFmtId="0" fontId="29" fillId="0" borderId="1" xfId="0" applyFont="1" applyBorder="1" applyAlignment="1"/>
    <xf numFmtId="0" fontId="29" fillId="0" borderId="2" xfId="0" applyFont="1" applyBorder="1" applyAlignment="1"/>
    <xf numFmtId="0" fontId="29" fillId="0" borderId="3" xfId="0" applyFont="1" applyBorder="1" applyAlignment="1"/>
    <xf numFmtId="0" fontId="29" fillId="0" borderId="4" xfId="0" applyFont="1" applyBorder="1" applyAlignment="1"/>
    <xf numFmtId="0" fontId="29" fillId="0" borderId="1" xfId="0" applyFont="1" applyFill="1" applyBorder="1"/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9" fillId="0" borderId="1" xfId="0" quotePrefix="1" applyFont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4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6" fillId="0" borderId="1" xfId="0" quotePrefix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13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29" fillId="13" borderId="1" xfId="0" quotePrefix="1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8" fillId="0" borderId="1" xfId="0" applyFont="1" applyBorder="1" applyAlignment="1">
      <alignment horizontal="center" vertical="center" wrapText="1"/>
    </xf>
    <xf numFmtId="0" fontId="46" fillId="9" borderId="1" xfId="0" applyFont="1" applyFill="1" applyBorder="1" applyAlignment="1">
      <alignment horizontal="center" vertical="center"/>
    </xf>
    <xf numFmtId="4" fontId="46" fillId="0" borderId="1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19" fillId="13" borderId="1" xfId="0" applyFont="1" applyFill="1" applyBorder="1" applyAlignment="1">
      <alignment horizontal="center" vertical="center"/>
    </xf>
    <xf numFmtId="0" fontId="29" fillId="0" borderId="1" xfId="0" quotePrefix="1" applyFont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3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3" fillId="0" borderId="1" xfId="0" quotePrefix="1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/>
    </xf>
    <xf numFmtId="0" fontId="22" fillId="6" borderId="7" xfId="0" applyFont="1" applyFill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30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27" xfId="0" applyFont="1" applyBorder="1" applyAlignment="1">
      <alignment horizontal="center" vertical="center"/>
    </xf>
    <xf numFmtId="0" fontId="46" fillId="0" borderId="29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49" fillId="0" borderId="1" xfId="0" quotePrefix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2" xfId="0" quotePrefix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2" borderId="1" xfId="0" quotePrefix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9" fillId="0" borderId="1" xfId="0" quotePrefix="1" applyFont="1" applyBorder="1" applyAlignment="1">
      <alignment horizontal="center" vertical="center"/>
    </xf>
    <xf numFmtId="0" fontId="17" fillId="10" borderId="1" xfId="0" quotePrefix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center" vertical="center"/>
    </xf>
    <xf numFmtId="0" fontId="29" fillId="4" borderId="26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0" borderId="5" xfId="0" quotePrefix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2" xfId="0" quotePrefix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5D9FFF"/>
      <color rgb="FF8FF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21169</xdr:colOff>
      <xdr:row>0</xdr:row>
      <xdr:rowOff>201082</xdr:rowOff>
    </xdr:from>
    <xdr:to>
      <xdr:col>19</xdr:col>
      <xdr:colOff>169335</xdr:colOff>
      <xdr:row>46</xdr:row>
      <xdr:rowOff>21165</xdr:rowOff>
    </xdr:to>
    <xdr:pic>
      <xdr:nvPicPr>
        <xdr:cNvPr id="5" name="Picture 4" descr="Presentation1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23002" y="201082"/>
          <a:ext cx="6858000" cy="990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</xdr:row>
      <xdr:rowOff>19050</xdr:rowOff>
    </xdr:from>
    <xdr:to>
      <xdr:col>23</xdr:col>
      <xdr:colOff>485775</xdr:colOff>
      <xdr:row>54</xdr:row>
      <xdr:rowOff>19050</xdr:rowOff>
    </xdr:to>
    <xdr:pic>
      <xdr:nvPicPr>
        <xdr:cNvPr id="2" name="Picture 1" descr="Presentation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81425" y="400050"/>
          <a:ext cx="6858000" cy="990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875085</xdr:colOff>
      <xdr:row>3</xdr:row>
      <xdr:rowOff>133547</xdr:rowOff>
    </xdr:from>
    <xdr:to>
      <xdr:col>12</xdr:col>
      <xdr:colOff>282835</xdr:colOff>
      <xdr:row>13</xdr:row>
      <xdr:rowOff>190502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0203" y="839518"/>
          <a:ext cx="4360750" cy="2376572"/>
        </a:xfrm>
        <a:prstGeom prst="rect">
          <a:avLst/>
        </a:prstGeom>
      </xdr:spPr>
    </xdr:pic>
    <xdr:clientData/>
  </xdr:twoCellAnchor>
  <xdr:twoCellAnchor editAs="oneCell">
    <xdr:from>
      <xdr:col>31</xdr:col>
      <xdr:colOff>452437</xdr:colOff>
      <xdr:row>27</xdr:row>
      <xdr:rowOff>119063</xdr:rowOff>
    </xdr:from>
    <xdr:to>
      <xdr:col>39</xdr:col>
      <xdr:colOff>50687</xdr:colOff>
      <xdr:row>38</xdr:row>
      <xdr:rowOff>21237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74000" y="6477001"/>
          <a:ext cx="4360750" cy="24024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23</xdr:row>
      <xdr:rowOff>95250</xdr:rowOff>
    </xdr:from>
    <xdr:to>
      <xdr:col>15</xdr:col>
      <xdr:colOff>511968</xdr:colOff>
      <xdr:row>38</xdr:row>
      <xdr:rowOff>129091</xdr:rowOff>
    </xdr:to>
    <xdr:pic>
      <xdr:nvPicPr>
        <xdr:cNvPr id="5" name="Picture 4" descr="Capture22.PN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22094" y="5298281"/>
          <a:ext cx="4881562" cy="34271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hbana\Downloads\Teague's%20Shaft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Tables"/>
      <sheetName val="Options"/>
      <sheetName val="DXF"/>
      <sheetName val="Data1"/>
      <sheetName val="Data2"/>
      <sheetName val="Dictionary"/>
      <sheetName val="VariableDB"/>
    </sheetNames>
    <sheetDataSet>
      <sheetData sheetId="0">
        <row r="124">
          <cell r="H124">
            <v>0</v>
          </cell>
        </row>
        <row r="223">
          <cell r="O223">
            <v>93900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42"/>
  <sheetViews>
    <sheetView topLeftCell="A4" workbookViewId="0">
      <selection activeCell="D33" sqref="D33"/>
    </sheetView>
  </sheetViews>
  <sheetFormatPr defaultColWidth="9.109375" defaultRowHeight="13.8" x14ac:dyDescent="0.3"/>
  <cols>
    <col min="1" max="1" width="1.88671875" style="1" customWidth="1"/>
    <col min="2" max="2" width="1.77734375" style="2" customWidth="1"/>
    <col min="3" max="5" width="8.88671875" style="1" customWidth="1"/>
    <col min="6" max="6" width="19.33203125" style="1" bestFit="1" customWidth="1"/>
    <col min="7" max="7" width="14.21875" style="1" bestFit="1" customWidth="1"/>
    <col min="8" max="8" width="15.21875" style="1" bestFit="1" customWidth="1"/>
    <col min="9" max="9" width="11.88671875" style="1" bestFit="1" customWidth="1"/>
    <col min="10" max="10" width="10.88671875" style="1" bestFit="1" customWidth="1"/>
    <col min="11" max="13" width="8.109375" style="1" customWidth="1"/>
    <col min="14" max="14" width="15.21875" style="1" bestFit="1" customWidth="1"/>
    <col min="15" max="15" width="8" style="1" bestFit="1" customWidth="1"/>
    <col min="16" max="16" width="3.109375" style="1" customWidth="1"/>
    <col min="17" max="16384" width="9.109375" style="1"/>
  </cols>
  <sheetData>
    <row r="1" spans="2:15" ht="9" customHeight="1" x14ac:dyDescent="0.3"/>
    <row r="2" spans="2:15" ht="10.5" customHeight="1" x14ac:dyDescent="0.3">
      <c r="B2" s="213" t="s">
        <v>6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2:15" ht="10.5" customHeight="1" x14ac:dyDescent="0.3"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</row>
    <row r="4" spans="2:15" ht="9.75" customHeight="1" x14ac:dyDescent="0.3">
      <c r="C4" s="5"/>
      <c r="D4" s="5"/>
      <c r="E4" s="5"/>
      <c r="F4" s="5"/>
      <c r="G4" s="5"/>
      <c r="H4" s="5"/>
      <c r="I4" s="5"/>
      <c r="J4" s="5"/>
      <c r="K4" s="5"/>
      <c r="L4" s="5"/>
    </row>
    <row r="5" spans="2:15" ht="23.25" customHeight="1" x14ac:dyDescent="0.3">
      <c r="B5" s="212" t="s">
        <v>9</v>
      </c>
      <c r="C5" s="212"/>
      <c r="D5" s="212"/>
      <c r="E5" s="212"/>
      <c r="F5" s="212"/>
      <c r="G5" s="212"/>
      <c r="H5" s="212"/>
      <c r="I5" s="212"/>
      <c r="J5" s="7"/>
      <c r="K5" s="212" t="s">
        <v>16</v>
      </c>
      <c r="L5" s="212"/>
      <c r="M5" s="212"/>
      <c r="N5" s="212"/>
      <c r="O5" s="212"/>
    </row>
    <row r="6" spans="2:15" ht="6" customHeight="1" x14ac:dyDescent="0.3">
      <c r="B6" s="215"/>
      <c r="C6" s="216"/>
      <c r="D6" s="216"/>
      <c r="E6" s="216"/>
      <c r="F6" s="216"/>
      <c r="G6" s="216"/>
      <c r="H6" s="216"/>
      <c r="I6" s="217"/>
      <c r="J6" s="4"/>
      <c r="K6" s="218"/>
      <c r="L6" s="219"/>
      <c r="M6" s="219"/>
      <c r="N6" s="219"/>
      <c r="O6" s="220"/>
    </row>
    <row r="7" spans="2:15" ht="16.5" customHeight="1" x14ac:dyDescent="0.3">
      <c r="B7" s="8" t="s">
        <v>4</v>
      </c>
      <c r="C7" s="207" t="s">
        <v>0</v>
      </c>
      <c r="D7" s="207"/>
      <c r="E7" s="207"/>
      <c r="F7" s="76">
        <v>2</v>
      </c>
      <c r="G7" s="76" t="s">
        <v>3</v>
      </c>
      <c r="H7" s="208"/>
      <c r="I7" s="209"/>
      <c r="J7" s="72"/>
      <c r="K7" s="199" t="s">
        <v>28</v>
      </c>
      <c r="L7" s="199"/>
      <c r="M7" s="199"/>
      <c r="N7" s="74">
        <f>SQRT((F7-F8)/F9)</f>
        <v>0.12909944487358055</v>
      </c>
      <c r="O7" s="74"/>
    </row>
    <row r="8" spans="2:15" ht="16.5" customHeight="1" x14ac:dyDescent="0.3">
      <c r="B8" s="8" t="s">
        <v>4</v>
      </c>
      <c r="C8" s="214" t="s">
        <v>1</v>
      </c>
      <c r="D8" s="207"/>
      <c r="E8" s="207"/>
      <c r="F8" s="76">
        <v>1.5</v>
      </c>
      <c r="G8" s="76" t="s">
        <v>3</v>
      </c>
      <c r="H8" s="208"/>
      <c r="I8" s="209"/>
      <c r="J8" s="72"/>
      <c r="K8" s="199" t="s">
        <v>5</v>
      </c>
      <c r="L8" s="199"/>
      <c r="M8" s="199"/>
      <c r="N8" s="74">
        <f>DEGREES(ATAN(N7))</f>
        <v>7.356165805894527</v>
      </c>
      <c r="O8" s="74" t="s">
        <v>7</v>
      </c>
    </row>
    <row r="9" spans="2:15" ht="16.5" customHeight="1" x14ac:dyDescent="0.3">
      <c r="B9" s="8" t="s">
        <v>4</v>
      </c>
      <c r="C9" s="207" t="s">
        <v>2</v>
      </c>
      <c r="D9" s="207"/>
      <c r="E9" s="207"/>
      <c r="F9" s="76">
        <v>30</v>
      </c>
      <c r="G9" s="76" t="s">
        <v>3</v>
      </c>
      <c r="H9" s="210" t="s">
        <v>57</v>
      </c>
      <c r="I9" s="211"/>
      <c r="J9" s="72"/>
      <c r="K9" s="199" t="s">
        <v>10</v>
      </c>
      <c r="L9" s="199"/>
      <c r="M9" s="199"/>
      <c r="N9" s="74">
        <f>SQRT(F9*(F7-F8))</f>
        <v>3.872983346207417</v>
      </c>
      <c r="O9" s="74" t="s">
        <v>3</v>
      </c>
    </row>
    <row r="10" spans="2:15" ht="16.5" customHeight="1" x14ac:dyDescent="0.3">
      <c r="B10" s="8" t="s">
        <v>4</v>
      </c>
      <c r="C10" s="207" t="s">
        <v>8</v>
      </c>
      <c r="D10" s="207"/>
      <c r="E10" s="207"/>
      <c r="F10" s="76">
        <v>200</v>
      </c>
      <c r="G10" s="37" t="s">
        <v>3</v>
      </c>
      <c r="H10" s="208"/>
      <c r="I10" s="209"/>
      <c r="J10" s="72"/>
      <c r="K10" s="199" t="s">
        <v>20</v>
      </c>
      <c r="L10" s="199"/>
      <c r="M10" s="199"/>
      <c r="N10" s="74">
        <f>N9*F10</f>
        <v>774.59666924148337</v>
      </c>
      <c r="O10" s="74" t="s">
        <v>21</v>
      </c>
    </row>
    <row r="11" spans="2:15" ht="16.5" customHeight="1" x14ac:dyDescent="0.3">
      <c r="B11" s="8" t="s">
        <v>4</v>
      </c>
      <c r="C11" s="207" t="s">
        <v>18</v>
      </c>
      <c r="D11" s="207"/>
      <c r="E11" s="207"/>
      <c r="F11" s="76">
        <v>0.1</v>
      </c>
      <c r="G11" s="76" t="s">
        <v>19</v>
      </c>
      <c r="H11" s="76">
        <f>(F11/((F9/1000)*60))</f>
        <v>5.5555555555555566E-2</v>
      </c>
      <c r="I11" s="76" t="s">
        <v>63</v>
      </c>
      <c r="J11" s="72"/>
      <c r="K11" s="199" t="s">
        <v>23</v>
      </c>
      <c r="L11" s="199"/>
      <c r="M11" s="199"/>
      <c r="N11" s="74">
        <f>LN((F7/F8))</f>
        <v>0.28768207245178085</v>
      </c>
      <c r="O11" s="74"/>
    </row>
    <row r="12" spans="2:15" ht="16.5" customHeight="1" x14ac:dyDescent="0.3">
      <c r="B12" s="8"/>
      <c r="C12" s="207" t="s">
        <v>61</v>
      </c>
      <c r="D12" s="207"/>
      <c r="E12" s="207"/>
      <c r="F12" s="67">
        <f>(H11/(2*(22/7)))*60</f>
        <v>0.53030303030303039</v>
      </c>
      <c r="G12" s="76" t="s">
        <v>62</v>
      </c>
      <c r="H12" s="76"/>
      <c r="I12" s="76"/>
      <c r="J12" s="72"/>
      <c r="K12" s="199" t="s">
        <v>22</v>
      </c>
      <c r="L12" s="199"/>
      <c r="M12" s="199"/>
      <c r="N12" s="74">
        <f>(F16*(N11^F17))/(F17+1)</f>
        <v>116.91596505657245</v>
      </c>
      <c r="O12" s="74" t="s">
        <v>15</v>
      </c>
    </row>
    <row r="13" spans="2:15" ht="16.5" customHeight="1" x14ac:dyDescent="0.3">
      <c r="B13" s="9" t="s">
        <v>4</v>
      </c>
      <c r="C13" s="207" t="s">
        <v>11</v>
      </c>
      <c r="D13" s="207"/>
      <c r="E13" s="207"/>
      <c r="F13" s="207" t="s">
        <v>17</v>
      </c>
      <c r="G13" s="207"/>
      <c r="H13" s="208"/>
      <c r="I13" s="209"/>
      <c r="J13" s="72"/>
      <c r="K13" s="199" t="s">
        <v>24</v>
      </c>
      <c r="L13" s="199"/>
      <c r="M13" s="199"/>
      <c r="N13" s="74">
        <f>((N7*N9)/(AVERAGE(F7,F8)))</f>
        <v>0.2857142857142857</v>
      </c>
      <c r="O13" s="74"/>
    </row>
    <row r="14" spans="2:15" ht="16.5" customHeight="1" x14ac:dyDescent="0.3">
      <c r="B14" s="8" t="s">
        <v>4</v>
      </c>
      <c r="C14" s="200" t="s">
        <v>12</v>
      </c>
      <c r="D14" s="200"/>
      <c r="E14" s="200"/>
      <c r="F14" s="75">
        <v>34</v>
      </c>
      <c r="G14" s="75" t="s">
        <v>14</v>
      </c>
      <c r="H14" s="201" t="s">
        <v>58</v>
      </c>
      <c r="I14" s="202"/>
      <c r="J14" s="72"/>
      <c r="K14" s="199" t="s">
        <v>25</v>
      </c>
      <c r="L14" s="199"/>
      <c r="M14" s="199"/>
      <c r="N14" s="74">
        <f>((1/N13)*((EXP(N13)-1)))</f>
        <v>1.1574926910657246</v>
      </c>
      <c r="O14" s="74"/>
    </row>
    <row r="15" spans="2:15" ht="16.5" customHeight="1" x14ac:dyDescent="0.3">
      <c r="B15" s="8" t="s">
        <v>4</v>
      </c>
      <c r="C15" s="200" t="s">
        <v>13</v>
      </c>
      <c r="D15" s="200"/>
      <c r="E15" s="200"/>
      <c r="F15" s="75">
        <v>90</v>
      </c>
      <c r="G15" s="75" t="s">
        <v>15</v>
      </c>
      <c r="H15" s="203"/>
      <c r="I15" s="204"/>
      <c r="J15" s="72"/>
      <c r="K15" s="199" t="s">
        <v>26</v>
      </c>
      <c r="L15" s="199"/>
      <c r="M15" s="199"/>
      <c r="N15" s="74">
        <f>(N12*10^6)*(N10*10^-6)*N7</f>
        <v>11691.596505657244</v>
      </c>
      <c r="O15" s="74" t="s">
        <v>33</v>
      </c>
    </row>
    <row r="16" spans="2:15" ht="16.5" customHeight="1" x14ac:dyDescent="0.3">
      <c r="B16" s="8" t="s">
        <v>4</v>
      </c>
      <c r="C16" s="200" t="s">
        <v>30</v>
      </c>
      <c r="D16" s="200"/>
      <c r="E16" s="200"/>
      <c r="F16" s="75">
        <v>180</v>
      </c>
      <c r="G16" s="75" t="s">
        <v>15</v>
      </c>
      <c r="H16" s="203"/>
      <c r="I16" s="204"/>
      <c r="J16" s="72"/>
      <c r="K16" s="199" t="s">
        <v>27</v>
      </c>
      <c r="L16" s="199"/>
      <c r="M16" s="199"/>
      <c r="N16" s="74">
        <f>N7*N15</f>
        <v>1509.3786185662443</v>
      </c>
      <c r="O16" s="74" t="s">
        <v>33</v>
      </c>
    </row>
    <row r="17" spans="2:15" ht="16.5" customHeight="1" x14ac:dyDescent="0.3">
      <c r="B17" s="8" t="s">
        <v>4</v>
      </c>
      <c r="C17" s="200" t="s">
        <v>31</v>
      </c>
      <c r="D17" s="200"/>
      <c r="E17" s="200"/>
      <c r="F17" s="75">
        <v>0.2</v>
      </c>
      <c r="G17" s="80" t="s">
        <v>207</v>
      </c>
      <c r="H17" s="203"/>
      <c r="I17" s="204"/>
      <c r="J17" s="72"/>
      <c r="K17" s="197" t="s">
        <v>29</v>
      </c>
      <c r="L17" s="197"/>
      <c r="M17" s="197"/>
      <c r="N17" s="76">
        <f>(2*3.14*N15*(N9/1000)*F12)/60000</f>
        <v>2.5133440936428832E-3</v>
      </c>
      <c r="O17" s="76" t="s">
        <v>32</v>
      </c>
    </row>
    <row r="18" spans="2:15" ht="16.5" customHeight="1" x14ac:dyDescent="0.3">
      <c r="B18" s="8" t="s">
        <v>4</v>
      </c>
      <c r="C18" s="195" t="s">
        <v>237</v>
      </c>
      <c r="D18" s="196"/>
      <c r="E18" s="196"/>
      <c r="F18" s="73">
        <v>23</v>
      </c>
      <c r="G18" s="65" t="s">
        <v>272</v>
      </c>
      <c r="H18" s="205"/>
      <c r="I18" s="206"/>
      <c r="J18" s="72"/>
      <c r="K18" s="197"/>
      <c r="L18" s="197"/>
      <c r="M18" s="197"/>
      <c r="N18" s="76">
        <f>N17*1.34102</f>
        <v>3.3704446964569795E-3</v>
      </c>
      <c r="O18" s="76" t="s">
        <v>55</v>
      </c>
    </row>
    <row r="19" spans="2:15" ht="16.5" customHeight="1" x14ac:dyDescent="0.3">
      <c r="J19" s="72"/>
      <c r="K19" s="198" t="s">
        <v>56</v>
      </c>
      <c r="L19" s="198"/>
      <c r="M19" s="198"/>
      <c r="N19" s="76">
        <f>(F11*(F7/1000))/(F8/1000)</f>
        <v>0.13333333333333333</v>
      </c>
      <c r="O19" s="76" t="s">
        <v>19</v>
      </c>
    </row>
    <row r="20" spans="2:15" ht="16.5" customHeight="1" x14ac:dyDescent="0.3">
      <c r="J20" s="72"/>
      <c r="K20" s="198" t="s">
        <v>67</v>
      </c>
      <c r="L20" s="198"/>
      <c r="M20" s="198"/>
      <c r="N20" s="76">
        <f>(N17/H11)*1000</f>
        <v>45.240193685571889</v>
      </c>
      <c r="O20" s="76" t="s">
        <v>51</v>
      </c>
    </row>
    <row r="21" spans="2:15" ht="16.5" customHeight="1" x14ac:dyDescent="0.3">
      <c r="J21" s="72"/>
    </row>
    <row r="22" spans="2:15" ht="16.5" customHeight="1" x14ac:dyDescent="0.3">
      <c r="D22" s="12"/>
      <c r="E22" s="12"/>
      <c r="F22" s="194" t="s">
        <v>310</v>
      </c>
      <c r="G22" s="194"/>
      <c r="H22" s="194"/>
      <c r="I22" s="194"/>
      <c r="J22" s="194"/>
    </row>
    <row r="23" spans="2:15" ht="16.5" customHeight="1" x14ac:dyDescent="0.3">
      <c r="C23" s="12"/>
      <c r="D23" s="12"/>
      <c r="E23" s="12"/>
      <c r="F23" s="81" t="s">
        <v>305</v>
      </c>
      <c r="G23" s="81" t="s">
        <v>306</v>
      </c>
      <c r="H23" s="79" t="s">
        <v>307</v>
      </c>
      <c r="I23" s="79" t="s">
        <v>308</v>
      </c>
      <c r="J23" s="78" t="s">
        <v>309</v>
      </c>
    </row>
    <row r="24" spans="2:15" ht="16.5" customHeight="1" x14ac:dyDescent="0.3">
      <c r="C24" s="12"/>
      <c r="D24" s="12"/>
      <c r="E24" s="12"/>
      <c r="F24" s="79">
        <v>10</v>
      </c>
      <c r="G24" s="79">
        <f>F24-0.5</f>
        <v>9.5</v>
      </c>
      <c r="H24" s="79">
        <v>200</v>
      </c>
      <c r="I24" s="79">
        <v>300</v>
      </c>
      <c r="J24" s="78">
        <f>I24*F24/G24</f>
        <v>315.78947368421052</v>
      </c>
    </row>
    <row r="25" spans="2:15" ht="16.5" customHeight="1" x14ac:dyDescent="0.3">
      <c r="B25" s="10"/>
      <c r="C25" s="12"/>
      <c r="D25" s="12"/>
      <c r="E25" s="12"/>
      <c r="F25" s="78">
        <f>G24</f>
        <v>9.5</v>
      </c>
      <c r="G25" s="79">
        <f t="shared" ref="G25:G42" si="0">F25-0.5</f>
        <v>9</v>
      </c>
      <c r="H25" s="79">
        <v>200</v>
      </c>
      <c r="I25" s="79">
        <v>300</v>
      </c>
      <c r="J25" s="78">
        <f>I25*F25/G25</f>
        <v>316.66666666666669</v>
      </c>
    </row>
    <row r="26" spans="2:15" ht="16.5" customHeight="1" x14ac:dyDescent="0.3">
      <c r="B26" s="10"/>
      <c r="C26" s="12"/>
      <c r="D26" s="12"/>
      <c r="E26" s="12"/>
      <c r="F26" s="78">
        <f>G25</f>
        <v>9</v>
      </c>
      <c r="G26" s="79">
        <f t="shared" si="0"/>
        <v>8.5</v>
      </c>
      <c r="H26" s="79">
        <v>200</v>
      </c>
      <c r="I26" s="79">
        <v>300</v>
      </c>
      <c r="J26" s="78">
        <f>I26*F26/G26</f>
        <v>317.64705882352939</v>
      </c>
    </row>
    <row r="27" spans="2:15" ht="16.5" customHeight="1" x14ac:dyDescent="0.3">
      <c r="B27" s="10"/>
      <c r="C27" s="12"/>
      <c r="D27" s="12"/>
      <c r="E27" s="12"/>
      <c r="F27" s="78">
        <f>G26</f>
        <v>8.5</v>
      </c>
      <c r="G27" s="79">
        <f t="shared" si="0"/>
        <v>8</v>
      </c>
      <c r="H27" s="79">
        <v>200</v>
      </c>
      <c r="I27" s="79">
        <v>300</v>
      </c>
      <c r="J27" s="78">
        <f>I27*F27/G27</f>
        <v>318.75</v>
      </c>
    </row>
    <row r="28" spans="2:15" ht="16.5" customHeight="1" x14ac:dyDescent="0.3">
      <c r="B28" s="10"/>
      <c r="C28" s="12"/>
      <c r="D28" s="12"/>
      <c r="E28" s="12"/>
      <c r="F28" s="78">
        <f t="shared" ref="F28:F42" si="1">G27</f>
        <v>8</v>
      </c>
      <c r="G28" s="79">
        <f t="shared" si="0"/>
        <v>7.5</v>
      </c>
      <c r="H28" s="79">
        <v>200</v>
      </c>
      <c r="I28" s="79">
        <v>300</v>
      </c>
      <c r="J28" s="78">
        <f t="shared" ref="J28:J38" si="2">I28*F28/G28</f>
        <v>320</v>
      </c>
      <c r="N28" s="1">
        <f>N15/200</f>
        <v>58.457982528286223</v>
      </c>
    </row>
    <row r="29" spans="2:15" ht="16.5" customHeight="1" x14ac:dyDescent="0.3">
      <c r="B29" s="10"/>
      <c r="C29" s="192"/>
      <c r="D29" s="192"/>
      <c r="E29" s="193"/>
      <c r="F29" s="78">
        <f t="shared" si="1"/>
        <v>7.5</v>
      </c>
      <c r="G29" s="79">
        <f t="shared" si="0"/>
        <v>7</v>
      </c>
      <c r="H29" s="79">
        <v>200</v>
      </c>
      <c r="I29" s="79">
        <v>300</v>
      </c>
      <c r="J29" s="78">
        <f t="shared" si="2"/>
        <v>321.42857142857144</v>
      </c>
    </row>
    <row r="30" spans="2:15" ht="16.5" customHeight="1" x14ac:dyDescent="0.3">
      <c r="B30" s="10"/>
      <c r="C30" s="11"/>
      <c r="D30" s="11"/>
      <c r="E30" s="11"/>
      <c r="F30" s="78">
        <f t="shared" si="1"/>
        <v>7</v>
      </c>
      <c r="G30" s="79">
        <f t="shared" si="0"/>
        <v>6.5</v>
      </c>
      <c r="H30" s="79">
        <v>200</v>
      </c>
      <c r="I30" s="79">
        <v>300</v>
      </c>
      <c r="J30" s="78">
        <f t="shared" si="2"/>
        <v>323.07692307692309</v>
      </c>
    </row>
    <row r="31" spans="2:15" ht="16.5" customHeight="1" x14ac:dyDescent="0.3">
      <c r="B31" s="10"/>
      <c r="C31" s="11"/>
      <c r="D31" s="11"/>
      <c r="E31" s="11"/>
      <c r="F31" s="78">
        <f t="shared" si="1"/>
        <v>6.5</v>
      </c>
      <c r="G31" s="79">
        <f t="shared" si="0"/>
        <v>6</v>
      </c>
      <c r="H31" s="79">
        <v>200</v>
      </c>
      <c r="I31" s="79">
        <v>300</v>
      </c>
      <c r="J31" s="78">
        <f t="shared" si="2"/>
        <v>325</v>
      </c>
    </row>
    <row r="32" spans="2:15" ht="16.5" customHeight="1" x14ac:dyDescent="0.3">
      <c r="B32" s="10"/>
      <c r="C32" s="12"/>
      <c r="D32" s="12"/>
      <c r="E32" s="12"/>
      <c r="F32" s="78">
        <f t="shared" si="1"/>
        <v>6</v>
      </c>
      <c r="G32" s="79">
        <f t="shared" si="0"/>
        <v>5.5</v>
      </c>
      <c r="H32" s="79">
        <v>200</v>
      </c>
      <c r="I32" s="79">
        <v>300</v>
      </c>
      <c r="J32" s="78">
        <f t="shared" si="2"/>
        <v>327.27272727272725</v>
      </c>
    </row>
    <row r="33" spans="2:13" ht="16.5" customHeight="1" x14ac:dyDescent="0.3">
      <c r="B33" s="10"/>
      <c r="C33" s="12"/>
      <c r="D33" s="12"/>
      <c r="E33" s="12"/>
      <c r="F33" s="78">
        <f t="shared" si="1"/>
        <v>5.5</v>
      </c>
      <c r="G33" s="79">
        <f t="shared" si="0"/>
        <v>5</v>
      </c>
      <c r="H33" s="79">
        <v>200</v>
      </c>
      <c r="I33" s="79">
        <v>300</v>
      </c>
      <c r="J33" s="78">
        <f t="shared" si="2"/>
        <v>330</v>
      </c>
    </row>
    <row r="34" spans="2:13" ht="14.25" customHeight="1" x14ac:dyDescent="0.3">
      <c r="C34" s="3"/>
      <c r="D34" s="3"/>
      <c r="E34" s="3"/>
      <c r="F34" s="78">
        <f t="shared" si="1"/>
        <v>5</v>
      </c>
      <c r="G34" s="79">
        <f t="shared" si="0"/>
        <v>4.5</v>
      </c>
      <c r="H34" s="79">
        <v>200</v>
      </c>
      <c r="I34" s="79">
        <v>300</v>
      </c>
      <c r="J34" s="78">
        <f t="shared" si="2"/>
        <v>333.33333333333331</v>
      </c>
    </row>
    <row r="35" spans="2:13" ht="14.25" customHeight="1" x14ac:dyDescent="0.3">
      <c r="C35" s="3"/>
      <c r="D35" s="3"/>
      <c r="E35" s="3"/>
      <c r="F35" s="78">
        <f t="shared" si="1"/>
        <v>4.5</v>
      </c>
      <c r="G35" s="79">
        <f t="shared" si="0"/>
        <v>4</v>
      </c>
      <c r="H35" s="79">
        <v>200</v>
      </c>
      <c r="I35" s="79">
        <v>300</v>
      </c>
      <c r="J35" s="78">
        <f t="shared" si="2"/>
        <v>337.5</v>
      </c>
    </row>
    <row r="36" spans="2:13" ht="14.25" customHeight="1" x14ac:dyDescent="0.3">
      <c r="C36" s="3"/>
      <c r="D36" s="3"/>
      <c r="E36" s="3"/>
      <c r="F36" s="78">
        <f t="shared" si="1"/>
        <v>4</v>
      </c>
      <c r="G36" s="79">
        <f t="shared" si="0"/>
        <v>3.5</v>
      </c>
      <c r="H36" s="79">
        <v>200</v>
      </c>
      <c r="I36" s="79">
        <v>300</v>
      </c>
      <c r="J36" s="78">
        <f t="shared" si="2"/>
        <v>342.85714285714283</v>
      </c>
      <c r="K36" s="6"/>
      <c r="L36" s="3"/>
      <c r="M36" s="3"/>
    </row>
    <row r="37" spans="2:13" ht="14.25" customHeight="1" x14ac:dyDescent="0.3">
      <c r="C37" s="3"/>
      <c r="D37" s="3"/>
      <c r="E37" s="3"/>
      <c r="F37" s="78">
        <f t="shared" si="1"/>
        <v>3.5</v>
      </c>
      <c r="G37" s="79">
        <f t="shared" si="0"/>
        <v>3</v>
      </c>
      <c r="H37" s="79">
        <v>200</v>
      </c>
      <c r="I37" s="79">
        <v>300</v>
      </c>
      <c r="J37" s="78">
        <f t="shared" si="2"/>
        <v>350</v>
      </c>
      <c r="K37" s="6"/>
      <c r="L37" s="3"/>
      <c r="M37" s="3"/>
    </row>
    <row r="38" spans="2:13" ht="14.25" customHeight="1" x14ac:dyDescent="0.3">
      <c r="C38" s="3"/>
      <c r="D38" s="3"/>
      <c r="E38" s="3"/>
      <c r="F38" s="78">
        <f t="shared" si="1"/>
        <v>3</v>
      </c>
      <c r="G38" s="79">
        <f t="shared" si="0"/>
        <v>2.5</v>
      </c>
      <c r="H38" s="79">
        <v>200</v>
      </c>
      <c r="I38" s="79">
        <v>300</v>
      </c>
      <c r="J38" s="78">
        <f t="shared" si="2"/>
        <v>360</v>
      </c>
      <c r="K38" s="6"/>
      <c r="L38" s="3"/>
      <c r="M38" s="3"/>
    </row>
    <row r="39" spans="2:13" ht="14.25" customHeight="1" x14ac:dyDescent="0.3">
      <c r="C39" s="3"/>
      <c r="D39" s="3"/>
      <c r="E39" s="3"/>
      <c r="F39" s="78">
        <f t="shared" si="1"/>
        <v>2.5</v>
      </c>
      <c r="G39" s="79">
        <f t="shared" si="0"/>
        <v>2</v>
      </c>
      <c r="H39" s="79">
        <v>200</v>
      </c>
      <c r="I39" s="79">
        <v>300</v>
      </c>
      <c r="J39" s="78">
        <f t="shared" ref="J39:J42" si="3">I39*F39/G39</f>
        <v>375</v>
      </c>
      <c r="K39" s="6"/>
      <c r="L39" s="3"/>
      <c r="M39" s="3"/>
    </row>
    <row r="40" spans="2:13" ht="14.25" customHeight="1" x14ac:dyDescent="0.3">
      <c r="C40" s="3"/>
      <c r="D40" s="3"/>
      <c r="E40" s="3"/>
      <c r="F40" s="78">
        <f t="shared" si="1"/>
        <v>2</v>
      </c>
      <c r="G40" s="79">
        <f t="shared" si="0"/>
        <v>1.5</v>
      </c>
      <c r="H40" s="79">
        <v>200</v>
      </c>
      <c r="I40" s="79">
        <v>300</v>
      </c>
      <c r="J40" s="78">
        <f t="shared" si="3"/>
        <v>400</v>
      </c>
      <c r="K40" s="6"/>
      <c r="L40" s="3"/>
      <c r="M40" s="3"/>
    </row>
    <row r="41" spans="2:13" ht="14.25" customHeight="1" x14ac:dyDescent="0.3">
      <c r="C41" s="3"/>
      <c r="D41" s="3"/>
      <c r="E41" s="3"/>
      <c r="F41" s="78">
        <f t="shared" si="1"/>
        <v>1.5</v>
      </c>
      <c r="G41" s="79">
        <f t="shared" si="0"/>
        <v>1</v>
      </c>
      <c r="H41" s="79">
        <v>200</v>
      </c>
      <c r="I41" s="79">
        <v>300</v>
      </c>
      <c r="J41" s="78">
        <f t="shared" si="3"/>
        <v>450</v>
      </c>
      <c r="K41" s="77"/>
    </row>
    <row r="42" spans="2:13" ht="14.25" customHeight="1" x14ac:dyDescent="0.3">
      <c r="C42" s="3"/>
      <c r="D42" s="3"/>
      <c r="E42" s="3"/>
      <c r="F42" s="78">
        <f t="shared" si="1"/>
        <v>1</v>
      </c>
      <c r="G42" s="79">
        <f t="shared" si="0"/>
        <v>0.5</v>
      </c>
      <c r="H42" s="79">
        <v>200</v>
      </c>
      <c r="I42" s="79">
        <v>300</v>
      </c>
      <c r="J42" s="78">
        <f t="shared" si="3"/>
        <v>600</v>
      </c>
      <c r="K42" s="77"/>
    </row>
  </sheetData>
  <mergeCells count="39">
    <mergeCell ref="K5:O5"/>
    <mergeCell ref="B2:O3"/>
    <mergeCell ref="K7:M7"/>
    <mergeCell ref="K9:M9"/>
    <mergeCell ref="C7:E7"/>
    <mergeCell ref="C8:E8"/>
    <mergeCell ref="C9:E9"/>
    <mergeCell ref="K8:M8"/>
    <mergeCell ref="B5:I5"/>
    <mergeCell ref="B6:I6"/>
    <mergeCell ref="H7:I7"/>
    <mergeCell ref="K6:O6"/>
    <mergeCell ref="C10:E10"/>
    <mergeCell ref="K13:M13"/>
    <mergeCell ref="H8:I8"/>
    <mergeCell ref="H9:I9"/>
    <mergeCell ref="H10:I10"/>
    <mergeCell ref="C12:E12"/>
    <mergeCell ref="H13:I13"/>
    <mergeCell ref="K10:M10"/>
    <mergeCell ref="K11:M11"/>
    <mergeCell ref="K12:M12"/>
    <mergeCell ref="F13:G13"/>
    <mergeCell ref="C11:E11"/>
    <mergeCell ref="C13:E13"/>
    <mergeCell ref="K15:M15"/>
    <mergeCell ref="K16:M16"/>
    <mergeCell ref="C17:E17"/>
    <mergeCell ref="C14:E14"/>
    <mergeCell ref="C15:E15"/>
    <mergeCell ref="C16:E16"/>
    <mergeCell ref="K14:M14"/>
    <mergeCell ref="H14:I18"/>
    <mergeCell ref="C29:E29"/>
    <mergeCell ref="F22:J22"/>
    <mergeCell ref="C18:E18"/>
    <mergeCell ref="K17:M18"/>
    <mergeCell ref="K19:M19"/>
    <mergeCell ref="K20:M20"/>
  </mergeCells>
  <pageMargins left="0.7" right="0.7" top="0.75" bottom="0.75" header="0.3" footer="0.3"/>
  <pageSetup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4"/>
  <sheetViews>
    <sheetView zoomScale="80" zoomScaleNormal="80" workbookViewId="0">
      <selection activeCell="Q35" sqref="Q35"/>
    </sheetView>
  </sheetViews>
  <sheetFormatPr defaultColWidth="9" defaultRowHeight="17.399999999999999" x14ac:dyDescent="0.3"/>
  <cols>
    <col min="1" max="1" width="2.21875" style="103" bestFit="1" customWidth="1"/>
    <col min="2" max="6" width="9" style="103"/>
    <col min="7" max="7" width="13.6640625" style="103" bestFit="1" customWidth="1"/>
    <col min="8" max="8" width="10.77734375" style="103" bestFit="1" customWidth="1"/>
    <col min="9" max="12" width="9" style="103"/>
    <col min="13" max="13" width="9" style="103" customWidth="1"/>
    <col min="14" max="14" width="9" style="103"/>
    <col min="15" max="15" width="13.6640625" style="103" bestFit="1" customWidth="1"/>
    <col min="16" max="16" width="10.77734375" style="103" bestFit="1" customWidth="1"/>
    <col min="17" max="16384" width="9" style="103"/>
  </cols>
  <sheetData>
    <row r="1" spans="1:16" x14ac:dyDescent="0.3">
      <c r="B1" s="337" t="s">
        <v>413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</row>
    <row r="2" spans="1:16" x14ac:dyDescent="0.3">
      <c r="B2" s="339" t="s">
        <v>412</v>
      </c>
      <c r="C2" s="339"/>
      <c r="D2" s="339"/>
      <c r="E2" s="339"/>
      <c r="F2" s="169"/>
      <c r="G2" s="104">
        <f>(G4/G5)^G3</f>
        <v>28.4012121929591</v>
      </c>
      <c r="H2" s="103" t="s">
        <v>411</v>
      </c>
      <c r="I2" s="339" t="s">
        <v>412</v>
      </c>
      <c r="J2" s="339"/>
      <c r="K2" s="339"/>
      <c r="L2" s="339"/>
      <c r="M2" s="339"/>
      <c r="N2" s="169"/>
      <c r="O2" s="104">
        <f>(O4/O5)^O3</f>
        <v>13.493235071554812</v>
      </c>
      <c r="P2" s="103" t="s">
        <v>411</v>
      </c>
    </row>
    <row r="3" spans="1:16" x14ac:dyDescent="0.3">
      <c r="A3" s="103" t="s">
        <v>4</v>
      </c>
      <c r="B3" s="339" t="s">
        <v>410</v>
      </c>
      <c r="C3" s="339"/>
      <c r="D3" s="339"/>
      <c r="E3" s="339"/>
      <c r="F3" s="169"/>
      <c r="G3" s="105">
        <v>3.3330000000000002</v>
      </c>
      <c r="I3" s="339" t="s">
        <v>410</v>
      </c>
      <c r="J3" s="339"/>
      <c r="K3" s="339"/>
      <c r="L3" s="339"/>
      <c r="M3" s="339"/>
      <c r="N3" s="169"/>
      <c r="O3" s="104">
        <v>3.3330000000000002</v>
      </c>
    </row>
    <row r="4" spans="1:16" x14ac:dyDescent="0.3">
      <c r="B4" s="339" t="s">
        <v>409</v>
      </c>
      <c r="C4" s="339"/>
      <c r="D4" s="339"/>
      <c r="E4" s="339"/>
      <c r="F4" s="169" t="s">
        <v>151</v>
      </c>
      <c r="G4" s="104">
        <f>G30</f>
        <v>17900</v>
      </c>
      <c r="I4" s="339" t="s">
        <v>409</v>
      </c>
      <c r="J4" s="339"/>
      <c r="K4" s="339"/>
      <c r="L4" s="339"/>
      <c r="M4" s="339"/>
      <c r="N4" s="169" t="s">
        <v>151</v>
      </c>
      <c r="O4" s="104">
        <f>G30</f>
        <v>17900</v>
      </c>
    </row>
    <row r="5" spans="1:16" x14ac:dyDescent="0.3">
      <c r="B5" s="339" t="s">
        <v>395</v>
      </c>
      <c r="C5" s="339"/>
      <c r="D5" s="339"/>
      <c r="E5" s="339"/>
      <c r="F5" s="172" t="s">
        <v>500</v>
      </c>
      <c r="G5" s="104">
        <f>G6*G7+G8*G9</f>
        <v>6558.558</v>
      </c>
      <c r="I5" s="339" t="s">
        <v>395</v>
      </c>
      <c r="J5" s="339"/>
      <c r="K5" s="339"/>
      <c r="L5" s="339"/>
      <c r="M5" s="339"/>
      <c r="N5" s="172" t="s">
        <v>500</v>
      </c>
      <c r="O5" s="104">
        <f>O6*O7+O8*O9</f>
        <v>8199.4419999999991</v>
      </c>
    </row>
    <row r="6" spans="1:16" x14ac:dyDescent="0.3">
      <c r="A6" s="103" t="s">
        <v>4</v>
      </c>
      <c r="B6" s="339" t="s">
        <v>408</v>
      </c>
      <c r="C6" s="339"/>
      <c r="D6" s="339"/>
      <c r="E6" s="339"/>
      <c r="F6" s="169" t="s">
        <v>501</v>
      </c>
      <c r="G6" s="104">
        <v>1</v>
      </c>
      <c r="I6" s="339" t="s">
        <v>408</v>
      </c>
      <c r="J6" s="339"/>
      <c r="K6" s="339"/>
      <c r="L6" s="339"/>
      <c r="M6" s="339"/>
      <c r="N6" s="169" t="s">
        <v>501</v>
      </c>
      <c r="O6" s="104">
        <v>1</v>
      </c>
    </row>
    <row r="7" spans="1:16" x14ac:dyDescent="0.3">
      <c r="B7" s="340" t="s">
        <v>204</v>
      </c>
      <c r="C7" s="341"/>
      <c r="D7" s="341"/>
      <c r="E7" s="342"/>
      <c r="F7" s="169" t="s">
        <v>502</v>
      </c>
      <c r="G7" s="104">
        <f>G33</f>
        <v>6558.558</v>
      </c>
      <c r="I7" s="340" t="s">
        <v>204</v>
      </c>
      <c r="J7" s="341"/>
      <c r="K7" s="341"/>
      <c r="L7" s="341"/>
      <c r="M7" s="342"/>
      <c r="N7" s="169" t="s">
        <v>502</v>
      </c>
      <c r="O7" s="104">
        <f>G34</f>
        <v>8199.4419999999991</v>
      </c>
    </row>
    <row r="8" spans="1:16" x14ac:dyDescent="0.3">
      <c r="A8" s="103" t="s">
        <v>4</v>
      </c>
      <c r="B8" s="339" t="s">
        <v>407</v>
      </c>
      <c r="C8" s="339"/>
      <c r="D8" s="339"/>
      <c r="E8" s="339"/>
      <c r="F8" s="169" t="s">
        <v>501</v>
      </c>
      <c r="G8" s="104">
        <v>0</v>
      </c>
      <c r="I8" s="339" t="s">
        <v>407</v>
      </c>
      <c r="J8" s="339"/>
      <c r="K8" s="339"/>
      <c r="L8" s="339"/>
      <c r="M8" s="339"/>
      <c r="N8" s="169" t="s">
        <v>501</v>
      </c>
      <c r="O8" s="104">
        <v>0</v>
      </c>
    </row>
    <row r="9" spans="1:16" x14ac:dyDescent="0.3">
      <c r="B9" s="339" t="s">
        <v>406</v>
      </c>
      <c r="C9" s="339"/>
      <c r="D9" s="339"/>
      <c r="E9" s="339"/>
      <c r="F9" s="169" t="s">
        <v>503</v>
      </c>
      <c r="G9" s="104">
        <v>0</v>
      </c>
      <c r="I9" s="339" t="s">
        <v>406</v>
      </c>
      <c r="J9" s="339"/>
      <c r="K9" s="339"/>
      <c r="L9" s="339"/>
      <c r="M9" s="339"/>
      <c r="N9" s="169" t="s">
        <v>503</v>
      </c>
      <c r="O9" s="104">
        <v>0</v>
      </c>
    </row>
    <row r="10" spans="1:16" x14ac:dyDescent="0.3">
      <c r="B10" s="339" t="s">
        <v>405</v>
      </c>
      <c r="C10" s="339"/>
      <c r="D10" s="339"/>
      <c r="E10" s="339"/>
      <c r="F10" s="169" t="s">
        <v>31</v>
      </c>
      <c r="G10" s="104">
        <f>(G13*G14*G12)/G11</f>
        <v>9411.7647058823532</v>
      </c>
      <c r="I10" s="339" t="s">
        <v>405</v>
      </c>
      <c r="J10" s="339"/>
      <c r="K10" s="339"/>
      <c r="L10" s="339"/>
      <c r="M10" s="339"/>
      <c r="N10" s="169" t="s">
        <v>31</v>
      </c>
      <c r="O10" s="104">
        <f>(O12*O13*O14)/O11</f>
        <v>11111.111111111111</v>
      </c>
    </row>
    <row r="11" spans="1:16" x14ac:dyDescent="0.3">
      <c r="B11" s="339" t="s">
        <v>401</v>
      </c>
      <c r="C11" s="339"/>
      <c r="D11" s="339"/>
      <c r="E11" s="339"/>
      <c r="F11" s="169" t="s">
        <v>504</v>
      </c>
      <c r="G11" s="104">
        <f>G15</f>
        <v>42.5</v>
      </c>
      <c r="I11" s="339" t="s">
        <v>401</v>
      </c>
      <c r="J11" s="339"/>
      <c r="K11" s="339"/>
      <c r="L11" s="339"/>
      <c r="M11" s="339"/>
      <c r="N11" s="169" t="s">
        <v>504</v>
      </c>
      <c r="O11" s="104">
        <f>O15</f>
        <v>36</v>
      </c>
    </row>
    <row r="12" spans="1:16" x14ac:dyDescent="0.3">
      <c r="A12" s="103" t="s">
        <v>4</v>
      </c>
      <c r="B12" s="339" t="s">
        <v>404</v>
      </c>
      <c r="C12" s="339"/>
      <c r="D12" s="339"/>
      <c r="E12" s="339"/>
      <c r="F12" s="169" t="s">
        <v>463</v>
      </c>
      <c r="G12" s="104">
        <v>400000</v>
      </c>
      <c r="I12" s="339" t="s">
        <v>404</v>
      </c>
      <c r="J12" s="339"/>
      <c r="K12" s="339"/>
      <c r="L12" s="339"/>
      <c r="M12" s="339"/>
      <c r="N12" s="169" t="s">
        <v>463</v>
      </c>
      <c r="O12" s="104">
        <v>400000</v>
      </c>
    </row>
    <row r="13" spans="1:16" x14ac:dyDescent="0.3">
      <c r="A13" s="103" t="s">
        <v>4</v>
      </c>
      <c r="B13" s="339" t="s">
        <v>403</v>
      </c>
      <c r="C13" s="339"/>
      <c r="D13" s="339"/>
      <c r="E13" s="339"/>
      <c r="F13" s="169" t="s">
        <v>505</v>
      </c>
      <c r="G13" s="104">
        <v>1</v>
      </c>
      <c r="I13" s="339" t="s">
        <v>403</v>
      </c>
      <c r="J13" s="339"/>
      <c r="K13" s="339"/>
      <c r="L13" s="339"/>
      <c r="M13" s="339"/>
      <c r="N13" s="169" t="s">
        <v>505</v>
      </c>
      <c r="O13" s="104">
        <v>1</v>
      </c>
    </row>
    <row r="14" spans="1:16" x14ac:dyDescent="0.3">
      <c r="A14" s="103" t="s">
        <v>4</v>
      </c>
      <c r="B14" s="339" t="s">
        <v>402</v>
      </c>
      <c r="C14" s="339"/>
      <c r="D14" s="339"/>
      <c r="E14" s="339"/>
      <c r="F14" s="169" t="s">
        <v>506</v>
      </c>
      <c r="G14" s="104">
        <v>1</v>
      </c>
      <c r="I14" s="339" t="s">
        <v>402</v>
      </c>
      <c r="J14" s="339"/>
      <c r="K14" s="339"/>
      <c r="L14" s="339"/>
      <c r="M14" s="339"/>
      <c r="N14" s="169" t="s">
        <v>506</v>
      </c>
      <c r="O14" s="104">
        <v>1</v>
      </c>
    </row>
    <row r="15" spans="1:16" x14ac:dyDescent="0.3">
      <c r="B15" s="339" t="s">
        <v>401</v>
      </c>
      <c r="C15" s="339"/>
      <c r="D15" s="339"/>
      <c r="E15" s="339"/>
      <c r="F15" s="169" t="s">
        <v>504</v>
      </c>
      <c r="G15" s="104">
        <f>0.5*(G16+G17)</f>
        <v>42.5</v>
      </c>
      <c r="I15" s="339" t="s">
        <v>401</v>
      </c>
      <c r="J15" s="339"/>
      <c r="K15" s="339"/>
      <c r="L15" s="339"/>
      <c r="M15" s="339"/>
      <c r="N15" s="169" t="s">
        <v>504</v>
      </c>
      <c r="O15" s="104">
        <f>0.5*(O16+O17)</f>
        <v>36</v>
      </c>
    </row>
    <row r="16" spans="1:16" x14ac:dyDescent="0.3">
      <c r="A16" s="103" t="s">
        <v>4</v>
      </c>
      <c r="B16" s="339" t="s">
        <v>400</v>
      </c>
      <c r="C16" s="339"/>
      <c r="D16" s="339"/>
      <c r="E16" s="339"/>
      <c r="F16" s="169" t="s">
        <v>42</v>
      </c>
      <c r="G16" s="104">
        <f>G28</f>
        <v>55</v>
      </c>
      <c r="I16" s="339" t="s">
        <v>400</v>
      </c>
      <c r="J16" s="339"/>
      <c r="K16" s="339"/>
      <c r="L16" s="339"/>
      <c r="M16" s="339"/>
      <c r="N16" s="169" t="s">
        <v>42</v>
      </c>
      <c r="O16" s="104">
        <v>47</v>
      </c>
    </row>
    <row r="17" spans="1:15" x14ac:dyDescent="0.3">
      <c r="A17" s="103" t="s">
        <v>4</v>
      </c>
      <c r="B17" s="339" t="s">
        <v>390</v>
      </c>
      <c r="C17" s="339"/>
      <c r="D17" s="339"/>
      <c r="E17" s="339"/>
      <c r="F17" s="169" t="s">
        <v>103</v>
      </c>
      <c r="G17" s="104">
        <f>G27</f>
        <v>30</v>
      </c>
      <c r="I17" s="339" t="s">
        <v>390</v>
      </c>
      <c r="J17" s="339"/>
      <c r="K17" s="339"/>
      <c r="L17" s="339"/>
      <c r="M17" s="339"/>
      <c r="N17" s="169" t="s">
        <v>103</v>
      </c>
      <c r="O17" s="104">
        <v>25</v>
      </c>
    </row>
    <row r="18" spans="1:15" x14ac:dyDescent="0.3">
      <c r="B18" s="339" t="s">
        <v>399</v>
      </c>
      <c r="C18" s="339"/>
      <c r="D18" s="339"/>
      <c r="E18" s="339"/>
      <c r="F18" s="169"/>
      <c r="G18" s="104"/>
      <c r="I18" s="339" t="s">
        <v>398</v>
      </c>
      <c r="J18" s="339"/>
      <c r="K18" s="339"/>
      <c r="L18" s="339"/>
      <c r="M18" s="339"/>
      <c r="N18" s="169"/>
      <c r="O18" s="104"/>
    </row>
    <row r="19" spans="1:15" x14ac:dyDescent="0.3">
      <c r="B19" s="339" t="s">
        <v>397</v>
      </c>
      <c r="C19" s="339"/>
      <c r="D19" s="339"/>
      <c r="E19" s="339"/>
      <c r="F19" s="172"/>
      <c r="G19" s="104">
        <v>2384.4</v>
      </c>
      <c r="I19" s="339" t="s">
        <v>397</v>
      </c>
      <c r="J19" s="339"/>
      <c r="K19" s="339"/>
      <c r="L19" s="339"/>
      <c r="M19" s="339"/>
      <c r="N19" s="169"/>
      <c r="O19" s="104">
        <v>8189.83</v>
      </c>
    </row>
    <row r="20" spans="1:15" x14ac:dyDescent="0.3">
      <c r="B20" s="339" t="s">
        <v>396</v>
      </c>
      <c r="C20" s="339"/>
      <c r="D20" s="339"/>
      <c r="E20" s="339"/>
      <c r="F20" s="169" t="s">
        <v>507</v>
      </c>
      <c r="G20" s="104">
        <f>G21*G22</f>
        <v>7870.2695999999996</v>
      </c>
      <c r="H20" s="106"/>
      <c r="I20" s="339" t="s">
        <v>396</v>
      </c>
      <c r="J20" s="339"/>
      <c r="K20" s="339"/>
      <c r="L20" s="339"/>
      <c r="M20" s="339"/>
      <c r="N20" s="169" t="s">
        <v>507</v>
      </c>
      <c r="O20" s="107">
        <f>O21*O22</f>
        <v>9839.3303999999989</v>
      </c>
    </row>
    <row r="21" spans="1:15" x14ac:dyDescent="0.3">
      <c r="B21" s="339" t="s">
        <v>395</v>
      </c>
      <c r="C21" s="339"/>
      <c r="D21" s="339"/>
      <c r="E21" s="339"/>
      <c r="F21" s="169" t="s">
        <v>500</v>
      </c>
      <c r="G21" s="104">
        <f>G5</f>
        <v>6558.558</v>
      </c>
      <c r="H21" s="106"/>
      <c r="I21" s="339" t="s">
        <v>395</v>
      </c>
      <c r="J21" s="339"/>
      <c r="K21" s="339"/>
      <c r="L21" s="339"/>
      <c r="M21" s="339"/>
      <c r="N21" s="169" t="s">
        <v>500</v>
      </c>
      <c r="O21" s="107">
        <f>O5</f>
        <v>8199.4419999999991</v>
      </c>
    </row>
    <row r="22" spans="1:15" x14ac:dyDescent="0.3">
      <c r="B22" s="339" t="s">
        <v>394</v>
      </c>
      <c r="C22" s="339"/>
      <c r="D22" s="339"/>
      <c r="E22" s="339"/>
      <c r="F22" s="169" t="s">
        <v>31</v>
      </c>
      <c r="G22" s="104">
        <v>1.2</v>
      </c>
      <c r="H22" s="106"/>
      <c r="I22" s="339" t="s">
        <v>394</v>
      </c>
      <c r="J22" s="339"/>
      <c r="K22" s="339"/>
      <c r="L22" s="339"/>
      <c r="M22" s="339"/>
      <c r="N22" s="169" t="s">
        <v>31</v>
      </c>
      <c r="O22" s="107">
        <v>1.2</v>
      </c>
    </row>
    <row r="23" spans="1:15" x14ac:dyDescent="0.3">
      <c r="B23" s="108"/>
      <c r="C23" s="109"/>
      <c r="D23" s="109"/>
      <c r="E23" s="110"/>
      <c r="F23" s="110"/>
      <c r="G23" s="104"/>
    </row>
    <row r="24" spans="1:15" x14ac:dyDescent="0.3">
      <c r="B24" s="343"/>
      <c r="C24" s="343"/>
      <c r="D24" s="343"/>
      <c r="E24" s="343"/>
      <c r="F24" s="170"/>
    </row>
    <row r="25" spans="1:15" x14ac:dyDescent="0.3">
      <c r="B25" s="339" t="s">
        <v>393</v>
      </c>
      <c r="C25" s="339"/>
      <c r="D25" s="339"/>
      <c r="E25" s="339"/>
      <c r="F25" s="339" t="s">
        <v>392</v>
      </c>
      <c r="G25" s="339"/>
      <c r="H25" s="339"/>
      <c r="I25" s="339"/>
    </row>
    <row r="26" spans="1:15" x14ac:dyDescent="0.3">
      <c r="B26" s="339" t="s">
        <v>391</v>
      </c>
      <c r="C26" s="339"/>
      <c r="D26" s="339"/>
      <c r="E26" s="339"/>
      <c r="F26" s="169" t="s">
        <v>476</v>
      </c>
      <c r="G26" s="104">
        <v>13</v>
      </c>
      <c r="H26" s="104" t="s">
        <v>3</v>
      </c>
    </row>
    <row r="27" spans="1:15" x14ac:dyDescent="0.3">
      <c r="B27" s="339" t="s">
        <v>390</v>
      </c>
      <c r="C27" s="339"/>
      <c r="D27" s="339"/>
      <c r="E27" s="339"/>
      <c r="F27" s="169" t="s">
        <v>103</v>
      </c>
      <c r="G27" s="104">
        <v>30</v>
      </c>
      <c r="H27" s="104" t="s">
        <v>3</v>
      </c>
    </row>
    <row r="28" spans="1:15" x14ac:dyDescent="0.3">
      <c r="B28" s="339" t="s">
        <v>141</v>
      </c>
      <c r="C28" s="339"/>
      <c r="D28" s="339"/>
      <c r="E28" s="339"/>
      <c r="F28" s="169" t="s">
        <v>42</v>
      </c>
      <c r="G28" s="104">
        <v>55</v>
      </c>
      <c r="H28" s="104" t="s">
        <v>3</v>
      </c>
    </row>
    <row r="29" spans="1:15" x14ac:dyDescent="0.3">
      <c r="B29" s="339" t="s">
        <v>389</v>
      </c>
      <c r="C29" s="339"/>
      <c r="D29" s="339"/>
      <c r="E29" s="339"/>
      <c r="F29" s="169" t="s">
        <v>507</v>
      </c>
      <c r="G29" s="104">
        <v>17300</v>
      </c>
      <c r="H29" s="104" t="s">
        <v>33</v>
      </c>
    </row>
    <row r="30" spans="1:15" x14ac:dyDescent="0.3">
      <c r="B30" s="339" t="s">
        <v>388</v>
      </c>
      <c r="C30" s="339"/>
      <c r="D30" s="339"/>
      <c r="E30" s="339"/>
      <c r="F30" s="169" t="s">
        <v>151</v>
      </c>
      <c r="G30" s="104">
        <v>17900</v>
      </c>
      <c r="H30" s="104" t="s">
        <v>33</v>
      </c>
    </row>
    <row r="31" spans="1:15" x14ac:dyDescent="0.3">
      <c r="B31" s="339" t="s">
        <v>387</v>
      </c>
      <c r="C31" s="339"/>
      <c r="D31" s="339"/>
      <c r="E31" s="339"/>
      <c r="F31" s="169" t="s">
        <v>503</v>
      </c>
      <c r="G31" s="104">
        <v>1860</v>
      </c>
      <c r="H31" s="104" t="s">
        <v>33</v>
      </c>
    </row>
    <row r="32" spans="1:15" x14ac:dyDescent="0.3">
      <c r="B32" s="339" t="s">
        <v>386</v>
      </c>
      <c r="C32" s="339"/>
      <c r="D32" s="339"/>
      <c r="E32" s="339"/>
      <c r="F32" s="169"/>
      <c r="G32" s="104">
        <v>0.12</v>
      </c>
      <c r="H32" s="104" t="s">
        <v>385</v>
      </c>
    </row>
    <row r="33" spans="2:8" x14ac:dyDescent="0.3">
      <c r="B33" s="339" t="s">
        <v>384</v>
      </c>
      <c r="C33" s="339"/>
      <c r="D33" s="339"/>
      <c r="E33" s="339"/>
      <c r="F33" s="169" t="s">
        <v>502</v>
      </c>
      <c r="G33" s="111">
        <v>6558.558</v>
      </c>
      <c r="H33" s="111" t="s">
        <v>33</v>
      </c>
    </row>
    <row r="34" spans="2:8" x14ac:dyDescent="0.3">
      <c r="B34" s="339" t="s">
        <v>383</v>
      </c>
      <c r="C34" s="339"/>
      <c r="D34" s="339"/>
      <c r="E34" s="339"/>
      <c r="F34" s="169" t="s">
        <v>502</v>
      </c>
      <c r="G34" s="111">
        <v>8199.4419999999991</v>
      </c>
      <c r="H34" s="111" t="s">
        <v>33</v>
      </c>
    </row>
  </sheetData>
  <mergeCells count="55">
    <mergeCell ref="B16:E16"/>
    <mergeCell ref="B18:E18"/>
    <mergeCell ref="B15:E15"/>
    <mergeCell ref="B2:E2"/>
    <mergeCell ref="B4:E4"/>
    <mergeCell ref="B5:E5"/>
    <mergeCell ref="B7:E7"/>
    <mergeCell ref="B11:E11"/>
    <mergeCell ref="B3:E3"/>
    <mergeCell ref="B6:E6"/>
    <mergeCell ref="B8:E8"/>
    <mergeCell ref="B9:E9"/>
    <mergeCell ref="I14:M14"/>
    <mergeCell ref="I15:M15"/>
    <mergeCell ref="B13:E13"/>
    <mergeCell ref="B10:E10"/>
    <mergeCell ref="B14:E14"/>
    <mergeCell ref="B12:E12"/>
    <mergeCell ref="B17:E17"/>
    <mergeCell ref="B34:E34"/>
    <mergeCell ref="B29:E29"/>
    <mergeCell ref="B30:E30"/>
    <mergeCell ref="B31:E31"/>
    <mergeCell ref="B32:E32"/>
    <mergeCell ref="B33:E33"/>
    <mergeCell ref="B28:E28"/>
    <mergeCell ref="B25:E25"/>
    <mergeCell ref="B22:E22"/>
    <mergeCell ref="B20:E20"/>
    <mergeCell ref="B26:E26"/>
    <mergeCell ref="B27:E27"/>
    <mergeCell ref="I18:M18"/>
    <mergeCell ref="I19:M19"/>
    <mergeCell ref="B24:E24"/>
    <mergeCell ref="B21:E21"/>
    <mergeCell ref="B19:E19"/>
    <mergeCell ref="I20:M20"/>
    <mergeCell ref="I21:M21"/>
    <mergeCell ref="I22:M22"/>
    <mergeCell ref="B1:P1"/>
    <mergeCell ref="F25:I25"/>
    <mergeCell ref="I6:M6"/>
    <mergeCell ref="I7:M7"/>
    <mergeCell ref="I8:M8"/>
    <mergeCell ref="I9:M9"/>
    <mergeCell ref="I10:M10"/>
    <mergeCell ref="I2:M2"/>
    <mergeCell ref="I3:M3"/>
    <mergeCell ref="I4:M4"/>
    <mergeCell ref="I5:M5"/>
    <mergeCell ref="I11:M11"/>
    <mergeCell ref="I12:M12"/>
    <mergeCell ref="I13:M13"/>
    <mergeCell ref="I16:M16"/>
    <mergeCell ref="I17:M1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K25"/>
  <sheetViews>
    <sheetView workbookViewId="0">
      <selection activeCell="E6" sqref="E6"/>
    </sheetView>
  </sheetViews>
  <sheetFormatPr defaultColWidth="9" defaultRowHeight="17.399999999999999" x14ac:dyDescent="0.3"/>
  <cols>
    <col min="1" max="1" width="9" style="30"/>
    <col min="2" max="2" width="2" style="138" bestFit="1" customWidth="1"/>
    <col min="3" max="3" width="31.109375" style="30" bestFit="1" customWidth="1"/>
    <col min="4" max="4" width="5.33203125" style="30" bestFit="1" customWidth="1"/>
    <col min="5" max="5" width="13.6640625" style="30" bestFit="1" customWidth="1"/>
    <col min="6" max="6" width="7.21875" style="30" bestFit="1" customWidth="1"/>
    <col min="7" max="7" width="9" style="30"/>
    <col min="8" max="8" width="33.88671875" style="30" bestFit="1" customWidth="1"/>
    <col min="9" max="9" width="5.88671875" style="30" bestFit="1" customWidth="1"/>
    <col min="10" max="10" width="14.109375" style="30" bestFit="1" customWidth="1"/>
    <col min="11" max="11" width="6.77734375" style="30" bestFit="1" customWidth="1"/>
    <col min="12" max="16384" width="9" style="30"/>
  </cols>
  <sheetData>
    <row r="3" spans="2:11" x14ac:dyDescent="0.3">
      <c r="B3" s="273" t="s">
        <v>446</v>
      </c>
      <c r="C3" s="273"/>
      <c r="D3" s="273"/>
      <c r="E3" s="273"/>
      <c r="F3" s="273"/>
      <c r="H3" s="273" t="s">
        <v>447</v>
      </c>
      <c r="I3" s="273"/>
      <c r="J3" s="273"/>
      <c r="K3" s="273"/>
    </row>
    <row r="4" spans="2:11" x14ac:dyDescent="0.3">
      <c r="B4" s="137" t="s">
        <v>4</v>
      </c>
      <c r="C4" s="126" t="s">
        <v>417</v>
      </c>
      <c r="D4" s="126" t="s">
        <v>418</v>
      </c>
      <c r="E4" s="123">
        <v>9.5250000000000004</v>
      </c>
      <c r="F4" s="123" t="s">
        <v>3</v>
      </c>
      <c r="H4" s="123" t="s">
        <v>451</v>
      </c>
      <c r="I4" s="123" t="s">
        <v>452</v>
      </c>
      <c r="J4" s="123">
        <f>'Rolling Force'!N17*1000/sproket!E23</f>
        <v>1492.739799148979</v>
      </c>
      <c r="K4" s="123" t="s">
        <v>33</v>
      </c>
    </row>
    <row r="5" spans="2:11" x14ac:dyDescent="0.3">
      <c r="B5" s="137" t="s">
        <v>4</v>
      </c>
      <c r="C5" s="123" t="s">
        <v>205</v>
      </c>
      <c r="D5" s="123" t="s">
        <v>419</v>
      </c>
      <c r="E5" s="123">
        <v>20</v>
      </c>
      <c r="F5" s="126" t="s">
        <v>207</v>
      </c>
      <c r="H5" s="126" t="s">
        <v>454</v>
      </c>
      <c r="I5" s="123" t="s">
        <v>453</v>
      </c>
      <c r="J5" s="123">
        <f>4.1*(E23^2)/4</f>
        <v>2.9057586697945361E-6</v>
      </c>
      <c r="K5" s="123" t="s">
        <v>33</v>
      </c>
    </row>
    <row r="6" spans="2:11" x14ac:dyDescent="0.3">
      <c r="B6" s="137"/>
      <c r="C6" s="123" t="str">
        <f>'Rolling Force'!C12:E12</f>
        <v xml:space="preserve">number of revolution </v>
      </c>
      <c r="D6" s="123"/>
      <c r="E6" s="123">
        <f>'Rolling Force'!F12</f>
        <v>0.53030303030303039</v>
      </c>
      <c r="F6" s="126" t="str">
        <f>'Rolling Force'!G12</f>
        <v>rpm</v>
      </c>
      <c r="H6" s="123" t="s">
        <v>455</v>
      </c>
      <c r="I6" s="123" t="s">
        <v>456</v>
      </c>
      <c r="J6" s="123">
        <f>4*4.1*E20</f>
        <v>1327.7850000000001</v>
      </c>
      <c r="K6" s="123" t="s">
        <v>33</v>
      </c>
    </row>
    <row r="7" spans="2:11" x14ac:dyDescent="0.3">
      <c r="B7" s="139"/>
      <c r="C7" s="140" t="s">
        <v>421</v>
      </c>
      <c r="D7" s="140" t="s">
        <v>103</v>
      </c>
      <c r="E7" s="140">
        <f>(5/8)*(E4)</f>
        <v>5.953125</v>
      </c>
      <c r="F7" s="140" t="s">
        <v>3</v>
      </c>
      <c r="H7" s="123" t="s">
        <v>457</v>
      </c>
      <c r="I7" s="123" t="s">
        <v>458</v>
      </c>
      <c r="J7" s="123">
        <f>J6+J5+J4</f>
        <v>2820.5248020547378</v>
      </c>
      <c r="K7" s="123" t="s">
        <v>33</v>
      </c>
    </row>
    <row r="8" spans="2:11" x14ac:dyDescent="0.3">
      <c r="B8" s="139"/>
      <c r="C8" s="140" t="s">
        <v>422</v>
      </c>
      <c r="D8" s="140" t="s">
        <v>369</v>
      </c>
      <c r="E8" s="140">
        <f>(5/16)*E4</f>
        <v>2.9765625</v>
      </c>
      <c r="F8" s="140" t="s">
        <v>3</v>
      </c>
      <c r="H8" s="123" t="s">
        <v>459</v>
      </c>
      <c r="I8" s="123" t="s">
        <v>460</v>
      </c>
      <c r="J8" s="123">
        <f>106*12.7*20</f>
        <v>26923.999999999996</v>
      </c>
      <c r="K8" s="123" t="s">
        <v>33</v>
      </c>
    </row>
    <row r="9" spans="2:11" x14ac:dyDescent="0.3">
      <c r="B9" s="139"/>
      <c r="C9" s="140" t="s">
        <v>423</v>
      </c>
      <c r="D9" s="140" t="s">
        <v>424</v>
      </c>
      <c r="E9" s="140">
        <f>(5/8)*E4</f>
        <v>5.953125</v>
      </c>
      <c r="F9" s="140" t="s">
        <v>3</v>
      </c>
      <c r="H9" s="123" t="s">
        <v>420</v>
      </c>
      <c r="I9" s="123" t="s">
        <v>49</v>
      </c>
      <c r="J9" s="123">
        <f>J8/J7</f>
        <v>9.5457412678612155</v>
      </c>
      <c r="K9" s="126" t="s">
        <v>207</v>
      </c>
    </row>
    <row r="10" spans="2:11" x14ac:dyDescent="0.3">
      <c r="B10" s="139"/>
      <c r="C10" s="140" t="s">
        <v>425</v>
      </c>
      <c r="D10" s="140" t="s">
        <v>426</v>
      </c>
      <c r="E10" s="140">
        <f>(1/8)*E4</f>
        <v>1.190625</v>
      </c>
      <c r="F10" s="140" t="s">
        <v>3</v>
      </c>
      <c r="H10" s="123" t="s">
        <v>461</v>
      </c>
      <c r="I10" s="123" t="s">
        <v>30</v>
      </c>
      <c r="J10" s="123">
        <f>1.3*1.4</f>
        <v>1.8199999999999998</v>
      </c>
      <c r="K10" s="126" t="s">
        <v>207</v>
      </c>
    </row>
    <row r="11" spans="2:11" x14ac:dyDescent="0.3">
      <c r="B11" s="139"/>
      <c r="C11" s="140" t="s">
        <v>427</v>
      </c>
      <c r="D11" s="140" t="s">
        <v>428</v>
      </c>
      <c r="E11" s="140">
        <f>E9+(2*E10)</f>
        <v>8.3343749999999996</v>
      </c>
      <c r="F11" s="140" t="s">
        <v>3</v>
      </c>
      <c r="H11" s="123" t="s">
        <v>462</v>
      </c>
      <c r="I11" s="123" t="s">
        <v>463</v>
      </c>
      <c r="J11" s="123">
        <f>0.76*E8*E25</f>
        <v>64.642007812500012</v>
      </c>
      <c r="K11" s="123" t="s">
        <v>21</v>
      </c>
    </row>
    <row r="12" spans="2:11" x14ac:dyDescent="0.3">
      <c r="B12" s="139"/>
      <c r="C12" s="140" t="s">
        <v>429</v>
      </c>
      <c r="D12" s="140" t="s">
        <v>430</v>
      </c>
      <c r="E12" s="140">
        <f>0.82*E4</f>
        <v>7.8105000000000002</v>
      </c>
      <c r="F12" s="140" t="s">
        <v>3</v>
      </c>
      <c r="H12" s="123" t="s">
        <v>464</v>
      </c>
      <c r="I12" s="123" t="s">
        <v>131</v>
      </c>
      <c r="J12" s="123">
        <f>J4*J10/J11</f>
        <v>42.028187650535649</v>
      </c>
      <c r="K12" s="123" t="s">
        <v>14</v>
      </c>
    </row>
    <row r="13" spans="2:11" x14ac:dyDescent="0.3">
      <c r="B13" s="139"/>
      <c r="C13" s="141" t="s">
        <v>431</v>
      </c>
      <c r="D13" s="140" t="s">
        <v>432</v>
      </c>
      <c r="E13" s="140">
        <f>0.95*E4</f>
        <v>9.0487500000000001</v>
      </c>
      <c r="F13" s="140" t="s">
        <v>3</v>
      </c>
      <c r="H13" s="123" t="s">
        <v>465</v>
      </c>
      <c r="I13" s="123" t="s">
        <v>466</v>
      </c>
      <c r="J13" s="123">
        <f>J4+2*J6</f>
        <v>4148.3097991489794</v>
      </c>
      <c r="K13" s="123" t="s">
        <v>33</v>
      </c>
    </row>
    <row r="14" spans="2:11" x14ac:dyDescent="0.3">
      <c r="B14" s="139"/>
      <c r="C14" s="140" t="s">
        <v>433</v>
      </c>
      <c r="D14" s="140" t="s">
        <v>368</v>
      </c>
      <c r="E14" s="140">
        <f>0.9*E9-0.15</f>
        <v>5.2078125000000002</v>
      </c>
      <c r="F14" s="140" t="s">
        <v>3</v>
      </c>
    </row>
    <row r="15" spans="2:11" x14ac:dyDescent="0.3">
      <c r="B15" s="137"/>
      <c r="C15" s="123" t="s">
        <v>434</v>
      </c>
      <c r="D15" s="123" t="s">
        <v>435</v>
      </c>
      <c r="E15" s="123">
        <f>E4/SIN(PI()/E5)</f>
        <v>60.888116934784279</v>
      </c>
      <c r="F15" s="123" t="s">
        <v>3</v>
      </c>
    </row>
    <row r="16" spans="2:11" x14ac:dyDescent="0.3">
      <c r="B16" s="137"/>
      <c r="C16" s="123" t="s">
        <v>436</v>
      </c>
      <c r="D16" s="123" t="s">
        <v>437</v>
      </c>
      <c r="E16" s="123">
        <f>120-(90/E5)</f>
        <v>115.5</v>
      </c>
      <c r="F16" s="123" t="s">
        <v>7</v>
      </c>
    </row>
    <row r="17" spans="2:6" x14ac:dyDescent="0.3">
      <c r="B17" s="137"/>
      <c r="C17" s="123" t="s">
        <v>438</v>
      </c>
      <c r="D17" s="123" t="s">
        <v>142</v>
      </c>
      <c r="E17" s="123">
        <f>E15+E7</f>
        <v>66.841241934784279</v>
      </c>
      <c r="F17" s="123" t="s">
        <v>3</v>
      </c>
    </row>
    <row r="18" spans="2:6" x14ac:dyDescent="0.3">
      <c r="B18" s="137"/>
      <c r="C18" s="123" t="s">
        <v>439</v>
      </c>
      <c r="D18" s="123" t="s">
        <v>440</v>
      </c>
      <c r="E18" s="123">
        <f>E15-E7</f>
        <v>54.934991934784279</v>
      </c>
      <c r="F18" s="123" t="s">
        <v>3</v>
      </c>
    </row>
    <row r="19" spans="2:6" x14ac:dyDescent="0.3">
      <c r="B19" s="137"/>
      <c r="C19" s="123" t="s">
        <v>441</v>
      </c>
      <c r="D19" s="123" t="s">
        <v>442</v>
      </c>
      <c r="E19" s="123">
        <f>0.12*E7*(E5+2)</f>
        <v>15.716249999999999</v>
      </c>
      <c r="F19" s="123" t="s">
        <v>3</v>
      </c>
    </row>
    <row r="20" spans="2:6" x14ac:dyDescent="0.3">
      <c r="B20" s="137" t="s">
        <v>4</v>
      </c>
      <c r="C20" s="30" t="s">
        <v>443</v>
      </c>
      <c r="D20" s="123" t="s">
        <v>140</v>
      </c>
      <c r="E20" s="123">
        <v>80.962500000000006</v>
      </c>
      <c r="F20" s="123" t="s">
        <v>3</v>
      </c>
    </row>
    <row r="21" spans="2:6" x14ac:dyDescent="0.3">
      <c r="B21" s="137"/>
      <c r="C21" s="140" t="s">
        <v>444</v>
      </c>
      <c r="D21" s="140" t="s">
        <v>89</v>
      </c>
      <c r="E21" s="140">
        <f>(2*E20/E4)+((E5+E5)/2)</f>
        <v>37</v>
      </c>
      <c r="F21" s="141" t="s">
        <v>207</v>
      </c>
    </row>
    <row r="22" spans="2:6" x14ac:dyDescent="0.3">
      <c r="B22" s="137"/>
      <c r="C22" s="140" t="s">
        <v>445</v>
      </c>
      <c r="D22" s="140" t="s">
        <v>368</v>
      </c>
      <c r="E22" s="140">
        <f>E21*E4</f>
        <v>352.42500000000001</v>
      </c>
      <c r="F22" s="140" t="s">
        <v>3</v>
      </c>
    </row>
    <row r="23" spans="2:6" x14ac:dyDescent="0.3">
      <c r="B23" s="137"/>
      <c r="C23" s="275" t="s">
        <v>448</v>
      </c>
      <c r="D23" s="275" t="s">
        <v>449</v>
      </c>
      <c r="E23" s="123">
        <f>((E4)*E6*E5)/60000</f>
        <v>1.6837121212121213E-3</v>
      </c>
      <c r="F23" s="123" t="s">
        <v>239</v>
      </c>
    </row>
    <row r="24" spans="2:6" x14ac:dyDescent="0.3">
      <c r="B24" s="137"/>
      <c r="C24" s="275"/>
      <c r="D24" s="275"/>
      <c r="E24" s="123">
        <f>E23*1000</f>
        <v>1.6837121212121213</v>
      </c>
      <c r="F24" s="123" t="s">
        <v>450</v>
      </c>
    </row>
    <row r="25" spans="2:6" x14ac:dyDescent="0.3">
      <c r="B25" s="137"/>
      <c r="C25" s="140" t="s">
        <v>423</v>
      </c>
      <c r="D25" s="140" t="s">
        <v>45</v>
      </c>
      <c r="E25" s="140">
        <f>3*E4</f>
        <v>28.575000000000003</v>
      </c>
      <c r="F25" s="140" t="s">
        <v>3</v>
      </c>
    </row>
  </sheetData>
  <mergeCells count="4">
    <mergeCell ref="B3:F3"/>
    <mergeCell ref="C23:C24"/>
    <mergeCell ref="D23:D24"/>
    <mergeCell ref="H3:K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2"/>
  <sheetViews>
    <sheetView topLeftCell="D1" workbookViewId="0">
      <selection activeCell="O9" sqref="O9"/>
    </sheetView>
  </sheetViews>
  <sheetFormatPr defaultColWidth="9.109375" defaultRowHeight="13.8" x14ac:dyDescent="0.3"/>
  <cols>
    <col min="1" max="1" width="9.109375" style="13"/>
    <col min="2" max="2" width="2" style="14" bestFit="1" customWidth="1"/>
    <col min="3" max="3" width="23" style="13" bestFit="1" customWidth="1"/>
    <col min="4" max="4" width="12.6640625" style="13" bestFit="1" customWidth="1"/>
    <col min="5" max="5" width="10.88671875" style="13" bestFit="1" customWidth="1"/>
    <col min="6" max="6" width="6.21875" style="13" customWidth="1"/>
    <col min="7" max="7" width="4.33203125" style="13" customWidth="1"/>
    <col min="8" max="8" width="13.21875" style="13" customWidth="1"/>
    <col min="9" max="9" width="15" style="13" bestFit="1" customWidth="1"/>
    <col min="10" max="10" width="11.6640625" style="13" bestFit="1" customWidth="1"/>
    <col min="11" max="11" width="9.109375" style="13"/>
    <col min="12" max="12" width="13.109375" style="13" bestFit="1" customWidth="1"/>
    <col min="13" max="16384" width="9.109375" style="13"/>
  </cols>
  <sheetData>
    <row r="1" spans="2:18" ht="14.4" thickBot="1" x14ac:dyDescent="0.35"/>
    <row r="2" spans="2:18" x14ac:dyDescent="0.3">
      <c r="B2" s="221" t="s">
        <v>74</v>
      </c>
      <c r="C2" s="222"/>
      <c r="D2" s="222"/>
      <c r="E2" s="222"/>
      <c r="F2" s="222"/>
      <c r="G2" s="222"/>
      <c r="H2" s="222"/>
      <c r="I2" s="222"/>
      <c r="J2" s="223"/>
      <c r="L2" s="228" t="s">
        <v>493</v>
      </c>
      <c r="M2" s="228"/>
      <c r="N2" s="228"/>
      <c r="O2" s="228"/>
      <c r="P2" s="228"/>
      <c r="Q2" s="228"/>
      <c r="R2" s="228"/>
    </row>
    <row r="3" spans="2:18" x14ac:dyDescent="0.3">
      <c r="B3" s="224"/>
      <c r="C3" s="225"/>
      <c r="D3" s="225"/>
      <c r="E3" s="225"/>
      <c r="F3" s="225"/>
      <c r="G3" s="225"/>
      <c r="H3" s="225"/>
      <c r="I3" s="225"/>
      <c r="J3" s="226"/>
      <c r="L3" s="134" t="s">
        <v>495</v>
      </c>
      <c r="M3" s="134">
        <v>24</v>
      </c>
      <c r="N3" s="134" t="s">
        <v>3</v>
      </c>
      <c r="O3" s="228"/>
      <c r="P3" s="228"/>
      <c r="Q3" s="228"/>
      <c r="R3" s="228"/>
    </row>
    <row r="4" spans="2:18" ht="14.4" thickBot="1" x14ac:dyDescent="0.35">
      <c r="B4" s="17"/>
      <c r="C4" s="18"/>
      <c r="D4" s="18"/>
      <c r="E4" s="18"/>
      <c r="F4" s="18"/>
      <c r="G4" s="18"/>
      <c r="H4" s="18"/>
      <c r="I4" s="18"/>
      <c r="J4" s="19"/>
      <c r="L4" s="228" t="s">
        <v>494</v>
      </c>
      <c r="M4" s="228" t="s">
        <v>270</v>
      </c>
      <c r="N4" s="228" t="s">
        <v>463</v>
      </c>
      <c r="O4" s="228"/>
      <c r="P4" s="256" t="s">
        <v>497</v>
      </c>
      <c r="Q4" s="228" t="s">
        <v>368</v>
      </c>
      <c r="R4" s="228" t="s">
        <v>496</v>
      </c>
    </row>
    <row r="5" spans="2:18" x14ac:dyDescent="0.3">
      <c r="B5" s="229" t="s">
        <v>53</v>
      </c>
      <c r="C5" s="230"/>
      <c r="D5" s="230"/>
      <c r="E5" s="230"/>
      <c r="F5" s="231"/>
      <c r="G5" s="18"/>
      <c r="H5" s="235" t="s">
        <v>54</v>
      </c>
      <c r="I5" s="236"/>
      <c r="J5" s="237"/>
      <c r="L5" s="228"/>
      <c r="M5" s="228"/>
      <c r="N5" s="134" t="s">
        <v>46</v>
      </c>
      <c r="O5" s="134" t="s">
        <v>103</v>
      </c>
      <c r="P5" s="256"/>
      <c r="Q5" s="228"/>
      <c r="R5" s="228"/>
    </row>
    <row r="6" spans="2:18" ht="14.4" thickBot="1" x14ac:dyDescent="0.35">
      <c r="B6" s="232"/>
      <c r="C6" s="233"/>
      <c r="D6" s="233"/>
      <c r="E6" s="233"/>
      <c r="F6" s="234"/>
      <c r="G6" s="18"/>
      <c r="H6" s="238"/>
      <c r="I6" s="239"/>
      <c r="J6" s="240"/>
      <c r="L6" s="134">
        <v>4</v>
      </c>
      <c r="M6" s="134">
        <f>0.241*M3</f>
        <v>5.7839999999999998</v>
      </c>
      <c r="N6" s="134">
        <f>0.075*M3</f>
        <v>1.7999999999999998</v>
      </c>
      <c r="O6" s="134">
        <f>0.85*M3</f>
        <v>20.399999999999999</v>
      </c>
      <c r="P6" s="134">
        <f>1000*L6*((($M$3^2)-(O6^2))/8)</f>
        <v>79920.000000000015</v>
      </c>
      <c r="Q6" s="134">
        <f>0.75*$M$3</f>
        <v>18</v>
      </c>
      <c r="R6" s="134">
        <f>(P6*Q6)/1000</f>
        <v>1438.5600000000002</v>
      </c>
    </row>
    <row r="7" spans="2:18" x14ac:dyDescent="0.3">
      <c r="B7" s="114" t="s">
        <v>4</v>
      </c>
      <c r="C7" s="113" t="s">
        <v>34</v>
      </c>
      <c r="D7" s="113" t="s">
        <v>42</v>
      </c>
      <c r="E7" s="113">
        <f>D24</f>
        <v>26</v>
      </c>
      <c r="F7" s="116" t="s">
        <v>3</v>
      </c>
      <c r="G7" s="18"/>
      <c r="H7" s="244" t="s">
        <v>71</v>
      </c>
      <c r="I7" s="245"/>
      <c r="J7" s="246"/>
      <c r="L7" s="134">
        <v>6</v>
      </c>
      <c r="M7" s="167">
        <f>0.25*M3</f>
        <v>6</v>
      </c>
      <c r="N7" s="134">
        <f>0.05*M3</f>
        <v>1.2000000000000002</v>
      </c>
      <c r="O7" s="134">
        <f>0.9*M3</f>
        <v>21.6</v>
      </c>
      <c r="P7" s="134">
        <f>1000*L7*((($M$3^2)-(O7^2))/8)</f>
        <v>82079.999999999956</v>
      </c>
      <c r="Q7" s="134">
        <f>0.75*$M$3</f>
        <v>18</v>
      </c>
      <c r="R7" s="134">
        <f t="shared" ref="R7:R9" si="0">(P7*Q7)/1000</f>
        <v>1477.4399999999994</v>
      </c>
    </row>
    <row r="8" spans="2:18" ht="14.4" thickBot="1" x14ac:dyDescent="0.35">
      <c r="B8" s="114" t="s">
        <v>4</v>
      </c>
      <c r="C8" s="118" t="s">
        <v>35</v>
      </c>
      <c r="D8" s="118" t="s">
        <v>43</v>
      </c>
      <c r="E8" s="118">
        <f>'Rolling Force'!N20</f>
        <v>45.240193685571889</v>
      </c>
      <c r="F8" s="119" t="s">
        <v>51</v>
      </c>
      <c r="G8" s="18"/>
      <c r="H8" s="115" t="s">
        <v>11</v>
      </c>
      <c r="I8" s="113" t="s">
        <v>60</v>
      </c>
      <c r="J8" s="116"/>
      <c r="L8" s="171">
        <v>10</v>
      </c>
      <c r="M8" s="171">
        <f>0.156*M3</f>
        <v>3.7439999999999998</v>
      </c>
      <c r="N8" s="171">
        <f>0.045*M3</f>
        <v>1.08</v>
      </c>
      <c r="O8" s="171">
        <v>22</v>
      </c>
      <c r="P8" s="171">
        <f>1000*L8*((($M$3^2)-(O8^2))/8)</f>
        <v>115000</v>
      </c>
      <c r="Q8" s="171">
        <f>0.75*$M$3</f>
        <v>18</v>
      </c>
      <c r="R8" s="171">
        <f t="shared" si="0"/>
        <v>2070</v>
      </c>
    </row>
    <row r="9" spans="2:18" x14ac:dyDescent="0.3">
      <c r="B9" s="117" t="s">
        <v>4</v>
      </c>
      <c r="C9" s="160" t="s">
        <v>36</v>
      </c>
      <c r="D9" s="163" t="s">
        <v>44</v>
      </c>
      <c r="E9" s="163">
        <f>E24</f>
        <v>25</v>
      </c>
      <c r="F9" s="164" t="s">
        <v>3</v>
      </c>
      <c r="G9" s="18"/>
      <c r="H9" s="115" t="s">
        <v>68</v>
      </c>
      <c r="I9" s="113">
        <v>351.57100000000003</v>
      </c>
      <c r="J9" s="116" t="s">
        <v>14</v>
      </c>
      <c r="L9" s="134">
        <v>16</v>
      </c>
      <c r="M9" s="134">
        <f>0.098*M3</f>
        <v>2.3520000000000003</v>
      </c>
      <c r="N9" s="134">
        <f>0.045*M3</f>
        <v>1.08</v>
      </c>
      <c r="O9" s="134">
        <f>0.91*M3</f>
        <v>21.84</v>
      </c>
      <c r="P9" s="134">
        <f>1000*L9*((($M$3^2)-(O9^2))/8)</f>
        <v>198028.80000000005</v>
      </c>
      <c r="Q9" s="134">
        <f>1.25*$M$3</f>
        <v>30</v>
      </c>
      <c r="R9" s="134">
        <f t="shared" si="0"/>
        <v>5940.8640000000023</v>
      </c>
    </row>
    <row r="10" spans="2:18" ht="14.4" thickBot="1" x14ac:dyDescent="0.35">
      <c r="B10" s="117"/>
      <c r="C10" s="115" t="s">
        <v>481</v>
      </c>
      <c r="D10" s="113" t="s">
        <v>483</v>
      </c>
      <c r="E10" s="113">
        <f>((4*(E8*1000)*I11)/(I9*E7*E12))</f>
        <v>2.9695409168192013</v>
      </c>
      <c r="F10" s="116" t="s">
        <v>3</v>
      </c>
      <c r="G10" s="18"/>
      <c r="H10" s="15" t="s">
        <v>73</v>
      </c>
      <c r="I10" s="16">
        <v>420.50700000000001</v>
      </c>
      <c r="J10" s="116" t="s">
        <v>14</v>
      </c>
      <c r="L10" s="134"/>
      <c r="M10" s="134"/>
      <c r="N10" s="134"/>
      <c r="O10" s="134"/>
      <c r="P10" s="134"/>
      <c r="Q10" s="134"/>
      <c r="R10" s="134"/>
    </row>
    <row r="11" spans="2:18" ht="14.4" thickBot="1" x14ac:dyDescent="0.35">
      <c r="B11" s="117"/>
      <c r="C11" s="15" t="s">
        <v>482</v>
      </c>
      <c r="D11" s="16" t="s">
        <v>484</v>
      </c>
      <c r="E11" s="16">
        <f>(4*(1000*E8)*I11)/(1.5*I10*E7*E13)</f>
        <v>1.8916022251453031</v>
      </c>
      <c r="F11" s="165" t="s">
        <v>3</v>
      </c>
      <c r="G11" s="18"/>
      <c r="H11" s="115" t="s">
        <v>59</v>
      </c>
      <c r="I11" s="113">
        <v>1.2</v>
      </c>
      <c r="J11" s="116"/>
      <c r="L11" s="134" t="s">
        <v>498</v>
      </c>
      <c r="M11" s="134">
        <f>'Rolling Force'!N20</f>
        <v>45.240193685571889</v>
      </c>
      <c r="N11" s="134" t="s">
        <v>51</v>
      </c>
      <c r="O11" s="228">
        <f>M11</f>
        <v>45.240193685571889</v>
      </c>
      <c r="P11" s="134"/>
      <c r="Q11" s="134"/>
      <c r="R11" s="134"/>
    </row>
    <row r="12" spans="2:18" x14ac:dyDescent="0.3">
      <c r="B12" s="114"/>
      <c r="C12" s="159" t="s">
        <v>37</v>
      </c>
      <c r="D12" s="159" t="s">
        <v>45</v>
      </c>
      <c r="E12" s="159">
        <f>F24</f>
        <v>8</v>
      </c>
      <c r="F12" s="162" t="s">
        <v>3</v>
      </c>
      <c r="G12" s="18"/>
      <c r="H12" s="241" t="s">
        <v>69</v>
      </c>
      <c r="I12" s="242"/>
      <c r="J12" s="243"/>
      <c r="L12" s="134" t="s">
        <v>499</v>
      </c>
      <c r="M12" s="134">
        <f>R8</f>
        <v>2070</v>
      </c>
      <c r="N12" s="134" t="s">
        <v>51</v>
      </c>
      <c r="O12" s="228"/>
      <c r="P12" s="134"/>
      <c r="Q12" s="134"/>
      <c r="R12" s="134"/>
    </row>
    <row r="13" spans="2:18" x14ac:dyDescent="0.3">
      <c r="B13" s="114"/>
      <c r="C13" s="113" t="s">
        <v>38</v>
      </c>
      <c r="D13" s="113" t="s">
        <v>46</v>
      </c>
      <c r="E13" s="113">
        <f>H24</f>
        <v>7</v>
      </c>
      <c r="F13" s="116" t="s">
        <v>3</v>
      </c>
      <c r="G13" s="18"/>
      <c r="H13" s="115" t="str">
        <f>C19</f>
        <v xml:space="preserve">shear stress  </v>
      </c>
      <c r="I13" s="113" t="s">
        <v>70</v>
      </c>
      <c r="J13" s="250">
        <f>H14</f>
        <v>17.400074494450724</v>
      </c>
    </row>
    <row r="14" spans="2:18" ht="14.4" thickBot="1" x14ac:dyDescent="0.35">
      <c r="B14" s="114"/>
      <c r="C14" s="113" t="s">
        <v>39</v>
      </c>
      <c r="D14" s="113" t="s">
        <v>47</v>
      </c>
      <c r="E14" s="113">
        <f>E13/2</f>
        <v>3.5</v>
      </c>
      <c r="F14" s="116" t="s">
        <v>3</v>
      </c>
      <c r="G14" s="18"/>
      <c r="H14" s="15">
        <f>E19</f>
        <v>17.400074494450724</v>
      </c>
      <c r="I14" s="16">
        <f>I9/I11</f>
        <v>292.97583333333336</v>
      </c>
      <c r="J14" s="251"/>
    </row>
    <row r="15" spans="2:18" x14ac:dyDescent="0.3">
      <c r="B15" s="114"/>
      <c r="C15" s="113" t="s">
        <v>40</v>
      </c>
      <c r="D15" s="113" t="s">
        <v>48</v>
      </c>
      <c r="E15" s="113">
        <f>E14+2</f>
        <v>5.5</v>
      </c>
      <c r="F15" s="116" t="s">
        <v>3</v>
      </c>
      <c r="G15" s="18"/>
      <c r="H15" s="247" t="s">
        <v>69</v>
      </c>
      <c r="I15" s="248"/>
      <c r="J15" s="249"/>
    </row>
    <row r="16" spans="2:18" x14ac:dyDescent="0.3">
      <c r="B16" s="114"/>
      <c r="C16" s="113" t="s">
        <v>64</v>
      </c>
      <c r="D16" s="113"/>
      <c r="E16" s="113">
        <f>((E9/1000)*(E12/1000))</f>
        <v>2.0000000000000001E-4</v>
      </c>
      <c r="F16" s="116" t="s">
        <v>65</v>
      </c>
      <c r="G16" s="18"/>
      <c r="H16" s="115" t="str">
        <f>C20</f>
        <v xml:space="preserve">bearing pressure </v>
      </c>
      <c r="I16" s="113" t="s">
        <v>70</v>
      </c>
      <c r="J16" s="250">
        <f>H17</f>
        <v>39.771598844458808</v>
      </c>
    </row>
    <row r="17" spans="2:10" ht="14.4" thickBot="1" x14ac:dyDescent="0.35">
      <c r="B17" s="114"/>
      <c r="C17" s="113" t="s">
        <v>66</v>
      </c>
      <c r="D17" s="113"/>
      <c r="E17" s="113"/>
      <c r="F17" s="116"/>
      <c r="G17" s="18"/>
      <c r="H17" s="15">
        <f>E20</f>
        <v>39.771598844458808</v>
      </c>
      <c r="I17" s="16">
        <f>(0.9*I10)/I11</f>
        <v>315.38024999999999</v>
      </c>
      <c r="J17" s="251"/>
    </row>
    <row r="18" spans="2:10" x14ac:dyDescent="0.3">
      <c r="B18" s="114"/>
      <c r="C18" s="113" t="s">
        <v>52</v>
      </c>
      <c r="D18" s="113" t="s">
        <v>49</v>
      </c>
      <c r="E18" s="113">
        <f>((2*E8)/(E7/1000))</f>
        <v>3480.0148988901456</v>
      </c>
      <c r="F18" s="116" t="s">
        <v>33</v>
      </c>
      <c r="G18" s="18"/>
    </row>
    <row r="19" spans="2:10" x14ac:dyDescent="0.3">
      <c r="B19" s="114"/>
      <c r="C19" s="113" t="s">
        <v>72</v>
      </c>
      <c r="D19" s="113"/>
      <c r="E19" s="113">
        <f>(E18/E16)*10^-6</f>
        <v>17.400074494450724</v>
      </c>
      <c r="F19" s="116" t="s">
        <v>15</v>
      </c>
      <c r="G19" s="18"/>
    </row>
    <row r="20" spans="2:10" x14ac:dyDescent="0.3">
      <c r="B20" s="114"/>
      <c r="C20" s="113" t="s">
        <v>41</v>
      </c>
      <c r="D20" s="113" t="s">
        <v>50</v>
      </c>
      <c r="E20" s="113">
        <f>E18/(E13/2*E9)</f>
        <v>39.771598844458808</v>
      </c>
      <c r="F20" s="116" t="s">
        <v>14</v>
      </c>
      <c r="G20" s="18"/>
    </row>
    <row r="21" spans="2:10" x14ac:dyDescent="0.3">
      <c r="B21" s="20"/>
      <c r="C21" s="18"/>
      <c r="D21" s="18"/>
      <c r="E21" s="18"/>
      <c r="F21" s="18"/>
      <c r="G21" s="18"/>
    </row>
    <row r="22" spans="2:10" x14ac:dyDescent="0.3">
      <c r="B22" s="252" t="s">
        <v>75</v>
      </c>
      <c r="C22" s="253"/>
      <c r="D22" s="253"/>
      <c r="E22" s="253"/>
      <c r="F22" s="254"/>
      <c r="G22" s="254"/>
      <c r="H22" s="254"/>
      <c r="I22" s="254"/>
      <c r="J22" s="255"/>
    </row>
    <row r="23" spans="2:10" x14ac:dyDescent="0.3">
      <c r="B23" s="117"/>
      <c r="C23" s="113" t="s">
        <v>76</v>
      </c>
      <c r="D23" s="161" t="str">
        <f>C7</f>
        <v xml:space="preserve">Shaft Diameter </v>
      </c>
      <c r="E23" s="161" t="str">
        <f>C9</f>
        <v xml:space="preserve">Key Length </v>
      </c>
      <c r="F23" s="227" t="str">
        <f>C12</f>
        <v xml:space="preserve">key width </v>
      </c>
      <c r="G23" s="228"/>
      <c r="H23" s="113" t="str">
        <f>C13</f>
        <v xml:space="preserve">key height </v>
      </c>
      <c r="I23" s="157" t="s">
        <v>479</v>
      </c>
      <c r="J23" s="158" t="s">
        <v>480</v>
      </c>
    </row>
    <row r="24" spans="2:10" x14ac:dyDescent="0.3">
      <c r="B24" s="117">
        <v>1</v>
      </c>
      <c r="C24" s="167" t="s">
        <v>490</v>
      </c>
      <c r="D24" s="161">
        <f>'Static SHAFT STRESS'!C30</f>
        <v>26</v>
      </c>
      <c r="E24" s="161">
        <v>25</v>
      </c>
      <c r="F24" s="227">
        <v>8</v>
      </c>
      <c r="G24" s="228"/>
      <c r="H24" s="113">
        <v>7</v>
      </c>
      <c r="I24" s="157">
        <f>((2*$E$8)/(D24/1000)/((E24/1000)*(F24/1000)))*10^-6</f>
        <v>17.400074494450724</v>
      </c>
      <c r="J24" s="158">
        <f>((2*$E$8)/(D24/1000))/(H24/2*E24)</f>
        <v>39.771598844458808</v>
      </c>
    </row>
    <row r="25" spans="2:10" x14ac:dyDescent="0.3">
      <c r="B25" s="117">
        <v>2</v>
      </c>
      <c r="C25" s="113"/>
      <c r="D25" s="161"/>
      <c r="E25" s="161"/>
      <c r="F25" s="227"/>
      <c r="G25" s="228"/>
      <c r="H25" s="113"/>
      <c r="I25" s="157" t="e">
        <f t="shared" ref="I25:I31" si="1">((2*$E$8)/(D25/1000)/((E25/1000)*(F25/1000)))*10^-6</f>
        <v>#DIV/0!</v>
      </c>
      <c r="J25" s="158" t="e">
        <f t="shared" ref="J25:J31" si="2">((2*$E$8)/(D25/1000))/(H25/2*E25)</f>
        <v>#DIV/0!</v>
      </c>
    </row>
    <row r="26" spans="2:10" x14ac:dyDescent="0.3">
      <c r="B26" s="117">
        <v>3</v>
      </c>
      <c r="C26" s="113"/>
      <c r="D26" s="161"/>
      <c r="E26" s="161"/>
      <c r="F26" s="227"/>
      <c r="G26" s="228"/>
      <c r="H26" s="113"/>
      <c r="I26" s="157" t="e">
        <f t="shared" si="1"/>
        <v>#DIV/0!</v>
      </c>
      <c r="J26" s="158" t="e">
        <f t="shared" si="2"/>
        <v>#DIV/0!</v>
      </c>
    </row>
    <row r="27" spans="2:10" x14ac:dyDescent="0.3">
      <c r="B27" s="117">
        <v>4</v>
      </c>
      <c r="C27" s="113"/>
      <c r="D27" s="161"/>
      <c r="E27" s="161"/>
      <c r="F27" s="227"/>
      <c r="G27" s="228"/>
      <c r="H27" s="113"/>
      <c r="I27" s="157" t="e">
        <f t="shared" si="1"/>
        <v>#DIV/0!</v>
      </c>
      <c r="J27" s="158" t="e">
        <f t="shared" si="2"/>
        <v>#DIV/0!</v>
      </c>
    </row>
    <row r="28" spans="2:10" x14ac:dyDescent="0.3">
      <c r="B28" s="117">
        <v>5</v>
      </c>
      <c r="C28" s="113"/>
      <c r="D28" s="161"/>
      <c r="E28" s="161"/>
      <c r="F28" s="227"/>
      <c r="G28" s="228"/>
      <c r="H28" s="113"/>
      <c r="I28" s="157" t="e">
        <f t="shared" si="1"/>
        <v>#DIV/0!</v>
      </c>
      <c r="J28" s="158" t="e">
        <f t="shared" si="2"/>
        <v>#DIV/0!</v>
      </c>
    </row>
    <row r="29" spans="2:10" x14ac:dyDescent="0.3">
      <c r="B29" s="114">
        <v>6</v>
      </c>
      <c r="C29" s="113"/>
      <c r="D29" s="161"/>
      <c r="E29" s="161"/>
      <c r="F29" s="228"/>
      <c r="G29" s="228"/>
      <c r="H29" s="113"/>
      <c r="I29" s="157" t="e">
        <f t="shared" si="1"/>
        <v>#DIV/0!</v>
      </c>
      <c r="J29" s="158" t="e">
        <f t="shared" si="2"/>
        <v>#DIV/0!</v>
      </c>
    </row>
    <row r="30" spans="2:10" x14ac:dyDescent="0.3">
      <c r="B30" s="114">
        <v>7</v>
      </c>
      <c r="C30" s="113"/>
      <c r="D30" s="161"/>
      <c r="E30" s="161"/>
      <c r="F30" s="228"/>
      <c r="G30" s="228"/>
      <c r="H30" s="113"/>
      <c r="I30" s="157" t="e">
        <f t="shared" si="1"/>
        <v>#DIV/0!</v>
      </c>
      <c r="J30" s="158" t="e">
        <f t="shared" si="2"/>
        <v>#DIV/0!</v>
      </c>
    </row>
    <row r="31" spans="2:10" x14ac:dyDescent="0.3">
      <c r="B31" s="114">
        <v>8</v>
      </c>
      <c r="C31" s="113"/>
      <c r="D31" s="161"/>
      <c r="E31" s="161"/>
      <c r="F31" s="228"/>
      <c r="G31" s="228"/>
      <c r="H31" s="113"/>
      <c r="I31" s="157" t="e">
        <f t="shared" si="1"/>
        <v>#DIV/0!</v>
      </c>
      <c r="J31" s="158" t="e">
        <f t="shared" si="2"/>
        <v>#DIV/0!</v>
      </c>
    </row>
    <row r="32" spans="2:10" ht="14.4" thickBot="1" x14ac:dyDescent="0.35">
      <c r="B32" s="21"/>
      <c r="C32" s="22"/>
      <c r="D32" s="22"/>
      <c r="E32" s="22"/>
      <c r="F32" s="22"/>
      <c r="G32" s="22"/>
      <c r="H32" s="22"/>
      <c r="I32" s="22"/>
      <c r="J32" s="23"/>
    </row>
  </sheetData>
  <mergeCells count="27">
    <mergeCell ref="N4:O4"/>
    <mergeCell ref="L2:R2"/>
    <mergeCell ref="L4:L5"/>
    <mergeCell ref="M4:M5"/>
    <mergeCell ref="P4:P5"/>
    <mergeCell ref="Q4:Q5"/>
    <mergeCell ref="R4:R5"/>
    <mergeCell ref="O3:R3"/>
    <mergeCell ref="O11:O12"/>
    <mergeCell ref="F28:G28"/>
    <mergeCell ref="F29:G29"/>
    <mergeCell ref="F30:G30"/>
    <mergeCell ref="F31:G31"/>
    <mergeCell ref="F24:G24"/>
    <mergeCell ref="F25:G25"/>
    <mergeCell ref="F26:G26"/>
    <mergeCell ref="F27:G27"/>
    <mergeCell ref="B2:J3"/>
    <mergeCell ref="F23:G23"/>
    <mergeCell ref="B5:F6"/>
    <mergeCell ref="H5:J6"/>
    <mergeCell ref="H12:J12"/>
    <mergeCell ref="H7:J7"/>
    <mergeCell ref="H15:J15"/>
    <mergeCell ref="J16:J17"/>
    <mergeCell ref="J13:J14"/>
    <mergeCell ref="B22:J22"/>
  </mergeCells>
  <conditionalFormatting sqref="J13">
    <cfRule type="iconSet" priority="20">
      <iconSet iconSet="3Symbols" showValue="0" reverse="1">
        <cfvo type="percent" val="0"/>
        <cfvo type="num" val="$I$14"/>
        <cfvo type="num" val="$I$14"/>
      </iconSet>
    </cfRule>
  </conditionalFormatting>
  <conditionalFormatting sqref="J16:J17">
    <cfRule type="iconSet" priority="21">
      <iconSet iconSet="3Symbols" showValue="0" reverse="1">
        <cfvo type="percent" val="0"/>
        <cfvo type="num" val="$I$17"/>
        <cfvo type="num" val="$I$17"/>
      </iconSet>
    </cfRule>
    <cfRule type="iconSet" priority="22">
      <iconSet iconSet="3Symbols" showValue="0">
        <cfvo type="percent" val="0"/>
        <cfvo type="percent" val="33"/>
        <cfvo type="percent" val="67"/>
      </iconSet>
    </cfRule>
  </conditionalFormatting>
  <conditionalFormatting sqref="I24">
    <cfRule type="colorScale" priority="26">
      <colorScale>
        <cfvo type="formula" val="$I$9/$I$11"/>
        <cfvo type="formula" val="$I$9/$I$11"/>
        <color theme="6" tint="0.59999389629810485"/>
        <color rgb="FFFF0000"/>
      </colorScale>
    </cfRule>
  </conditionalFormatting>
  <conditionalFormatting sqref="I25:I31">
    <cfRule type="colorScale" priority="27">
      <colorScale>
        <cfvo type="formula" val="$I$14/$I$11"/>
        <cfvo type="formula" val="$I$14/$I$11"/>
        <color theme="6" tint="0.59999389629810485"/>
        <color rgb="FFFF0000"/>
      </colorScale>
    </cfRule>
  </conditionalFormatting>
  <conditionalFormatting sqref="J24:J31">
    <cfRule type="colorScale" priority="28">
      <colorScale>
        <cfvo type="formula" val="$I$17"/>
        <cfvo type="formula" val="$I$17"/>
        <color theme="6" tint="0.59999389629810485"/>
        <color rgb="FFFF0000"/>
      </colorScale>
    </cfRule>
  </conditionalFormatting>
  <conditionalFormatting sqref="O11:O12">
    <cfRule type="iconSet" priority="1">
      <iconSet iconSet="3Symbols" showValue="0" reverse="1">
        <cfvo type="percent" val="0"/>
        <cfvo type="formula" val="$M$12"/>
        <cfvo type="formula" val="$M$12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5"/>
  <sheetViews>
    <sheetView zoomScale="90" zoomScaleNormal="90" workbookViewId="0">
      <selection activeCell="E23" sqref="E23"/>
    </sheetView>
  </sheetViews>
  <sheetFormatPr defaultColWidth="9" defaultRowHeight="15.6" x14ac:dyDescent="0.3"/>
  <cols>
    <col min="1" max="1" width="9" style="142"/>
    <col min="2" max="2" width="2.88671875" style="142" bestFit="1" customWidth="1"/>
    <col min="3" max="3" width="5.21875" style="142" bestFit="1" customWidth="1"/>
    <col min="4" max="4" width="20.33203125" style="142" bestFit="1" customWidth="1"/>
    <col min="5" max="5" width="9.88671875" style="142" bestFit="1" customWidth="1"/>
    <col min="6" max="6" width="4.109375" style="142" bestFit="1" customWidth="1"/>
    <col min="7" max="7" width="11" style="142" customWidth="1"/>
    <col min="8" max="8" width="7.77734375" style="142" customWidth="1"/>
    <col min="9" max="9" width="11.88671875" style="142" customWidth="1"/>
    <col min="10" max="10" width="10.88671875" style="142" customWidth="1"/>
    <col min="11" max="11" width="9" style="142"/>
    <col min="12" max="12" width="2.77734375" style="142" bestFit="1" customWidth="1"/>
    <col min="13" max="13" width="12.21875" style="142" bestFit="1" customWidth="1"/>
    <col min="14" max="14" width="14.88671875" style="142" bestFit="1" customWidth="1"/>
    <col min="15" max="15" width="17.6640625" style="142" bestFit="1" customWidth="1"/>
    <col min="16" max="16" width="8.33203125" style="142" bestFit="1" customWidth="1"/>
    <col min="17" max="17" width="13.6640625" style="142" bestFit="1" customWidth="1"/>
    <col min="18" max="18" width="8.33203125" style="142" bestFit="1" customWidth="1"/>
    <col min="19" max="19" width="13.6640625" style="142" bestFit="1" customWidth="1"/>
    <col min="20" max="16384" width="9" style="142"/>
  </cols>
  <sheetData>
    <row r="2" spans="2:10" ht="41.25" customHeight="1" x14ac:dyDescent="0.3">
      <c r="B2" s="257" t="s">
        <v>77</v>
      </c>
      <c r="C2" s="257"/>
      <c r="D2" s="257"/>
      <c r="E2" s="257"/>
      <c r="F2" s="257"/>
      <c r="G2" s="257"/>
      <c r="H2" s="257"/>
      <c r="I2" s="257"/>
      <c r="J2" s="257"/>
    </row>
    <row r="3" spans="2:10" ht="17.25" customHeight="1" x14ac:dyDescent="0.3">
      <c r="B3" s="136"/>
      <c r="C3" s="136"/>
      <c r="D3" s="136"/>
      <c r="E3" s="136"/>
      <c r="F3" s="136"/>
      <c r="G3" s="136"/>
      <c r="H3" s="136"/>
      <c r="I3" s="136"/>
      <c r="J3" s="136"/>
    </row>
    <row r="4" spans="2:10" ht="17.25" customHeight="1" x14ac:dyDescent="0.3">
      <c r="B4" s="144"/>
      <c r="C4" s="144"/>
      <c r="D4" s="144" t="s">
        <v>90</v>
      </c>
      <c r="E4" s="144">
        <v>373</v>
      </c>
      <c r="F4" s="144" t="s">
        <v>3</v>
      </c>
      <c r="G4" s="144"/>
      <c r="H4" s="144"/>
      <c r="I4" s="144"/>
      <c r="J4" s="144"/>
    </row>
    <row r="5" spans="2:10" ht="17.25" customHeight="1" x14ac:dyDescent="0.3">
      <c r="B5" s="136"/>
      <c r="C5" s="136" t="s">
        <v>471</v>
      </c>
      <c r="D5" s="270" t="s">
        <v>78</v>
      </c>
      <c r="E5" s="257"/>
      <c r="F5" s="257"/>
      <c r="G5" s="257" t="s">
        <v>470</v>
      </c>
      <c r="H5" s="257"/>
      <c r="I5" s="270" t="s">
        <v>469</v>
      </c>
      <c r="J5" s="257"/>
    </row>
    <row r="6" spans="2:10" ht="17.25" customHeight="1" x14ac:dyDescent="0.3">
      <c r="B6" s="135" t="s">
        <v>79</v>
      </c>
      <c r="C6" s="136" t="s">
        <v>472</v>
      </c>
      <c r="D6" s="136" t="s">
        <v>85</v>
      </c>
      <c r="E6" s="145">
        <f>'Rolling Force'!N15</f>
        <v>11691.596505657244</v>
      </c>
      <c r="F6" s="136" t="s">
        <v>33</v>
      </c>
      <c r="G6" s="136">
        <v>179</v>
      </c>
      <c r="H6" s="136" t="s">
        <v>3</v>
      </c>
      <c r="I6" s="136">
        <v>120</v>
      </c>
      <c r="J6" s="136" t="s">
        <v>3</v>
      </c>
    </row>
    <row r="7" spans="2:10" ht="17.25" customHeight="1" x14ac:dyDescent="0.3">
      <c r="B7" s="135" t="s">
        <v>80</v>
      </c>
      <c r="C7" s="136" t="s">
        <v>472</v>
      </c>
      <c r="D7" s="136" t="s">
        <v>86</v>
      </c>
      <c r="E7" s="136">
        <f>19*9.81</f>
        <v>186.39000000000001</v>
      </c>
      <c r="F7" s="136" t="s">
        <v>33</v>
      </c>
      <c r="G7" s="136">
        <v>179</v>
      </c>
      <c r="H7" s="136" t="s">
        <v>3</v>
      </c>
      <c r="I7" s="136">
        <v>120</v>
      </c>
      <c r="J7" s="136" t="s">
        <v>3</v>
      </c>
    </row>
    <row r="8" spans="2:10" ht="17.25" customHeight="1" x14ac:dyDescent="0.3">
      <c r="B8" s="135" t="s">
        <v>81</v>
      </c>
      <c r="C8" s="136" t="s">
        <v>472</v>
      </c>
      <c r="D8" s="136" t="s">
        <v>87</v>
      </c>
      <c r="E8" s="136">
        <f>sproket!J13</f>
        <v>4148.3097991489794</v>
      </c>
      <c r="F8" s="136" t="s">
        <v>33</v>
      </c>
      <c r="G8" s="136">
        <v>343.5</v>
      </c>
      <c r="H8" s="136" t="s">
        <v>3</v>
      </c>
      <c r="I8" s="136">
        <v>44.5</v>
      </c>
      <c r="J8" s="136" t="s">
        <v>3</v>
      </c>
    </row>
    <row r="9" spans="2:10" ht="17.25" customHeight="1" x14ac:dyDescent="0.3">
      <c r="B9" s="135" t="s">
        <v>82</v>
      </c>
      <c r="C9" s="136" t="s">
        <v>472</v>
      </c>
      <c r="D9" s="136" t="s">
        <v>467</v>
      </c>
      <c r="E9" s="136" t="e">
        <f>'gear design'!#REF!</f>
        <v>#REF!</v>
      </c>
      <c r="F9" s="136" t="s">
        <v>33</v>
      </c>
      <c r="G9" s="136">
        <v>15.5</v>
      </c>
      <c r="H9" s="136" t="s">
        <v>3</v>
      </c>
      <c r="I9" s="144">
        <v>283.5</v>
      </c>
      <c r="J9" s="136" t="s">
        <v>3</v>
      </c>
    </row>
    <row r="10" spans="2:10" ht="17.25" customHeight="1" x14ac:dyDescent="0.3">
      <c r="B10" s="135" t="s">
        <v>83</v>
      </c>
      <c r="C10" s="136" t="s">
        <v>473</v>
      </c>
      <c r="D10" s="136" t="s">
        <v>468</v>
      </c>
      <c r="E10" s="136" t="e">
        <f>'gear design'!#REF!</f>
        <v>#REF!</v>
      </c>
      <c r="F10" s="136" t="s">
        <v>33</v>
      </c>
      <c r="G10" s="136">
        <v>15.5</v>
      </c>
      <c r="H10" s="136" t="s">
        <v>3</v>
      </c>
      <c r="I10" s="144">
        <v>283.5</v>
      </c>
      <c r="J10" s="136" t="s">
        <v>3</v>
      </c>
    </row>
    <row r="11" spans="2:10" ht="17.25" customHeight="1" x14ac:dyDescent="0.3">
      <c r="B11" s="136"/>
      <c r="C11" s="136" t="s">
        <v>472</v>
      </c>
      <c r="D11" s="136" t="s">
        <v>84</v>
      </c>
      <c r="E11" s="145"/>
      <c r="F11" s="136" t="s">
        <v>33</v>
      </c>
      <c r="G11" s="258"/>
      <c r="H11" s="259"/>
      <c r="I11" s="259"/>
      <c r="J11" s="260"/>
    </row>
    <row r="12" spans="2:10" ht="17.25" customHeight="1" x14ac:dyDescent="0.3">
      <c r="B12" s="136"/>
      <c r="C12" s="136" t="s">
        <v>472</v>
      </c>
      <c r="D12" s="136" t="s">
        <v>88</v>
      </c>
      <c r="E12" s="145"/>
      <c r="F12" s="136" t="s">
        <v>33</v>
      </c>
      <c r="G12" s="261"/>
      <c r="H12" s="262"/>
      <c r="I12" s="262"/>
      <c r="J12" s="263"/>
    </row>
    <row r="13" spans="2:10" ht="17.25" customHeight="1" x14ac:dyDescent="0.3">
      <c r="B13" s="136"/>
      <c r="C13" s="136" t="s">
        <v>473</v>
      </c>
      <c r="D13" s="136" t="s">
        <v>84</v>
      </c>
      <c r="E13" s="136"/>
      <c r="F13" s="136" t="s">
        <v>33</v>
      </c>
      <c r="G13" s="261"/>
      <c r="H13" s="262"/>
      <c r="I13" s="262"/>
      <c r="J13" s="263"/>
    </row>
    <row r="14" spans="2:10" x14ac:dyDescent="0.3">
      <c r="B14" s="136"/>
      <c r="C14" s="136" t="s">
        <v>473</v>
      </c>
      <c r="D14" s="136" t="s">
        <v>88</v>
      </c>
      <c r="E14" s="136"/>
      <c r="F14" s="136" t="s">
        <v>33</v>
      </c>
      <c r="G14" s="264"/>
      <c r="H14" s="265"/>
      <c r="I14" s="265"/>
      <c r="J14" s="266"/>
    </row>
    <row r="17" spans="2:9" x14ac:dyDescent="0.3">
      <c r="F17" s="265" t="s">
        <v>472</v>
      </c>
      <c r="G17" s="265"/>
      <c r="H17" s="265" t="s">
        <v>473</v>
      </c>
      <c r="I17" s="265"/>
    </row>
    <row r="18" spans="2:9" ht="37.5" customHeight="1" x14ac:dyDescent="0.3">
      <c r="B18" s="143" t="s">
        <v>191</v>
      </c>
      <c r="C18" s="143" t="s">
        <v>194</v>
      </c>
      <c r="D18" s="143" t="s">
        <v>196</v>
      </c>
      <c r="E18" s="143" t="s">
        <v>197</v>
      </c>
      <c r="F18" s="143" t="s">
        <v>196</v>
      </c>
      <c r="G18" s="143" t="s">
        <v>197</v>
      </c>
      <c r="H18" s="143" t="s">
        <v>196</v>
      </c>
      <c r="I18" s="143" t="s">
        <v>197</v>
      </c>
    </row>
    <row r="19" spans="2:9" x14ac:dyDescent="0.3">
      <c r="B19" s="143">
        <v>1</v>
      </c>
      <c r="C19" s="143">
        <f>'shaft design'!F13</f>
        <v>25.98866544407457</v>
      </c>
      <c r="D19" s="136">
        <f>SQRT(F19^2+H19^2)</f>
        <v>486.29612716944399</v>
      </c>
      <c r="E19" s="136">
        <f>SQRT(G19^2+I20^2)</f>
        <v>19.878</v>
      </c>
      <c r="F19" s="143">
        <v>-166.32</v>
      </c>
      <c r="G19" s="143">
        <v>0</v>
      </c>
      <c r="H19" s="136">
        <v>-456.97</v>
      </c>
      <c r="I19" s="181">
        <v>0</v>
      </c>
    </row>
    <row r="20" spans="2:9" x14ac:dyDescent="0.3">
      <c r="B20" s="143">
        <v>2</v>
      </c>
      <c r="C20" s="143">
        <v>25</v>
      </c>
      <c r="D20" s="136">
        <f t="shared" ref="D20:D24" si="0">SQRT(F20^2+H20^2)</f>
        <v>6660.7959112484441</v>
      </c>
      <c r="E20" s="136">
        <f>SQRT(G20^2+I20^2)</f>
        <v>25.335274776485058</v>
      </c>
      <c r="F20" s="143">
        <v>6645.1019999999999</v>
      </c>
      <c r="G20" s="143">
        <f>-15708/1000</f>
        <v>-15.708</v>
      </c>
      <c r="H20" s="136">
        <v>-456.97</v>
      </c>
      <c r="I20" s="136">
        <f>-19878/1000</f>
        <v>-19.878</v>
      </c>
    </row>
    <row r="21" spans="2:9" x14ac:dyDescent="0.3">
      <c r="B21" s="143">
        <v>3</v>
      </c>
      <c r="C21" s="143">
        <v>60</v>
      </c>
      <c r="D21" s="136">
        <f t="shared" si="0"/>
        <v>6645.6181606138034</v>
      </c>
      <c r="E21" s="136">
        <f t="shared" ref="E21:E24" si="1">SQRT(G21^2+I21^2)</f>
        <v>125.66694</v>
      </c>
      <c r="F21" s="143">
        <f>F20</f>
        <v>6645.1019999999999</v>
      </c>
      <c r="G21" s="143">
        <f>125666.94/1000</f>
        <v>125.66694</v>
      </c>
      <c r="H21" s="136">
        <v>82.825999999999993</v>
      </c>
      <c r="I21" s="136">
        <v>0</v>
      </c>
    </row>
    <row r="22" spans="2:9" x14ac:dyDescent="0.3">
      <c r="B22" s="143">
        <v>4</v>
      </c>
      <c r="C22" s="143">
        <v>60</v>
      </c>
      <c r="D22" s="136">
        <f t="shared" si="0"/>
        <v>5047.1796477117796</v>
      </c>
      <c r="E22" s="136">
        <f t="shared" si="1"/>
        <v>285.52922999999998</v>
      </c>
      <c r="F22" s="143">
        <v>-5046.5</v>
      </c>
      <c r="G22" s="143">
        <f>285529.23/1000</f>
        <v>285.52922999999998</v>
      </c>
      <c r="H22" s="136">
        <v>82.825999999999993</v>
      </c>
      <c r="I22" s="136">
        <v>0</v>
      </c>
    </row>
    <row r="23" spans="2:9" x14ac:dyDescent="0.3">
      <c r="B23" s="143">
        <v>5</v>
      </c>
      <c r="C23" s="143">
        <v>25</v>
      </c>
      <c r="D23" s="136">
        <f t="shared" si="0"/>
        <v>5047.1796477117796</v>
      </c>
      <c r="E23" s="136">
        <f t="shared" si="1"/>
        <v>184.59975800000001</v>
      </c>
      <c r="F23" s="143">
        <f>F22</f>
        <v>-5046.5</v>
      </c>
      <c r="G23" s="143">
        <f>184599.758/1000</f>
        <v>184.59975800000001</v>
      </c>
      <c r="H23" s="136">
        <v>82.825999999999993</v>
      </c>
      <c r="I23" s="136">
        <v>0</v>
      </c>
    </row>
    <row r="24" spans="2:9" x14ac:dyDescent="0.3">
      <c r="B24" s="143">
        <v>6</v>
      </c>
      <c r="C24" s="143">
        <v>16</v>
      </c>
      <c r="D24" s="136">
        <f t="shared" si="0"/>
        <v>4148.3</v>
      </c>
      <c r="E24" s="136">
        <f t="shared" si="1"/>
        <v>0</v>
      </c>
      <c r="F24" s="143">
        <v>-4148.3</v>
      </c>
      <c r="G24" s="143">
        <v>0</v>
      </c>
      <c r="H24" s="136">
        <v>0</v>
      </c>
      <c r="I24" s="136">
        <v>0</v>
      </c>
    </row>
    <row r="25" spans="2:9" x14ac:dyDescent="0.3">
      <c r="B25" s="136"/>
      <c r="C25" s="136" t="s">
        <v>474</v>
      </c>
      <c r="D25" s="267">
        <f>503352.242/1000</f>
        <v>503.35224200000005</v>
      </c>
      <c r="E25" s="268"/>
      <c r="F25" s="268"/>
      <c r="G25" s="268"/>
      <c r="H25" s="268"/>
      <c r="I25" s="269"/>
    </row>
  </sheetData>
  <mergeCells count="8">
    <mergeCell ref="B2:J2"/>
    <mergeCell ref="G11:J14"/>
    <mergeCell ref="D25:I25"/>
    <mergeCell ref="F17:G17"/>
    <mergeCell ref="H17:I17"/>
    <mergeCell ref="I5:J5"/>
    <mergeCell ref="G5:H5"/>
    <mergeCell ref="D5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2"/>
  <sheetViews>
    <sheetView zoomScaleSheetLayoutView="100" workbookViewId="0">
      <selection activeCell="K2" sqref="K2"/>
    </sheetView>
  </sheetViews>
  <sheetFormatPr defaultRowHeight="14.4" x14ac:dyDescent="0.3"/>
  <cols>
    <col min="2" max="4" width="8" customWidth="1"/>
    <col min="5" max="5" width="3.88671875" bestFit="1" customWidth="1"/>
    <col min="6" max="6" width="11.88671875" bestFit="1" customWidth="1"/>
    <col min="7" max="7" width="7.33203125" bestFit="1" customWidth="1"/>
    <col min="8" max="18" width="4.6640625" customWidth="1"/>
  </cols>
  <sheetData>
    <row r="2" spans="1:7" x14ac:dyDescent="0.3">
      <c r="A2" s="27"/>
      <c r="B2" s="27"/>
      <c r="C2" s="27"/>
      <c r="D2" s="27"/>
      <c r="E2" s="27"/>
      <c r="F2" s="27"/>
      <c r="G2" s="27"/>
    </row>
    <row r="3" spans="1:7" x14ac:dyDescent="0.3">
      <c r="A3" s="27"/>
      <c r="B3" s="271" t="s">
        <v>91</v>
      </c>
      <c r="C3" s="271"/>
      <c r="D3" s="271"/>
      <c r="E3" s="271"/>
      <c r="F3" s="271"/>
      <c r="G3" s="271"/>
    </row>
    <row r="4" spans="1:7" x14ac:dyDescent="0.3">
      <c r="A4" s="27"/>
      <c r="B4" s="271"/>
      <c r="C4" s="271"/>
      <c r="D4" s="271"/>
      <c r="E4" s="271"/>
      <c r="F4" s="271"/>
      <c r="G4" s="271"/>
    </row>
    <row r="5" spans="1:7" x14ac:dyDescent="0.3">
      <c r="A5" s="27"/>
      <c r="B5" s="272" t="s">
        <v>59</v>
      </c>
      <c r="C5" s="272"/>
      <c r="D5" s="272"/>
      <c r="E5" s="26" t="s">
        <v>92</v>
      </c>
      <c r="F5" s="26">
        <v>1.2</v>
      </c>
      <c r="G5" s="26" t="s">
        <v>93</v>
      </c>
    </row>
    <row r="6" spans="1:7" x14ac:dyDescent="0.3">
      <c r="A6" s="27"/>
      <c r="B6" s="272" t="s">
        <v>94</v>
      </c>
      <c r="C6" s="272"/>
      <c r="D6" s="272"/>
      <c r="E6" s="26"/>
      <c r="F6" s="112" t="s">
        <v>416</v>
      </c>
      <c r="G6" s="26"/>
    </row>
    <row r="7" spans="1:7" x14ac:dyDescent="0.3">
      <c r="A7" s="27"/>
      <c r="B7" s="272" t="s">
        <v>95</v>
      </c>
      <c r="C7" s="272"/>
      <c r="D7" s="272"/>
      <c r="E7" s="26" t="s">
        <v>73</v>
      </c>
      <c r="F7" s="113">
        <v>351.57100000000003</v>
      </c>
      <c r="G7" s="26" t="s">
        <v>14</v>
      </c>
    </row>
    <row r="8" spans="1:7" x14ac:dyDescent="0.3">
      <c r="A8" s="27"/>
      <c r="B8" s="272" t="s">
        <v>96</v>
      </c>
      <c r="C8" s="272"/>
      <c r="D8" s="272"/>
      <c r="E8" s="26" t="s">
        <v>89</v>
      </c>
      <c r="F8" s="29">
        <f>'diagram '!D25</f>
        <v>503.35224200000005</v>
      </c>
      <c r="G8" s="26" t="s">
        <v>51</v>
      </c>
    </row>
    <row r="9" spans="1:7" x14ac:dyDescent="0.3">
      <c r="A9" s="27"/>
      <c r="B9" s="272" t="s">
        <v>97</v>
      </c>
      <c r="C9" s="272"/>
      <c r="D9" s="272"/>
      <c r="E9" s="26" t="s">
        <v>102</v>
      </c>
      <c r="F9" s="26">
        <f>ABS(MAX('diagram '!F19:F24))</f>
        <v>6645.1019999999999</v>
      </c>
      <c r="G9" s="26" t="s">
        <v>33</v>
      </c>
    </row>
    <row r="10" spans="1:7" x14ac:dyDescent="0.3">
      <c r="A10" s="27"/>
      <c r="B10" s="272" t="s">
        <v>98</v>
      </c>
      <c r="C10" s="272"/>
      <c r="D10" s="272"/>
      <c r="E10" s="26" t="s">
        <v>43</v>
      </c>
      <c r="F10" s="26">
        <f>'Rolling Force'!N20</f>
        <v>45.240193685571889</v>
      </c>
      <c r="G10" s="26" t="s">
        <v>51</v>
      </c>
    </row>
    <row r="11" spans="1:7" x14ac:dyDescent="0.3">
      <c r="A11" s="27"/>
      <c r="B11" s="272" t="s">
        <v>99</v>
      </c>
      <c r="C11" s="272"/>
      <c r="D11" s="272"/>
      <c r="E11" s="26" t="s">
        <v>103</v>
      </c>
      <c r="F11" s="26">
        <f>(((32*F5)/(PI()*F7*10^6))*SQRT((F8^2)+((3*F10^2)/4)))^(1/3)</f>
        <v>2.598866544407457E-2</v>
      </c>
      <c r="G11" s="26" t="s">
        <v>89</v>
      </c>
    </row>
    <row r="12" spans="1:7" x14ac:dyDescent="0.3">
      <c r="A12" s="27"/>
      <c r="B12" s="272" t="s">
        <v>101</v>
      </c>
      <c r="C12" s="272"/>
      <c r="D12" s="272"/>
      <c r="E12" s="26" t="s">
        <v>103</v>
      </c>
      <c r="F12" s="26">
        <f>(((32*F5)/(PI()*F7*10^6))*SQRT((F8^2)+((1*F10^2)/1)))^(1/3)</f>
        <v>2.5997352876602816E-2</v>
      </c>
      <c r="G12" s="26" t="s">
        <v>89</v>
      </c>
    </row>
    <row r="13" spans="1:7" x14ac:dyDescent="0.3">
      <c r="A13" s="27"/>
      <c r="B13" s="272" t="s">
        <v>99</v>
      </c>
      <c r="C13" s="272"/>
      <c r="D13" s="272"/>
      <c r="E13" s="26" t="s">
        <v>103</v>
      </c>
      <c r="F13" s="26">
        <f>F11*1000</f>
        <v>25.98866544407457</v>
      </c>
      <c r="G13" s="26" t="s">
        <v>3</v>
      </c>
    </row>
    <row r="14" spans="1:7" x14ac:dyDescent="0.3">
      <c r="A14" s="27"/>
      <c r="B14" s="272" t="s">
        <v>101</v>
      </c>
      <c r="C14" s="272"/>
      <c r="D14" s="272"/>
      <c r="E14" s="26" t="s">
        <v>103</v>
      </c>
      <c r="F14" s="26">
        <f>F12*1000</f>
        <v>25.997352876602815</v>
      </c>
      <c r="G14" s="26" t="s">
        <v>3</v>
      </c>
    </row>
    <row r="17" spans="2:7" x14ac:dyDescent="0.3">
      <c r="B17" s="271" t="s">
        <v>117</v>
      </c>
      <c r="C17" s="271"/>
      <c r="D17" s="271"/>
      <c r="E17" s="271"/>
      <c r="F17" s="271"/>
      <c r="G17" s="271"/>
    </row>
    <row r="18" spans="2:7" x14ac:dyDescent="0.3">
      <c r="B18" s="271"/>
      <c r="C18" s="271"/>
      <c r="D18" s="271"/>
      <c r="E18" s="271"/>
      <c r="F18" s="271"/>
      <c r="G18" s="271"/>
    </row>
    <row r="19" spans="2:7" x14ac:dyDescent="0.3">
      <c r="B19" s="272" t="s">
        <v>59</v>
      </c>
      <c r="C19" s="272"/>
      <c r="D19" s="272"/>
      <c r="E19" s="26" t="s">
        <v>92</v>
      </c>
      <c r="F19" s="26">
        <v>1.2</v>
      </c>
      <c r="G19" s="26" t="s">
        <v>93</v>
      </c>
    </row>
    <row r="20" spans="2:7" x14ac:dyDescent="0.3">
      <c r="B20" s="272" t="s">
        <v>94</v>
      </c>
      <c r="C20" s="272"/>
      <c r="D20" s="272"/>
      <c r="E20" s="26"/>
      <c r="F20" s="26" t="s">
        <v>60</v>
      </c>
      <c r="G20" s="26"/>
    </row>
    <row r="21" spans="2:7" x14ac:dyDescent="0.3">
      <c r="B21" s="272" t="s">
        <v>95</v>
      </c>
      <c r="C21" s="272"/>
      <c r="D21" s="272"/>
      <c r="E21" s="26" t="s">
        <v>73</v>
      </c>
      <c r="F21" s="26">
        <f>F7</f>
        <v>351.57100000000003</v>
      </c>
      <c r="G21" s="26" t="s">
        <v>14</v>
      </c>
    </row>
    <row r="22" spans="2:7" x14ac:dyDescent="0.3">
      <c r="B22" s="272" t="s">
        <v>104</v>
      </c>
      <c r="C22" s="272"/>
      <c r="D22" s="272"/>
      <c r="E22" s="26" t="s">
        <v>105</v>
      </c>
      <c r="F22" s="35">
        <v>861.69500000000005</v>
      </c>
      <c r="G22" s="26" t="s">
        <v>14</v>
      </c>
    </row>
    <row r="23" spans="2:7" x14ac:dyDescent="0.3">
      <c r="B23" s="272" t="s">
        <v>106</v>
      </c>
      <c r="C23" s="272"/>
      <c r="D23" s="272"/>
      <c r="E23" s="26" t="s">
        <v>113</v>
      </c>
      <c r="F23" s="26">
        <v>0</v>
      </c>
      <c r="G23" s="26" t="str">
        <f>G8</f>
        <v>N.m</v>
      </c>
    </row>
    <row r="24" spans="2:7" x14ac:dyDescent="0.3">
      <c r="B24" s="272" t="s">
        <v>107</v>
      </c>
      <c r="C24" s="272"/>
      <c r="D24" s="272"/>
      <c r="E24" s="26" t="s">
        <v>114</v>
      </c>
      <c r="F24" s="26">
        <f>F8</f>
        <v>503.35224200000005</v>
      </c>
      <c r="G24" s="26" t="str">
        <f>G23</f>
        <v>N.m</v>
      </c>
    </row>
    <row r="25" spans="2:7" x14ac:dyDescent="0.3">
      <c r="B25" s="272" t="s">
        <v>108</v>
      </c>
      <c r="C25" s="272"/>
      <c r="D25" s="272"/>
      <c r="E25" s="26" t="s">
        <v>115</v>
      </c>
      <c r="F25" s="26">
        <f>F10</f>
        <v>45.240193685571889</v>
      </c>
      <c r="G25" s="26" t="str">
        <f>G10</f>
        <v>N.m</v>
      </c>
    </row>
    <row r="26" spans="2:7" x14ac:dyDescent="0.3">
      <c r="B26" s="272" t="s">
        <v>109</v>
      </c>
      <c r="C26" s="272"/>
      <c r="D26" s="272"/>
      <c r="E26" s="26" t="s">
        <v>116</v>
      </c>
      <c r="F26" s="26">
        <v>0</v>
      </c>
      <c r="G26" s="26" t="str">
        <f>G25</f>
        <v>N.m</v>
      </c>
    </row>
    <row r="27" spans="2:7" x14ac:dyDescent="0.3">
      <c r="B27" s="272" t="s">
        <v>110</v>
      </c>
      <c r="C27" s="272"/>
      <c r="D27" s="272"/>
      <c r="E27" s="26" t="s">
        <v>111</v>
      </c>
      <c r="F27" s="26">
        <f>0.5*F22</f>
        <v>430.84750000000003</v>
      </c>
      <c r="G27" s="26" t="s">
        <v>14</v>
      </c>
    </row>
    <row r="28" spans="2:7" x14ac:dyDescent="0.3">
      <c r="B28" s="272" t="s">
        <v>112</v>
      </c>
      <c r="C28" s="272"/>
      <c r="D28" s="272"/>
      <c r="E28" s="26" t="s">
        <v>100</v>
      </c>
      <c r="F28" s="26">
        <v>0.75</v>
      </c>
      <c r="G28" s="26"/>
    </row>
    <row r="29" spans="2:7" x14ac:dyDescent="0.3">
      <c r="B29" s="272" t="s">
        <v>99</v>
      </c>
      <c r="C29" s="272"/>
      <c r="D29" s="272"/>
      <c r="E29" s="26" t="s">
        <v>103</v>
      </c>
      <c r="F29" s="26">
        <f>(((32*F19)/(3.14*(F21*10^6))*SQRT((F23+((F21/F27)*F28*F24)^2+0.75*(F25)))))^0.3</f>
        <v>3.2286923838577203E-2</v>
      </c>
      <c r="G29" s="26" t="s">
        <v>89</v>
      </c>
    </row>
    <row r="30" spans="2:7" x14ac:dyDescent="0.3">
      <c r="B30" s="272" t="s">
        <v>101</v>
      </c>
      <c r="C30" s="272"/>
      <c r="D30" s="272"/>
      <c r="E30" s="26" t="s">
        <v>103</v>
      </c>
      <c r="F30" s="26">
        <f>(((32*F19)/(3.14*(F21*10^6))*SQRT((F23+((F21/F27)*F28*F24)^2+(F25)))))^0.3</f>
        <v>3.2287500817132705E-2</v>
      </c>
      <c r="G30" s="26" t="s">
        <v>89</v>
      </c>
    </row>
    <row r="31" spans="2:7" x14ac:dyDescent="0.3">
      <c r="B31" s="272" t="s">
        <v>99</v>
      </c>
      <c r="C31" s="272"/>
      <c r="D31" s="272"/>
      <c r="E31" s="26" t="s">
        <v>103</v>
      </c>
      <c r="F31" s="26">
        <f>F29*1000</f>
        <v>32.286923838577202</v>
      </c>
      <c r="G31" s="26" t="s">
        <v>3</v>
      </c>
    </row>
    <row r="32" spans="2:7" x14ac:dyDescent="0.3">
      <c r="B32" s="272" t="s">
        <v>101</v>
      </c>
      <c r="C32" s="272"/>
      <c r="D32" s="272"/>
      <c r="E32" s="26" t="s">
        <v>103</v>
      </c>
      <c r="F32" s="26">
        <f>F30*1000</f>
        <v>32.287500817132702</v>
      </c>
      <c r="G32" s="26" t="s">
        <v>3</v>
      </c>
    </row>
  </sheetData>
  <mergeCells count="26">
    <mergeCell ref="B31:D31"/>
    <mergeCell ref="B32:D32"/>
    <mergeCell ref="B30:D30"/>
    <mergeCell ref="B29:D29"/>
    <mergeCell ref="B22:D22"/>
    <mergeCell ref="B23:D23"/>
    <mergeCell ref="B24:D24"/>
    <mergeCell ref="B13:D13"/>
    <mergeCell ref="B14:D14"/>
    <mergeCell ref="B27:D27"/>
    <mergeCell ref="B28:D28"/>
    <mergeCell ref="B17:G18"/>
    <mergeCell ref="B25:D25"/>
    <mergeCell ref="B26:D26"/>
    <mergeCell ref="B19:D19"/>
    <mergeCell ref="B20:D20"/>
    <mergeCell ref="B21:D21"/>
    <mergeCell ref="B3:G4"/>
    <mergeCell ref="B5:D5"/>
    <mergeCell ref="B6:D6"/>
    <mergeCell ref="B12:D12"/>
    <mergeCell ref="B7:D7"/>
    <mergeCell ref="B8:D8"/>
    <mergeCell ref="B9:D9"/>
    <mergeCell ref="B10:D10"/>
    <mergeCell ref="B11:D11"/>
  </mergeCells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41"/>
  <sheetViews>
    <sheetView tabSelected="1" zoomScale="80" zoomScaleNormal="80" workbookViewId="0">
      <selection activeCell="C25" sqref="C25"/>
    </sheetView>
  </sheetViews>
  <sheetFormatPr defaultColWidth="9" defaultRowHeight="17.399999999999999" x14ac:dyDescent="0.3"/>
  <cols>
    <col min="1" max="1" width="3.33203125" style="30" customWidth="1"/>
    <col min="2" max="2" width="2.6640625" style="31" bestFit="1" customWidth="1"/>
    <col min="3" max="3" width="15.33203125" style="31" customWidth="1"/>
    <col min="4" max="4" width="17" style="31" customWidth="1"/>
    <col min="5" max="5" width="14.44140625" style="30" bestFit="1" customWidth="1"/>
    <col min="6" max="6" width="14.44140625" style="31" bestFit="1" customWidth="1"/>
    <col min="7" max="7" width="11" style="31" bestFit="1" customWidth="1"/>
    <col min="8" max="8" width="13.44140625" style="31" bestFit="1" customWidth="1"/>
    <col min="9" max="9" width="6.88671875" style="31" bestFit="1" customWidth="1"/>
    <col min="10" max="11" width="13.88671875" style="30" bestFit="1" customWidth="1"/>
    <col min="12" max="12" width="16.21875" style="30" customWidth="1"/>
    <col min="13" max="13" width="15.33203125" style="30" customWidth="1"/>
    <col min="14" max="15" width="13.88671875" style="30" bestFit="1" customWidth="1"/>
    <col min="16" max="16" width="19.88671875" style="30" customWidth="1"/>
    <col min="17" max="17" width="18.44140625" style="30" bestFit="1" customWidth="1"/>
    <col min="18" max="18" width="18.6640625" style="32" customWidth="1"/>
    <col min="19" max="19" width="15.77734375" style="30" customWidth="1"/>
    <col min="20" max="20" width="13.6640625" style="30" customWidth="1"/>
    <col min="21" max="21" width="19.6640625" style="30" customWidth="1"/>
    <col min="22" max="22" width="13.77734375" style="30" bestFit="1" customWidth="1"/>
    <col min="23" max="23" width="10.77734375" style="30" bestFit="1" customWidth="1"/>
    <col min="24" max="24" width="9.109375" style="30" bestFit="1" customWidth="1"/>
    <col min="25" max="25" width="14.33203125" style="30" bestFit="1" customWidth="1"/>
    <col min="26" max="26" width="13.6640625" style="30" bestFit="1" customWidth="1"/>
    <col min="27" max="16384" width="9" style="30"/>
  </cols>
  <sheetData>
    <row r="2" spans="3:18" ht="18.75" customHeight="1" x14ac:dyDescent="0.3">
      <c r="C2" s="273" t="s">
        <v>181</v>
      </c>
      <c r="D2" s="273"/>
      <c r="E2" s="273"/>
      <c r="F2" s="273"/>
      <c r="G2" s="273"/>
      <c r="H2" s="146"/>
      <c r="I2" s="146"/>
      <c r="J2" s="273" t="s">
        <v>189</v>
      </c>
      <c r="K2" s="273"/>
      <c r="L2" s="273"/>
      <c r="M2" s="273"/>
      <c r="N2" s="273"/>
      <c r="P2" s="277" t="s">
        <v>325</v>
      </c>
      <c r="Q2" s="278"/>
      <c r="R2" s="288"/>
    </row>
    <row r="3" spans="3:18" ht="18.75" customHeight="1" x14ac:dyDescent="0.3">
      <c r="C3" s="273"/>
      <c r="D3" s="273"/>
      <c r="E3" s="273"/>
      <c r="F3" s="273"/>
      <c r="G3" s="273"/>
      <c r="H3" s="146"/>
      <c r="I3" s="146"/>
      <c r="J3" s="273"/>
      <c r="K3" s="273"/>
      <c r="L3" s="273"/>
      <c r="M3" s="273"/>
      <c r="N3" s="273"/>
      <c r="P3" s="123" t="s">
        <v>326</v>
      </c>
      <c r="Q3" s="123">
        <f>'Rolling Force'!N15/'Static SHAFT STRESS'!Q4</f>
        <v>58457.982528286215</v>
      </c>
      <c r="R3" s="123" t="s">
        <v>302</v>
      </c>
    </row>
    <row r="4" spans="3:18" ht="21" customHeight="1" x14ac:dyDescent="0.35">
      <c r="C4" s="273" t="s">
        <v>165</v>
      </c>
      <c r="D4" s="273"/>
      <c r="E4" s="273"/>
      <c r="F4" s="86">
        <f>(C30/1000)/2</f>
        <v>1.2999999999999999E-2</v>
      </c>
      <c r="G4" s="87" t="s">
        <v>89</v>
      </c>
      <c r="H4" s="146"/>
      <c r="I4" s="146"/>
      <c r="J4" s="273" t="s">
        <v>182</v>
      </c>
      <c r="K4" s="273"/>
      <c r="L4" s="273"/>
      <c r="M4" s="273"/>
      <c r="N4" s="291"/>
      <c r="P4" s="91" t="s">
        <v>327</v>
      </c>
      <c r="Q4" s="86">
        <f>200/1000</f>
        <v>0.2</v>
      </c>
      <c r="R4" s="86" t="s">
        <v>170</v>
      </c>
    </row>
    <row r="5" spans="3:18" ht="18" customHeight="1" x14ac:dyDescent="0.35">
      <c r="C5" s="277" t="s">
        <v>167</v>
      </c>
      <c r="D5" s="278"/>
      <c r="E5" s="288"/>
      <c r="F5" s="86">
        <f>'Rolling Force'!N20</f>
        <v>45.240193685571889</v>
      </c>
      <c r="G5" s="87" t="s">
        <v>51</v>
      </c>
      <c r="H5" s="146"/>
      <c r="I5" s="146"/>
      <c r="J5" s="289" t="s">
        <v>330</v>
      </c>
      <c r="K5" s="290"/>
      <c r="L5" s="86">
        <f>MAX(F18,F19)</f>
        <v>21.195524872576566</v>
      </c>
      <c r="M5" s="86" t="s">
        <v>14</v>
      </c>
      <c r="N5" s="291"/>
      <c r="P5" s="91" t="s">
        <v>328</v>
      </c>
      <c r="Q5" s="93">
        <f>200*10^9</f>
        <v>200000000000</v>
      </c>
      <c r="R5" s="86" t="s">
        <v>209</v>
      </c>
    </row>
    <row r="6" spans="3:18" ht="18" x14ac:dyDescent="0.35">
      <c r="C6" s="277" t="s">
        <v>52</v>
      </c>
      <c r="D6" s="278"/>
      <c r="E6" s="288"/>
      <c r="F6" s="86">
        <f>D30</f>
        <v>4148.3</v>
      </c>
      <c r="G6" s="87" t="s">
        <v>33</v>
      </c>
      <c r="H6" s="146"/>
      <c r="I6" s="146"/>
      <c r="J6" s="294" t="s">
        <v>331</v>
      </c>
      <c r="K6" s="275"/>
      <c r="L6" s="86">
        <v>0</v>
      </c>
      <c r="M6" s="86" t="s">
        <v>14</v>
      </c>
      <c r="N6" s="291"/>
      <c r="P6" s="92" t="s">
        <v>329</v>
      </c>
      <c r="Q6" s="86">
        <f>((22/7)*(2*'Rolling Force'!F9/1000)^4)/64</f>
        <v>6.364285714285714E-7</v>
      </c>
      <c r="R6" s="86" t="s">
        <v>170</v>
      </c>
    </row>
    <row r="7" spans="3:18" ht="18" x14ac:dyDescent="0.3">
      <c r="C7" s="277" t="s">
        <v>169</v>
      </c>
      <c r="D7" s="278"/>
      <c r="E7" s="288"/>
      <c r="F7" s="86">
        <f>E25</f>
        <v>7.6</v>
      </c>
      <c r="G7" s="87" t="s">
        <v>51</v>
      </c>
      <c r="H7" s="146"/>
      <c r="I7" s="146"/>
      <c r="J7" s="294" t="s">
        <v>332</v>
      </c>
      <c r="K7" s="275"/>
      <c r="L7" s="86">
        <f>F19</f>
        <v>-15.907480086548137</v>
      </c>
      <c r="M7" s="86" t="s">
        <v>14</v>
      </c>
      <c r="N7" s="291"/>
      <c r="P7" s="87" t="s">
        <v>333</v>
      </c>
      <c r="Q7" s="87">
        <f>((5*Q3*Q4^4)/(384*Q5*Q6))</f>
        <v>9.5680386667135185E-6</v>
      </c>
      <c r="R7" s="87" t="s">
        <v>89</v>
      </c>
    </row>
    <row r="8" spans="3:18" x14ac:dyDescent="0.3">
      <c r="C8" s="273" t="s">
        <v>177</v>
      </c>
      <c r="D8" s="273"/>
      <c r="E8" s="273"/>
      <c r="F8" s="86">
        <f>I30</f>
        <v>0</v>
      </c>
      <c r="G8" s="87" t="s">
        <v>89</v>
      </c>
      <c r="H8" s="146"/>
      <c r="I8" s="146"/>
      <c r="J8" s="273" t="s">
        <v>183</v>
      </c>
      <c r="K8" s="273"/>
      <c r="L8" s="273"/>
      <c r="M8" s="273"/>
      <c r="N8" s="291"/>
      <c r="R8" s="30"/>
    </row>
    <row r="9" spans="3:18" ht="18" x14ac:dyDescent="0.3">
      <c r="C9" s="273" t="s">
        <v>178</v>
      </c>
      <c r="D9" s="273"/>
      <c r="E9" s="273"/>
      <c r="F9" s="86">
        <f>G30</f>
        <v>23.636363636363633</v>
      </c>
      <c r="G9" s="87" t="s">
        <v>89</v>
      </c>
      <c r="H9" s="146"/>
      <c r="I9" s="146"/>
      <c r="J9" s="293" t="s">
        <v>94</v>
      </c>
      <c r="K9" s="293"/>
      <c r="L9" s="293" t="str">
        <f>'shaft design'!F6</f>
        <v>AISI 1020</v>
      </c>
      <c r="M9" s="293"/>
      <c r="N9" s="291"/>
      <c r="R9" s="30"/>
    </row>
    <row r="10" spans="3:18" ht="18" x14ac:dyDescent="0.3">
      <c r="C10" s="273" t="s">
        <v>166</v>
      </c>
      <c r="D10" s="273"/>
      <c r="E10" s="273"/>
      <c r="F10" s="86">
        <f>(((F4*2)^4)*3.14)/64</f>
        <v>2.2420384999999999E-8</v>
      </c>
      <c r="G10" s="87" t="s">
        <v>170</v>
      </c>
      <c r="H10" s="146"/>
      <c r="I10" s="146"/>
      <c r="J10" s="293" t="s">
        <v>95</v>
      </c>
      <c r="K10" s="293"/>
      <c r="L10" s="89">
        <f>'shaft design'!F7</f>
        <v>351.57100000000003</v>
      </c>
      <c r="M10" s="89" t="s">
        <v>14</v>
      </c>
      <c r="N10" s="291"/>
      <c r="R10" s="30"/>
    </row>
    <row r="11" spans="3:18" ht="18" x14ac:dyDescent="0.3">
      <c r="C11" s="273" t="s">
        <v>168</v>
      </c>
      <c r="D11" s="273"/>
      <c r="E11" s="273"/>
      <c r="F11" s="86">
        <f>(3.14*((2*F4)^4))/32</f>
        <v>4.4840769999999997E-8</v>
      </c>
      <c r="G11" s="87" t="s">
        <v>170</v>
      </c>
      <c r="H11" s="146"/>
      <c r="I11" s="146"/>
      <c r="J11" s="293" t="s">
        <v>184</v>
      </c>
      <c r="K11" s="293"/>
      <c r="L11" s="86">
        <f>'shaft design'!F5</f>
        <v>1.2</v>
      </c>
      <c r="M11" s="86"/>
      <c r="N11" s="291"/>
      <c r="R11" s="30"/>
    </row>
    <row r="12" spans="3:18" x14ac:dyDescent="0.3">
      <c r="C12" s="273" t="s">
        <v>179</v>
      </c>
      <c r="D12" s="273"/>
      <c r="E12" s="273"/>
      <c r="F12" s="86">
        <f>(2*F4)/F9</f>
        <v>1.1000000000000001E-3</v>
      </c>
      <c r="G12" s="87"/>
      <c r="H12" s="146"/>
      <c r="I12" s="146"/>
      <c r="J12" s="275" t="s">
        <v>185</v>
      </c>
      <c r="K12" s="275"/>
      <c r="L12" s="275"/>
      <c r="M12" s="275"/>
      <c r="N12" s="292"/>
      <c r="R12" s="30"/>
    </row>
    <row r="13" spans="3:18" ht="18.75" customHeight="1" x14ac:dyDescent="0.3">
      <c r="C13" s="273" t="s">
        <v>180</v>
      </c>
      <c r="D13" s="273"/>
      <c r="E13" s="273"/>
      <c r="F13" s="36">
        <f>F8/F9</f>
        <v>0</v>
      </c>
      <c r="G13" s="87"/>
      <c r="H13" s="146"/>
      <c r="I13" s="146"/>
      <c r="J13" s="275" t="s">
        <v>186</v>
      </c>
      <c r="K13" s="275"/>
      <c r="L13" s="86">
        <f>L5-L7</f>
        <v>37.103004959124704</v>
      </c>
      <c r="M13" s="86" t="str">
        <f>M7</f>
        <v>Mpa</v>
      </c>
      <c r="N13" s="275">
        <f>L13</f>
        <v>37.103004959124704</v>
      </c>
      <c r="R13" s="30"/>
    </row>
    <row r="14" spans="3:18" ht="18.75" customHeight="1" x14ac:dyDescent="0.3">
      <c r="C14" s="273" t="s">
        <v>175</v>
      </c>
      <c r="D14" s="273"/>
      <c r="E14" s="273"/>
      <c r="F14" s="86">
        <v>1.2</v>
      </c>
      <c r="G14" s="87"/>
      <c r="H14" s="146"/>
      <c r="I14" s="146"/>
      <c r="J14" s="275" t="s">
        <v>187</v>
      </c>
      <c r="K14" s="275"/>
      <c r="L14" s="86">
        <f>L10/L11</f>
        <v>292.97583333333336</v>
      </c>
      <c r="M14" s="86" t="str">
        <f>M13</f>
        <v>Mpa</v>
      </c>
      <c r="N14" s="275"/>
      <c r="R14" s="30"/>
    </row>
    <row r="15" spans="3:18" ht="16.5" customHeight="1" x14ac:dyDescent="0.3">
      <c r="C15" s="273" t="s">
        <v>176</v>
      </c>
      <c r="D15" s="273"/>
      <c r="E15" s="273"/>
      <c r="F15" s="86">
        <v>1.4</v>
      </c>
      <c r="G15" s="87"/>
      <c r="H15" s="146"/>
      <c r="I15" s="146"/>
      <c r="J15" s="275" t="s">
        <v>188</v>
      </c>
      <c r="K15" s="275"/>
      <c r="L15" s="275"/>
      <c r="M15" s="275"/>
      <c r="N15" s="86"/>
      <c r="R15" s="30"/>
    </row>
    <row r="16" spans="3:18" ht="16.5" customHeight="1" x14ac:dyDescent="0.3">
      <c r="C16" s="273" t="s">
        <v>171</v>
      </c>
      <c r="D16" s="273"/>
      <c r="E16" s="273"/>
      <c r="F16" s="86">
        <f>F14*(F7*F4/F10)*10^-6</f>
        <v>5.2880447860284283</v>
      </c>
      <c r="G16" s="87" t="s">
        <v>14</v>
      </c>
      <c r="H16" s="146"/>
      <c r="I16" s="146"/>
      <c r="J16" s="275" t="s">
        <v>186</v>
      </c>
      <c r="K16" s="275"/>
      <c r="L16" s="86">
        <f>(1/SQRT(2))*((L6-L5)^2+(L7-L5)^2+(L7-L6)^2)^0.5</f>
        <v>32.240744209189472</v>
      </c>
      <c r="M16" s="86" t="str">
        <f>M13</f>
        <v>Mpa</v>
      </c>
      <c r="N16" s="275">
        <f>L16</f>
        <v>32.240744209189472</v>
      </c>
      <c r="R16" s="30"/>
    </row>
    <row r="17" spans="2:18" ht="18.75" customHeight="1" x14ac:dyDescent="0.3">
      <c r="C17" s="273" t="s">
        <v>172</v>
      </c>
      <c r="D17" s="273"/>
      <c r="E17" s="273"/>
      <c r="F17" s="86">
        <f>(F15*F5*F4/F11)*10^-6</f>
        <v>18.362118337339172</v>
      </c>
      <c r="G17" s="87" t="s">
        <v>14</v>
      </c>
      <c r="H17" s="146"/>
      <c r="I17" s="146"/>
      <c r="J17" s="275" t="s">
        <v>187</v>
      </c>
      <c r="K17" s="275"/>
      <c r="L17" s="86">
        <f>L14</f>
        <v>292.97583333333336</v>
      </c>
      <c r="M17" s="86" t="str">
        <f>M16</f>
        <v>Mpa</v>
      </c>
      <c r="N17" s="275"/>
      <c r="R17" s="30"/>
    </row>
    <row r="18" spans="2:18" x14ac:dyDescent="0.3">
      <c r="C18" s="273" t="s">
        <v>173</v>
      </c>
      <c r="D18" s="273"/>
      <c r="E18" s="273"/>
      <c r="F18" s="86">
        <f>(F16/2)+SQRT((F17^2)+((F16/2)^2))</f>
        <v>21.195524872576566</v>
      </c>
      <c r="G18" s="87" t="s">
        <v>14</v>
      </c>
      <c r="H18" s="146"/>
      <c r="I18" s="146"/>
      <c r="J18" s="146"/>
      <c r="R18" s="30"/>
    </row>
    <row r="19" spans="2:18" x14ac:dyDescent="0.3">
      <c r="C19" s="273" t="s">
        <v>174</v>
      </c>
      <c r="D19" s="273"/>
      <c r="E19" s="273"/>
      <c r="F19" s="86">
        <f>(F16/2)-SQRT((F17^2)+((F16/2)^2))</f>
        <v>-15.907480086548137</v>
      </c>
      <c r="G19" s="87" t="s">
        <v>14</v>
      </c>
      <c r="H19" s="146"/>
      <c r="I19" s="146"/>
      <c r="J19" s="146"/>
      <c r="R19" s="30"/>
    </row>
    <row r="20" spans="2:18" x14ac:dyDescent="0.3">
      <c r="C20" s="30"/>
      <c r="D20" s="30"/>
      <c r="F20" s="30"/>
      <c r="G20" s="30"/>
      <c r="H20" s="30"/>
      <c r="I20" s="30"/>
      <c r="R20" s="30"/>
    </row>
    <row r="21" spans="2:18" ht="6" customHeight="1" x14ac:dyDescent="0.3">
      <c r="B21" s="30"/>
      <c r="C21" s="30"/>
      <c r="D21" s="30"/>
      <c r="F21" s="30"/>
      <c r="G21" s="30"/>
      <c r="H21" s="30"/>
      <c r="I21" s="30"/>
      <c r="R21" s="30"/>
    </row>
    <row r="22" spans="2:18" ht="39" customHeight="1" x14ac:dyDescent="0.3">
      <c r="B22" s="274" t="s">
        <v>475</v>
      </c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4"/>
      <c r="N22" s="274"/>
      <c r="O22" s="274"/>
    </row>
    <row r="23" spans="2:18" x14ac:dyDescent="0.3">
      <c r="B23" s="275" t="s">
        <v>191</v>
      </c>
      <c r="C23" s="285" t="s">
        <v>198</v>
      </c>
      <c r="D23" s="285" t="s">
        <v>196</v>
      </c>
      <c r="E23" s="285" t="s">
        <v>197</v>
      </c>
      <c r="F23" s="273" t="s">
        <v>192</v>
      </c>
      <c r="G23" s="273"/>
      <c r="H23" s="273"/>
      <c r="I23" s="273"/>
      <c r="J23" s="273"/>
      <c r="K23" s="273"/>
      <c r="L23" s="287" t="str">
        <f>C14</f>
        <v xml:space="preserve">bending strss consentration </v>
      </c>
      <c r="M23" s="287" t="str">
        <f>C15</f>
        <v xml:space="preserve">tortion stress concentration </v>
      </c>
      <c r="N23" s="286" t="s">
        <v>414</v>
      </c>
      <c r="O23" s="286" t="s">
        <v>415</v>
      </c>
    </row>
    <row r="24" spans="2:18" x14ac:dyDescent="0.3">
      <c r="B24" s="275"/>
      <c r="C24" s="285"/>
      <c r="D24" s="285"/>
      <c r="E24" s="285"/>
      <c r="F24" s="122" t="s">
        <v>193</v>
      </c>
      <c r="G24" s="122" t="s">
        <v>194</v>
      </c>
      <c r="H24" s="123" t="s">
        <v>477</v>
      </c>
      <c r="I24" s="122" t="s">
        <v>195</v>
      </c>
      <c r="J24" s="123" t="s">
        <v>194</v>
      </c>
      <c r="K24" s="123" t="s">
        <v>478</v>
      </c>
      <c r="L24" s="287"/>
      <c r="M24" s="287"/>
      <c r="N24" s="286"/>
      <c r="O24" s="286"/>
    </row>
    <row r="25" spans="2:18" x14ac:dyDescent="0.3">
      <c r="B25" s="123">
        <v>1</v>
      </c>
      <c r="C25" s="33">
        <f>ROUNDUP(VLOOKUP($B$25,'diagram '!B18:E24,2,2),1)</f>
        <v>26</v>
      </c>
      <c r="D25" s="123">
        <f>VLOOKUP($B$25,'diagram '!B18:E24,3,2)</f>
        <v>486.29612716944399</v>
      </c>
      <c r="E25" s="123">
        <v>7.6</v>
      </c>
      <c r="F25" s="123" t="s">
        <v>190</v>
      </c>
      <c r="G25" s="123">
        <f t="shared" ref="G25:G30" si="0">(C25/H25)</f>
        <v>25.242718446601941</v>
      </c>
      <c r="H25" s="123">
        <v>1.03</v>
      </c>
      <c r="I25" s="123">
        <v>0</v>
      </c>
      <c r="J25" s="123">
        <f>C25/K25</f>
        <v>21.666666666666668</v>
      </c>
      <c r="K25" s="123">
        <v>1.2</v>
      </c>
      <c r="L25" s="123">
        <f>(VLOOKUP(H25,$C$34:$E$40,2,FALSE)*((C25/2)/G25)^(VLOOKUP(H25,$C$34:$E$40,3,FALSE)))*K35</f>
        <v>2.3719757822220755</v>
      </c>
      <c r="M25" s="123">
        <f>(VLOOKUP(K25,$G$34:$I$37,2,FALSE)*((C25/2)/G25)^(VLOOKUP(K25,$G$34:$I$37,3,FALSE)))*L35</f>
        <v>2.1727165830365931</v>
      </c>
      <c r="N25" s="123">
        <f t="shared" ref="N25:N30" si="1">(((L25*(E25*((C25/2)/1000)/(((((((C25/2)/1000)*2)^4)*3.14)/64)))*10^-6)/2)+SQRT((((M25*$F$5*((C25/2)/1000)/(((3.14*((2*((C25/2)/1000))^4))/32)))*10^-6)^2)+(((L25*(E25*((C25/2)/1000)/(((((((C25/2)/1000)*2)^4)*3.14)/64)))*10^-6)/2)^2)))-(((L25*(E25*((C25/2)/1000)/((((((C25/2)/1000)*2)^4)*3.14)/64))*10^-6)/2)-SQRT((((M25*$F$5*((C25/2)/1000)/((3.14*((2*((C25/2)/1000))^4))/32))*10^-6)^2)+(((L25*(E25*((C25/2)/1000)/((((((C25/2)/1000)*2)^4)*3.14)/64))*10^-6)/2)^2)))</f>
        <v>57.944396444981052</v>
      </c>
      <c r="O25" s="123">
        <f t="shared" ref="O25:O30" si="2">(1/SQRT(2))*((0-(((L25*(E25*((C25/2)/1000)/(((((((C25/2)/1000)*2)^4)*3.14)/64)))*10^-6)/2)+SQRT((((M25*$F$5*((C25/2)/1000)/(((3.14*((2*((C25/2)/1000))^4))/32)))*10^-6)^2)+(((L25*(E25*((C25/2)/1000)/(((((((C25/2)/1000)*2)^4)*3.14)/64)))*10^-6)/2)^2))))^2+((((L25*(E25*((C25/2)/1000)/((((((C25/2)/1000)*2)^4)*3.14)/64))*10^-6)/2)-SQRT((((M25*$F$5*((C25/2)/1000)/((3.14*((2*((C25/2)/1000))^4))/32))*10^-6)^2)+(((L25*(E25*((C25/2)/1000)/((((((C25/2)/1000)*2)^4)*3.14)/64))*10^-6)/2)^2)))-(((L25*(E25*((C25/2)/1000)/(((((((C25/2)/1000)*2)^4)*3.14)/64)))*10^-6)/2)+SQRT((((M25*$F$5*((C25/2)/1000)/(((3.14*((2*((C25/2)/1000))^4))/32)))*10^-6)^2)+(((L25*(E25*((C25/2)/1000)/(((((((C25/2)/1000)*2)^4)*3.14)/64)))*10^-6)/2)^2))))^2+((((L25*(E25*((C25/2)/1000)/((((((C25/2)/1000)*2)^4)*3.14)/64))*10^-6)/2)-SQRT((((M25*$F$5*((C25/2)/1000)/((3.14*((2*((C25/2)/1000))^4))/32))*10^-6)^2)+(((L25*(E25*((C25/2)/1000)/((((((C25/2)/1000)*2)^4)*3.14)/64))*10^-6)/2)^2)))-0)^2)^0.5</f>
        <v>50.452740221112016</v>
      </c>
    </row>
    <row r="26" spans="2:18" x14ac:dyDescent="0.3">
      <c r="B26" s="123">
        <v>2</v>
      </c>
      <c r="C26" s="33">
        <v>30</v>
      </c>
      <c r="D26" s="123">
        <f>VLOOKUP($B$26,'diagram '!B18:E24,3,2)</f>
        <v>6660.7959112484441</v>
      </c>
      <c r="E26" s="123">
        <f>VLOOKUP($B$26,'diagram '!B18:E24,4,2)</f>
        <v>25.335274776485058</v>
      </c>
      <c r="F26" s="123" t="s">
        <v>199</v>
      </c>
      <c r="G26" s="123">
        <f t="shared" si="0"/>
        <v>27.27272727272727</v>
      </c>
      <c r="H26" s="123">
        <v>1.1000000000000001</v>
      </c>
      <c r="I26" s="123">
        <v>0</v>
      </c>
      <c r="J26" s="123">
        <f t="shared" ref="J26:J30" si="3">C26/K26</f>
        <v>15</v>
      </c>
      <c r="K26" s="123">
        <v>2</v>
      </c>
      <c r="L26" s="123">
        <f t="shared" ref="L26:L29" si="4">VLOOKUP(H26,$C$34:$E$40,2,FALSE)*((C26/2)/G26)^(VLOOKUP(H26,$C$34:$E$40,3,FALSE))</f>
        <v>1.096413051948476</v>
      </c>
      <c r="M26" s="123">
        <f t="shared" ref="M26:M29" si="5">VLOOKUP(K26,$G$34:$I$37,2,FALSE)*((C26/2)/G26)^(VLOOKUP(K26,$G$34:$I$37,3,FALSE))</f>
        <v>0.99555237538909369</v>
      </c>
      <c r="N26" s="123">
        <f t="shared" si="1"/>
        <v>19.973083971236097</v>
      </c>
      <c r="O26" s="123">
        <f t="shared" si="2"/>
        <v>18.074162311433341</v>
      </c>
    </row>
    <row r="27" spans="2:18" x14ac:dyDescent="0.3">
      <c r="B27" s="123">
        <v>3</v>
      </c>
      <c r="C27" s="33">
        <f>VLOOKUP($B$27,'diagram '!B18:E24,2,4)</f>
        <v>60</v>
      </c>
      <c r="D27" s="123">
        <f>VLOOKUP($B$27,'diagram '!B18:E24,3,2)</f>
        <v>6645.6181606138034</v>
      </c>
      <c r="E27" s="123">
        <f>VLOOKUP($B$27,'diagram '!B18:E24,4,2)</f>
        <v>125.66694</v>
      </c>
      <c r="F27" s="123" t="s">
        <v>199</v>
      </c>
      <c r="G27" s="123">
        <f t="shared" si="0"/>
        <v>59.405940594059409</v>
      </c>
      <c r="H27" s="123">
        <v>1.01</v>
      </c>
      <c r="I27" s="123">
        <v>0</v>
      </c>
      <c r="J27" s="123">
        <f t="shared" si="3"/>
        <v>55.045871559633021</v>
      </c>
      <c r="K27" s="123">
        <v>1.0900000000000001</v>
      </c>
      <c r="L27" s="123">
        <f t="shared" si="4"/>
        <v>1.0321812771881556</v>
      </c>
      <c r="M27" s="123">
        <f t="shared" si="5"/>
        <v>0.98484922001687802</v>
      </c>
      <c r="N27" s="123">
        <f t="shared" si="1"/>
        <v>6.470859707144931</v>
      </c>
      <c r="O27" s="123">
        <f t="shared" si="2"/>
        <v>6.3849261202024739</v>
      </c>
    </row>
    <row r="28" spans="2:18" x14ac:dyDescent="0.3">
      <c r="B28" s="123">
        <v>4</v>
      </c>
      <c r="C28" s="33">
        <f>VLOOKUP($B$28,'diagram '!B18:E24,2,5)</f>
        <v>60</v>
      </c>
      <c r="D28" s="123">
        <f>VLOOKUP($B$28,'diagram '!B18:E24,3,2)</f>
        <v>5047.1796477117796</v>
      </c>
      <c r="E28" s="123">
        <f>VLOOKUP($B$28,'diagram '!B18:E24,4,2)</f>
        <v>285.52922999999998</v>
      </c>
      <c r="F28" s="123" t="s">
        <v>199</v>
      </c>
      <c r="G28" s="123">
        <f t="shared" si="0"/>
        <v>40</v>
      </c>
      <c r="H28" s="123">
        <v>1.5</v>
      </c>
      <c r="I28" s="123">
        <v>0</v>
      </c>
      <c r="J28" s="123">
        <f t="shared" si="3"/>
        <v>50</v>
      </c>
      <c r="K28" s="123">
        <v>1.2</v>
      </c>
      <c r="L28" s="123">
        <f t="shared" si="4"/>
        <v>1.0102690128214455</v>
      </c>
      <c r="M28" s="123">
        <f t="shared" si="5"/>
        <v>0.88640412515866773</v>
      </c>
      <c r="N28" s="123">
        <f t="shared" si="1"/>
        <v>13.740758023406912</v>
      </c>
      <c r="O28" s="123">
        <f t="shared" si="2"/>
        <v>13.708154805467014</v>
      </c>
    </row>
    <row r="29" spans="2:18" x14ac:dyDescent="0.3">
      <c r="B29" s="123">
        <v>5</v>
      </c>
      <c r="C29" s="33">
        <v>30</v>
      </c>
      <c r="D29" s="123">
        <f>VLOOKUP($B$29,'diagram '!B18:E24,3,2)</f>
        <v>5047.1796477117796</v>
      </c>
      <c r="E29" s="123">
        <f>VLOOKUP($B$29,'diagram '!B18:E24,4,2)</f>
        <v>184.59975800000001</v>
      </c>
      <c r="F29" s="123" t="s">
        <v>199</v>
      </c>
      <c r="G29" s="123">
        <f t="shared" si="0"/>
        <v>29.126213592233007</v>
      </c>
      <c r="H29" s="123">
        <v>1.03</v>
      </c>
      <c r="I29" s="123">
        <v>0</v>
      </c>
      <c r="J29" s="123">
        <f t="shared" si="3"/>
        <v>15</v>
      </c>
      <c r="K29" s="123">
        <v>2</v>
      </c>
      <c r="L29" s="123">
        <f t="shared" si="4"/>
        <v>1.1083998982346146</v>
      </c>
      <c r="M29" s="123">
        <f t="shared" si="5"/>
        <v>1.0113206333531926</v>
      </c>
      <c r="N29" s="123">
        <f t="shared" si="1"/>
        <v>79.136867298572312</v>
      </c>
      <c r="O29" s="123">
        <f t="shared" si="2"/>
        <v>78.664402676918755</v>
      </c>
    </row>
    <row r="30" spans="2:18" x14ac:dyDescent="0.3">
      <c r="B30" s="123">
        <v>6</v>
      </c>
      <c r="C30" s="33">
        <f>C25</f>
        <v>26</v>
      </c>
      <c r="D30" s="123">
        <f>VLOOKUP($B$30,'diagram '!B18:E24,3,2)</f>
        <v>4148.3</v>
      </c>
      <c r="E30" s="123">
        <v>0</v>
      </c>
      <c r="F30" s="123" t="str">
        <f>F25</f>
        <v xml:space="preserve">grove </v>
      </c>
      <c r="G30" s="123">
        <f t="shared" si="0"/>
        <v>23.636363636363633</v>
      </c>
      <c r="H30" s="123">
        <v>1.1000000000000001</v>
      </c>
      <c r="I30" s="123">
        <v>0</v>
      </c>
      <c r="J30" s="123">
        <f t="shared" si="3"/>
        <v>13</v>
      </c>
      <c r="K30" s="123">
        <v>2</v>
      </c>
      <c r="L30" s="123">
        <f>(VLOOKUP(H30,$C$34:$E$40,2,FALSE)*((C30/2)/G30)^(VLOOKUP(H30,$C$34:$E$40,3,FALSE)))*K35</f>
        <v>2.346323931169739</v>
      </c>
      <c r="M30" s="123">
        <f>(VLOOKUP(K30,$G$34:$I$37,2,FALSE)*((C30/2)/G30)^(VLOOKUP(K30,$G$34:$I$37,3,FALSE)))*L35</f>
        <v>2.2499483683793517</v>
      </c>
      <c r="N30" s="123">
        <f t="shared" si="1"/>
        <v>59.01974027583551</v>
      </c>
      <c r="O30" s="123">
        <f t="shared" si="2"/>
        <v>51.112594403633139</v>
      </c>
    </row>
    <row r="31" spans="2:18" ht="18" thickBot="1" x14ac:dyDescent="0.35"/>
    <row r="32" spans="2:18" x14ac:dyDescent="0.3">
      <c r="C32" s="280" t="str">
        <f>F26</f>
        <v>flit</v>
      </c>
      <c r="D32" s="281"/>
      <c r="E32" s="281"/>
      <c r="F32" s="281"/>
      <c r="G32" s="281"/>
      <c r="H32" s="281"/>
      <c r="I32" s="282"/>
      <c r="J32" s="147"/>
      <c r="K32" s="283" t="s">
        <v>487</v>
      </c>
      <c r="L32" s="284"/>
    </row>
    <row r="33" spans="3:12" x14ac:dyDescent="0.3">
      <c r="C33" s="276" t="str">
        <f>L23</f>
        <v xml:space="preserve">bending strss consentration </v>
      </c>
      <c r="D33" s="273"/>
      <c r="E33" s="273"/>
      <c r="F33" s="146"/>
      <c r="G33" s="277" t="str">
        <f>M23</f>
        <v xml:space="preserve">tortion stress concentration </v>
      </c>
      <c r="H33" s="278"/>
      <c r="I33" s="279"/>
      <c r="K33" s="130" t="s">
        <v>488</v>
      </c>
      <c r="L33" s="43" t="s">
        <v>489</v>
      </c>
    </row>
    <row r="34" spans="3:12" x14ac:dyDescent="0.3">
      <c r="C34" s="148" t="s">
        <v>179</v>
      </c>
      <c r="D34" s="122" t="s">
        <v>476</v>
      </c>
      <c r="E34" s="122" t="s">
        <v>137</v>
      </c>
      <c r="F34" s="146"/>
      <c r="G34" s="34" t="str">
        <f>C34</f>
        <v>D/d</v>
      </c>
      <c r="H34" s="34" t="str">
        <f>D34</f>
        <v>B</v>
      </c>
      <c r="I34" s="149" t="str">
        <f>E34</f>
        <v>a</v>
      </c>
      <c r="K34" s="130" t="s">
        <v>485</v>
      </c>
      <c r="L34" s="43" t="s">
        <v>486</v>
      </c>
    </row>
    <row r="35" spans="3:12" ht="18" thickBot="1" x14ac:dyDescent="0.35">
      <c r="C35" s="148">
        <v>6</v>
      </c>
      <c r="D35" s="122">
        <v>0.879</v>
      </c>
      <c r="E35" s="122">
        <v>-0.33200000000000002</v>
      </c>
      <c r="F35" s="146"/>
      <c r="G35" s="34">
        <v>2</v>
      </c>
      <c r="H35" s="34">
        <v>0.86299999999999999</v>
      </c>
      <c r="I35" s="149">
        <v>-0.23899999999999999</v>
      </c>
      <c r="K35" s="131">
        <v>2.14</v>
      </c>
      <c r="L35" s="166">
        <v>2.2599999999999998</v>
      </c>
    </row>
    <row r="36" spans="3:12" x14ac:dyDescent="0.3">
      <c r="C36" s="148">
        <v>3</v>
      </c>
      <c r="D36" s="122">
        <v>0.89300000000000002</v>
      </c>
      <c r="E36" s="122">
        <f>-0.309</f>
        <v>-0.309</v>
      </c>
      <c r="F36" s="146"/>
      <c r="G36" s="34">
        <v>1.2</v>
      </c>
      <c r="H36" s="34">
        <v>0.83299999999999996</v>
      </c>
      <c r="I36" s="149">
        <v>-0.216</v>
      </c>
    </row>
    <row r="37" spans="3:12" x14ac:dyDescent="0.3">
      <c r="C37" s="148">
        <v>1.5</v>
      </c>
      <c r="D37" s="122">
        <v>0.93799999999999994</v>
      </c>
      <c r="E37" s="122">
        <f>-0.258</f>
        <v>-0.25800000000000001</v>
      </c>
      <c r="F37" s="146"/>
      <c r="G37" s="34">
        <v>1.0900000000000001</v>
      </c>
      <c r="H37" s="34">
        <v>0.90300000000000002</v>
      </c>
      <c r="I37" s="149">
        <v>-0.127</v>
      </c>
    </row>
    <row r="38" spans="3:12" x14ac:dyDescent="0.3">
      <c r="C38" s="148">
        <v>1.1000000000000001</v>
      </c>
      <c r="D38" s="122">
        <v>0.95099999999999996</v>
      </c>
      <c r="E38" s="122">
        <v>-0.23799999999999999</v>
      </c>
      <c r="F38" s="146"/>
      <c r="G38" s="150"/>
      <c r="H38" s="150"/>
      <c r="I38" s="151"/>
    </row>
    <row r="39" spans="3:12" x14ac:dyDescent="0.3">
      <c r="C39" s="148">
        <v>1.03</v>
      </c>
      <c r="D39" s="122">
        <v>0.98099999999999998</v>
      </c>
      <c r="E39" s="122">
        <v>-0.184</v>
      </c>
      <c r="F39" s="146"/>
      <c r="G39" s="150"/>
      <c r="H39" s="150"/>
      <c r="I39" s="151"/>
    </row>
    <row r="40" spans="3:12" ht="18" thickBot="1" x14ac:dyDescent="0.35">
      <c r="C40" s="152">
        <v>1.01</v>
      </c>
      <c r="D40" s="153">
        <v>0.91900000000000004</v>
      </c>
      <c r="E40" s="153">
        <v>-0.17</v>
      </c>
      <c r="F40" s="154"/>
      <c r="G40" s="155"/>
      <c r="H40" s="155"/>
      <c r="I40" s="156"/>
    </row>
    <row r="41" spans="3:12" x14ac:dyDescent="0.3">
      <c r="G41" s="30"/>
      <c r="H41" s="30"/>
      <c r="I41" s="30"/>
    </row>
  </sheetData>
  <dataConsolidate/>
  <mergeCells count="51">
    <mergeCell ref="N4:N12"/>
    <mergeCell ref="J15:M15"/>
    <mergeCell ref="J16:K16"/>
    <mergeCell ref="N13:N14"/>
    <mergeCell ref="N16:N17"/>
    <mergeCell ref="L9:M9"/>
    <mergeCell ref="J9:K9"/>
    <mergeCell ref="J10:K10"/>
    <mergeCell ref="J12:M12"/>
    <mergeCell ref="J13:K13"/>
    <mergeCell ref="J11:K11"/>
    <mergeCell ref="J6:K6"/>
    <mergeCell ref="J7:K7"/>
    <mergeCell ref="J8:M8"/>
    <mergeCell ref="C17:E17"/>
    <mergeCell ref="C18:E18"/>
    <mergeCell ref="C19:E19"/>
    <mergeCell ref="J14:K14"/>
    <mergeCell ref="J17:K17"/>
    <mergeCell ref="C15:E15"/>
    <mergeCell ref="C14:E14"/>
    <mergeCell ref="P2:R2"/>
    <mergeCell ref="C4:E4"/>
    <mergeCell ref="C16:E16"/>
    <mergeCell ref="C10:E10"/>
    <mergeCell ref="C5:E5"/>
    <mergeCell ref="C11:E11"/>
    <mergeCell ref="C6:E6"/>
    <mergeCell ref="C7:E7"/>
    <mergeCell ref="C2:G3"/>
    <mergeCell ref="J4:M4"/>
    <mergeCell ref="J5:K5"/>
    <mergeCell ref="C8:E8"/>
    <mergeCell ref="C9:E9"/>
    <mergeCell ref="C12:E12"/>
    <mergeCell ref="C13:E13"/>
    <mergeCell ref="J2:N3"/>
    <mergeCell ref="F23:K23"/>
    <mergeCell ref="B22:O22"/>
    <mergeCell ref="B23:B24"/>
    <mergeCell ref="C33:E33"/>
    <mergeCell ref="G33:I33"/>
    <mergeCell ref="C32:I32"/>
    <mergeCell ref="K32:L32"/>
    <mergeCell ref="C23:C24"/>
    <mergeCell ref="O23:O24"/>
    <mergeCell ref="N23:N24"/>
    <mergeCell ref="E23:E24"/>
    <mergeCell ref="D23:D24"/>
    <mergeCell ref="L23:L24"/>
    <mergeCell ref="M23:M24"/>
  </mergeCells>
  <conditionalFormatting sqref="N16">
    <cfRule type="iconSet" priority="21">
      <iconSet iconSet="3Symbols" showValue="0" reverse="1">
        <cfvo type="percent" val="0"/>
        <cfvo type="formula" val="$L$14"/>
        <cfvo type="formula" val="$L$14"/>
      </iconSet>
    </cfRule>
  </conditionalFormatting>
  <conditionalFormatting sqref="N13">
    <cfRule type="iconSet" priority="49">
      <iconSet iconSet="3Symbols" showValue="0" reverse="1">
        <cfvo type="percent" val="0"/>
        <cfvo type="formula" val="$L$14"/>
        <cfvo type="formula" val="$L$14"/>
      </iconSet>
    </cfRule>
  </conditionalFormatting>
  <conditionalFormatting sqref="N28:O30 O26:O27 N25:N30">
    <cfRule type="colorScale" priority="82">
      <colorScale>
        <cfvo type="formula" val="$L$13"/>
        <cfvo type="formula" val="$L$14"/>
        <color rgb="FF00B050"/>
        <color rgb="FFFFC000"/>
      </colorScale>
    </cfRule>
  </conditionalFormatting>
  <conditionalFormatting sqref="O25:O30">
    <cfRule type="colorScale" priority="85">
      <colorScale>
        <cfvo type="formula" val="$L$16"/>
        <cfvo type="formula" val="$L$17"/>
        <color rgb="FF00B050"/>
        <color rgb="FFFFC000"/>
      </colorScale>
    </cfRule>
  </conditionalFormatting>
  <dataValidations count="2">
    <dataValidation type="list" allowBlank="1" showInputMessage="1" showErrorMessage="1" sqref="H25:H30" xr:uid="{00000000-0002-0000-0400-000000000000}">
      <formula1>$C$35:$C$40</formula1>
    </dataValidation>
    <dataValidation type="list" allowBlank="1" showInputMessage="1" showErrorMessage="1" sqref="K25:K30" xr:uid="{00000000-0002-0000-0400-000001000000}">
      <formula1>$G$35:$G$37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2:AG52"/>
  <sheetViews>
    <sheetView zoomScale="80" zoomScaleNormal="80" workbookViewId="0">
      <selection activeCell="AE3" sqref="AE3:AG6"/>
    </sheetView>
  </sheetViews>
  <sheetFormatPr defaultColWidth="9.109375" defaultRowHeight="15" customHeight="1" x14ac:dyDescent="0.3"/>
  <cols>
    <col min="1" max="1" width="1.6640625" style="39" bestFit="1" customWidth="1"/>
    <col min="2" max="2" width="2.21875" style="39" bestFit="1" customWidth="1"/>
    <col min="3" max="3" width="13.33203125" style="39" customWidth="1"/>
    <col min="4" max="4" width="11.88671875" style="39" bestFit="1" customWidth="1"/>
    <col min="5" max="5" width="19.21875" style="39" bestFit="1" customWidth="1"/>
    <col min="6" max="7" width="4.6640625" style="39" bestFit="1" customWidth="1"/>
    <col min="8" max="10" width="7.21875" style="39" customWidth="1"/>
    <col min="11" max="11" width="3.33203125" style="39" bestFit="1" customWidth="1"/>
    <col min="12" max="12" width="12" style="39" bestFit="1" customWidth="1"/>
    <col min="13" max="13" width="5.6640625" style="39" customWidth="1"/>
    <col min="14" max="14" width="1.33203125" style="39" customWidth="1"/>
    <col min="15" max="17" width="6.88671875" style="39" customWidth="1"/>
    <col min="18" max="18" width="3.88671875" style="39" bestFit="1" customWidth="1"/>
    <col min="19" max="19" width="12" style="39" bestFit="1" customWidth="1"/>
    <col min="20" max="20" width="4.33203125" style="39" bestFit="1" customWidth="1"/>
    <col min="21" max="16384" width="9.109375" style="39"/>
  </cols>
  <sheetData>
    <row r="2" spans="2:33" ht="15" customHeight="1" x14ac:dyDescent="0.3">
      <c r="B2" s="275" t="s">
        <v>252</v>
      </c>
      <c r="C2" s="275"/>
      <c r="D2" s="275"/>
      <c r="E2" s="275"/>
      <c r="F2" s="275"/>
      <c r="H2" s="305" t="s">
        <v>304</v>
      </c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spans="2:33" ht="15" customHeight="1" x14ac:dyDescent="0.3">
      <c r="B3" s="275"/>
      <c r="C3" s="275"/>
      <c r="D3" s="275"/>
      <c r="E3" s="275"/>
      <c r="F3" s="275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2:33" ht="15" customHeight="1" x14ac:dyDescent="0.3">
      <c r="B4" s="309"/>
      <c r="C4" s="310"/>
      <c r="D4" s="310"/>
      <c r="E4" s="310"/>
      <c r="F4" s="311"/>
      <c r="H4" s="272" t="s">
        <v>118</v>
      </c>
      <c r="I4" s="272"/>
      <c r="J4" s="272"/>
      <c r="K4" s="42" t="s">
        <v>258</v>
      </c>
      <c r="L4" s="38">
        <f>E13</f>
        <v>20</v>
      </c>
      <c r="M4" s="38"/>
      <c r="N4" s="38"/>
      <c r="O4" s="272" t="s">
        <v>119</v>
      </c>
      <c r="P4" s="272"/>
      <c r="Q4" s="272"/>
      <c r="R4" s="38" t="s">
        <v>257</v>
      </c>
      <c r="S4" s="38">
        <f>E14</f>
        <v>131.99999999999997</v>
      </c>
      <c r="T4" s="38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5" customHeight="1" x14ac:dyDescent="0.3">
      <c r="B5" s="272" t="s">
        <v>242</v>
      </c>
      <c r="C5" s="272"/>
      <c r="D5" s="38" t="s">
        <v>243</v>
      </c>
      <c r="E5" s="38">
        <v>3.5</v>
      </c>
      <c r="F5" s="38" t="s">
        <v>62</v>
      </c>
      <c r="H5" s="300" t="s">
        <v>259</v>
      </c>
      <c r="I5" s="272"/>
      <c r="J5" s="272"/>
      <c r="K5" s="38" t="s">
        <v>89</v>
      </c>
      <c r="L5" s="38">
        <v>1</v>
      </c>
      <c r="M5" s="38" t="s">
        <v>3</v>
      </c>
      <c r="N5" s="38"/>
      <c r="O5" s="272" t="s">
        <v>120</v>
      </c>
      <c r="P5" s="272"/>
      <c r="Q5" s="272"/>
      <c r="R5" s="45" t="s">
        <v>260</v>
      </c>
      <c r="S5" s="38">
        <v>20</v>
      </c>
      <c r="T5" s="38" t="s">
        <v>121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5" customHeight="1" x14ac:dyDescent="0.3">
      <c r="B6" s="300" t="s">
        <v>244</v>
      </c>
      <c r="C6" s="300"/>
      <c r="D6" s="38" t="s">
        <v>245</v>
      </c>
      <c r="E6" s="38">
        <f>'Rolling Force'!F12</f>
        <v>0.53030303030303039</v>
      </c>
      <c r="F6" s="38" t="s">
        <v>246</v>
      </c>
      <c r="H6" s="303" t="s">
        <v>256</v>
      </c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5" customHeight="1" x14ac:dyDescent="0.3">
      <c r="B7" s="272" t="s">
        <v>240</v>
      </c>
      <c r="C7" s="272"/>
      <c r="D7" s="38" t="s">
        <v>241</v>
      </c>
      <c r="E7" s="68">
        <f>(E6/E5)</f>
        <v>0.15151515151515155</v>
      </c>
      <c r="F7" s="42" t="s">
        <v>207</v>
      </c>
      <c r="H7" s="301" t="s">
        <v>147</v>
      </c>
      <c r="I7" s="301"/>
      <c r="J7" s="301"/>
      <c r="K7" s="301"/>
      <c r="L7" s="301"/>
      <c r="M7" s="301"/>
      <c r="N7" s="272"/>
      <c r="O7" s="302" t="s">
        <v>148</v>
      </c>
      <c r="P7" s="302"/>
      <c r="Q7" s="302"/>
      <c r="R7" s="302"/>
      <c r="S7" s="302"/>
      <c r="T7" s="302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2:33" ht="15" customHeight="1" x14ac:dyDescent="0.3">
      <c r="B8" s="309"/>
      <c r="C8" s="310"/>
      <c r="D8" s="310"/>
      <c r="E8" s="310"/>
      <c r="F8" s="311"/>
      <c r="H8" s="272" t="s">
        <v>123</v>
      </c>
      <c r="I8" s="272"/>
      <c r="J8" s="272"/>
      <c r="K8" s="38" t="s">
        <v>103</v>
      </c>
      <c r="L8" s="38">
        <f>L5*L4</f>
        <v>20</v>
      </c>
      <c r="M8" s="38" t="s">
        <v>3</v>
      </c>
      <c r="N8" s="272"/>
      <c r="O8" s="272" t="s">
        <v>124</v>
      </c>
      <c r="P8" s="272"/>
      <c r="Q8" s="272"/>
      <c r="R8" s="38" t="s">
        <v>103</v>
      </c>
      <c r="S8" s="38">
        <f>L5*S4</f>
        <v>131.99999999999997</v>
      </c>
      <c r="T8" s="38" t="s">
        <v>3</v>
      </c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3" ht="15" customHeight="1" x14ac:dyDescent="0.3">
      <c r="B9" s="312" t="s">
        <v>248</v>
      </c>
      <c r="C9" s="313"/>
      <c r="D9" s="313"/>
      <c r="E9" s="313"/>
      <c r="F9" s="314"/>
      <c r="H9" s="272" t="s">
        <v>133</v>
      </c>
      <c r="I9" s="272"/>
      <c r="J9" s="272"/>
      <c r="K9" s="38" t="s">
        <v>132</v>
      </c>
      <c r="L9" s="38">
        <f>L4*L5*COS(RADIANS(S5))</f>
        <v>18.79385241571817</v>
      </c>
      <c r="M9" s="38" t="s">
        <v>3</v>
      </c>
      <c r="N9" s="38"/>
      <c r="O9" s="272" t="s">
        <v>134</v>
      </c>
      <c r="P9" s="272"/>
      <c r="Q9" s="272"/>
      <c r="R9" s="38" t="s">
        <v>132</v>
      </c>
      <c r="S9" s="38">
        <f>S4*L5*COS(RADIANS(S5))</f>
        <v>124.03942594373989</v>
      </c>
      <c r="T9" s="38" t="s">
        <v>3</v>
      </c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2:33" ht="15" customHeight="1" x14ac:dyDescent="0.3">
      <c r="B10" s="28" t="s">
        <v>4</v>
      </c>
      <c r="C10" s="38" t="s">
        <v>247</v>
      </c>
      <c r="D10" s="41">
        <f>E7</f>
        <v>0.15151515151515155</v>
      </c>
      <c r="E10" s="38">
        <f>E14/E13</f>
        <v>6.5999999999999988</v>
      </c>
      <c r="F10" s="38"/>
      <c r="H10" s="272" t="s">
        <v>141</v>
      </c>
      <c r="I10" s="272"/>
      <c r="J10" s="272"/>
      <c r="K10" s="38" t="s">
        <v>142</v>
      </c>
      <c r="L10" s="38">
        <f>L8+(2*L14)</f>
        <v>22</v>
      </c>
      <c r="M10" s="38" t="s">
        <v>3</v>
      </c>
      <c r="N10" s="38"/>
      <c r="O10" s="272" t="s">
        <v>141</v>
      </c>
      <c r="P10" s="272"/>
      <c r="Q10" s="272"/>
      <c r="R10" s="38" t="s">
        <v>142</v>
      </c>
      <c r="S10" s="38">
        <f>S8+(2*L14)</f>
        <v>133.99999999999997</v>
      </c>
      <c r="T10" s="38" t="s">
        <v>3</v>
      </c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2:33" ht="15" customHeight="1" x14ac:dyDescent="0.3">
      <c r="B11" s="28"/>
      <c r="C11" s="38"/>
      <c r="D11" s="41"/>
      <c r="E11" s="38"/>
      <c r="F11" s="38"/>
      <c r="H11" s="298" t="s">
        <v>149</v>
      </c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2:33" ht="15" customHeight="1" x14ac:dyDescent="0.3">
      <c r="B12" s="312" t="s">
        <v>251</v>
      </c>
      <c r="C12" s="313"/>
      <c r="D12" s="313"/>
      <c r="E12" s="313"/>
      <c r="F12" s="314"/>
      <c r="H12" s="272" t="s">
        <v>125</v>
      </c>
      <c r="I12" s="272"/>
      <c r="J12" s="272"/>
      <c r="K12" s="38" t="s">
        <v>128</v>
      </c>
      <c r="L12" s="38">
        <f>1/L5</f>
        <v>1</v>
      </c>
      <c r="M12" s="38" t="s">
        <v>126</v>
      </c>
      <c r="N12" s="38"/>
      <c r="O12" s="272" t="s">
        <v>150</v>
      </c>
      <c r="P12" s="272"/>
      <c r="Q12" s="272"/>
      <c r="R12" s="38" t="s">
        <v>151</v>
      </c>
      <c r="S12" s="38">
        <f>(L8/2)+(S8/2)</f>
        <v>75.999999999999986</v>
      </c>
      <c r="T12" s="38" t="s">
        <v>3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2:33" ht="15" customHeight="1" x14ac:dyDescent="0.3">
      <c r="B13" s="38" t="s">
        <v>191</v>
      </c>
      <c r="C13" s="272" t="s">
        <v>249</v>
      </c>
      <c r="D13" s="272"/>
      <c r="E13" s="38">
        <v>20</v>
      </c>
      <c r="F13" s="38"/>
      <c r="H13" s="272" t="s">
        <v>130</v>
      </c>
      <c r="I13" s="272"/>
      <c r="J13" s="272"/>
      <c r="K13" s="38" t="s">
        <v>131</v>
      </c>
      <c r="L13" s="38">
        <f>S13*COS(RADIANS(S5))</f>
        <v>2.9506348292677527</v>
      </c>
      <c r="M13" s="38" t="s">
        <v>3</v>
      </c>
      <c r="N13" s="38"/>
      <c r="O13" s="272" t="s">
        <v>127</v>
      </c>
      <c r="P13" s="272"/>
      <c r="Q13" s="272"/>
      <c r="R13" s="38" t="s">
        <v>129</v>
      </c>
      <c r="S13" s="38">
        <f>(3.14*L8)/L4</f>
        <v>3.14</v>
      </c>
      <c r="T13" s="38" t="s">
        <v>3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2:33" ht="15" customHeight="1" x14ac:dyDescent="0.3">
      <c r="B14" s="38" t="s">
        <v>191</v>
      </c>
      <c r="C14" s="272" t="s">
        <v>250</v>
      </c>
      <c r="D14" s="272"/>
      <c r="E14" s="38">
        <f>E13/D10</f>
        <v>131.99999999999997</v>
      </c>
      <c r="F14" s="38"/>
      <c r="H14" s="272" t="s">
        <v>135</v>
      </c>
      <c r="I14" s="272"/>
      <c r="J14" s="272"/>
      <c r="K14" s="38" t="s">
        <v>137</v>
      </c>
      <c r="L14" s="38">
        <f>1/L12</f>
        <v>1</v>
      </c>
      <c r="M14" s="38" t="s">
        <v>3</v>
      </c>
      <c r="N14" s="38"/>
      <c r="O14" s="272" t="s">
        <v>136</v>
      </c>
      <c r="P14" s="272"/>
      <c r="Q14" s="272"/>
      <c r="R14" s="38" t="s">
        <v>45</v>
      </c>
      <c r="S14" s="38">
        <f>1.25/L12</f>
        <v>1.25</v>
      </c>
      <c r="T14" s="38" t="s">
        <v>3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2:33" ht="15" customHeight="1" x14ac:dyDescent="0.3">
      <c r="H15" s="272" t="s">
        <v>138</v>
      </c>
      <c r="I15" s="272"/>
      <c r="J15" s="272"/>
      <c r="K15" s="38" t="s">
        <v>46</v>
      </c>
      <c r="L15" s="38">
        <f>L14+S14</f>
        <v>2.25</v>
      </c>
      <c r="M15" s="38" t="s">
        <v>3</v>
      </c>
      <c r="N15" s="38"/>
      <c r="O15" s="272" t="s">
        <v>139</v>
      </c>
      <c r="P15" s="272"/>
      <c r="Q15" s="272"/>
      <c r="R15" s="38" t="s">
        <v>140</v>
      </c>
      <c r="S15" s="38">
        <f>S14-L14</f>
        <v>0.25</v>
      </c>
      <c r="T15" s="38" t="s">
        <v>3</v>
      </c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2:33" ht="15" customHeight="1" x14ac:dyDescent="0.3">
      <c r="C16" s="272" t="s">
        <v>262</v>
      </c>
      <c r="D16" s="272"/>
      <c r="E16" s="272"/>
      <c r="F16" s="272"/>
      <c r="H16" s="272" t="s">
        <v>143</v>
      </c>
      <c r="I16" s="272"/>
      <c r="J16" s="272"/>
      <c r="K16" s="38" t="s">
        <v>144</v>
      </c>
      <c r="L16" s="38">
        <f>(SQRT((L8/2+L14)^2-(L8/2*COS(RADIANS(S5)))^2))+(SQRT((S8/2+L14)^2-(S8/2*COS(RADIANS(S5)))^2))-(S12*SIN(RADIANS(S5)))</f>
        <v>5.0733387931168181</v>
      </c>
      <c r="M16" s="38" t="s">
        <v>3</v>
      </c>
      <c r="N16" s="38"/>
      <c r="O16" s="272" t="s">
        <v>145</v>
      </c>
      <c r="P16" s="272"/>
      <c r="Q16" s="272"/>
      <c r="R16" s="38" t="s">
        <v>146</v>
      </c>
      <c r="S16" s="38">
        <f>L16/L13</f>
        <v>1.7194058521893909</v>
      </c>
      <c r="T16" s="38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2:32" ht="15" customHeight="1" x14ac:dyDescent="0.3">
      <c r="B17" s="121"/>
      <c r="C17" s="38" t="s">
        <v>253</v>
      </c>
      <c r="D17" s="38" t="s">
        <v>191</v>
      </c>
      <c r="E17" s="38" t="s">
        <v>33</v>
      </c>
      <c r="F17" s="38" t="s">
        <v>151</v>
      </c>
      <c r="H17" s="272" t="s">
        <v>122</v>
      </c>
      <c r="I17" s="272"/>
      <c r="J17" s="272"/>
      <c r="K17" s="38"/>
      <c r="L17" s="38">
        <v>25</v>
      </c>
      <c r="M17" s="38" t="s">
        <v>3</v>
      </c>
      <c r="N17" s="38"/>
      <c r="O17" s="272"/>
      <c r="P17" s="272"/>
      <c r="Q17" s="272"/>
      <c r="R17" s="272"/>
      <c r="S17" s="272"/>
      <c r="T17" s="272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2:32" ht="15" customHeight="1" x14ac:dyDescent="0.3">
      <c r="B18" s="121"/>
      <c r="C18" s="272" t="s">
        <v>254</v>
      </c>
      <c r="D18" s="38" t="s">
        <v>249</v>
      </c>
      <c r="E18" s="38">
        <f>E13</f>
        <v>20</v>
      </c>
      <c r="F18" s="307">
        <f>(E18*L5/2)+(E19*L5/2)</f>
        <v>75.999999999999986</v>
      </c>
      <c r="H18" s="295" t="s">
        <v>261</v>
      </c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7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2:32" ht="15" customHeight="1" x14ac:dyDescent="0.3">
      <c r="B19" s="121"/>
      <c r="C19" s="272"/>
      <c r="D19" s="38" t="s">
        <v>250</v>
      </c>
      <c r="E19" s="38">
        <f>E14</f>
        <v>131.99999999999997</v>
      </c>
      <c r="F19" s="308"/>
      <c r="H19" s="272" t="s">
        <v>208</v>
      </c>
      <c r="I19" s="272"/>
      <c r="J19" s="272"/>
      <c r="K19" s="272"/>
      <c r="L19" s="272"/>
      <c r="M19" s="272"/>
      <c r="N19" s="38"/>
      <c r="O19" s="272">
        <f>((2*L14*(1/S4)*L12)/(SQRT(1+(1/S4)*((1/S4)+2)*((SIN(RADIANS(S5)))^2))-1))</f>
        <v>17.040318753237241</v>
      </c>
      <c r="P19" s="272"/>
      <c r="Q19" s="272"/>
      <c r="R19" s="272">
        <f>O19</f>
        <v>17.040318753237241</v>
      </c>
      <c r="S19" s="272"/>
      <c r="T19" s="272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2:32" ht="15" customHeight="1" x14ac:dyDescent="0.3">
      <c r="B20" s="121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2:32" ht="15" customHeight="1" x14ac:dyDescent="0.3"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2:32" ht="15" customHeight="1" x14ac:dyDescent="0.3"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2:32" ht="15" customHeight="1" x14ac:dyDescent="0.3"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2:32" ht="15" customHeight="1" x14ac:dyDescent="0.3"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2:32" ht="15" customHeight="1" x14ac:dyDescent="0.3"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2:32" ht="15" customHeight="1" x14ac:dyDescent="0.3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</row>
    <row r="27" spans="2:32" ht="15" customHeight="1" x14ac:dyDescent="0.3"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</row>
    <row r="28" spans="2:32" ht="15" customHeight="1" x14ac:dyDescent="0.3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</row>
    <row r="29" spans="2:32" ht="15" customHeight="1" x14ac:dyDescent="0.3">
      <c r="B29" s="304" t="s">
        <v>492</v>
      </c>
      <c r="C29" s="275"/>
      <c r="D29" s="275"/>
      <c r="E29" s="275"/>
      <c r="F29" s="275"/>
      <c r="G29" s="121"/>
      <c r="H29" s="305" t="s">
        <v>491</v>
      </c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</row>
    <row r="30" spans="2:32" ht="15" customHeight="1" x14ac:dyDescent="0.3">
      <c r="B30" s="275"/>
      <c r="C30" s="275"/>
      <c r="D30" s="275"/>
      <c r="E30" s="275"/>
      <c r="F30" s="275"/>
      <c r="G30" s="121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</row>
    <row r="31" spans="2:32" ht="15" customHeight="1" x14ac:dyDescent="0.3">
      <c r="B31" s="272"/>
      <c r="C31" s="272"/>
      <c r="D31" s="272"/>
      <c r="E31" s="272"/>
      <c r="F31" s="272"/>
      <c r="G31" s="121"/>
      <c r="H31" s="272" t="s">
        <v>118</v>
      </c>
      <c r="I31" s="272"/>
      <c r="J31" s="272"/>
      <c r="K31" s="125" t="s">
        <v>258</v>
      </c>
      <c r="L31" s="120">
        <f>E40</f>
        <v>19</v>
      </c>
      <c r="M31" s="120"/>
      <c r="N31" s="120"/>
      <c r="O31" s="272" t="s">
        <v>119</v>
      </c>
      <c r="P31" s="272"/>
      <c r="Q31" s="272"/>
      <c r="R31" s="120" t="s">
        <v>257</v>
      </c>
      <c r="S31" s="120">
        <f>E41</f>
        <v>19</v>
      </c>
      <c r="T31" s="120"/>
    </row>
    <row r="32" spans="2:32" ht="15" customHeight="1" x14ac:dyDescent="0.3">
      <c r="B32" s="272" t="s">
        <v>242</v>
      </c>
      <c r="C32" s="272"/>
      <c r="D32" s="120" t="s">
        <v>243</v>
      </c>
      <c r="E32" s="120">
        <f>E6</f>
        <v>0.53030303030303039</v>
      </c>
      <c r="F32" s="120" t="s">
        <v>62</v>
      </c>
      <c r="G32" s="121"/>
      <c r="H32" s="300" t="s">
        <v>259</v>
      </c>
      <c r="I32" s="272"/>
      <c r="J32" s="272"/>
      <c r="K32" s="120" t="s">
        <v>89</v>
      </c>
      <c r="L32" s="120">
        <v>2</v>
      </c>
      <c r="M32" s="120" t="s">
        <v>3</v>
      </c>
      <c r="N32" s="120"/>
      <c r="O32" s="272" t="s">
        <v>120</v>
      </c>
      <c r="P32" s="272"/>
      <c r="Q32" s="272"/>
      <c r="R32" s="45" t="s">
        <v>260</v>
      </c>
      <c r="S32" s="120">
        <v>20</v>
      </c>
      <c r="T32" s="120" t="s">
        <v>121</v>
      </c>
    </row>
    <row r="33" spans="2:20" ht="15" customHeight="1" x14ac:dyDescent="0.3">
      <c r="B33" s="300" t="s">
        <v>244</v>
      </c>
      <c r="C33" s="300"/>
      <c r="D33" s="120" t="s">
        <v>245</v>
      </c>
      <c r="E33" s="120">
        <f>E6</f>
        <v>0.53030303030303039</v>
      </c>
      <c r="F33" s="120" t="s">
        <v>246</v>
      </c>
      <c r="G33" s="121"/>
      <c r="H33" s="303" t="s">
        <v>256</v>
      </c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</row>
    <row r="34" spans="2:20" ht="15" customHeight="1" x14ac:dyDescent="0.3">
      <c r="B34" s="272" t="s">
        <v>240</v>
      </c>
      <c r="C34" s="272"/>
      <c r="D34" s="120" t="s">
        <v>241</v>
      </c>
      <c r="E34" s="68">
        <f>(E33/E32)</f>
        <v>1</v>
      </c>
      <c r="F34" s="125" t="s">
        <v>207</v>
      </c>
      <c r="G34" s="121"/>
      <c r="H34" s="301" t="s">
        <v>147</v>
      </c>
      <c r="I34" s="301"/>
      <c r="J34" s="301"/>
      <c r="K34" s="301"/>
      <c r="L34" s="301"/>
      <c r="M34" s="301"/>
      <c r="N34" s="272"/>
      <c r="O34" s="302" t="s">
        <v>148</v>
      </c>
      <c r="P34" s="302"/>
      <c r="Q34" s="302"/>
      <c r="R34" s="302"/>
      <c r="S34" s="302"/>
      <c r="T34" s="302"/>
    </row>
    <row r="35" spans="2:20" ht="15" customHeight="1" x14ac:dyDescent="0.3">
      <c r="B35" s="272"/>
      <c r="C35" s="272"/>
      <c r="D35" s="272"/>
      <c r="E35" s="272"/>
      <c r="F35" s="272"/>
      <c r="G35" s="121"/>
      <c r="H35" s="272" t="s">
        <v>123</v>
      </c>
      <c r="I35" s="272"/>
      <c r="J35" s="272"/>
      <c r="K35" s="120" t="s">
        <v>103</v>
      </c>
      <c r="L35" s="120">
        <f>L32*L31</f>
        <v>38</v>
      </c>
      <c r="M35" s="120" t="s">
        <v>3</v>
      </c>
      <c r="N35" s="272"/>
      <c r="O35" s="272" t="s">
        <v>124</v>
      </c>
      <c r="P35" s="272"/>
      <c r="Q35" s="272"/>
      <c r="R35" s="120" t="s">
        <v>103</v>
      </c>
      <c r="S35" s="120">
        <f>L32*S31</f>
        <v>38</v>
      </c>
      <c r="T35" s="120" t="s">
        <v>3</v>
      </c>
    </row>
    <row r="36" spans="2:20" ht="15" customHeight="1" x14ac:dyDescent="0.3">
      <c r="B36" s="300" t="s">
        <v>248</v>
      </c>
      <c r="C36" s="300"/>
      <c r="D36" s="300"/>
      <c r="E36" s="300"/>
      <c r="F36" s="300"/>
      <c r="G36" s="121"/>
      <c r="H36" s="272" t="s">
        <v>133</v>
      </c>
      <c r="I36" s="272"/>
      <c r="J36" s="272"/>
      <c r="K36" s="120" t="s">
        <v>132</v>
      </c>
      <c r="L36" s="120">
        <f>L31*L32*COS(RADIANS(S32))</f>
        <v>35.708319589864523</v>
      </c>
      <c r="M36" s="120" t="s">
        <v>3</v>
      </c>
      <c r="N36" s="120"/>
      <c r="O36" s="272" t="s">
        <v>134</v>
      </c>
      <c r="P36" s="272"/>
      <c r="Q36" s="272"/>
      <c r="R36" s="120" t="s">
        <v>132</v>
      </c>
      <c r="S36" s="120">
        <f>S31*L32*COS(RADIANS(S32))</f>
        <v>35.708319589864523</v>
      </c>
      <c r="T36" s="120" t="s">
        <v>3</v>
      </c>
    </row>
    <row r="37" spans="2:20" ht="15" customHeight="1" x14ac:dyDescent="0.3">
      <c r="B37" s="28" t="s">
        <v>4</v>
      </c>
      <c r="C37" s="120" t="s">
        <v>247</v>
      </c>
      <c r="D37" s="41">
        <f>E34</f>
        <v>1</v>
      </c>
      <c r="E37" s="120">
        <f>E41/E40</f>
        <v>1</v>
      </c>
      <c r="F37" s="120"/>
      <c r="G37" s="121"/>
      <c r="H37" s="272" t="s">
        <v>141</v>
      </c>
      <c r="I37" s="272"/>
      <c r="J37" s="272"/>
      <c r="K37" s="120" t="s">
        <v>142</v>
      </c>
      <c r="L37" s="120">
        <f>L35+(2*L41)</f>
        <v>42</v>
      </c>
      <c r="M37" s="120" t="s">
        <v>3</v>
      </c>
      <c r="N37" s="120"/>
      <c r="O37" s="272" t="s">
        <v>141</v>
      </c>
      <c r="P37" s="272"/>
      <c r="Q37" s="272"/>
      <c r="R37" s="120" t="s">
        <v>142</v>
      </c>
      <c r="S37" s="120">
        <f>S35+(2*L41)</f>
        <v>42</v>
      </c>
      <c r="T37" s="120" t="s">
        <v>3</v>
      </c>
    </row>
    <row r="38" spans="2:20" ht="15" customHeight="1" x14ac:dyDescent="0.3">
      <c r="B38" s="28" t="s">
        <v>4</v>
      </c>
      <c r="C38" s="120"/>
      <c r="D38" s="120"/>
      <c r="E38" s="120"/>
      <c r="F38" s="120"/>
      <c r="G38" s="121"/>
      <c r="H38" s="298" t="s">
        <v>149</v>
      </c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</row>
    <row r="39" spans="2:20" ht="15" customHeight="1" x14ac:dyDescent="0.3">
      <c r="B39" s="300" t="s">
        <v>251</v>
      </c>
      <c r="C39" s="272"/>
      <c r="D39" s="272"/>
      <c r="E39" s="272"/>
      <c r="F39" s="120"/>
      <c r="G39" s="121"/>
      <c r="H39" s="272" t="s">
        <v>125</v>
      </c>
      <c r="I39" s="272"/>
      <c r="J39" s="272"/>
      <c r="K39" s="120" t="s">
        <v>128</v>
      </c>
      <c r="L39" s="120">
        <f>1/L32</f>
        <v>0.5</v>
      </c>
      <c r="M39" s="120" t="s">
        <v>126</v>
      </c>
      <c r="N39" s="120"/>
      <c r="O39" s="272" t="s">
        <v>150</v>
      </c>
      <c r="P39" s="272"/>
      <c r="Q39" s="272"/>
      <c r="R39" s="120" t="s">
        <v>151</v>
      </c>
      <c r="S39" s="120">
        <f>(L35/2)+(S35/2)</f>
        <v>38</v>
      </c>
      <c r="T39" s="120" t="s">
        <v>3</v>
      </c>
    </row>
    <row r="40" spans="2:20" ht="15" customHeight="1" x14ac:dyDescent="0.3">
      <c r="B40" s="120" t="s">
        <v>191</v>
      </c>
      <c r="C40" s="272" t="s">
        <v>249</v>
      </c>
      <c r="D40" s="272"/>
      <c r="E40" s="120">
        <v>19</v>
      </c>
      <c r="F40" s="120"/>
      <c r="G40" s="121"/>
      <c r="H40" s="272" t="s">
        <v>130</v>
      </c>
      <c r="I40" s="272"/>
      <c r="J40" s="272"/>
      <c r="K40" s="120" t="s">
        <v>131</v>
      </c>
      <c r="L40" s="120">
        <f>S40*COS(RADIANS(S32))</f>
        <v>5.9012696585355053</v>
      </c>
      <c r="M40" s="120" t="s">
        <v>3</v>
      </c>
      <c r="N40" s="120"/>
      <c r="O40" s="272" t="s">
        <v>127</v>
      </c>
      <c r="P40" s="272"/>
      <c r="Q40" s="272"/>
      <c r="R40" s="120" t="s">
        <v>129</v>
      </c>
      <c r="S40" s="120">
        <f>(3.14*L35)/L31</f>
        <v>6.28</v>
      </c>
      <c r="T40" s="120" t="s">
        <v>3</v>
      </c>
    </row>
    <row r="41" spans="2:20" ht="15" customHeight="1" x14ac:dyDescent="0.3">
      <c r="B41" s="120" t="s">
        <v>191</v>
      </c>
      <c r="C41" s="272" t="s">
        <v>250</v>
      </c>
      <c r="D41" s="272"/>
      <c r="E41" s="120">
        <f>E40/D37</f>
        <v>19</v>
      </c>
      <c r="F41" s="120"/>
      <c r="G41" s="121"/>
      <c r="H41" s="272" t="s">
        <v>135</v>
      </c>
      <c r="I41" s="272"/>
      <c r="J41" s="272"/>
      <c r="K41" s="120" t="s">
        <v>137</v>
      </c>
      <c r="L41" s="120">
        <f>1/L39</f>
        <v>2</v>
      </c>
      <c r="M41" s="120" t="s">
        <v>3</v>
      </c>
      <c r="N41" s="120"/>
      <c r="O41" s="272" t="s">
        <v>136</v>
      </c>
      <c r="P41" s="272"/>
      <c r="Q41" s="272"/>
      <c r="R41" s="120" t="s">
        <v>45</v>
      </c>
      <c r="S41" s="120">
        <f>1.25/L39</f>
        <v>2.5</v>
      </c>
      <c r="T41" s="120" t="s">
        <v>3</v>
      </c>
    </row>
    <row r="42" spans="2:20" ht="15" customHeight="1" x14ac:dyDescent="0.3">
      <c r="B42" s="120"/>
      <c r="C42" s="120"/>
      <c r="D42" s="120"/>
      <c r="E42" s="120"/>
      <c r="F42" s="120"/>
      <c r="G42" s="121"/>
      <c r="H42" s="272" t="s">
        <v>138</v>
      </c>
      <c r="I42" s="272"/>
      <c r="J42" s="272"/>
      <c r="K42" s="120" t="s">
        <v>46</v>
      </c>
      <c r="L42" s="120">
        <f>L41+S41</f>
        <v>4.5</v>
      </c>
      <c r="M42" s="120" t="s">
        <v>3</v>
      </c>
      <c r="N42" s="120"/>
      <c r="O42" s="272" t="s">
        <v>139</v>
      </c>
      <c r="P42" s="272"/>
      <c r="Q42" s="272"/>
      <c r="R42" s="120" t="s">
        <v>140</v>
      </c>
      <c r="S42" s="120">
        <f>S41-L41</f>
        <v>0.5</v>
      </c>
      <c r="T42" s="120" t="s">
        <v>3</v>
      </c>
    </row>
    <row r="43" spans="2:20" ht="15" customHeight="1" x14ac:dyDescent="0.3">
      <c r="B43" s="120"/>
      <c r="C43" s="272" t="s">
        <v>262</v>
      </c>
      <c r="D43" s="272"/>
      <c r="E43" s="272"/>
      <c r="F43" s="272"/>
      <c r="H43" s="272" t="s">
        <v>143</v>
      </c>
      <c r="I43" s="272"/>
      <c r="J43" s="272"/>
      <c r="K43" s="120" t="s">
        <v>144</v>
      </c>
      <c r="L43" s="120">
        <f>(SQRT((L35/2+L41)^2-(L35/2*COS(RADIANS(S32)))^2))+(SQRT((S35/2+L41)^2-(S35/2*COS(RADIANS(S32)))^2))-(S39*SIN(RADIANS(S32)))</f>
        <v>9.1146775655154553</v>
      </c>
      <c r="M43" s="120" t="s">
        <v>3</v>
      </c>
      <c r="N43" s="120"/>
      <c r="O43" s="272" t="s">
        <v>145</v>
      </c>
      <c r="P43" s="272"/>
      <c r="Q43" s="272"/>
      <c r="R43" s="120" t="s">
        <v>146</v>
      </c>
      <c r="S43" s="120">
        <f>L43/L40</f>
        <v>1.544528227469173</v>
      </c>
      <c r="T43" s="120"/>
    </row>
    <row r="44" spans="2:20" ht="15" customHeight="1" x14ac:dyDescent="0.3">
      <c r="B44" s="120"/>
      <c r="C44" s="120" t="s">
        <v>253</v>
      </c>
      <c r="D44" s="120" t="s">
        <v>191</v>
      </c>
      <c r="E44" s="120" t="s">
        <v>33</v>
      </c>
      <c r="F44" s="120" t="s">
        <v>151</v>
      </c>
      <c r="G44" s="121"/>
      <c r="H44" s="272" t="s">
        <v>122</v>
      </c>
      <c r="I44" s="272"/>
      <c r="J44" s="272"/>
      <c r="K44" s="120"/>
      <c r="L44" s="120">
        <v>25</v>
      </c>
      <c r="M44" s="120" t="s">
        <v>3</v>
      </c>
      <c r="N44" s="120"/>
      <c r="O44" s="272"/>
      <c r="P44" s="272"/>
      <c r="Q44" s="272"/>
      <c r="R44" s="272"/>
      <c r="S44" s="272"/>
      <c r="T44" s="272"/>
    </row>
    <row r="45" spans="2:20" ht="15" customHeight="1" x14ac:dyDescent="0.3">
      <c r="B45" s="120"/>
      <c r="C45" s="272" t="s">
        <v>254</v>
      </c>
      <c r="D45" s="120" t="s">
        <v>249</v>
      </c>
      <c r="E45" s="120">
        <f>E40</f>
        <v>19</v>
      </c>
      <c r="F45" s="272">
        <f>(E45*L32/2)+(E46*L32/2)</f>
        <v>38</v>
      </c>
      <c r="G45" s="121"/>
      <c r="H45" s="295" t="s">
        <v>261</v>
      </c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7"/>
    </row>
    <row r="46" spans="2:20" ht="15" customHeight="1" x14ac:dyDescent="0.3">
      <c r="B46" s="120"/>
      <c r="C46" s="272"/>
      <c r="D46" s="120" t="s">
        <v>250</v>
      </c>
      <c r="E46" s="120">
        <f>E41</f>
        <v>19</v>
      </c>
      <c r="F46" s="272"/>
      <c r="G46" s="121"/>
      <c r="H46" s="272" t="s">
        <v>208</v>
      </c>
      <c r="I46" s="272"/>
      <c r="J46" s="272"/>
      <c r="K46" s="272"/>
      <c r="L46" s="272"/>
      <c r="M46" s="272"/>
      <c r="N46" s="120"/>
      <c r="O46" s="272">
        <f>((2*L41*(1/S31)*L39)/(SQRT(1+(1/S31)*((1/S31)+2)*((SIN(RADIANS(S32)))^2))-1))</f>
        <v>16.711339286146945</v>
      </c>
      <c r="P46" s="272"/>
      <c r="Q46" s="272"/>
      <c r="R46" s="272">
        <f>O46</f>
        <v>16.711339286146945</v>
      </c>
      <c r="S46" s="272"/>
      <c r="T46" s="272"/>
    </row>
    <row r="47" spans="2:20" ht="15" customHeight="1" x14ac:dyDescent="0.3"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</row>
    <row r="48" spans="2:20" ht="15" customHeight="1" x14ac:dyDescent="0.3"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</row>
    <row r="49" spans="2:20" ht="15" customHeight="1" x14ac:dyDescent="0.3"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</row>
    <row r="50" spans="2:20" ht="15" customHeight="1" x14ac:dyDescent="0.3">
      <c r="B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</row>
    <row r="51" spans="2:20" ht="15" customHeight="1" x14ac:dyDescent="0.3">
      <c r="B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</row>
    <row r="52" spans="2:20" ht="15" customHeight="1" x14ac:dyDescent="0.3">
      <c r="B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</row>
  </sheetData>
  <mergeCells count="90">
    <mergeCell ref="H13:J13"/>
    <mergeCell ref="H12:J12"/>
    <mergeCell ref="H14:J14"/>
    <mergeCell ref="O14:Q14"/>
    <mergeCell ref="H15:J15"/>
    <mergeCell ref="O15:Q15"/>
    <mergeCell ref="O13:Q13"/>
    <mergeCell ref="O8:Q8"/>
    <mergeCell ref="O9:Q9"/>
    <mergeCell ref="H5:J5"/>
    <mergeCell ref="H6:T6"/>
    <mergeCell ref="H10:J10"/>
    <mergeCell ref="O10:Q10"/>
    <mergeCell ref="H2:T3"/>
    <mergeCell ref="H4:J4"/>
    <mergeCell ref="O4:Q4"/>
    <mergeCell ref="B8:F8"/>
    <mergeCell ref="O17:T17"/>
    <mergeCell ref="O12:Q12"/>
    <mergeCell ref="C16:F16"/>
    <mergeCell ref="H16:J16"/>
    <mergeCell ref="O16:Q16"/>
    <mergeCell ref="H9:J9"/>
    <mergeCell ref="O5:Q5"/>
    <mergeCell ref="H11:T11"/>
    <mergeCell ref="H8:J8"/>
    <mergeCell ref="H7:M7"/>
    <mergeCell ref="O7:T7"/>
    <mergeCell ref="N7:N8"/>
    <mergeCell ref="F18:F19"/>
    <mergeCell ref="C14:D14"/>
    <mergeCell ref="C18:C19"/>
    <mergeCell ref="B2:F3"/>
    <mergeCell ref="B4:F4"/>
    <mergeCell ref="B9:F9"/>
    <mergeCell ref="B5:C5"/>
    <mergeCell ref="B6:C6"/>
    <mergeCell ref="B7:C7"/>
    <mergeCell ref="C13:D13"/>
    <mergeCell ref="B12:F12"/>
    <mergeCell ref="H17:J17"/>
    <mergeCell ref="H19:M19"/>
    <mergeCell ref="H18:T18"/>
    <mergeCell ref="O19:Q19"/>
    <mergeCell ref="R19:T19"/>
    <mergeCell ref="B33:C33"/>
    <mergeCell ref="H33:T33"/>
    <mergeCell ref="B29:F30"/>
    <mergeCell ref="H29:T30"/>
    <mergeCell ref="B31:F31"/>
    <mergeCell ref="H31:J31"/>
    <mergeCell ref="O31:Q31"/>
    <mergeCell ref="B32:C32"/>
    <mergeCell ref="H32:J32"/>
    <mergeCell ref="O32:Q32"/>
    <mergeCell ref="B36:F36"/>
    <mergeCell ref="H36:J36"/>
    <mergeCell ref="O36:Q36"/>
    <mergeCell ref="H37:J37"/>
    <mergeCell ref="O37:Q37"/>
    <mergeCell ref="B34:C34"/>
    <mergeCell ref="H34:M34"/>
    <mergeCell ref="N34:N35"/>
    <mergeCell ref="O34:T34"/>
    <mergeCell ref="B35:F35"/>
    <mergeCell ref="H35:J35"/>
    <mergeCell ref="O35:Q35"/>
    <mergeCell ref="B39:E39"/>
    <mergeCell ref="H41:J41"/>
    <mergeCell ref="O41:Q41"/>
    <mergeCell ref="C40:D40"/>
    <mergeCell ref="H42:J42"/>
    <mergeCell ref="O42:Q42"/>
    <mergeCell ref="C41:D41"/>
    <mergeCell ref="H38:T38"/>
    <mergeCell ref="H39:J39"/>
    <mergeCell ref="O39:Q39"/>
    <mergeCell ref="H40:J40"/>
    <mergeCell ref="O40:Q40"/>
    <mergeCell ref="C43:F43"/>
    <mergeCell ref="C45:C46"/>
    <mergeCell ref="F45:F46"/>
    <mergeCell ref="H45:T45"/>
    <mergeCell ref="H46:M46"/>
    <mergeCell ref="O46:Q46"/>
    <mergeCell ref="R46:T46"/>
    <mergeCell ref="H43:J43"/>
    <mergeCell ref="O43:Q43"/>
    <mergeCell ref="H44:J44"/>
    <mergeCell ref="O44:T44"/>
  </mergeCells>
  <conditionalFormatting sqref="R19:T19">
    <cfRule type="iconSet" priority="7">
      <iconSet iconSet="3Symbols" showValue="0" reverse="1">
        <cfvo type="percent" val="0"/>
        <cfvo type="formula" val="$S$4"/>
        <cfvo type="formula" val="$S$4"/>
      </iconSet>
    </cfRule>
  </conditionalFormatting>
  <conditionalFormatting sqref="R46:T46">
    <cfRule type="iconSet" priority="1">
      <iconSet iconSet="3Symbols" showValue="0" reverse="1">
        <cfvo type="percent" val="0"/>
        <cfvo type="formula" val="$S$4"/>
        <cfvo type="formula" val="$S$4"/>
      </iconSet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S55"/>
  <sheetViews>
    <sheetView zoomScale="80" zoomScaleNormal="80" workbookViewId="0">
      <selection activeCell="S17" sqref="S17"/>
    </sheetView>
  </sheetViews>
  <sheetFormatPr defaultColWidth="9" defaultRowHeight="17.399999999999999" x14ac:dyDescent="0.3"/>
  <cols>
    <col min="1" max="1" width="3.77734375" style="30" customWidth="1"/>
    <col min="2" max="3" width="11.21875" style="30" customWidth="1"/>
    <col min="4" max="4" width="6.77734375" style="30" bestFit="1" customWidth="1"/>
    <col min="5" max="5" width="26.88671875" style="30" bestFit="1" customWidth="1"/>
    <col min="6" max="6" width="6.33203125" style="30" bestFit="1" customWidth="1"/>
    <col min="7" max="7" width="13.6640625" style="30" bestFit="1" customWidth="1"/>
    <col min="8" max="8" width="2.77734375" style="30" bestFit="1" customWidth="1"/>
    <col min="9" max="9" width="19" style="30" customWidth="1"/>
    <col min="10" max="11" width="15" style="30" customWidth="1"/>
    <col min="12" max="12" width="9.109375" style="30" bestFit="1" customWidth="1"/>
    <col min="13" max="13" width="9.6640625" style="30" bestFit="1" customWidth="1"/>
    <col min="14" max="14" width="5.109375" style="30" bestFit="1" customWidth="1"/>
    <col min="15" max="15" width="2.109375" style="30" customWidth="1"/>
    <col min="16" max="16" width="10.21875" style="30" customWidth="1"/>
    <col min="17" max="42" width="9" style="30"/>
    <col min="43" max="43" width="26.88671875" style="30" bestFit="1" customWidth="1"/>
    <col min="44" max="16384" width="9" style="30"/>
  </cols>
  <sheetData>
    <row r="1" spans="2:44" ht="18" thickBot="1" x14ac:dyDescent="0.35"/>
    <row r="2" spans="2:44" ht="18.75" customHeight="1" x14ac:dyDescent="0.3">
      <c r="B2" s="316" t="s">
        <v>262</v>
      </c>
      <c r="C2" s="331"/>
      <c r="D2" s="331"/>
      <c r="E2" s="331"/>
      <c r="F2" s="331"/>
      <c r="G2" s="331"/>
      <c r="H2" s="331"/>
      <c r="I2" s="174"/>
      <c r="J2" s="175"/>
      <c r="K2" s="175"/>
      <c r="L2" s="175"/>
      <c r="M2" s="175"/>
      <c r="N2" s="176"/>
      <c r="S2" s="123" t="s">
        <v>253</v>
      </c>
      <c r="T2" s="123" t="s">
        <v>191</v>
      </c>
      <c r="U2" s="123" t="s">
        <v>33</v>
      </c>
      <c r="V2" s="123" t="s">
        <v>103</v>
      </c>
      <c r="W2" s="123" t="s">
        <v>151</v>
      </c>
      <c r="X2" s="316" t="s">
        <v>263</v>
      </c>
      <c r="Y2" s="317"/>
    </row>
    <row r="3" spans="2:44" ht="18.75" customHeight="1" x14ac:dyDescent="0.3">
      <c r="B3" s="54" t="s">
        <v>253</v>
      </c>
      <c r="C3" s="54" t="s">
        <v>191</v>
      </c>
      <c r="D3" s="54" t="s">
        <v>33</v>
      </c>
      <c r="E3" s="54" t="s">
        <v>103</v>
      </c>
      <c r="F3" s="54" t="s">
        <v>151</v>
      </c>
      <c r="G3" s="316" t="s">
        <v>263</v>
      </c>
      <c r="H3" s="331"/>
      <c r="I3" s="177">
        <f>L19</f>
        <v>249.48611960584802</v>
      </c>
      <c r="J3" s="178"/>
      <c r="K3" s="150">
        <f>L21</f>
        <v>729.4486142831928</v>
      </c>
      <c r="L3" s="150" t="s">
        <v>33</v>
      </c>
      <c r="M3" s="150"/>
      <c r="N3" s="151"/>
      <c r="S3" s="275" t="s">
        <v>255</v>
      </c>
      <c r="T3" s="123" t="str">
        <f>'gear '!D45</f>
        <v>Gear 2</v>
      </c>
      <c r="U3" s="123">
        <f>'gear '!E45</f>
        <v>19</v>
      </c>
      <c r="V3" s="123">
        <f>'gear '!L35</f>
        <v>38</v>
      </c>
      <c r="W3" s="275">
        <f>'gear '!S39</f>
        <v>38</v>
      </c>
      <c r="X3" s="123">
        <f>G5</f>
        <v>45.240193685571889</v>
      </c>
      <c r="Y3" s="123" t="s">
        <v>33</v>
      </c>
      <c r="AA3" s="333" t="s">
        <v>152</v>
      </c>
      <c r="AB3" s="334"/>
      <c r="AC3" s="334"/>
      <c r="AD3" s="334"/>
      <c r="AE3" s="335"/>
      <c r="AG3" s="328" t="s">
        <v>204</v>
      </c>
      <c r="AH3" s="328"/>
      <c r="AI3" s="328"/>
      <c r="AJ3" s="328"/>
      <c r="AK3" s="328"/>
      <c r="AN3" s="330" t="s">
        <v>290</v>
      </c>
      <c r="AO3" s="336"/>
      <c r="AP3" s="336"/>
      <c r="AQ3" s="336"/>
      <c r="AR3" s="336"/>
    </row>
    <row r="4" spans="2:44" ht="18" x14ac:dyDescent="0.3">
      <c r="B4" s="275" t="s">
        <v>254</v>
      </c>
      <c r="C4" s="54" t="s">
        <v>249</v>
      </c>
      <c r="D4" s="54">
        <f>'gear '!E18</f>
        <v>20</v>
      </c>
      <c r="E4" s="54">
        <f>'gear '!L8/1000</f>
        <v>0.02</v>
      </c>
      <c r="F4" s="275">
        <f>'gear '!S12</f>
        <v>75.999999999999986</v>
      </c>
      <c r="G4" s="54">
        <f>G5/(D5/D4)</f>
        <v>6.8545748008442269</v>
      </c>
      <c r="H4" s="173" t="s">
        <v>33</v>
      </c>
      <c r="I4" s="179"/>
      <c r="J4" s="150"/>
      <c r="K4" s="150"/>
      <c r="L4" s="150"/>
      <c r="M4" s="150"/>
      <c r="N4" s="151"/>
      <c r="S4" s="275"/>
      <c r="T4" s="123" t="str">
        <f>'gear '!D46</f>
        <v>Gear 3</v>
      </c>
      <c r="U4" s="123">
        <f>'gear '!E46</f>
        <v>19</v>
      </c>
      <c r="V4" s="123">
        <f>'gear '!S35</f>
        <v>38</v>
      </c>
      <c r="W4" s="275"/>
      <c r="X4" s="123">
        <f>X3</f>
        <v>45.240193685571889</v>
      </c>
      <c r="Y4" s="123" t="s">
        <v>33</v>
      </c>
      <c r="AA4" s="275" t="s">
        <v>152</v>
      </c>
      <c r="AB4" s="275"/>
      <c r="AC4" s="123" t="str">
        <f>AI4</f>
        <v>wt</v>
      </c>
      <c r="AD4" s="123">
        <f>AD5/AD6</f>
        <v>2381.0628255564152</v>
      </c>
      <c r="AE4" s="123" t="s">
        <v>33</v>
      </c>
      <c r="AG4" s="275" t="s">
        <v>152</v>
      </c>
      <c r="AH4" s="275"/>
      <c r="AI4" s="123" t="s">
        <v>267</v>
      </c>
      <c r="AJ4" s="123">
        <f>'gear design'!AD4</f>
        <v>2381.0628255564152</v>
      </c>
      <c r="AK4" s="123" t="s">
        <v>33</v>
      </c>
      <c r="AN4" s="293" t="s">
        <v>202</v>
      </c>
      <c r="AO4" s="293"/>
      <c r="AP4" s="293"/>
      <c r="AQ4" s="124">
        <f>120*10^9</f>
        <v>120000000000</v>
      </c>
      <c r="AR4" s="124" t="s">
        <v>292</v>
      </c>
    </row>
    <row r="5" spans="2:44" ht="18" x14ac:dyDescent="0.3">
      <c r="B5" s="275"/>
      <c r="C5" s="54" t="s">
        <v>250</v>
      </c>
      <c r="D5" s="54">
        <f>'gear '!E19</f>
        <v>131.99999999999997</v>
      </c>
      <c r="E5" s="54">
        <f>'gear '!S8/1000</f>
        <v>0.13199999999999998</v>
      </c>
      <c r="F5" s="275"/>
      <c r="G5" s="54">
        <f>'Rolling Force'!N20</f>
        <v>45.240193685571889</v>
      </c>
      <c r="H5" s="173" t="s">
        <v>33</v>
      </c>
      <c r="I5" s="179"/>
      <c r="J5" s="150"/>
      <c r="K5" s="150"/>
      <c r="L5" s="150"/>
      <c r="M5" s="150"/>
      <c r="N5" s="151"/>
      <c r="AA5" s="275" t="s">
        <v>98</v>
      </c>
      <c r="AB5" s="275"/>
      <c r="AC5" s="123" t="s">
        <v>43</v>
      </c>
      <c r="AD5" s="123">
        <f>X3</f>
        <v>45.240193685571889</v>
      </c>
      <c r="AE5" s="123" t="s">
        <v>51</v>
      </c>
      <c r="AG5" s="275" t="s">
        <v>120</v>
      </c>
      <c r="AH5" s="275"/>
      <c r="AI5" s="123" t="s">
        <v>268</v>
      </c>
      <c r="AJ5" s="123">
        <v>20</v>
      </c>
      <c r="AK5" s="123" t="s">
        <v>7</v>
      </c>
      <c r="AN5" s="293" t="s">
        <v>201</v>
      </c>
      <c r="AO5" s="293"/>
      <c r="AP5" s="293"/>
      <c r="AQ5" s="124">
        <f>120*10^9</f>
        <v>120000000000</v>
      </c>
      <c r="AR5" s="124" t="s">
        <v>292</v>
      </c>
    </row>
    <row r="6" spans="2:44" ht="18" x14ac:dyDescent="0.3">
      <c r="I6" s="179"/>
      <c r="J6" s="150"/>
      <c r="K6" s="150"/>
      <c r="L6" s="315">
        <f>L17</f>
        <v>685.45748008442263</v>
      </c>
      <c r="M6" s="315"/>
      <c r="N6" s="151" t="s">
        <v>33</v>
      </c>
      <c r="AA6" s="275" t="s">
        <v>265</v>
      </c>
      <c r="AB6" s="275"/>
      <c r="AC6" s="123" t="s">
        <v>264</v>
      </c>
      <c r="AD6" s="123">
        <f>AD7*AD8/2</f>
        <v>1.9E-2</v>
      </c>
      <c r="AE6" s="44"/>
      <c r="AG6" s="275" t="s">
        <v>204</v>
      </c>
      <c r="AH6" s="275"/>
      <c r="AI6" s="123" t="s">
        <v>269</v>
      </c>
      <c r="AJ6" s="123">
        <f>AJ4*TAN(RADIANS(AJ5))</f>
        <v>866.63599442031409</v>
      </c>
      <c r="AK6" s="123" t="s">
        <v>33</v>
      </c>
      <c r="AN6" s="293" t="s">
        <v>200</v>
      </c>
      <c r="AO6" s="293"/>
      <c r="AP6" s="293"/>
      <c r="AQ6" s="124">
        <v>0.26</v>
      </c>
      <c r="AR6" s="64" t="s">
        <v>207</v>
      </c>
    </row>
    <row r="7" spans="2:44" ht="18" x14ac:dyDescent="0.3">
      <c r="I7" s="179"/>
      <c r="J7" s="150"/>
      <c r="K7" s="150">
        <f>L17</f>
        <v>685.45748008442263</v>
      </c>
      <c r="L7" s="150" t="s">
        <v>33</v>
      </c>
      <c r="M7" s="150"/>
      <c r="N7" s="151"/>
      <c r="AA7" s="275" t="s">
        <v>206</v>
      </c>
      <c r="AB7" s="275"/>
      <c r="AC7" s="123" t="s">
        <v>89</v>
      </c>
      <c r="AD7" s="123">
        <f>'gear '!L32/1000</f>
        <v>2E-3</v>
      </c>
      <c r="AE7" s="123" t="s">
        <v>89</v>
      </c>
      <c r="AG7" s="328" t="s">
        <v>203</v>
      </c>
      <c r="AH7" s="328"/>
      <c r="AI7" s="328"/>
      <c r="AJ7" s="328"/>
      <c r="AK7" s="328"/>
      <c r="AN7" s="293" t="s">
        <v>285</v>
      </c>
      <c r="AO7" s="293"/>
      <c r="AP7" s="293"/>
      <c r="AQ7" s="69">
        <f>2/(((1-AQ6^2)/AQ4)+(1-AQ6^2)/AQ5)</f>
        <v>128700128700.12871</v>
      </c>
      <c r="AR7" s="64" t="s">
        <v>207</v>
      </c>
    </row>
    <row r="8" spans="2:44" ht="18" x14ac:dyDescent="0.3">
      <c r="I8" s="179"/>
      <c r="J8" s="150"/>
      <c r="K8" s="150"/>
      <c r="L8" s="150"/>
      <c r="M8" s="150"/>
      <c r="N8" s="151"/>
      <c r="AA8" s="275" t="s">
        <v>205</v>
      </c>
      <c r="AB8" s="275"/>
      <c r="AC8" s="123" t="s">
        <v>33</v>
      </c>
      <c r="AD8" s="123">
        <f>U3</f>
        <v>19</v>
      </c>
      <c r="AE8" s="126" t="s">
        <v>207</v>
      </c>
      <c r="AG8" s="275" t="s">
        <v>266</v>
      </c>
      <c r="AH8" s="275"/>
      <c r="AI8" s="123" t="s">
        <v>270</v>
      </c>
      <c r="AJ8" s="123">
        <f>SQRT('gear design'!AJ6^2+'gear design'!AD4^2)</f>
        <v>2533.8741338258274</v>
      </c>
      <c r="AK8" s="123" t="s">
        <v>33</v>
      </c>
      <c r="AN8" s="293" t="s">
        <v>163</v>
      </c>
      <c r="AO8" s="293"/>
      <c r="AP8" s="293"/>
      <c r="AQ8" s="124">
        <f>AQ9/(AQ7*AQ12)</f>
        <v>2.4237663872365906E-7</v>
      </c>
      <c r="AR8" s="64" t="s">
        <v>207</v>
      </c>
    </row>
    <row r="9" spans="2:44" ht="18" x14ac:dyDescent="0.3">
      <c r="B9" s="333" t="s">
        <v>152</v>
      </c>
      <c r="C9" s="334"/>
      <c r="D9" s="334"/>
      <c r="E9" s="334"/>
      <c r="F9" s="335"/>
      <c r="I9" s="179"/>
      <c r="J9" s="150"/>
      <c r="K9" s="150"/>
      <c r="L9" s="150"/>
      <c r="M9" s="150"/>
      <c r="N9" s="151"/>
      <c r="AN9" s="275" t="s">
        <v>286</v>
      </c>
      <c r="AO9" s="275"/>
      <c r="AP9" s="275"/>
      <c r="AQ9" s="123">
        <f>AQ10/AQ11</f>
        <v>101354.96535303308</v>
      </c>
      <c r="AR9" s="124" t="s">
        <v>302</v>
      </c>
    </row>
    <row r="10" spans="2:44" x14ac:dyDescent="0.3">
      <c r="B10" s="275" t="s">
        <v>152</v>
      </c>
      <c r="C10" s="275"/>
      <c r="D10" s="54" t="str">
        <f>K17</f>
        <v>wt</v>
      </c>
      <c r="E10" s="54">
        <f>E11/E12</f>
        <v>685.45748008442263</v>
      </c>
      <c r="F10" s="54" t="s">
        <v>33</v>
      </c>
      <c r="I10" s="179"/>
      <c r="J10" s="150"/>
      <c r="K10" s="150"/>
      <c r="L10" s="150"/>
      <c r="M10" s="150"/>
      <c r="N10" s="151"/>
      <c r="AA10" s="333" t="s">
        <v>210</v>
      </c>
      <c r="AB10" s="334"/>
      <c r="AC10" s="334"/>
      <c r="AD10" s="334"/>
      <c r="AE10" s="335"/>
      <c r="AG10" s="333" t="s">
        <v>277</v>
      </c>
      <c r="AH10" s="334"/>
      <c r="AI10" s="334"/>
      <c r="AJ10" s="334"/>
      <c r="AK10" s="335"/>
      <c r="AN10" s="275" t="s">
        <v>287</v>
      </c>
      <c r="AO10" s="275"/>
      <c r="AP10" s="275"/>
      <c r="AQ10" s="123">
        <f>AJ8</f>
        <v>2533.8741338258274</v>
      </c>
      <c r="AR10" s="123" t="s">
        <v>33</v>
      </c>
    </row>
    <row r="11" spans="2:44" x14ac:dyDescent="0.3">
      <c r="B11" s="275" t="s">
        <v>98</v>
      </c>
      <c r="C11" s="275"/>
      <c r="D11" s="54" t="s">
        <v>43</v>
      </c>
      <c r="E11" s="54">
        <f>G4</f>
        <v>6.8545748008442269</v>
      </c>
      <c r="F11" s="54" t="s">
        <v>51</v>
      </c>
      <c r="I11" s="179"/>
      <c r="J11" s="150"/>
      <c r="K11" s="150"/>
      <c r="L11" s="150"/>
      <c r="M11" s="150"/>
      <c r="N11" s="151"/>
      <c r="AA11" s="275" t="str">
        <f>AA4</f>
        <v>tangential force</v>
      </c>
      <c r="AB11" s="275"/>
      <c r="AC11" s="123" t="s">
        <v>213</v>
      </c>
      <c r="AD11" s="123">
        <f>AD4</f>
        <v>2381.0628255564152</v>
      </c>
      <c r="AE11" s="123" t="str">
        <f>AE4</f>
        <v>N</v>
      </c>
      <c r="AG11" s="275" t="s">
        <v>11</v>
      </c>
      <c r="AH11" s="275"/>
      <c r="AI11" s="275" t="s">
        <v>303</v>
      </c>
      <c r="AJ11" s="275"/>
      <c r="AK11" s="275"/>
      <c r="AN11" s="275" t="s">
        <v>288</v>
      </c>
      <c r="AO11" s="275"/>
      <c r="AP11" s="275"/>
      <c r="AQ11" s="123">
        <f>AD13</f>
        <v>2.5000000000000001E-2</v>
      </c>
      <c r="AR11" s="123" t="s">
        <v>89</v>
      </c>
    </row>
    <row r="12" spans="2:44" x14ac:dyDescent="0.3">
      <c r="B12" s="275" t="s">
        <v>265</v>
      </c>
      <c r="C12" s="275"/>
      <c r="D12" s="54" t="s">
        <v>264</v>
      </c>
      <c r="E12" s="54">
        <f>E13*E14/2</f>
        <v>0.01</v>
      </c>
      <c r="F12" s="44"/>
      <c r="I12" s="179"/>
      <c r="J12" s="150"/>
      <c r="K12" s="150"/>
      <c r="L12" s="150"/>
      <c r="M12" s="150"/>
      <c r="N12" s="151"/>
      <c r="AA12" s="275" t="s">
        <v>153</v>
      </c>
      <c r="AB12" s="275"/>
      <c r="AC12" s="123" t="s">
        <v>128</v>
      </c>
      <c r="AD12" s="123">
        <f>1/AD7</f>
        <v>500</v>
      </c>
      <c r="AE12" s="123" t="s">
        <v>278</v>
      </c>
      <c r="AG12" s="275" t="s">
        <v>271</v>
      </c>
      <c r="AH12" s="275"/>
      <c r="AI12" s="123" t="s">
        <v>272</v>
      </c>
      <c r="AJ12" s="123">
        <v>229</v>
      </c>
      <c r="AK12" s="123" t="s">
        <v>272</v>
      </c>
      <c r="AN12" s="275" t="s">
        <v>289</v>
      </c>
      <c r="AO12" s="275"/>
      <c r="AP12" s="275"/>
      <c r="AQ12" s="123">
        <f>(((1/V3)+(1/V4))*(2/SIN(RADIANS(AJ5))))^-1</f>
        <v>3.2491913615938524</v>
      </c>
      <c r="AR12" s="126" t="s">
        <v>207</v>
      </c>
    </row>
    <row r="13" spans="2:44" ht="18" x14ac:dyDescent="0.3">
      <c r="B13" s="275" t="s">
        <v>206</v>
      </c>
      <c r="C13" s="275"/>
      <c r="D13" s="54" t="s">
        <v>89</v>
      </c>
      <c r="E13" s="54">
        <f>'gear '!L5/1000</f>
        <v>1E-3</v>
      </c>
      <c r="F13" s="54" t="s">
        <v>89</v>
      </c>
      <c r="I13" s="179"/>
      <c r="J13" s="150"/>
      <c r="K13" s="150"/>
      <c r="L13" s="150"/>
      <c r="M13" s="150"/>
      <c r="N13" s="151"/>
      <c r="AA13" s="275" t="s">
        <v>154</v>
      </c>
      <c r="AB13" s="275"/>
      <c r="AC13" s="123"/>
      <c r="AD13" s="123">
        <f>'gear '!L44/1000</f>
        <v>2.5000000000000001E-2</v>
      </c>
      <c r="AE13" s="123" t="s">
        <v>89</v>
      </c>
      <c r="AG13" s="275" t="s">
        <v>273</v>
      </c>
      <c r="AH13" s="275"/>
      <c r="AI13" s="275"/>
      <c r="AJ13" s="123">
        <v>185</v>
      </c>
      <c r="AK13" s="123" t="s">
        <v>274</v>
      </c>
      <c r="AN13" s="293" t="s">
        <v>162</v>
      </c>
      <c r="AO13" s="293"/>
      <c r="AP13" s="293"/>
      <c r="AQ13" s="124">
        <f>AQ7*(AQ8/(2*22/7))^0.5</f>
        <v>25272432.319278345</v>
      </c>
      <c r="AR13" s="126" t="s">
        <v>207</v>
      </c>
    </row>
    <row r="14" spans="2:44" ht="18" thickBot="1" x14ac:dyDescent="0.35">
      <c r="B14" s="275" t="s">
        <v>205</v>
      </c>
      <c r="C14" s="275"/>
      <c r="D14" s="54" t="s">
        <v>33</v>
      </c>
      <c r="E14" s="54">
        <f>D4</f>
        <v>20</v>
      </c>
      <c r="F14" s="61" t="s">
        <v>207</v>
      </c>
      <c r="I14" s="180"/>
      <c r="J14" s="155"/>
      <c r="K14" s="155"/>
      <c r="L14" s="155"/>
      <c r="M14" s="155"/>
      <c r="N14" s="156"/>
      <c r="AA14" s="275" t="s">
        <v>155</v>
      </c>
      <c r="AB14" s="275"/>
      <c r="AC14" s="123"/>
      <c r="AD14" s="123">
        <v>0.37</v>
      </c>
      <c r="AE14" s="126" t="s">
        <v>207</v>
      </c>
      <c r="AG14" s="316" t="s">
        <v>275</v>
      </c>
      <c r="AH14" s="331"/>
      <c r="AI14" s="317"/>
      <c r="AJ14" s="123">
        <v>1.2</v>
      </c>
      <c r="AK14" s="126" t="s">
        <v>207</v>
      </c>
      <c r="AL14" s="275">
        <f>AJ15</f>
        <v>128.70609867872514</v>
      </c>
      <c r="AN14" s="275" t="s">
        <v>291</v>
      </c>
      <c r="AO14" s="275"/>
      <c r="AP14" s="275"/>
      <c r="AQ14" s="123">
        <f>AQ13*(AD20*AD21*AD22*AD28)^0.5</f>
        <v>21068679.822637577</v>
      </c>
      <c r="AR14" s="123" t="s">
        <v>209</v>
      </c>
    </row>
    <row r="15" spans="2:44" x14ac:dyDescent="0.3">
      <c r="AA15" s="275" t="s">
        <v>156</v>
      </c>
      <c r="AB15" s="275"/>
      <c r="AC15" s="123" t="s">
        <v>102</v>
      </c>
      <c r="AD15" s="123">
        <f>(AD11*AD12)/(AD13*AD14)</f>
        <v>128706098.67872515</v>
      </c>
      <c r="AE15" s="123" t="s">
        <v>209</v>
      </c>
      <c r="AG15" s="332" t="s">
        <v>276</v>
      </c>
      <c r="AH15" s="331"/>
      <c r="AI15" s="317"/>
      <c r="AJ15" s="123">
        <f>AD15*10^-6</f>
        <v>128.70609867872514</v>
      </c>
      <c r="AK15" s="123" t="str">
        <f>AK13</f>
        <v>MPA</v>
      </c>
      <c r="AL15" s="275"/>
      <c r="AN15" s="275" t="s">
        <v>59</v>
      </c>
      <c r="AO15" s="275"/>
      <c r="AP15" s="275"/>
      <c r="AQ15" s="123">
        <v>1.2</v>
      </c>
      <c r="AR15" s="126" t="s">
        <v>207</v>
      </c>
    </row>
    <row r="16" spans="2:44" x14ac:dyDescent="0.3">
      <c r="B16" s="333" t="s">
        <v>210</v>
      </c>
      <c r="C16" s="334"/>
      <c r="D16" s="334"/>
      <c r="E16" s="334"/>
      <c r="F16" s="335"/>
      <c r="I16" s="328" t="s">
        <v>204</v>
      </c>
      <c r="J16" s="328"/>
      <c r="K16" s="328"/>
      <c r="L16" s="328"/>
      <c r="M16" s="328"/>
    </row>
    <row r="17" spans="2:45" ht="18" x14ac:dyDescent="0.3">
      <c r="B17" s="275" t="str">
        <f>B10</f>
        <v>tangential force</v>
      </c>
      <c r="C17" s="275"/>
      <c r="D17" s="54" t="s">
        <v>213</v>
      </c>
      <c r="E17" s="54">
        <f>E10</f>
        <v>685.45748008442263</v>
      </c>
      <c r="F17" s="54" t="str">
        <f>F10</f>
        <v>N</v>
      </c>
      <c r="I17" s="275" t="s">
        <v>152</v>
      </c>
      <c r="J17" s="275"/>
      <c r="K17" s="66" t="s">
        <v>267</v>
      </c>
      <c r="L17" s="66">
        <f>'gear design'!E10</f>
        <v>685.45748008442263</v>
      </c>
      <c r="M17" s="66" t="s">
        <v>33</v>
      </c>
      <c r="AA17" s="328" t="s">
        <v>211</v>
      </c>
      <c r="AB17" s="328"/>
      <c r="AC17" s="328"/>
      <c r="AD17" s="328"/>
      <c r="AE17" s="328"/>
      <c r="AG17" s="329" t="s">
        <v>158</v>
      </c>
      <c r="AH17" s="329"/>
      <c r="AI17" s="329"/>
      <c r="AJ17" s="329"/>
      <c r="AK17" s="329"/>
      <c r="AN17" s="330" t="s">
        <v>164</v>
      </c>
      <c r="AO17" s="330"/>
      <c r="AP17" s="330"/>
      <c r="AQ17" s="330"/>
      <c r="AR17" s="330"/>
    </row>
    <row r="18" spans="2:45" ht="18" x14ac:dyDescent="0.3">
      <c r="B18" s="275" t="s">
        <v>153</v>
      </c>
      <c r="C18" s="275"/>
      <c r="D18" s="54" t="s">
        <v>128</v>
      </c>
      <c r="E18" s="54">
        <f>1/E13</f>
        <v>1000</v>
      </c>
      <c r="F18" s="54" t="s">
        <v>278</v>
      </c>
      <c r="I18" s="275" t="s">
        <v>120</v>
      </c>
      <c r="J18" s="275"/>
      <c r="K18" s="66" t="s">
        <v>268</v>
      </c>
      <c r="L18" s="66">
        <f>'gear '!S5</f>
        <v>20</v>
      </c>
      <c r="M18" s="66" t="s">
        <v>7</v>
      </c>
      <c r="AA18" s="275" t="s">
        <v>236</v>
      </c>
      <c r="AB18" s="275"/>
      <c r="AC18" s="123" t="str">
        <f>AC4</f>
        <v>wt</v>
      </c>
      <c r="AD18" s="123">
        <f>'gear design'!AD4</f>
        <v>2381.0628255564152</v>
      </c>
      <c r="AE18" s="123" t="s">
        <v>33</v>
      </c>
      <c r="AG18" s="304" t="s">
        <v>282</v>
      </c>
      <c r="AH18" s="275"/>
      <c r="AI18" s="275"/>
      <c r="AJ18" s="123">
        <f>AJ13</f>
        <v>185</v>
      </c>
      <c r="AK18" s="123" t="s">
        <v>14</v>
      </c>
      <c r="AN18" s="304" t="s">
        <v>293</v>
      </c>
      <c r="AO18" s="275"/>
      <c r="AP18" s="275"/>
      <c r="AQ18" s="124">
        <v>635</v>
      </c>
      <c r="AR18" s="123" t="s">
        <v>15</v>
      </c>
    </row>
    <row r="19" spans="2:45" ht="18" x14ac:dyDescent="0.3">
      <c r="B19" s="275" t="s">
        <v>154</v>
      </c>
      <c r="C19" s="275"/>
      <c r="D19" s="54"/>
      <c r="E19" s="54">
        <f>'gear '!L17/1000</f>
        <v>2.5000000000000001E-2</v>
      </c>
      <c r="F19" s="54" t="s">
        <v>89</v>
      </c>
      <c r="I19" s="275" t="s">
        <v>204</v>
      </c>
      <c r="J19" s="275"/>
      <c r="K19" s="66" t="s">
        <v>269</v>
      </c>
      <c r="L19" s="66">
        <f>L17*TAN(RADIANS(L18))</f>
        <v>249.48611960584802</v>
      </c>
      <c r="M19" s="66" t="s">
        <v>33</v>
      </c>
      <c r="AA19" s="275" t="s">
        <v>153</v>
      </c>
      <c r="AB19" s="275"/>
      <c r="AC19" s="123" t="s">
        <v>128</v>
      </c>
      <c r="AD19" s="123">
        <f>1/AD7</f>
        <v>500</v>
      </c>
      <c r="AE19" s="123" t="str">
        <f>AE12</f>
        <v>1/m</v>
      </c>
      <c r="AG19" s="275" t="s">
        <v>159</v>
      </c>
      <c r="AH19" s="275"/>
      <c r="AI19" s="275"/>
      <c r="AJ19" s="123">
        <v>1.2</v>
      </c>
      <c r="AK19" s="126" t="s">
        <v>207</v>
      </c>
      <c r="AN19" s="304" t="s">
        <v>294</v>
      </c>
      <c r="AO19" s="275"/>
      <c r="AP19" s="275"/>
      <c r="AQ19" s="124">
        <v>1.2</v>
      </c>
      <c r="AR19" s="126" t="s">
        <v>207</v>
      </c>
    </row>
    <row r="20" spans="2:45" ht="18" x14ac:dyDescent="0.3">
      <c r="B20" s="275" t="s">
        <v>155</v>
      </c>
      <c r="C20" s="275"/>
      <c r="D20" s="54"/>
      <c r="E20" s="54">
        <v>0.37</v>
      </c>
      <c r="F20" s="61" t="s">
        <v>207</v>
      </c>
      <c r="I20" s="328" t="s">
        <v>203</v>
      </c>
      <c r="J20" s="328"/>
      <c r="K20" s="328"/>
      <c r="L20" s="328"/>
      <c r="M20" s="328"/>
      <c r="AA20" s="324" t="s">
        <v>214</v>
      </c>
      <c r="AB20" s="324"/>
      <c r="AC20" s="127" t="s">
        <v>215</v>
      </c>
      <c r="AD20" s="49">
        <v>1.25</v>
      </c>
      <c r="AE20" s="127" t="s">
        <v>207</v>
      </c>
      <c r="AG20" s="304" t="s">
        <v>283</v>
      </c>
      <c r="AH20" s="275"/>
      <c r="AI20" s="275"/>
      <c r="AJ20" s="123">
        <v>1</v>
      </c>
      <c r="AK20" s="126" t="s">
        <v>207</v>
      </c>
      <c r="AN20" s="304" t="s">
        <v>299</v>
      </c>
      <c r="AO20" s="275"/>
      <c r="AP20" s="275"/>
      <c r="AQ20" s="124">
        <v>1.1000000000000001</v>
      </c>
      <c r="AR20" s="126" t="s">
        <v>207</v>
      </c>
    </row>
    <row r="21" spans="2:45" ht="18.600000000000001" thickBot="1" x14ac:dyDescent="0.35">
      <c r="B21" s="275" t="s">
        <v>156</v>
      </c>
      <c r="C21" s="275"/>
      <c r="D21" s="54" t="s">
        <v>102</v>
      </c>
      <c r="E21" s="54">
        <f>(E17*E18)/(E19*E20)</f>
        <v>74103511.360478118</v>
      </c>
      <c r="F21" s="54" t="s">
        <v>209</v>
      </c>
      <c r="I21" s="275" t="s">
        <v>266</v>
      </c>
      <c r="J21" s="275"/>
      <c r="K21" s="66" t="s">
        <v>270</v>
      </c>
      <c r="L21" s="66">
        <f>SQRT('gear design'!L19^2+'gear design'!E10^2)</f>
        <v>729.4486142831928</v>
      </c>
      <c r="M21" s="66" t="s">
        <v>33</v>
      </c>
      <c r="AA21" s="327" t="s">
        <v>216</v>
      </c>
      <c r="AB21" s="327"/>
      <c r="AC21" s="128" t="s">
        <v>217</v>
      </c>
      <c r="AD21" s="53">
        <v>1</v>
      </c>
      <c r="AE21" s="128" t="s">
        <v>207</v>
      </c>
      <c r="AG21" s="275" t="s">
        <v>160</v>
      </c>
      <c r="AH21" s="275"/>
      <c r="AI21" s="275"/>
      <c r="AJ21" s="123">
        <v>1</v>
      </c>
      <c r="AK21" s="126" t="s">
        <v>207</v>
      </c>
      <c r="AN21" s="304" t="s">
        <v>295</v>
      </c>
      <c r="AO21" s="275"/>
      <c r="AP21" s="275"/>
      <c r="AQ21" s="124">
        <v>1</v>
      </c>
      <c r="AR21" s="126" t="s">
        <v>207</v>
      </c>
    </row>
    <row r="22" spans="2:45" ht="18" x14ac:dyDescent="0.3">
      <c r="AA22" s="321" t="s">
        <v>218</v>
      </c>
      <c r="AB22" s="322"/>
      <c r="AC22" s="129" t="s">
        <v>219</v>
      </c>
      <c r="AD22" s="129">
        <f>1+AD23*((AD24*AD25)+(AD26*AD27))</f>
        <v>1.123</v>
      </c>
      <c r="AE22" s="48" t="s">
        <v>207</v>
      </c>
      <c r="AG22" s="275" t="s">
        <v>161</v>
      </c>
      <c r="AH22" s="275"/>
      <c r="AI22" s="275"/>
      <c r="AJ22" s="123">
        <v>1</v>
      </c>
      <c r="AK22" s="126" t="s">
        <v>207</v>
      </c>
      <c r="AN22" s="304" t="s">
        <v>296</v>
      </c>
      <c r="AO22" s="275"/>
      <c r="AP22" s="275"/>
      <c r="AQ22" s="124">
        <v>1</v>
      </c>
      <c r="AR22" s="126" t="s">
        <v>207</v>
      </c>
    </row>
    <row r="23" spans="2:45" ht="18" x14ac:dyDescent="0.3">
      <c r="B23" s="328" t="s">
        <v>211</v>
      </c>
      <c r="C23" s="328"/>
      <c r="D23" s="328"/>
      <c r="E23" s="328"/>
      <c r="F23" s="328"/>
      <c r="I23" s="333" t="s">
        <v>277</v>
      </c>
      <c r="J23" s="334"/>
      <c r="K23" s="334"/>
      <c r="L23" s="334"/>
      <c r="M23" s="335"/>
      <c r="AA23" s="318" t="s">
        <v>226</v>
      </c>
      <c r="AB23" s="275"/>
      <c r="AC23" s="123" t="s">
        <v>227</v>
      </c>
      <c r="AD23" s="123">
        <v>1</v>
      </c>
      <c r="AE23" s="46" t="s">
        <v>207</v>
      </c>
      <c r="AG23" s="275" t="s">
        <v>284</v>
      </c>
      <c r="AH23" s="275"/>
      <c r="AI23" s="275"/>
      <c r="AJ23" s="123">
        <f>(AJ18*AJ20)/(AJ19*AJ21*AJ22)</f>
        <v>154.16666666666669</v>
      </c>
      <c r="AK23" s="126" t="s">
        <v>14</v>
      </c>
      <c r="AL23" s="275">
        <f>AJ24</f>
        <v>113.76904679223119</v>
      </c>
      <c r="AN23" s="304" t="s">
        <v>297</v>
      </c>
      <c r="AO23" s="275"/>
      <c r="AP23" s="275"/>
      <c r="AQ23" s="124">
        <v>1.1000000000000001</v>
      </c>
      <c r="AR23" s="126" t="s">
        <v>207</v>
      </c>
    </row>
    <row r="24" spans="2:45" ht="18" x14ac:dyDescent="0.3">
      <c r="B24" s="275" t="s">
        <v>236</v>
      </c>
      <c r="C24" s="275"/>
      <c r="D24" s="54" t="str">
        <f>D10</f>
        <v>wt</v>
      </c>
      <c r="E24" s="54">
        <f>'gear design'!E10</f>
        <v>685.45748008442263</v>
      </c>
      <c r="F24" s="54" t="s">
        <v>33</v>
      </c>
      <c r="I24" s="275" t="s">
        <v>11</v>
      </c>
      <c r="J24" s="275"/>
      <c r="K24" s="275" t="s">
        <v>303</v>
      </c>
      <c r="L24" s="275"/>
      <c r="M24" s="275"/>
      <c r="AA24" s="318" t="s">
        <v>228</v>
      </c>
      <c r="AB24" s="275"/>
      <c r="AC24" s="123" t="s">
        <v>229</v>
      </c>
      <c r="AD24" s="123">
        <v>3.5000000000000003E-2</v>
      </c>
      <c r="AE24" s="46" t="s">
        <v>207</v>
      </c>
      <c r="AG24" s="275" t="s">
        <v>276</v>
      </c>
      <c r="AH24" s="275"/>
      <c r="AI24" s="275"/>
      <c r="AJ24" s="123">
        <f>AD35*10^-6</f>
        <v>113.76904679223119</v>
      </c>
      <c r="AK24" s="123" t="s">
        <v>301</v>
      </c>
      <c r="AL24" s="275"/>
      <c r="AN24" s="304" t="s">
        <v>298</v>
      </c>
      <c r="AO24" s="275"/>
      <c r="AP24" s="275"/>
      <c r="AQ24" s="124">
        <f>(AQ18*AQ20*AQ23)/(AQ19*AQ21*AQ22)</f>
        <v>640.29166666666674</v>
      </c>
      <c r="AR24" s="123" t="s">
        <v>14</v>
      </c>
      <c r="AS24" s="275">
        <f>AQ25</f>
        <v>21.068679822637577</v>
      </c>
    </row>
    <row r="25" spans="2:45" x14ac:dyDescent="0.3">
      <c r="B25" s="275" t="s">
        <v>153</v>
      </c>
      <c r="C25" s="275"/>
      <c r="D25" s="54" t="s">
        <v>128</v>
      </c>
      <c r="E25" s="54">
        <f>1/E13</f>
        <v>1000</v>
      </c>
      <c r="F25" s="54" t="str">
        <f>F18</f>
        <v>1/m</v>
      </c>
      <c r="I25" s="275" t="s">
        <v>271</v>
      </c>
      <c r="J25" s="275"/>
      <c r="K25" s="54" t="s">
        <v>272</v>
      </c>
      <c r="L25" s="54">
        <v>201</v>
      </c>
      <c r="M25" s="54" t="s">
        <v>272</v>
      </c>
      <c r="AA25" s="318" t="s">
        <v>230</v>
      </c>
      <c r="AB25" s="275"/>
      <c r="AC25" s="123" t="s">
        <v>231</v>
      </c>
      <c r="AD25" s="123">
        <v>1</v>
      </c>
      <c r="AE25" s="46" t="s">
        <v>207</v>
      </c>
      <c r="AN25" s="325" t="s">
        <v>300</v>
      </c>
      <c r="AO25" s="326"/>
      <c r="AP25" s="275"/>
      <c r="AQ25" s="123">
        <f>AQ14*10^-6</f>
        <v>21.068679822637577</v>
      </c>
      <c r="AR25" s="123" t="s">
        <v>14</v>
      </c>
      <c r="AS25" s="275"/>
    </row>
    <row r="26" spans="2:45" x14ac:dyDescent="0.3">
      <c r="B26" s="324" t="s">
        <v>214</v>
      </c>
      <c r="C26" s="324"/>
      <c r="D26" s="57" t="s">
        <v>215</v>
      </c>
      <c r="E26" s="49">
        <v>1.25</v>
      </c>
      <c r="F26" s="57" t="s">
        <v>207</v>
      </c>
      <c r="I26" s="275" t="s">
        <v>273</v>
      </c>
      <c r="J26" s="275"/>
      <c r="K26" s="275"/>
      <c r="L26" s="168">
        <v>90</v>
      </c>
      <c r="M26" s="54" t="s">
        <v>274</v>
      </c>
      <c r="AA26" s="318" t="s">
        <v>232</v>
      </c>
      <c r="AB26" s="275"/>
      <c r="AC26" s="123" t="s">
        <v>233</v>
      </c>
      <c r="AD26" s="123">
        <v>0.11</v>
      </c>
      <c r="AE26" s="46" t="s">
        <v>207</v>
      </c>
      <c r="AG26" s="183"/>
      <c r="AH26" s="184"/>
      <c r="AI26" s="184"/>
      <c r="AJ26" s="184"/>
      <c r="AK26" s="184"/>
      <c r="AL26" s="184"/>
      <c r="AM26" s="184"/>
      <c r="AN26" s="184"/>
      <c r="AO26" s="185"/>
    </row>
    <row r="27" spans="2:45" ht="18" thickBot="1" x14ac:dyDescent="0.35">
      <c r="B27" s="327" t="s">
        <v>216</v>
      </c>
      <c r="C27" s="327"/>
      <c r="D27" s="58" t="s">
        <v>217</v>
      </c>
      <c r="E27" s="53">
        <v>1</v>
      </c>
      <c r="F27" s="58" t="s">
        <v>207</v>
      </c>
      <c r="I27" s="316" t="s">
        <v>275</v>
      </c>
      <c r="J27" s="331"/>
      <c r="K27" s="317"/>
      <c r="L27" s="54">
        <v>1.2</v>
      </c>
      <c r="M27" s="61" t="s">
        <v>207</v>
      </c>
      <c r="N27" s="275">
        <f>L28</f>
        <v>74.103511360478109</v>
      </c>
      <c r="AA27" s="319" t="s">
        <v>234</v>
      </c>
      <c r="AB27" s="320"/>
      <c r="AC27" s="132" t="s">
        <v>235</v>
      </c>
      <c r="AD27" s="123">
        <v>0.8</v>
      </c>
      <c r="AE27" s="47" t="s">
        <v>207</v>
      </c>
      <c r="AG27" s="186"/>
      <c r="AH27" s="315">
        <f>AD4</f>
        <v>2381.0628255564152</v>
      </c>
      <c r="AI27" s="315"/>
      <c r="AJ27" s="182" t="s">
        <v>14</v>
      </c>
      <c r="AK27" s="182"/>
      <c r="AL27" s="182"/>
      <c r="AM27" s="182"/>
      <c r="AN27" s="182"/>
      <c r="AO27" s="187"/>
    </row>
    <row r="28" spans="2:45" x14ac:dyDescent="0.3">
      <c r="B28" s="321" t="s">
        <v>218</v>
      </c>
      <c r="C28" s="322"/>
      <c r="D28" s="59" t="s">
        <v>219</v>
      </c>
      <c r="E28" s="59">
        <f>1+E29*((E30*E31)+(E32*E33))</f>
        <v>1.1960222215594891</v>
      </c>
      <c r="F28" s="48" t="s">
        <v>207</v>
      </c>
      <c r="I28" s="332" t="s">
        <v>276</v>
      </c>
      <c r="J28" s="331"/>
      <c r="K28" s="317"/>
      <c r="L28" s="54">
        <f>E21*10^-6</f>
        <v>74.103511360478109</v>
      </c>
      <c r="M28" s="54" t="str">
        <f>M26</f>
        <v>MPA</v>
      </c>
      <c r="N28" s="275"/>
      <c r="AA28" s="321" t="s">
        <v>220</v>
      </c>
      <c r="AB28" s="322"/>
      <c r="AC28" s="129" t="s">
        <v>221</v>
      </c>
      <c r="AD28" s="51">
        <f>50/(50+SQRT(200*AD29))</f>
        <v>0.49509756796392412</v>
      </c>
      <c r="AE28" s="52"/>
      <c r="AG28" s="186"/>
      <c r="AH28" s="182"/>
      <c r="AI28" s="182"/>
      <c r="AJ28" s="182"/>
      <c r="AK28" s="182">
        <f>AJ8</f>
        <v>2533.8741338258274</v>
      </c>
      <c r="AL28" s="182" t="s">
        <v>14</v>
      </c>
      <c r="AM28" s="182"/>
      <c r="AN28" s="182"/>
      <c r="AO28" s="187"/>
    </row>
    <row r="29" spans="2:45" x14ac:dyDescent="0.3">
      <c r="B29" s="318" t="s">
        <v>226</v>
      </c>
      <c r="C29" s="275"/>
      <c r="D29" s="54" t="s">
        <v>227</v>
      </c>
      <c r="E29" s="54">
        <v>1</v>
      </c>
      <c r="F29" s="46" t="s">
        <v>207</v>
      </c>
      <c r="AA29" s="318" t="s">
        <v>238</v>
      </c>
      <c r="AB29" s="275"/>
      <c r="AC29" s="123" t="s">
        <v>279</v>
      </c>
      <c r="AD29" s="123">
        <v>13</v>
      </c>
      <c r="AE29" s="43" t="s">
        <v>239</v>
      </c>
      <c r="AG29" s="186"/>
      <c r="AH29" s="182"/>
      <c r="AI29" s="182"/>
      <c r="AJ29" s="182"/>
      <c r="AK29" s="182"/>
      <c r="AL29" s="182"/>
      <c r="AM29" s="182"/>
      <c r="AN29" s="182"/>
      <c r="AO29" s="187"/>
    </row>
    <row r="30" spans="2:45" x14ac:dyDescent="0.3">
      <c r="B30" s="318" t="s">
        <v>228</v>
      </c>
      <c r="C30" s="275"/>
      <c r="D30" s="54" t="s">
        <v>229</v>
      </c>
      <c r="E30" s="54">
        <f>(25/(10*('gear '!L9)))-0.025</f>
        <v>0.10802222155948901</v>
      </c>
      <c r="F30" s="46" t="s">
        <v>207</v>
      </c>
      <c r="I30" s="329" t="s">
        <v>158</v>
      </c>
      <c r="J30" s="329"/>
      <c r="K30" s="329"/>
      <c r="L30" s="329"/>
      <c r="M30" s="329"/>
      <c r="AA30" s="318" t="s">
        <v>280</v>
      </c>
      <c r="AB30" s="275"/>
      <c r="AC30" s="123" t="s">
        <v>281</v>
      </c>
      <c r="AD30" s="123">
        <v>5</v>
      </c>
      <c r="AE30" s="46" t="s">
        <v>207</v>
      </c>
      <c r="AG30" s="186"/>
      <c r="AH30" s="182"/>
      <c r="AI30" s="182"/>
      <c r="AJ30" s="182"/>
      <c r="AK30" s="182"/>
      <c r="AL30" s="182"/>
      <c r="AM30" s="315">
        <f>AD11</f>
        <v>2381.0628255564152</v>
      </c>
      <c r="AN30" s="315"/>
      <c r="AO30" s="187" t="s">
        <v>14</v>
      </c>
    </row>
    <row r="31" spans="2:45" x14ac:dyDescent="0.3">
      <c r="B31" s="318" t="s">
        <v>230</v>
      </c>
      <c r="C31" s="275"/>
      <c r="D31" s="54" t="s">
        <v>231</v>
      </c>
      <c r="E31" s="54">
        <v>1</v>
      </c>
      <c r="F31" s="46" t="s">
        <v>207</v>
      </c>
      <c r="I31" s="304" t="s">
        <v>282</v>
      </c>
      <c r="J31" s="275"/>
      <c r="K31" s="275"/>
      <c r="L31" s="54">
        <f>L26</f>
        <v>90</v>
      </c>
      <c r="M31" s="54" t="s">
        <v>14</v>
      </c>
      <c r="AA31" s="323" t="s">
        <v>222</v>
      </c>
      <c r="AB31" s="323"/>
      <c r="AC31" s="133" t="s">
        <v>223</v>
      </c>
      <c r="AD31" s="50">
        <v>1.1000000000000001</v>
      </c>
      <c r="AE31" s="133" t="s">
        <v>207</v>
      </c>
      <c r="AG31" s="186"/>
      <c r="AH31" s="182"/>
      <c r="AI31" s="182"/>
      <c r="AJ31" s="182"/>
      <c r="AK31" s="182">
        <f>AJ6</f>
        <v>866.63599442031409</v>
      </c>
      <c r="AL31" s="182" t="s">
        <v>14</v>
      </c>
      <c r="AM31" s="182"/>
      <c r="AN31" s="182"/>
      <c r="AO31" s="187"/>
    </row>
    <row r="32" spans="2:45" x14ac:dyDescent="0.3">
      <c r="B32" s="318" t="s">
        <v>232</v>
      </c>
      <c r="C32" s="275"/>
      <c r="D32" s="54" t="s">
        <v>233</v>
      </c>
      <c r="E32" s="54">
        <v>0.11</v>
      </c>
      <c r="F32" s="46" t="s">
        <v>207</v>
      </c>
      <c r="I32" s="275" t="s">
        <v>159</v>
      </c>
      <c r="J32" s="275"/>
      <c r="K32" s="275"/>
      <c r="L32" s="54">
        <v>1.2</v>
      </c>
      <c r="M32" s="61" t="s">
        <v>207</v>
      </c>
      <c r="AA32" s="324" t="s">
        <v>224</v>
      </c>
      <c r="AB32" s="324"/>
      <c r="AC32" s="127" t="s">
        <v>225</v>
      </c>
      <c r="AD32" s="49">
        <v>1</v>
      </c>
      <c r="AE32" s="127" t="s">
        <v>207</v>
      </c>
      <c r="AG32" s="186"/>
      <c r="AH32" s="182"/>
      <c r="AI32" s="182"/>
      <c r="AJ32" s="182"/>
      <c r="AK32" s="182"/>
      <c r="AL32" s="182"/>
      <c r="AM32" s="182"/>
      <c r="AN32" s="182"/>
      <c r="AO32" s="187"/>
    </row>
    <row r="33" spans="2:41" ht="18" thickBot="1" x14ac:dyDescent="0.35">
      <c r="B33" s="319" t="s">
        <v>234</v>
      </c>
      <c r="C33" s="320"/>
      <c r="D33" s="56" t="s">
        <v>235</v>
      </c>
      <c r="E33" s="71">
        <v>0.8</v>
      </c>
      <c r="F33" s="47" t="s">
        <v>207</v>
      </c>
      <c r="I33" s="304" t="s">
        <v>283</v>
      </c>
      <c r="J33" s="275"/>
      <c r="K33" s="275"/>
      <c r="L33" s="54">
        <v>1</v>
      </c>
      <c r="M33" s="61" t="s">
        <v>207</v>
      </c>
      <c r="AA33" s="275" t="s">
        <v>157</v>
      </c>
      <c r="AB33" s="275"/>
      <c r="AC33" s="123"/>
      <c r="AD33" s="123">
        <f>AD13</f>
        <v>2.5000000000000001E-2</v>
      </c>
      <c r="AE33" s="123" t="s">
        <v>89</v>
      </c>
      <c r="AG33" s="186"/>
      <c r="AH33" s="182"/>
      <c r="AI33" s="182"/>
      <c r="AJ33" s="182"/>
      <c r="AK33" s="182"/>
      <c r="AL33" s="182"/>
      <c r="AM33" s="182"/>
      <c r="AN33" s="182"/>
      <c r="AO33" s="187"/>
    </row>
    <row r="34" spans="2:41" x14ac:dyDescent="0.3">
      <c r="B34" s="321" t="s">
        <v>220</v>
      </c>
      <c r="C34" s="322"/>
      <c r="D34" s="59" t="s">
        <v>221</v>
      </c>
      <c r="E34" s="51">
        <f>50/(50+SQRT(200*E35))</f>
        <v>0.49509756796392412</v>
      </c>
      <c r="F34" s="52"/>
      <c r="I34" s="275" t="s">
        <v>160</v>
      </c>
      <c r="J34" s="275"/>
      <c r="K34" s="275"/>
      <c r="L34" s="54">
        <v>1</v>
      </c>
      <c r="M34" s="61" t="s">
        <v>207</v>
      </c>
      <c r="AA34" s="275" t="s">
        <v>155</v>
      </c>
      <c r="AB34" s="275"/>
      <c r="AC34" s="123"/>
      <c r="AD34" s="123">
        <v>0.32</v>
      </c>
      <c r="AE34" s="126" t="s">
        <v>207</v>
      </c>
      <c r="AG34" s="186"/>
      <c r="AH34" s="182"/>
      <c r="AI34" s="182"/>
      <c r="AJ34" s="182"/>
      <c r="AK34" s="182"/>
      <c r="AL34" s="182"/>
      <c r="AM34" s="182"/>
      <c r="AN34" s="182"/>
      <c r="AO34" s="187"/>
    </row>
    <row r="35" spans="2:41" x14ac:dyDescent="0.3">
      <c r="B35" s="318" t="s">
        <v>238</v>
      </c>
      <c r="C35" s="275"/>
      <c r="D35" s="54" t="s">
        <v>279</v>
      </c>
      <c r="E35" s="54">
        <v>13</v>
      </c>
      <c r="F35" s="43" t="s">
        <v>239</v>
      </c>
      <c r="I35" s="275" t="s">
        <v>161</v>
      </c>
      <c r="J35" s="275"/>
      <c r="K35" s="275"/>
      <c r="L35" s="54">
        <v>1</v>
      </c>
      <c r="M35" s="61" t="s">
        <v>207</v>
      </c>
      <c r="AA35" s="275" t="s">
        <v>212</v>
      </c>
      <c r="AB35" s="275"/>
      <c r="AC35" s="123"/>
      <c r="AD35" s="123">
        <f>(AD18*AD19*AD20*AD21*AD22*AD28*AD31*AD32)/(AD33*AD34)</f>
        <v>113769046.7922312</v>
      </c>
      <c r="AE35" s="126" t="s">
        <v>209</v>
      </c>
      <c r="AG35" s="186"/>
      <c r="AH35" s="182"/>
      <c r="AI35" s="182"/>
      <c r="AJ35" s="182"/>
      <c r="AK35" s="182"/>
      <c r="AL35" s="182"/>
      <c r="AM35" s="182"/>
      <c r="AN35" s="182"/>
      <c r="AO35" s="187"/>
    </row>
    <row r="36" spans="2:41" x14ac:dyDescent="0.3">
      <c r="B36" s="318" t="s">
        <v>280</v>
      </c>
      <c r="C36" s="275"/>
      <c r="D36" s="54" t="s">
        <v>281</v>
      </c>
      <c r="E36" s="54">
        <v>5</v>
      </c>
      <c r="F36" s="46" t="s">
        <v>207</v>
      </c>
      <c r="I36" s="275" t="s">
        <v>284</v>
      </c>
      <c r="J36" s="275"/>
      <c r="K36" s="275"/>
      <c r="L36" s="54">
        <f>(L31*L33)/(L32*L34*L35)</f>
        <v>75</v>
      </c>
      <c r="M36" s="61" t="s">
        <v>14</v>
      </c>
      <c r="N36" s="275">
        <f>L37</f>
        <v>63.420635244876024</v>
      </c>
      <c r="AG36" s="186"/>
      <c r="AH36" s="182"/>
      <c r="AI36" s="182"/>
      <c r="AJ36" s="182"/>
      <c r="AK36" s="182"/>
      <c r="AL36" s="182"/>
      <c r="AM36" s="182"/>
      <c r="AN36" s="182"/>
      <c r="AO36" s="187"/>
    </row>
    <row r="37" spans="2:41" x14ac:dyDescent="0.3">
      <c r="B37" s="323" t="s">
        <v>222</v>
      </c>
      <c r="C37" s="323"/>
      <c r="D37" s="60" t="s">
        <v>223</v>
      </c>
      <c r="E37" s="50">
        <v>1</v>
      </c>
      <c r="F37" s="60" t="s">
        <v>207</v>
      </c>
      <c r="I37" s="275" t="s">
        <v>276</v>
      </c>
      <c r="J37" s="275"/>
      <c r="K37" s="275"/>
      <c r="L37" s="54">
        <f>E41*10^-6</f>
        <v>63.420635244876024</v>
      </c>
      <c r="M37" s="54" t="s">
        <v>301</v>
      </c>
      <c r="N37" s="275"/>
      <c r="AG37" s="186"/>
      <c r="AH37" s="182"/>
      <c r="AI37" s="182"/>
      <c r="AJ37" s="182"/>
      <c r="AK37" s="182"/>
      <c r="AL37" s="182">
        <f>AD13</f>
        <v>2.5000000000000001E-2</v>
      </c>
      <c r="AM37" s="182" t="str">
        <f>AE13</f>
        <v>m</v>
      </c>
      <c r="AN37" s="182"/>
      <c r="AO37" s="187"/>
    </row>
    <row r="38" spans="2:41" x14ac:dyDescent="0.3">
      <c r="B38" s="324" t="s">
        <v>224</v>
      </c>
      <c r="C38" s="324"/>
      <c r="D38" s="57" t="s">
        <v>225</v>
      </c>
      <c r="E38" s="49">
        <v>1</v>
      </c>
      <c r="F38" s="57" t="s">
        <v>207</v>
      </c>
      <c r="AG38" s="188"/>
      <c r="AH38" s="189"/>
      <c r="AI38" s="189"/>
      <c r="AJ38" s="189"/>
      <c r="AK38" s="189"/>
      <c r="AL38" s="189"/>
      <c r="AM38" s="189"/>
      <c r="AN38" s="189"/>
      <c r="AO38" s="190"/>
    </row>
    <row r="39" spans="2:41" x14ac:dyDescent="0.3">
      <c r="B39" s="275" t="s">
        <v>157</v>
      </c>
      <c r="C39" s="275"/>
      <c r="D39" s="54"/>
      <c r="E39" s="54">
        <f>'gear '!L17/1000</f>
        <v>2.5000000000000001E-2</v>
      </c>
      <c r="F39" s="54" t="s">
        <v>89</v>
      </c>
      <c r="AG39" s="182"/>
      <c r="AH39" s="182"/>
      <c r="AI39" s="182"/>
      <c r="AJ39" s="182"/>
      <c r="AK39" s="182"/>
      <c r="AL39" s="191"/>
      <c r="AM39" s="191"/>
      <c r="AN39" s="182"/>
    </row>
    <row r="40" spans="2:41" x14ac:dyDescent="0.3">
      <c r="B40" s="275" t="s">
        <v>155</v>
      </c>
      <c r="C40" s="275"/>
      <c r="D40" s="54"/>
      <c r="E40" s="71">
        <v>0.32</v>
      </c>
      <c r="F40" s="61" t="s">
        <v>207</v>
      </c>
    </row>
    <row r="41" spans="2:41" x14ac:dyDescent="0.3">
      <c r="B41" s="275" t="s">
        <v>212</v>
      </c>
      <c r="C41" s="275"/>
      <c r="D41" s="54"/>
      <c r="E41" s="54">
        <f>(E24*E25*E26*E27*E28*E34*E37*E38)/(E39*E40)</f>
        <v>63420635.244876027</v>
      </c>
      <c r="F41" s="61" t="s">
        <v>209</v>
      </c>
    </row>
    <row r="43" spans="2:41" ht="18" x14ac:dyDescent="0.3">
      <c r="B43" s="330" t="s">
        <v>290</v>
      </c>
      <c r="C43" s="336"/>
      <c r="D43" s="336"/>
      <c r="E43" s="336"/>
      <c r="F43" s="336"/>
      <c r="I43" s="330" t="s">
        <v>164</v>
      </c>
      <c r="J43" s="330"/>
      <c r="K43" s="330"/>
      <c r="L43" s="330"/>
      <c r="M43" s="330"/>
    </row>
    <row r="44" spans="2:41" ht="18" x14ac:dyDescent="0.3">
      <c r="B44" s="293" t="s">
        <v>202</v>
      </c>
      <c r="C44" s="293"/>
      <c r="D44" s="293"/>
      <c r="E44" s="55">
        <f>120*10^9</f>
        <v>120000000000</v>
      </c>
      <c r="F44" s="55" t="s">
        <v>292</v>
      </c>
      <c r="I44" s="304" t="s">
        <v>293</v>
      </c>
      <c r="J44" s="275"/>
      <c r="K44" s="275"/>
      <c r="L44" s="55">
        <v>520</v>
      </c>
      <c r="M44" s="54" t="s">
        <v>15</v>
      </c>
    </row>
    <row r="45" spans="2:41" ht="18" x14ac:dyDescent="0.3">
      <c r="B45" s="293" t="s">
        <v>201</v>
      </c>
      <c r="C45" s="293"/>
      <c r="D45" s="293"/>
      <c r="E45" s="55">
        <f>120*10^9</f>
        <v>120000000000</v>
      </c>
      <c r="F45" s="55" t="s">
        <v>292</v>
      </c>
      <c r="I45" s="304" t="s">
        <v>294</v>
      </c>
      <c r="J45" s="275"/>
      <c r="K45" s="275"/>
      <c r="L45" s="55">
        <v>1.2</v>
      </c>
      <c r="M45" s="61" t="s">
        <v>207</v>
      </c>
    </row>
    <row r="46" spans="2:41" ht="18" x14ac:dyDescent="0.3">
      <c r="B46" s="293" t="s">
        <v>200</v>
      </c>
      <c r="C46" s="293"/>
      <c r="D46" s="293"/>
      <c r="E46" s="55">
        <v>0.26</v>
      </c>
      <c r="F46" s="64" t="s">
        <v>207</v>
      </c>
      <c r="I46" s="304" t="s">
        <v>299</v>
      </c>
      <c r="J46" s="275"/>
      <c r="K46" s="275"/>
      <c r="L46" s="55">
        <v>1.1000000000000001</v>
      </c>
      <c r="M46" s="61" t="s">
        <v>207</v>
      </c>
    </row>
    <row r="47" spans="2:41" ht="18" x14ac:dyDescent="0.3">
      <c r="B47" s="293" t="s">
        <v>285</v>
      </c>
      <c r="C47" s="293"/>
      <c r="D47" s="293"/>
      <c r="E47" s="69">
        <f>2/(((1-E46^2)/E44)+(1-E46^2)/E45)</f>
        <v>128700128700.12871</v>
      </c>
      <c r="F47" s="64" t="s">
        <v>207</v>
      </c>
      <c r="I47" s="304" t="s">
        <v>295</v>
      </c>
      <c r="J47" s="275"/>
      <c r="K47" s="275"/>
      <c r="L47" s="55">
        <v>1</v>
      </c>
      <c r="M47" s="61" t="s">
        <v>207</v>
      </c>
    </row>
    <row r="48" spans="2:41" ht="18" x14ac:dyDescent="0.3">
      <c r="B48" s="293" t="s">
        <v>163</v>
      </c>
      <c r="C48" s="293"/>
      <c r="D48" s="293"/>
      <c r="E48" s="55">
        <f>E49/(E47*E52)</f>
        <v>7.6329722911183545E-5</v>
      </c>
      <c r="F48" s="64" t="s">
        <v>207</v>
      </c>
      <c r="I48" s="304" t="s">
        <v>296</v>
      </c>
      <c r="J48" s="275"/>
      <c r="K48" s="275"/>
      <c r="L48" s="55">
        <v>1</v>
      </c>
      <c r="M48" s="61" t="s">
        <v>207</v>
      </c>
    </row>
    <row r="49" spans="2:14" ht="18" x14ac:dyDescent="0.3">
      <c r="B49" s="275" t="s">
        <v>286</v>
      </c>
      <c r="C49" s="275"/>
      <c r="D49" s="275"/>
      <c r="E49" s="54">
        <f>E50/E51</f>
        <v>29177.944571327709</v>
      </c>
      <c r="F49" s="63" t="s">
        <v>302</v>
      </c>
      <c r="I49" s="304" t="s">
        <v>297</v>
      </c>
      <c r="J49" s="275"/>
      <c r="K49" s="275"/>
      <c r="L49" s="55">
        <v>1.1000000000000001</v>
      </c>
      <c r="M49" s="61" t="s">
        <v>207</v>
      </c>
    </row>
    <row r="50" spans="2:14" ht="18" x14ac:dyDescent="0.3">
      <c r="B50" s="275" t="s">
        <v>287</v>
      </c>
      <c r="C50" s="275"/>
      <c r="D50" s="275"/>
      <c r="E50" s="54">
        <f>L21</f>
        <v>729.4486142831928</v>
      </c>
      <c r="F50" s="54" t="s">
        <v>33</v>
      </c>
      <c r="I50" s="304" t="s">
        <v>298</v>
      </c>
      <c r="J50" s="275"/>
      <c r="K50" s="275"/>
      <c r="L50" s="55">
        <f>(L44*L46*L49)/(L45*L47*L48)</f>
        <v>524.33333333333337</v>
      </c>
      <c r="M50" s="54" t="s">
        <v>14</v>
      </c>
      <c r="N50" s="275">
        <f>L51</f>
        <v>385.85002545190059</v>
      </c>
    </row>
    <row r="51" spans="2:14" x14ac:dyDescent="0.3">
      <c r="B51" s="275" t="s">
        <v>288</v>
      </c>
      <c r="C51" s="275"/>
      <c r="D51" s="275"/>
      <c r="E51" s="54">
        <f>('gear '!L17)*10^-3</f>
        <v>2.5000000000000001E-2</v>
      </c>
      <c r="F51" s="62" t="s">
        <v>89</v>
      </c>
      <c r="I51" s="304" t="s">
        <v>300</v>
      </c>
      <c r="J51" s="275"/>
      <c r="K51" s="275"/>
      <c r="L51" s="54">
        <f>E54*10^-6</f>
        <v>385.85002545190059</v>
      </c>
      <c r="M51" s="54" t="s">
        <v>14</v>
      </c>
      <c r="N51" s="275"/>
    </row>
    <row r="52" spans="2:14" x14ac:dyDescent="0.3">
      <c r="B52" s="275" t="s">
        <v>289</v>
      </c>
      <c r="C52" s="275"/>
      <c r="D52" s="275"/>
      <c r="E52" s="54">
        <f>(((1/E4)+(1/E5))*(2/SIN(RADIANS(L18))))^-1</f>
        <v>2.9701749288808068E-3</v>
      </c>
      <c r="F52" s="61" t="s">
        <v>207</v>
      </c>
    </row>
    <row r="53" spans="2:14" ht="18" x14ac:dyDescent="0.3">
      <c r="B53" s="293" t="s">
        <v>162</v>
      </c>
      <c r="C53" s="293"/>
      <c r="D53" s="293"/>
      <c r="E53" s="55">
        <f>E47*(E48/(2*22/7))^0.5</f>
        <v>448485602.70952392</v>
      </c>
      <c r="F53" s="61" t="s">
        <v>207</v>
      </c>
    </row>
    <row r="54" spans="2:14" x14ac:dyDescent="0.3">
      <c r="B54" s="275" t="s">
        <v>291</v>
      </c>
      <c r="C54" s="275"/>
      <c r="D54" s="275"/>
      <c r="E54" s="54">
        <f>E53*(E26*E27*E28*E34)^0.5</f>
        <v>385850025.4519006</v>
      </c>
      <c r="F54" s="54" t="s">
        <v>209</v>
      </c>
    </row>
    <row r="55" spans="2:14" x14ac:dyDescent="0.3">
      <c r="B55" s="275" t="s">
        <v>59</v>
      </c>
      <c r="C55" s="275"/>
      <c r="D55" s="275"/>
      <c r="E55" s="54">
        <v>1.2</v>
      </c>
      <c r="F55" s="61" t="s">
        <v>207</v>
      </c>
    </row>
  </sheetData>
  <mergeCells count="164">
    <mergeCell ref="G3:H3"/>
    <mergeCell ref="B2:H2"/>
    <mergeCell ref="I16:M16"/>
    <mergeCell ref="I20:M20"/>
    <mergeCell ref="I17:J17"/>
    <mergeCell ref="I18:J18"/>
    <mergeCell ref="L6:M6"/>
    <mergeCell ref="N36:N37"/>
    <mergeCell ref="N27:N28"/>
    <mergeCell ref="I37:K37"/>
    <mergeCell ref="I31:K31"/>
    <mergeCell ref="I23:M23"/>
    <mergeCell ref="I27:K27"/>
    <mergeCell ref="I28:K28"/>
    <mergeCell ref="I30:M30"/>
    <mergeCell ref="I32:K32"/>
    <mergeCell ref="I33:K33"/>
    <mergeCell ref="I34:K34"/>
    <mergeCell ref="I36:K36"/>
    <mergeCell ref="I35:K35"/>
    <mergeCell ref="I24:J24"/>
    <mergeCell ref="K24:M24"/>
    <mergeCell ref="I25:J25"/>
    <mergeCell ref="I26:K26"/>
    <mergeCell ref="B24:C24"/>
    <mergeCell ref="B25:C25"/>
    <mergeCell ref="B23:F23"/>
    <mergeCell ref="B4:B5"/>
    <mergeCell ref="F4:F5"/>
    <mergeCell ref="B12:C12"/>
    <mergeCell ref="B13:C13"/>
    <mergeCell ref="B14:C14"/>
    <mergeCell ref="I19:J19"/>
    <mergeCell ref="I21:J21"/>
    <mergeCell ref="B9:F9"/>
    <mergeCell ref="B17:C17"/>
    <mergeCell ref="B21:C21"/>
    <mergeCell ref="B16:F16"/>
    <mergeCell ref="B11:C11"/>
    <mergeCell ref="B10:C10"/>
    <mergeCell ref="B18:C18"/>
    <mergeCell ref="B19:C19"/>
    <mergeCell ref="B20:C20"/>
    <mergeCell ref="B41:C41"/>
    <mergeCell ref="B26:C26"/>
    <mergeCell ref="B27:C27"/>
    <mergeCell ref="B28:C28"/>
    <mergeCell ref="B34:C34"/>
    <mergeCell ref="B29:C29"/>
    <mergeCell ref="B30:C30"/>
    <mergeCell ref="B31:C31"/>
    <mergeCell ref="B32:C32"/>
    <mergeCell ref="B33:C33"/>
    <mergeCell ref="B37:C37"/>
    <mergeCell ref="B35:C35"/>
    <mergeCell ref="B36:C36"/>
    <mergeCell ref="B38:C38"/>
    <mergeCell ref="B39:C39"/>
    <mergeCell ref="B40:C40"/>
    <mergeCell ref="B43:F43"/>
    <mergeCell ref="B53:D53"/>
    <mergeCell ref="B54:D54"/>
    <mergeCell ref="B55:D55"/>
    <mergeCell ref="I43:M43"/>
    <mergeCell ref="B49:D49"/>
    <mergeCell ref="B50:D50"/>
    <mergeCell ref="B51:D51"/>
    <mergeCell ref="B52:D52"/>
    <mergeCell ref="I50:K50"/>
    <mergeCell ref="B44:D44"/>
    <mergeCell ref="B45:D45"/>
    <mergeCell ref="B46:D46"/>
    <mergeCell ref="B47:D47"/>
    <mergeCell ref="B48:D48"/>
    <mergeCell ref="I51:K51"/>
    <mergeCell ref="N50:N51"/>
    <mergeCell ref="I47:K47"/>
    <mergeCell ref="I48:K48"/>
    <mergeCell ref="I49:K49"/>
    <mergeCell ref="I44:K44"/>
    <mergeCell ref="I45:K45"/>
    <mergeCell ref="I46:K46"/>
    <mergeCell ref="AG6:AH6"/>
    <mergeCell ref="AN6:AP6"/>
    <mergeCell ref="AA7:AB7"/>
    <mergeCell ref="AG7:AK7"/>
    <mergeCell ref="AN7:AP7"/>
    <mergeCell ref="AA8:AB8"/>
    <mergeCell ref="AG8:AH8"/>
    <mergeCell ref="AN8:AP8"/>
    <mergeCell ref="AN9:AP9"/>
    <mergeCell ref="AA10:AE10"/>
    <mergeCell ref="AG10:AK10"/>
    <mergeCell ref="AN10:AP10"/>
    <mergeCell ref="AA11:AB11"/>
    <mergeCell ref="AG11:AH11"/>
    <mergeCell ref="AI11:AK11"/>
    <mergeCell ref="AN11:AP11"/>
    <mergeCell ref="AA12:AB12"/>
    <mergeCell ref="AA3:AE3"/>
    <mergeCell ref="AG3:AK3"/>
    <mergeCell ref="AN3:AR3"/>
    <mergeCell ref="AA4:AB4"/>
    <mergeCell ref="AG4:AH4"/>
    <mergeCell ref="AN4:AP4"/>
    <mergeCell ref="AA5:AB5"/>
    <mergeCell ref="AG5:AH5"/>
    <mergeCell ref="AN5:AP5"/>
    <mergeCell ref="AG12:AH12"/>
    <mergeCell ref="AN12:AP12"/>
    <mergeCell ref="AG13:AI13"/>
    <mergeCell ref="AN13:AP13"/>
    <mergeCell ref="AA14:AB14"/>
    <mergeCell ref="AG14:AI14"/>
    <mergeCell ref="AL14:AL15"/>
    <mergeCell ref="AN14:AP14"/>
    <mergeCell ref="AA15:AB15"/>
    <mergeCell ref="AG15:AI15"/>
    <mergeCell ref="AN15:AP15"/>
    <mergeCell ref="AA17:AE17"/>
    <mergeCell ref="AG17:AK17"/>
    <mergeCell ref="AN17:AR17"/>
    <mergeCell ref="AA18:AB18"/>
    <mergeCell ref="AG18:AI18"/>
    <mergeCell ref="AN18:AP18"/>
    <mergeCell ref="AA19:AB19"/>
    <mergeCell ref="AG19:AI19"/>
    <mergeCell ref="AN19:AP19"/>
    <mergeCell ref="AN24:AP24"/>
    <mergeCell ref="AS24:AS25"/>
    <mergeCell ref="AA25:AB25"/>
    <mergeCell ref="AN25:AP25"/>
    <mergeCell ref="AG20:AI20"/>
    <mergeCell ref="AN20:AP20"/>
    <mergeCell ref="AA21:AB21"/>
    <mergeCell ref="AG21:AI21"/>
    <mergeCell ref="AN21:AP21"/>
    <mergeCell ref="AA22:AB22"/>
    <mergeCell ref="AG22:AI22"/>
    <mergeCell ref="AN22:AP22"/>
    <mergeCell ref="AH27:AI27"/>
    <mergeCell ref="AM30:AN30"/>
    <mergeCell ref="AA35:AB35"/>
    <mergeCell ref="S3:S4"/>
    <mergeCell ref="W3:W4"/>
    <mergeCell ref="X2:Y2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23:AB23"/>
    <mergeCell ref="AA20:AB20"/>
    <mergeCell ref="AA13:AB13"/>
    <mergeCell ref="AA6:AB6"/>
    <mergeCell ref="AG23:AI23"/>
    <mergeCell ref="AL23:AL24"/>
    <mergeCell ref="AN23:AP23"/>
    <mergeCell ref="AA24:AB24"/>
    <mergeCell ref="AG24:AI24"/>
  </mergeCells>
  <conditionalFormatting sqref="N27:N28">
    <cfRule type="iconSet" priority="10">
      <iconSet iconSet="3Symbols" showValue="0" reverse="1">
        <cfvo type="percent" val="0"/>
        <cfvo type="formula" val="($L$26)/$L$27"/>
        <cfvo type="formula" val="($L$26)/$L$27"/>
      </iconSet>
    </cfRule>
  </conditionalFormatting>
  <conditionalFormatting sqref="N36:N37">
    <cfRule type="iconSet" priority="8">
      <iconSet iconSet="3Symbols" showValue="0" reverse="1">
        <cfvo type="percent" val="0"/>
        <cfvo type="formula" val="($L$36)"/>
        <cfvo type="formula" val="($L$36)"/>
      </iconSet>
    </cfRule>
  </conditionalFormatting>
  <conditionalFormatting sqref="N50:N51">
    <cfRule type="iconSet" priority="7">
      <iconSet iconSet="3Symbols" showValue="0" reverse="1">
        <cfvo type="percent" val="0"/>
        <cfvo type="formula" val="($L$50)"/>
        <cfvo type="formula" val="($L$50)"/>
      </iconSet>
    </cfRule>
  </conditionalFormatting>
  <conditionalFormatting sqref="AS24:AS25">
    <cfRule type="iconSet" priority="91">
      <iconSet iconSet="3Symbols" showValue="0" reverse="1">
        <cfvo type="percent" val="0"/>
        <cfvo type="formula" val="($L$50)"/>
        <cfvo type="formula" val="($L$50)"/>
      </iconSet>
    </cfRule>
  </conditionalFormatting>
  <conditionalFormatting sqref="AL14:AL15">
    <cfRule type="iconSet" priority="95">
      <iconSet iconSet="3Symbols" showValue="0" reverse="1">
        <cfvo type="percent" val="0"/>
        <cfvo type="formula" val="$AJ$13/$L$27"/>
        <cfvo type="formula" val="$AJ$13/$L$27"/>
      </iconSet>
    </cfRule>
  </conditionalFormatting>
  <conditionalFormatting sqref="AL23:AL24">
    <cfRule type="iconSet" priority="96">
      <iconSet iconSet="3Symbols" showValue="0" reverse="1">
        <cfvo type="percent" val="0"/>
        <cfvo type="formula" val="$AJ$23"/>
        <cfvo type="formula" val="$AJ$23"/>
      </iconSet>
    </cfRule>
  </conditionalFormatting>
  <pageMargins left="0.7" right="0.7" top="0.75" bottom="0.75" header="0.3" footer="0.3"/>
  <pageSetup paperSize="9" scale="5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J68"/>
  <sheetViews>
    <sheetView workbookViewId="0">
      <selection activeCell="J57" sqref="J57"/>
    </sheetView>
  </sheetViews>
  <sheetFormatPr defaultColWidth="9" defaultRowHeight="14.4" x14ac:dyDescent="0.3"/>
  <cols>
    <col min="1" max="1" width="9" style="85"/>
    <col min="2" max="2" width="2.33203125" style="85" bestFit="1" customWidth="1"/>
    <col min="3" max="3" width="11.6640625" style="85" bestFit="1" customWidth="1"/>
    <col min="4" max="4" width="18" style="85" bestFit="1" customWidth="1"/>
    <col min="5" max="5" width="27.109375" style="85" bestFit="1" customWidth="1"/>
    <col min="6" max="6" width="9" style="85"/>
    <col min="7" max="7" width="23.33203125" style="85" bestFit="1" customWidth="1"/>
    <col min="8" max="8" width="9" style="85"/>
    <col min="9" max="10" width="9.88671875" style="85" bestFit="1" customWidth="1"/>
    <col min="11" max="16384" width="9" style="85"/>
  </cols>
  <sheetData>
    <row r="3" spans="2:10" ht="20.399999999999999" x14ac:dyDescent="0.3">
      <c r="B3" s="90" t="s">
        <v>191</v>
      </c>
      <c r="C3" s="90" t="s">
        <v>194</v>
      </c>
      <c r="D3" s="90" t="s">
        <v>196</v>
      </c>
      <c r="E3" s="90" t="s">
        <v>197</v>
      </c>
      <c r="G3" s="83" t="s">
        <v>311</v>
      </c>
      <c r="H3" s="83"/>
      <c r="I3" s="100">
        <f>'Static SHAFT STRESS'!L10</f>
        <v>351.57100000000003</v>
      </c>
      <c r="J3" s="83">
        <f>I3*10^6</f>
        <v>351571000</v>
      </c>
    </row>
    <row r="4" spans="2:10" ht="20.399999999999999" x14ac:dyDescent="0.3">
      <c r="B4" s="90">
        <v>1</v>
      </c>
      <c r="C4" s="90">
        <v>16</v>
      </c>
      <c r="D4" s="90">
        <v>-457.39</v>
      </c>
      <c r="E4" s="90">
        <f>-45240/1000</f>
        <v>-45.24</v>
      </c>
      <c r="G4" s="83" t="s">
        <v>312</v>
      </c>
      <c r="H4" s="83"/>
      <c r="I4" s="85">
        <v>861.69500000000005</v>
      </c>
      <c r="J4" s="83">
        <f>I4*10^6</f>
        <v>861695000</v>
      </c>
    </row>
    <row r="5" spans="2:10" ht="20.399999999999999" x14ac:dyDescent="0.3">
      <c r="B5" s="90">
        <v>2</v>
      </c>
      <c r="C5" s="90">
        <v>25</v>
      </c>
      <c r="D5" s="90">
        <v>6410.9719999999998</v>
      </c>
      <c r="E5" s="90">
        <f>-57361/1000</f>
        <v>-57.360999999999997</v>
      </c>
      <c r="G5" s="83" t="s">
        <v>59</v>
      </c>
      <c r="H5" s="83"/>
      <c r="J5" s="83">
        <v>1.2</v>
      </c>
    </row>
    <row r="6" spans="2:10" ht="20.399999999999999" x14ac:dyDescent="0.3">
      <c r="B6" s="90">
        <v>3</v>
      </c>
      <c r="C6" s="90">
        <v>60</v>
      </c>
      <c r="D6" s="90">
        <f>D5</f>
        <v>6410.9719999999998</v>
      </c>
      <c r="E6" s="90">
        <f>13159.626/1000</f>
        <v>13.159625999999999</v>
      </c>
      <c r="G6" s="83" t="s">
        <v>313</v>
      </c>
      <c r="H6" s="83"/>
      <c r="J6" s="83">
        <v>0</v>
      </c>
    </row>
    <row r="7" spans="2:10" ht="20.399999999999999" x14ac:dyDescent="0.3">
      <c r="B7" s="90">
        <v>4</v>
      </c>
      <c r="C7" s="90">
        <v>60</v>
      </c>
      <c r="D7" s="90">
        <v>-5280.6</v>
      </c>
      <c r="E7" s="90">
        <v>431</v>
      </c>
      <c r="G7" s="83" t="s">
        <v>314</v>
      </c>
      <c r="H7" s="83"/>
      <c r="J7" s="83">
        <f>E7</f>
        <v>431</v>
      </c>
    </row>
    <row r="8" spans="2:10" ht="20.399999999999999" x14ac:dyDescent="0.3">
      <c r="B8" s="90">
        <v>5</v>
      </c>
      <c r="C8" s="90">
        <v>25</v>
      </c>
      <c r="D8" s="90">
        <f>D7</f>
        <v>-5280.6</v>
      </c>
      <c r="E8" s="90">
        <f>68109.274/1000</f>
        <v>68.109273999999999</v>
      </c>
      <c r="G8" s="83" t="s">
        <v>315</v>
      </c>
      <c r="H8" s="83"/>
      <c r="J8" s="83">
        <f>'Rolling Force'!N20</f>
        <v>45.240193685571889</v>
      </c>
    </row>
    <row r="9" spans="2:10" ht="20.399999999999999" x14ac:dyDescent="0.3">
      <c r="B9" s="90">
        <v>6</v>
      </c>
      <c r="C9" s="90">
        <v>16</v>
      </c>
      <c r="D9" s="90">
        <v>-257.2</v>
      </c>
      <c r="E9" s="90">
        <v>0</v>
      </c>
      <c r="G9" s="83" t="s">
        <v>316</v>
      </c>
      <c r="H9" s="83"/>
      <c r="J9" s="83">
        <v>0</v>
      </c>
    </row>
    <row r="10" spans="2:10" ht="15" thickBot="1" x14ac:dyDescent="0.35">
      <c r="G10" s="94" t="s">
        <v>334</v>
      </c>
      <c r="H10" s="88"/>
      <c r="J10" s="88">
        <v>60</v>
      </c>
    </row>
    <row r="11" spans="2:10" x14ac:dyDescent="0.3">
      <c r="G11" s="95" t="s">
        <v>317</v>
      </c>
      <c r="H11" s="96"/>
      <c r="J11" s="97">
        <f>J13*J12*J14*J16*J17*J18</f>
        <v>258508500.00000003</v>
      </c>
    </row>
    <row r="12" spans="2:10" x14ac:dyDescent="0.3">
      <c r="G12" s="82" t="s">
        <v>318</v>
      </c>
      <c r="H12" s="83"/>
      <c r="J12" s="84">
        <v>0.8</v>
      </c>
    </row>
    <row r="13" spans="2:10" x14ac:dyDescent="0.3">
      <c r="G13" s="82" t="s">
        <v>319</v>
      </c>
      <c r="H13" s="83"/>
      <c r="J13" s="84">
        <v>0.75</v>
      </c>
    </row>
    <row r="14" spans="2:10" x14ac:dyDescent="0.3">
      <c r="G14" s="82" t="s">
        <v>320</v>
      </c>
      <c r="H14" s="83"/>
      <c r="J14" s="84">
        <v>1</v>
      </c>
    </row>
    <row r="15" spans="2:10" x14ac:dyDescent="0.3">
      <c r="G15" s="98" t="s">
        <v>216</v>
      </c>
      <c r="H15" s="83"/>
      <c r="J15" s="84">
        <f>1.189*J10^-0.112</f>
        <v>0.75167293743684038</v>
      </c>
    </row>
    <row r="16" spans="2:10" x14ac:dyDescent="0.3">
      <c r="G16" s="82" t="s">
        <v>321</v>
      </c>
      <c r="H16" s="83"/>
      <c r="J16" s="84">
        <v>1</v>
      </c>
    </row>
    <row r="17" spans="7:10" x14ac:dyDescent="0.3">
      <c r="G17" s="82" t="s">
        <v>322</v>
      </c>
      <c r="H17" s="83"/>
      <c r="J17" s="84">
        <v>1</v>
      </c>
    </row>
    <row r="18" spans="7:10" ht="15" thickBot="1" x14ac:dyDescent="0.35">
      <c r="G18" s="24" t="s">
        <v>323</v>
      </c>
      <c r="H18" s="25" t="s">
        <v>324</v>
      </c>
      <c r="J18" s="99">
        <f>0.5*J4</f>
        <v>430847500</v>
      </c>
    </row>
    <row r="19" spans="7:10" x14ac:dyDescent="0.3">
      <c r="G19" s="85" t="s">
        <v>194</v>
      </c>
      <c r="H19" s="85">
        <f>((32*J5/((22/7)*J3))*SQRT(((J6+(J3/J11)*J7)^2)+0.75*(J8+(J3/J11)*J9)^2))^(1/3)</f>
        <v>2.7331218938570854E-2</v>
      </c>
    </row>
    <row r="22" spans="7:10" x14ac:dyDescent="0.3">
      <c r="G22" s="83" t="s">
        <v>311</v>
      </c>
      <c r="H22" s="83"/>
      <c r="I22" s="100">
        <f>I3</f>
        <v>351.57100000000003</v>
      </c>
      <c r="J22" s="83">
        <f>I22*10^6</f>
        <v>351571000</v>
      </c>
    </row>
    <row r="23" spans="7:10" x14ac:dyDescent="0.3">
      <c r="G23" s="83" t="s">
        <v>312</v>
      </c>
      <c r="H23" s="83"/>
      <c r="I23" s="85">
        <v>861.69500000000005</v>
      </c>
      <c r="J23" s="83">
        <f>I23*10^6</f>
        <v>861695000</v>
      </c>
    </row>
    <row r="24" spans="7:10" x14ac:dyDescent="0.3">
      <c r="G24" s="83" t="s">
        <v>59</v>
      </c>
      <c r="H24" s="83"/>
      <c r="J24" s="83">
        <v>1.2</v>
      </c>
    </row>
    <row r="25" spans="7:10" x14ac:dyDescent="0.3">
      <c r="G25" s="83" t="s">
        <v>313</v>
      </c>
      <c r="H25" s="83"/>
      <c r="J25" s="83">
        <v>0</v>
      </c>
    </row>
    <row r="26" spans="7:10" x14ac:dyDescent="0.3">
      <c r="G26" s="83" t="s">
        <v>314</v>
      </c>
      <c r="H26" s="83"/>
      <c r="J26" s="83">
        <f>E4</f>
        <v>-45.24</v>
      </c>
    </row>
    <row r="27" spans="7:10" x14ac:dyDescent="0.3">
      <c r="G27" s="83" t="s">
        <v>315</v>
      </c>
      <c r="H27" s="83"/>
      <c r="J27" s="83">
        <v>45</v>
      </c>
    </row>
    <row r="28" spans="7:10" x14ac:dyDescent="0.3">
      <c r="G28" s="83" t="s">
        <v>316</v>
      </c>
      <c r="H28" s="83"/>
      <c r="J28" s="83">
        <v>0</v>
      </c>
    </row>
    <row r="29" spans="7:10" ht="15" thickBot="1" x14ac:dyDescent="0.35">
      <c r="G29" s="94" t="s">
        <v>334</v>
      </c>
      <c r="H29" s="88"/>
      <c r="J29" s="88">
        <v>16</v>
      </c>
    </row>
    <row r="30" spans="7:10" x14ac:dyDescent="0.3">
      <c r="G30" s="95" t="s">
        <v>317</v>
      </c>
      <c r="H30" s="96"/>
      <c r="J30" s="97">
        <f>J32*J31*J33*J35*J36*J37</f>
        <v>258508500.00000003</v>
      </c>
    </row>
    <row r="31" spans="7:10" x14ac:dyDescent="0.3">
      <c r="G31" s="82" t="s">
        <v>318</v>
      </c>
      <c r="H31" s="83"/>
      <c r="J31" s="84">
        <v>0.8</v>
      </c>
    </row>
    <row r="32" spans="7:10" x14ac:dyDescent="0.3">
      <c r="G32" s="82" t="s">
        <v>319</v>
      </c>
      <c r="H32" s="83"/>
      <c r="J32" s="84">
        <v>0.75</v>
      </c>
    </row>
    <row r="33" spans="7:10" x14ac:dyDescent="0.3">
      <c r="G33" s="82" t="s">
        <v>320</v>
      </c>
      <c r="H33" s="83"/>
      <c r="J33" s="84">
        <v>1</v>
      </c>
    </row>
    <row r="34" spans="7:10" x14ac:dyDescent="0.3">
      <c r="G34" s="98" t="s">
        <v>216</v>
      </c>
      <c r="H34" s="83"/>
      <c r="J34" s="84">
        <f>1.189*J29^-0.112</f>
        <v>0.87160641214898482</v>
      </c>
    </row>
    <row r="35" spans="7:10" x14ac:dyDescent="0.3">
      <c r="G35" s="82" t="s">
        <v>321</v>
      </c>
      <c r="H35" s="83"/>
      <c r="J35" s="84">
        <v>1</v>
      </c>
    </row>
    <row r="36" spans="7:10" x14ac:dyDescent="0.3">
      <c r="G36" s="82" t="s">
        <v>322</v>
      </c>
      <c r="H36" s="83"/>
      <c r="J36" s="84">
        <v>1</v>
      </c>
    </row>
    <row r="37" spans="7:10" ht="15" thickBot="1" x14ac:dyDescent="0.35">
      <c r="G37" s="24" t="s">
        <v>323</v>
      </c>
      <c r="H37" s="25" t="s">
        <v>324</v>
      </c>
      <c r="J37" s="99">
        <f>0.5*J23</f>
        <v>430847500</v>
      </c>
    </row>
    <row r="38" spans="7:10" x14ac:dyDescent="0.3">
      <c r="G38" s="85" t="s">
        <v>194</v>
      </c>
      <c r="H38" s="85">
        <f>((32*J24/((22/7)*J22))*SQRT(((J25+(J22/J30)*J26)^2)+0.75*(J27+(J22/J30)*J28)^2))^(1/3)</f>
        <v>1.362808971814895E-2</v>
      </c>
    </row>
    <row r="52" spans="7:10" x14ac:dyDescent="0.3">
      <c r="G52" s="83" t="s">
        <v>311</v>
      </c>
      <c r="H52" s="83"/>
      <c r="I52" s="100">
        <f>I33</f>
        <v>0</v>
      </c>
      <c r="J52" s="83">
        <f>I52*10^6</f>
        <v>0</v>
      </c>
    </row>
    <row r="53" spans="7:10" x14ac:dyDescent="0.3">
      <c r="G53" s="83" t="s">
        <v>312</v>
      </c>
      <c r="H53" s="83"/>
      <c r="I53" s="85">
        <v>861.69500000000005</v>
      </c>
      <c r="J53" s="83">
        <f>I53*10^6</f>
        <v>861695000</v>
      </c>
    </row>
    <row r="54" spans="7:10" x14ac:dyDescent="0.3">
      <c r="G54" s="83" t="s">
        <v>59</v>
      </c>
      <c r="H54" s="83"/>
      <c r="J54" s="83">
        <v>1.2</v>
      </c>
    </row>
    <row r="55" spans="7:10" x14ac:dyDescent="0.3">
      <c r="G55" s="83" t="s">
        <v>313</v>
      </c>
      <c r="H55" s="83"/>
      <c r="J55" s="83">
        <v>0</v>
      </c>
    </row>
    <row r="56" spans="7:10" x14ac:dyDescent="0.3">
      <c r="G56" s="83" t="s">
        <v>314</v>
      </c>
      <c r="H56" s="83"/>
      <c r="J56" s="83">
        <f>E5</f>
        <v>-57.360999999999997</v>
      </c>
    </row>
    <row r="57" spans="7:10" x14ac:dyDescent="0.3">
      <c r="G57" s="83" t="s">
        <v>315</v>
      </c>
      <c r="H57" s="83"/>
      <c r="J57" s="83">
        <v>45</v>
      </c>
    </row>
    <row r="58" spans="7:10" x14ac:dyDescent="0.3">
      <c r="G58" s="83" t="s">
        <v>316</v>
      </c>
      <c r="H58" s="83"/>
      <c r="J58" s="83">
        <v>0</v>
      </c>
    </row>
    <row r="59" spans="7:10" ht="15" thickBot="1" x14ac:dyDescent="0.35">
      <c r="G59" s="94" t="s">
        <v>334</v>
      </c>
      <c r="H59" s="88"/>
      <c r="J59" s="88">
        <v>25</v>
      </c>
    </row>
    <row r="60" spans="7:10" x14ac:dyDescent="0.3">
      <c r="G60" s="95" t="s">
        <v>317</v>
      </c>
      <c r="H60" s="96"/>
      <c r="J60" s="97">
        <f>J62*J61*J63*J65*J66*J67</f>
        <v>258508500.00000003</v>
      </c>
    </row>
    <row r="61" spans="7:10" x14ac:dyDescent="0.3">
      <c r="G61" s="82" t="s">
        <v>318</v>
      </c>
      <c r="H61" s="83"/>
      <c r="J61" s="84">
        <v>0.8</v>
      </c>
    </row>
    <row r="62" spans="7:10" x14ac:dyDescent="0.3">
      <c r="G62" s="82" t="s">
        <v>319</v>
      </c>
      <c r="H62" s="83"/>
      <c r="J62" s="84">
        <v>0.75</v>
      </c>
    </row>
    <row r="63" spans="7:10" x14ac:dyDescent="0.3">
      <c r="G63" s="82" t="s">
        <v>320</v>
      </c>
      <c r="H63" s="83"/>
      <c r="J63" s="84">
        <v>1</v>
      </c>
    </row>
    <row r="64" spans="7:10" x14ac:dyDescent="0.3">
      <c r="G64" s="98" t="s">
        <v>216</v>
      </c>
      <c r="H64" s="83"/>
      <c r="J64" s="84">
        <f>1.189*J59^-0.112</f>
        <v>0.82911080256630665</v>
      </c>
    </row>
    <row r="65" spans="7:10" x14ac:dyDescent="0.3">
      <c r="G65" s="82" t="s">
        <v>321</v>
      </c>
      <c r="H65" s="83"/>
      <c r="J65" s="84">
        <v>1</v>
      </c>
    </row>
    <row r="66" spans="7:10" x14ac:dyDescent="0.3">
      <c r="G66" s="82" t="s">
        <v>322</v>
      </c>
      <c r="H66" s="83"/>
      <c r="J66" s="84">
        <v>1</v>
      </c>
    </row>
    <row r="67" spans="7:10" ht="15" thickBot="1" x14ac:dyDescent="0.35">
      <c r="G67" s="24" t="s">
        <v>323</v>
      </c>
      <c r="H67" s="25" t="s">
        <v>324</v>
      </c>
      <c r="J67" s="99">
        <f>0.5*J53</f>
        <v>430847500</v>
      </c>
    </row>
    <row r="68" spans="7:10" x14ac:dyDescent="0.3">
      <c r="G68" s="85" t="s">
        <v>194</v>
      </c>
      <c r="H68" s="85" t="e">
        <f>((32*J54/((22/7)*J52))*SQRT(((J55+(J52/J60)*J56)^2)+0.75*(J57+(J52/J60)*J58)^2))^(1/3)</f>
        <v>#DIV/0!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K27"/>
  <sheetViews>
    <sheetView zoomScale="80" zoomScaleNormal="80" workbookViewId="0">
      <selection activeCell="U18" sqref="U18"/>
    </sheetView>
  </sheetViews>
  <sheetFormatPr defaultRowHeight="14.4" x14ac:dyDescent="0.3"/>
  <cols>
    <col min="2" max="2" width="38.33203125" bestFit="1" customWidth="1"/>
    <col min="3" max="3" width="12.21875" bestFit="1" customWidth="1"/>
    <col min="4" max="4" width="4.109375" bestFit="1" customWidth="1"/>
    <col min="8" max="8" width="16.88671875" bestFit="1" customWidth="1"/>
    <col min="9" max="9" width="5.6640625" bestFit="1" customWidth="1"/>
    <col min="10" max="10" width="12.33203125" bestFit="1" customWidth="1"/>
    <col min="11" max="11" width="2" bestFit="1" customWidth="1"/>
  </cols>
  <sheetData>
    <row r="2" spans="2:11" x14ac:dyDescent="0.3">
      <c r="B2" s="101" t="s">
        <v>194</v>
      </c>
      <c r="C2" s="101">
        <f>8*10^-3</f>
        <v>8.0000000000000002E-3</v>
      </c>
      <c r="D2" t="s">
        <v>89</v>
      </c>
      <c r="H2" s="102" t="s">
        <v>371</v>
      </c>
      <c r="I2" s="83"/>
      <c r="J2" s="83">
        <v>30</v>
      </c>
      <c r="K2" s="83"/>
    </row>
    <row r="3" spans="2:11" x14ac:dyDescent="0.3">
      <c r="B3" s="101" t="s">
        <v>335</v>
      </c>
      <c r="C3" s="101">
        <v>1</v>
      </c>
      <c r="H3" s="102" t="s">
        <v>361</v>
      </c>
      <c r="I3" s="83" t="s">
        <v>362</v>
      </c>
      <c r="J3" s="83">
        <v>12</v>
      </c>
      <c r="K3" s="83"/>
    </row>
    <row r="4" spans="2:11" x14ac:dyDescent="0.3">
      <c r="B4" s="101" t="s">
        <v>336</v>
      </c>
      <c r="C4" s="101">
        <f>295*10^6</f>
        <v>295000000</v>
      </c>
      <c r="H4" s="102" t="s">
        <v>363</v>
      </c>
      <c r="I4" s="83" t="s">
        <v>50</v>
      </c>
      <c r="J4" s="83">
        <v>1.25</v>
      </c>
      <c r="K4" s="83"/>
    </row>
    <row r="5" spans="2:11" x14ac:dyDescent="0.3">
      <c r="B5" s="101" t="s">
        <v>337</v>
      </c>
      <c r="C5" s="101">
        <v>20000</v>
      </c>
      <c r="D5" t="s">
        <v>33</v>
      </c>
      <c r="H5" s="102" t="s">
        <v>364</v>
      </c>
      <c r="I5" s="83" t="s">
        <v>365</v>
      </c>
      <c r="J5" s="83">
        <v>10.65</v>
      </c>
      <c r="K5" s="83"/>
    </row>
    <row r="6" spans="2:11" x14ac:dyDescent="0.3">
      <c r="B6" s="101" t="s">
        <v>338</v>
      </c>
      <c r="C6" s="101">
        <f>50*10^-3</f>
        <v>0.05</v>
      </c>
      <c r="D6" t="s">
        <v>89</v>
      </c>
      <c r="H6" s="45"/>
      <c r="I6" s="83" t="s">
        <v>369</v>
      </c>
      <c r="J6" s="83">
        <f>J3-(0.5*J4)-0.254</f>
        <v>11.121</v>
      </c>
      <c r="K6" s="83"/>
    </row>
    <row r="7" spans="2:11" x14ac:dyDescent="0.3">
      <c r="B7" s="101" t="s">
        <v>339</v>
      </c>
      <c r="C7" s="101">
        <f>44*10^-3</f>
        <v>4.3999999999999997E-2</v>
      </c>
      <c r="D7" t="s">
        <v>3</v>
      </c>
      <c r="H7" s="102" t="s">
        <v>366</v>
      </c>
      <c r="I7" s="83" t="s">
        <v>367</v>
      </c>
      <c r="J7" s="83">
        <f>(PI()/4)*((J5+J3-(0.5*J4)-0.254))^2</f>
        <v>372.26022625505891</v>
      </c>
      <c r="K7" s="83"/>
    </row>
    <row r="8" spans="2:11" x14ac:dyDescent="0.3">
      <c r="B8" s="101" t="s">
        <v>340</v>
      </c>
      <c r="C8" s="101">
        <f>5*10^-15</f>
        <v>5.0000000000000008E-15</v>
      </c>
      <c r="D8" t="s">
        <v>360</v>
      </c>
      <c r="H8" s="102" t="s">
        <v>375</v>
      </c>
      <c r="I8" s="83" t="s">
        <v>89</v>
      </c>
      <c r="J8" s="83">
        <v>2</v>
      </c>
      <c r="K8" s="83"/>
    </row>
    <row r="9" spans="2:11" x14ac:dyDescent="0.3">
      <c r="B9" s="101" t="s">
        <v>341</v>
      </c>
      <c r="C9" s="101">
        <v>0.1</v>
      </c>
      <c r="H9" s="102" t="s">
        <v>376</v>
      </c>
      <c r="I9" s="83" t="s">
        <v>368</v>
      </c>
      <c r="J9" s="83">
        <f>J8*J4</f>
        <v>2.5</v>
      </c>
      <c r="K9" s="83"/>
    </row>
    <row r="10" spans="2:11" x14ac:dyDescent="0.3">
      <c r="B10" s="101" t="s">
        <v>342</v>
      </c>
      <c r="C10" s="101">
        <v>0.1</v>
      </c>
      <c r="H10" s="102" t="s">
        <v>377</v>
      </c>
      <c r="I10" s="83"/>
      <c r="J10" s="83">
        <f>DEGREES(ATAN(J9/(3.14*J6)))</f>
        <v>4.0949519338451132</v>
      </c>
      <c r="K10" s="83"/>
    </row>
    <row r="11" spans="2:11" x14ac:dyDescent="0.3">
      <c r="B11" s="101" t="s">
        <v>343</v>
      </c>
      <c r="C11" s="101">
        <f>1.5/1000</f>
        <v>1.5E-3</v>
      </c>
      <c r="D11" t="s">
        <v>89</v>
      </c>
      <c r="H11" s="45"/>
      <c r="I11" s="83" t="s">
        <v>370</v>
      </c>
      <c r="J11" s="83">
        <f>DEGREES(ATAN(COS(RADIANS(J10))*(TAN(RADIANS(J2/2)))))</f>
        <v>14.963425841574001</v>
      </c>
      <c r="K11" s="83"/>
    </row>
    <row r="12" spans="2:11" ht="15" x14ac:dyDescent="0.35">
      <c r="B12" s="101" t="s">
        <v>344</v>
      </c>
      <c r="C12" s="101">
        <f>C2-0.5*C11</f>
        <v>7.2500000000000004E-3</v>
      </c>
      <c r="D12" t="s">
        <v>89</v>
      </c>
      <c r="H12" s="102" t="s">
        <v>372</v>
      </c>
      <c r="I12" s="83"/>
      <c r="J12" s="83">
        <v>0.15</v>
      </c>
      <c r="K12" s="83"/>
    </row>
    <row r="13" spans="2:11" ht="15" x14ac:dyDescent="0.35">
      <c r="B13" s="101" t="s">
        <v>345</v>
      </c>
      <c r="C13" s="101">
        <f>6.2*10^-3</f>
        <v>6.2000000000000006E-3</v>
      </c>
      <c r="D13" t="s">
        <v>89</v>
      </c>
      <c r="H13" s="102" t="s">
        <v>373</v>
      </c>
      <c r="I13" s="83"/>
      <c r="J13" s="83">
        <f>2*32</f>
        <v>64</v>
      </c>
      <c r="K13" s="83" t="s">
        <v>31</v>
      </c>
    </row>
    <row r="14" spans="2:11" ht="15" x14ac:dyDescent="0.35">
      <c r="B14" s="101" t="s">
        <v>346</v>
      </c>
      <c r="C14" s="101">
        <f>0.5*C11</f>
        <v>7.5000000000000002E-4</v>
      </c>
      <c r="D14" t="s">
        <v>89</v>
      </c>
      <c r="H14" s="102" t="s">
        <v>378</v>
      </c>
      <c r="I14" s="83" t="s">
        <v>374</v>
      </c>
      <c r="J14" s="83">
        <f>J13*(((J6/2)*(COS(RADIANS(J11))*TAN(RADIANS(J10))+J12)/(COS(RADIANS(J11))-(J12*TAN(RADIANS(J10)))))+(J3*J12/2))</f>
        <v>139.23962598707956</v>
      </c>
      <c r="K14" s="83"/>
    </row>
    <row r="15" spans="2:11" ht="15.6" x14ac:dyDescent="0.35">
      <c r="B15" s="101" t="s">
        <v>347</v>
      </c>
      <c r="C15" s="101">
        <f>3.14/(4*C13^3)</f>
        <v>3293780.0006713425</v>
      </c>
      <c r="D15" t="s">
        <v>65</v>
      </c>
      <c r="H15" s="102" t="s">
        <v>379</v>
      </c>
      <c r="I15" s="83"/>
      <c r="J15" s="83">
        <f>100*J13*J9/(2*PI()*J14)</f>
        <v>18.288465452403759</v>
      </c>
      <c r="K15" s="83"/>
    </row>
    <row r="16" spans="2:11" ht="15" x14ac:dyDescent="0.35">
      <c r="B16" s="101" t="s">
        <v>348</v>
      </c>
      <c r="C16" s="101">
        <f>(C5/C15)*10^6</f>
        <v>6072.0509554140153</v>
      </c>
      <c r="D16" t="s">
        <v>292</v>
      </c>
      <c r="H16" s="102" t="s">
        <v>380</v>
      </c>
      <c r="I16" s="83"/>
      <c r="J16" s="83">
        <f>J13*(((J6/2)*(J12-COS(RADIANS(J11))*TAN(RADIANS(J10)))/(COS(RADIANS(J11))+(J12*TAN(RADIANS(J10)))))+(J3*J12/2))</f>
        <v>87.049371487567015</v>
      </c>
      <c r="K16" s="83"/>
    </row>
    <row r="17" spans="2:11" ht="15.6" x14ac:dyDescent="0.35">
      <c r="B17" s="101" t="s">
        <v>349</v>
      </c>
      <c r="C17" s="101"/>
      <c r="H17" s="102" t="s">
        <v>381</v>
      </c>
      <c r="I17" s="83"/>
      <c r="J17" s="83">
        <f>100*J13*J9/(2*PI()*J16)</f>
        <v>29.253273699213679</v>
      </c>
      <c r="K17" s="83"/>
    </row>
    <row r="18" spans="2:11" ht="15.6" x14ac:dyDescent="0.35">
      <c r="B18" s="101" t="s">
        <v>350</v>
      </c>
      <c r="C18" s="101"/>
      <c r="H18" s="45"/>
      <c r="I18" s="83"/>
      <c r="J18" s="83"/>
      <c r="K18" s="83"/>
    </row>
    <row r="19" spans="2:11" ht="15" x14ac:dyDescent="0.35">
      <c r="B19" s="101" t="s">
        <v>351</v>
      </c>
      <c r="C19" s="101"/>
      <c r="H19" s="102" t="s">
        <v>382</v>
      </c>
      <c r="I19" s="83"/>
      <c r="J19" s="83">
        <f>COS(RADIANS(J11))*TAN(RADIANS(J10))</f>
        <v>6.916469815652361E-2</v>
      </c>
      <c r="K19" s="83">
        <f>J19</f>
        <v>6.916469815652361E-2</v>
      </c>
    </row>
    <row r="20" spans="2:11" ht="15" x14ac:dyDescent="0.35">
      <c r="B20" s="101" t="s">
        <v>352</v>
      </c>
      <c r="C20" s="101"/>
    </row>
    <row r="21" spans="2:11" x14ac:dyDescent="0.3">
      <c r="B21" s="101" t="s">
        <v>353</v>
      </c>
      <c r="C21" s="101"/>
    </row>
    <row r="22" spans="2:11" x14ac:dyDescent="0.3">
      <c r="B22" s="101" t="s">
        <v>354</v>
      </c>
      <c r="C22" s="101"/>
    </row>
    <row r="23" spans="2:11" x14ac:dyDescent="0.3">
      <c r="B23" s="101" t="s">
        <v>355</v>
      </c>
      <c r="C23" s="101"/>
    </row>
    <row r="24" spans="2:11" x14ac:dyDescent="0.3">
      <c r="B24" s="101" t="s">
        <v>356</v>
      </c>
      <c r="C24" s="101"/>
    </row>
    <row r="25" spans="2:11" x14ac:dyDescent="0.3">
      <c r="B25" s="101" t="s">
        <v>357</v>
      </c>
      <c r="C25" s="101"/>
    </row>
    <row r="26" spans="2:11" ht="15" x14ac:dyDescent="0.35">
      <c r="B26" s="101" t="s">
        <v>358</v>
      </c>
      <c r="C26" s="101"/>
    </row>
    <row r="27" spans="2:11" ht="15" x14ac:dyDescent="0.35">
      <c r="B27" s="101" t="s">
        <v>359</v>
      </c>
      <c r="C27" s="101"/>
    </row>
  </sheetData>
  <conditionalFormatting sqref="K19">
    <cfRule type="iconSet" priority="1">
      <iconSet iconSet="3Symbols" showValue="0" reverse="1">
        <cfvo type="percent" val="0"/>
        <cfvo type="formula" val="$J$12"/>
        <cfvo type="formula" val="$J$12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Rolling Force</vt:lpstr>
      <vt:lpstr>key</vt:lpstr>
      <vt:lpstr>diagram </vt:lpstr>
      <vt:lpstr>shaft design</vt:lpstr>
      <vt:lpstr>Static SHAFT STRESS</vt:lpstr>
      <vt:lpstr>gear </vt:lpstr>
      <vt:lpstr>gear design</vt:lpstr>
      <vt:lpstr>Sheet1</vt:lpstr>
      <vt:lpstr>Sheet3</vt:lpstr>
      <vt:lpstr>bearing </vt:lpstr>
      <vt:lpstr>sproket</vt:lpstr>
      <vt:lpstr>Sheet4</vt:lpstr>
      <vt:lpstr>'gear design'!Print_Area</vt:lpstr>
      <vt:lpstr>'Rolling Force'!Print_Area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2021-05-08T19:26:04Z</dcterms:modified>
</cp:coreProperties>
</file>