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BuÇalışmaKitabı" defaultThemeVersion="166925"/>
  <mc:AlternateContent xmlns:mc="http://schemas.openxmlformats.org/markup-compatibility/2006">
    <mc:Choice Requires="x15">
      <x15ac:absPath xmlns:x15ac="http://schemas.microsoft.com/office/spreadsheetml/2010/11/ac" url="C:\Users\murat\Downloads\"/>
    </mc:Choice>
  </mc:AlternateContent>
  <xr:revisionPtr revIDLastSave="0" documentId="13_ncr:1_{A22E3DB1-B922-4784-BF98-058858C52460}"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 sheetId="30" r:id="rId4"/>
    <sheet name="G011A (1.AY)" sheetId="4" r:id="rId5"/>
    <sheet name="G011A (2.AY)" sheetId="5" r:id="rId6"/>
    <sheet name="G011A (3.AY)" sheetId="7" r:id="rId7"/>
    <sheet name="G011A (4.AY)" sheetId="8" r:id="rId8"/>
    <sheet name="G011A (5.AY)" sheetId="9" r:id="rId9"/>
    <sheet name="G011A (6.AY)" sheetId="10" r:id="rId10"/>
    <sheet name="G011B" sheetId="11" r:id="rId11"/>
    <sheet name="G011C" sheetId="12" r:id="rId12"/>
    <sheet name="G011" sheetId="13" r:id="rId13"/>
    <sheet name="G015A" sheetId="19" r:id="rId14"/>
    <sheet name="G015B" sheetId="21" r:id="rId15"/>
    <sheet name="G020" sheetId="24" r:id="rId16"/>
  </sheets>
  <externalReferences>
    <externalReference r:id="rId17"/>
  </externalReferences>
  <definedNames>
    <definedName name="_xlnm._FilterDatabase" localSheetId="0" hidden="1">'Proje ve Personel Bilgileri'!$L$17:$M$24</definedName>
    <definedName name="AsgariUcret">'Proje ve Personel Bilgileri'!$I$18:$J$27</definedName>
    <definedName name="AUcret">'Proje ve Personel Bilgileri'!$D$13</definedName>
    <definedName name="AyTablo">'Proje ve Personel Bilgileri'!$I$32:$J$55</definedName>
    <definedName name="BasvuruTarihi">'Proje ve Personel Bilgileri'!$D$4</definedName>
    <definedName name="DönBasAy">'Proje ve Personel Bilgileri'!$I$31</definedName>
    <definedName name="G011CTablo">G011C!$B$9:$O$1024</definedName>
    <definedName name="imzatarihi">'Proje ve Personel Bilgileri'!$D$14</definedName>
    <definedName name="kurulusyetkilisi">'Proje ve Personel Bilgileri'!$D$15</definedName>
    <definedName name="Personel">'Proje ve Personel Bilgileri'!$O$22</definedName>
    <definedName name="PersonelTablo">'Proje ve Personel Bilgileri'!$C$19:$F$38</definedName>
    <definedName name="PKodu">'Proje ve Personel Bilgileri'!$O$18</definedName>
    <definedName name="ProjeAdi">'Proje ve Personel Bilgileri'!$D$3</definedName>
    <definedName name="ProjeNo">'Proje ve Personel Bilgileri'!$D$2</definedName>
    <definedName name="Seyahat">'[1]Proje ve Personel Bilgileri'!$N$38:$N$39</definedName>
    <definedName name="SGKTAVAN">'Proje ve Personel Bilgileri'!$L$18:$M$27</definedName>
    <definedName name="_xlnm.Print_Area" localSheetId="12">INDIRECT('G011'!$P$1)</definedName>
    <definedName name="_xlnm.Print_Area" localSheetId="4">'G011A (1.AY)'!$A$1:$L$32</definedName>
    <definedName name="_xlnm.Print_Area" localSheetId="5">'G011A (2.AY)'!$A$1:$L$32</definedName>
    <definedName name="_xlnm.Print_Area" localSheetId="6">'G011A (3.AY)'!$A$1:$L$32</definedName>
    <definedName name="_xlnm.Print_Area" localSheetId="7">'G011A (4.AY)'!$A$1:$L$32</definedName>
    <definedName name="_xlnm.Print_Area" localSheetId="8">'G011A (5.AY)'!$A$1:$L$32</definedName>
    <definedName name="_xlnm.Print_Area" localSheetId="9">'G011A (6.AY)'!$A$1:$L$32</definedName>
    <definedName name="_xlnm.Print_Area" localSheetId="10">G011B!$A$1:$R$33</definedName>
    <definedName name="_xlnm.Print_Area" localSheetId="11">G011C!$A$1:$O$34</definedName>
    <definedName name="_xlnm.Print_Area" localSheetId="13">INDIRECT(G015A!$M$1)</definedName>
    <definedName name="_xlnm.Print_Area" localSheetId="14">INDIRECT(G015B!#REF!)</definedName>
    <definedName name="_xlnm.Print_Area" localSheetId="15">'G020'!$A$1:$H$21</definedName>
    <definedName name="_xlnm.Print_Area" localSheetId="1">KAPAK!$A$1:$C$40</definedName>
    <definedName name="_xlnm.Print_Area" localSheetId="0">'Proje ve Personel Bilgileri'!$B$1:$F$38</definedName>
    <definedName name="_xlnm.Print_Area" localSheetId="3">'TAAHHÜTNAME '!$A$1:$A$9</definedName>
    <definedName name="Yıl">'Proje ve Personel Bilgileri'!$J$31</definedName>
    <definedName name="YilDonem">'Proje ve Personel Bilgileri'!$D$12</definedName>
    <definedName name="YilDönemTablo">'Proje ve Personel Bilgileri'!$I$32:$L$55</definedName>
    <definedName name="Yillar">'Proje ve Personel Bilgileri'!$I$7:$I$12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Q20" i="10"/>
  <c r="Q12" i="10"/>
  <c r="Q24" i="9"/>
  <c r="Q16" i="9"/>
  <c r="Q8" i="9"/>
  <c r="Q20" i="8"/>
  <c r="Q12" i="8"/>
  <c r="Q20" i="5"/>
  <c r="Q12" i="5"/>
  <c r="E31" i="10"/>
  <c r="N27" i="10"/>
  <c r="R27" i="10" s="1"/>
  <c r="B27" i="10"/>
  <c r="L27" i="10" s="1"/>
  <c r="N26" i="10"/>
  <c r="R26" i="10" s="1"/>
  <c r="B26" i="10"/>
  <c r="L26" i="10" s="1"/>
  <c r="N25" i="10"/>
  <c r="R25" i="10" s="1"/>
  <c r="B25" i="10"/>
  <c r="L25" i="10" s="1"/>
  <c r="N24" i="10"/>
  <c r="R24" i="10" s="1"/>
  <c r="B24" i="10"/>
  <c r="L24" i="10" s="1"/>
  <c r="N23" i="10"/>
  <c r="R23" i="10" s="1"/>
  <c r="B23" i="10"/>
  <c r="L23" i="10" s="1"/>
  <c r="N22" i="10"/>
  <c r="R22" i="10" s="1"/>
  <c r="B22" i="10"/>
  <c r="L22" i="10" s="1"/>
  <c r="N21" i="10"/>
  <c r="Q21" i="10" s="1"/>
  <c r="B21" i="10"/>
  <c r="L21" i="10" s="1"/>
  <c r="R20" i="10"/>
  <c r="N20" i="10"/>
  <c r="B20" i="10"/>
  <c r="L20" i="10" s="1"/>
  <c r="N19" i="10"/>
  <c r="Q19" i="10" s="1"/>
  <c r="B19" i="10"/>
  <c r="L19" i="10" s="1"/>
  <c r="N18" i="10"/>
  <c r="R18" i="10" s="1"/>
  <c r="B18" i="10"/>
  <c r="L18" i="10" s="1"/>
  <c r="N17" i="10"/>
  <c r="R17" i="10" s="1"/>
  <c r="B17" i="10"/>
  <c r="L17" i="10" s="1"/>
  <c r="N16" i="10"/>
  <c r="Q16" i="10" s="1"/>
  <c r="B16" i="10"/>
  <c r="L16" i="10" s="1"/>
  <c r="N15" i="10"/>
  <c r="R15" i="10" s="1"/>
  <c r="B15" i="10"/>
  <c r="L15" i="10" s="1"/>
  <c r="N14" i="10"/>
  <c r="R14" i="10" s="1"/>
  <c r="B14" i="10"/>
  <c r="L14" i="10" s="1"/>
  <c r="N13" i="10"/>
  <c r="Q13" i="10" s="1"/>
  <c r="B13" i="10"/>
  <c r="L13" i="10" s="1"/>
  <c r="N12" i="10"/>
  <c r="R12" i="10" s="1"/>
  <c r="B12" i="10"/>
  <c r="L12" i="10" s="1"/>
  <c r="N11" i="10"/>
  <c r="R11" i="10" s="1"/>
  <c r="B11" i="10"/>
  <c r="L11" i="10" s="1"/>
  <c r="N10" i="10"/>
  <c r="R10" i="10" s="1"/>
  <c r="B10" i="10"/>
  <c r="L10" i="10" s="1"/>
  <c r="N9" i="10"/>
  <c r="Q9" i="10" s="1"/>
  <c r="B9" i="10"/>
  <c r="L9" i="10" s="1"/>
  <c r="N8" i="10"/>
  <c r="R8" i="10" s="1"/>
  <c r="B8" i="10"/>
  <c r="B5" i="10"/>
  <c r="B4" i="10"/>
  <c r="A2" i="10"/>
  <c r="E31" i="9"/>
  <c r="N27" i="9"/>
  <c r="Q27" i="9" s="1"/>
  <c r="B27" i="9"/>
  <c r="L27" i="9" s="1"/>
  <c r="N26" i="9"/>
  <c r="Q26" i="9" s="1"/>
  <c r="B26" i="9"/>
  <c r="L26" i="9" s="1"/>
  <c r="N25" i="9"/>
  <c r="R25" i="9" s="1"/>
  <c r="B25" i="9"/>
  <c r="L25" i="9" s="1"/>
  <c r="N24" i="9"/>
  <c r="R24" i="9" s="1"/>
  <c r="B24" i="9"/>
  <c r="L24" i="9" s="1"/>
  <c r="N23" i="9"/>
  <c r="Q23" i="9" s="1"/>
  <c r="B23" i="9"/>
  <c r="L23" i="9" s="1"/>
  <c r="N22" i="9"/>
  <c r="Q22" i="9" s="1"/>
  <c r="B22" i="9"/>
  <c r="L22" i="9" s="1"/>
  <c r="N21" i="9"/>
  <c r="R21" i="9" s="1"/>
  <c r="B21" i="9"/>
  <c r="L21" i="9" s="1"/>
  <c r="N20" i="9"/>
  <c r="R20" i="9" s="1"/>
  <c r="B20" i="9"/>
  <c r="L20" i="9" s="1"/>
  <c r="N19" i="9"/>
  <c r="R19" i="9" s="1"/>
  <c r="B19" i="9"/>
  <c r="L19" i="9" s="1"/>
  <c r="N18" i="9"/>
  <c r="Q18" i="9" s="1"/>
  <c r="B18" i="9"/>
  <c r="L18" i="9" s="1"/>
  <c r="N17" i="9"/>
  <c r="R17" i="9" s="1"/>
  <c r="B17" i="9"/>
  <c r="L17" i="9" s="1"/>
  <c r="N16" i="9"/>
  <c r="R16" i="9" s="1"/>
  <c r="B16" i="9"/>
  <c r="L16" i="9" s="1"/>
  <c r="N15" i="9"/>
  <c r="R15" i="9" s="1"/>
  <c r="B15" i="9"/>
  <c r="L15" i="9" s="1"/>
  <c r="N14" i="9"/>
  <c r="Q14" i="9" s="1"/>
  <c r="B14" i="9"/>
  <c r="L14" i="9" s="1"/>
  <c r="N13" i="9"/>
  <c r="R13" i="9" s="1"/>
  <c r="B13" i="9"/>
  <c r="L13" i="9" s="1"/>
  <c r="N12" i="9"/>
  <c r="R12" i="9" s="1"/>
  <c r="B12" i="9"/>
  <c r="L12" i="9" s="1"/>
  <c r="N11" i="9"/>
  <c r="R11" i="9" s="1"/>
  <c r="B11" i="9"/>
  <c r="L11" i="9" s="1"/>
  <c r="N10" i="9"/>
  <c r="Q10" i="9" s="1"/>
  <c r="B10" i="9"/>
  <c r="L10" i="9" s="1"/>
  <c r="N9" i="9"/>
  <c r="R9" i="9" s="1"/>
  <c r="B9" i="9"/>
  <c r="L9" i="9" s="1"/>
  <c r="N8" i="9"/>
  <c r="R8" i="9" s="1"/>
  <c r="B8" i="9"/>
  <c r="B5" i="9"/>
  <c r="B4" i="9"/>
  <c r="A2" i="9"/>
  <c r="E31" i="8"/>
  <c r="N27" i="8"/>
  <c r="R27" i="8" s="1"/>
  <c r="B27" i="8"/>
  <c r="L27" i="8" s="1"/>
  <c r="N26" i="8"/>
  <c r="R26" i="8" s="1"/>
  <c r="B26" i="8"/>
  <c r="L26" i="8" s="1"/>
  <c r="N25" i="8"/>
  <c r="R25" i="8" s="1"/>
  <c r="B25" i="8"/>
  <c r="L25" i="8" s="1"/>
  <c r="N24" i="8"/>
  <c r="R24" i="8" s="1"/>
  <c r="B24" i="8"/>
  <c r="L24" i="8" s="1"/>
  <c r="N23" i="8"/>
  <c r="Q23" i="8" s="1"/>
  <c r="B23" i="8"/>
  <c r="L23" i="8" s="1"/>
  <c r="N22" i="8"/>
  <c r="Q22" i="8" s="1"/>
  <c r="B22" i="8"/>
  <c r="L22" i="8" s="1"/>
  <c r="N21" i="8"/>
  <c r="R21" i="8" s="1"/>
  <c r="B21" i="8"/>
  <c r="L21" i="8" s="1"/>
  <c r="N20" i="8"/>
  <c r="R20" i="8" s="1"/>
  <c r="B20" i="8"/>
  <c r="L20" i="8" s="1"/>
  <c r="N19" i="8"/>
  <c r="Q19" i="8" s="1"/>
  <c r="B19" i="8"/>
  <c r="L19" i="8" s="1"/>
  <c r="N18" i="8"/>
  <c r="R18" i="8" s="1"/>
  <c r="B18" i="8"/>
  <c r="L18" i="8" s="1"/>
  <c r="N17" i="8"/>
  <c r="R17" i="8" s="1"/>
  <c r="B17" i="8"/>
  <c r="L17" i="8" s="1"/>
  <c r="N16" i="8"/>
  <c r="R16" i="8" s="1"/>
  <c r="B16" i="8"/>
  <c r="L16" i="8" s="1"/>
  <c r="N15" i="8"/>
  <c r="Q15" i="8" s="1"/>
  <c r="B15" i="8"/>
  <c r="L15" i="8" s="1"/>
  <c r="N14" i="8"/>
  <c r="Q14" i="8" s="1"/>
  <c r="B14" i="8"/>
  <c r="L14" i="8" s="1"/>
  <c r="N13" i="8"/>
  <c r="R13" i="8" s="1"/>
  <c r="B13" i="8"/>
  <c r="L13" i="8" s="1"/>
  <c r="N12" i="8"/>
  <c r="R12" i="8" s="1"/>
  <c r="B12" i="8"/>
  <c r="L12" i="8" s="1"/>
  <c r="N11" i="8"/>
  <c r="R11" i="8" s="1"/>
  <c r="B11" i="8"/>
  <c r="L11" i="8" s="1"/>
  <c r="N10" i="8"/>
  <c r="Q10" i="8" s="1"/>
  <c r="B10" i="8"/>
  <c r="L10" i="8" s="1"/>
  <c r="N9" i="8"/>
  <c r="R9" i="8" s="1"/>
  <c r="B9" i="8"/>
  <c r="L9" i="8" s="1"/>
  <c r="N8" i="8"/>
  <c r="R8" i="8" s="1"/>
  <c r="B8" i="8"/>
  <c r="B5" i="8"/>
  <c r="B4" i="8"/>
  <c r="A2" i="8"/>
  <c r="E31" i="7"/>
  <c r="N27" i="7"/>
  <c r="R27" i="7" s="1"/>
  <c r="B27" i="7"/>
  <c r="L27" i="7" s="1"/>
  <c r="N26" i="7"/>
  <c r="Q26" i="7" s="1"/>
  <c r="B26" i="7"/>
  <c r="L26" i="7" s="1"/>
  <c r="N25" i="7"/>
  <c r="R25" i="7" s="1"/>
  <c r="B25" i="7"/>
  <c r="L25" i="7" s="1"/>
  <c r="N24" i="7"/>
  <c r="R24" i="7" s="1"/>
  <c r="B24" i="7"/>
  <c r="L24" i="7" s="1"/>
  <c r="N23" i="7"/>
  <c r="R23" i="7" s="1"/>
  <c r="B23" i="7"/>
  <c r="L23" i="7" s="1"/>
  <c r="N22" i="7"/>
  <c r="R22" i="7" s="1"/>
  <c r="B22" i="7"/>
  <c r="L22" i="7" s="1"/>
  <c r="N21" i="7"/>
  <c r="R21" i="7" s="1"/>
  <c r="B21" i="7"/>
  <c r="L21" i="7" s="1"/>
  <c r="N20" i="7"/>
  <c r="R20" i="7" s="1"/>
  <c r="B20" i="7"/>
  <c r="L20" i="7" s="1"/>
  <c r="N19" i="7"/>
  <c r="Q19" i="7" s="1"/>
  <c r="B19" i="7"/>
  <c r="L19" i="7" s="1"/>
  <c r="N18" i="7"/>
  <c r="Q18" i="7" s="1"/>
  <c r="B18" i="7"/>
  <c r="L18" i="7" s="1"/>
  <c r="N17" i="7"/>
  <c r="R17" i="7" s="1"/>
  <c r="B17" i="7"/>
  <c r="L17" i="7" s="1"/>
  <c r="N16" i="7"/>
  <c r="R16" i="7" s="1"/>
  <c r="B16" i="7"/>
  <c r="L16" i="7" s="1"/>
  <c r="N15" i="7"/>
  <c r="R15" i="7" s="1"/>
  <c r="B15" i="7"/>
  <c r="L15" i="7" s="1"/>
  <c r="N14" i="7"/>
  <c r="R14" i="7" s="1"/>
  <c r="B14" i="7"/>
  <c r="L14" i="7" s="1"/>
  <c r="N13" i="7"/>
  <c r="R13" i="7" s="1"/>
  <c r="B13" i="7"/>
  <c r="L13" i="7" s="1"/>
  <c r="N12" i="7"/>
  <c r="R12" i="7" s="1"/>
  <c r="B12" i="7"/>
  <c r="L12" i="7" s="1"/>
  <c r="N11" i="7"/>
  <c r="R11" i="7" s="1"/>
  <c r="B11" i="7"/>
  <c r="L11" i="7" s="1"/>
  <c r="N10" i="7"/>
  <c r="R10" i="7" s="1"/>
  <c r="B10" i="7"/>
  <c r="L10" i="7" s="1"/>
  <c r="N9" i="7"/>
  <c r="R9" i="7" s="1"/>
  <c r="B9" i="7"/>
  <c r="L9" i="7" s="1"/>
  <c r="N8" i="7"/>
  <c r="R8" i="7" s="1"/>
  <c r="B8" i="7"/>
  <c r="B5" i="7"/>
  <c r="B4" i="7"/>
  <c r="A2" i="7"/>
  <c r="E31" i="5"/>
  <c r="N27" i="5"/>
  <c r="R27" i="5" s="1"/>
  <c r="B27" i="5"/>
  <c r="L27" i="5" s="1"/>
  <c r="N26" i="5"/>
  <c r="Q26" i="5" s="1"/>
  <c r="B26" i="5"/>
  <c r="L26" i="5" s="1"/>
  <c r="N25" i="5"/>
  <c r="R25" i="5" s="1"/>
  <c r="B25" i="5"/>
  <c r="L25" i="5" s="1"/>
  <c r="N24" i="5"/>
  <c r="R24" i="5" s="1"/>
  <c r="B24" i="5"/>
  <c r="L24" i="5" s="1"/>
  <c r="N23" i="5"/>
  <c r="Q23" i="5" s="1"/>
  <c r="B23" i="5"/>
  <c r="L23" i="5" s="1"/>
  <c r="N22" i="5"/>
  <c r="Q22" i="5" s="1"/>
  <c r="B22" i="5"/>
  <c r="L22" i="5" s="1"/>
  <c r="N21" i="5"/>
  <c r="R21" i="5" s="1"/>
  <c r="B21" i="5"/>
  <c r="L21" i="5" s="1"/>
  <c r="N20" i="5"/>
  <c r="R20" i="5" s="1"/>
  <c r="B20" i="5"/>
  <c r="L20" i="5" s="1"/>
  <c r="N19" i="5"/>
  <c r="R19" i="5" s="1"/>
  <c r="B19" i="5"/>
  <c r="L19" i="5" s="1"/>
  <c r="N18" i="5"/>
  <c r="R18" i="5" s="1"/>
  <c r="B18" i="5"/>
  <c r="L18" i="5" s="1"/>
  <c r="N17" i="5"/>
  <c r="R17" i="5" s="1"/>
  <c r="B17" i="5"/>
  <c r="L17" i="5" s="1"/>
  <c r="N16" i="5"/>
  <c r="R16" i="5" s="1"/>
  <c r="B16" i="5"/>
  <c r="L16" i="5" s="1"/>
  <c r="N15" i="5"/>
  <c r="R15" i="5" s="1"/>
  <c r="B15" i="5"/>
  <c r="L15" i="5" s="1"/>
  <c r="N14" i="5"/>
  <c r="R14" i="5" s="1"/>
  <c r="B14" i="5"/>
  <c r="L14" i="5" s="1"/>
  <c r="N13" i="5"/>
  <c r="R13" i="5" s="1"/>
  <c r="B13" i="5"/>
  <c r="L13" i="5" s="1"/>
  <c r="N12" i="5"/>
  <c r="R12" i="5" s="1"/>
  <c r="B12" i="5"/>
  <c r="L12" i="5" s="1"/>
  <c r="N11" i="5"/>
  <c r="R11" i="5" s="1"/>
  <c r="B11" i="5"/>
  <c r="L11" i="5" s="1"/>
  <c r="N10" i="5"/>
  <c r="R10" i="5" s="1"/>
  <c r="B10" i="5"/>
  <c r="L10" i="5" s="1"/>
  <c r="N9" i="5"/>
  <c r="R9" i="5" s="1"/>
  <c r="B9" i="5"/>
  <c r="L9" i="5" s="1"/>
  <c r="N8" i="5"/>
  <c r="R8" i="5" s="1"/>
  <c r="B8" i="5"/>
  <c r="B5" i="5"/>
  <c r="B4" i="5"/>
  <c r="A2" i="5"/>
  <c r="Q8" i="7" l="1"/>
  <c r="Q16" i="7"/>
  <c r="Q24" i="7"/>
  <c r="Q13" i="5"/>
  <c r="Q21" i="5"/>
  <c r="Q9" i="7"/>
  <c r="Q17" i="7"/>
  <c r="Q25" i="7"/>
  <c r="Q13" i="8"/>
  <c r="Q21" i="8"/>
  <c r="Q9" i="9"/>
  <c r="Q17" i="9"/>
  <c r="Q25" i="9"/>
  <c r="Q14" i="5"/>
  <c r="Q10" i="7"/>
  <c r="Q14" i="10"/>
  <c r="Q22" i="10"/>
  <c r="Q15" i="5"/>
  <c r="Q11" i="7"/>
  <c r="Q27" i="7"/>
  <c r="Q11" i="9"/>
  <c r="Q19" i="9"/>
  <c r="Q15" i="10"/>
  <c r="Q23" i="10"/>
  <c r="Q8" i="5"/>
  <c r="Q16" i="5"/>
  <c r="Q24" i="5"/>
  <c r="Q12" i="7"/>
  <c r="Q20" i="7"/>
  <c r="Q8" i="8"/>
  <c r="Q16" i="8"/>
  <c r="Q24" i="8"/>
  <c r="Q12" i="9"/>
  <c r="Q20" i="9"/>
  <c r="Q8" i="10"/>
  <c r="Q24" i="10"/>
  <c r="Q9" i="5"/>
  <c r="Q17" i="5"/>
  <c r="Q25" i="5"/>
  <c r="Q13" i="7"/>
  <c r="Q21" i="7"/>
  <c r="Q9" i="8"/>
  <c r="Q17" i="8"/>
  <c r="Q25" i="8"/>
  <c r="Q13" i="9"/>
  <c r="Q21" i="9"/>
  <c r="Q17" i="10"/>
  <c r="Q25" i="10"/>
  <c r="Q10" i="5"/>
  <c r="Q18" i="5"/>
  <c r="Q14" i="7"/>
  <c r="Q22" i="7"/>
  <c r="Q18" i="8"/>
  <c r="Q26" i="8"/>
  <c r="Q10" i="10"/>
  <c r="Q18" i="10"/>
  <c r="Q26" i="10"/>
  <c r="Q11" i="5"/>
  <c r="Q19" i="5"/>
  <c r="Q27" i="5"/>
  <c r="Q15" i="7"/>
  <c r="Q23" i="7"/>
  <c r="Q11" i="8"/>
  <c r="Q27" i="8"/>
  <c r="Q15" i="9"/>
  <c r="Q11" i="10"/>
  <c r="Q27" i="10"/>
  <c r="R14" i="8"/>
  <c r="R19" i="7"/>
  <c r="R18" i="7"/>
  <c r="R22" i="8"/>
  <c r="R22" i="5"/>
  <c r="R15" i="8"/>
  <c r="R27" i="9"/>
  <c r="R23" i="8"/>
  <c r="R23" i="5"/>
  <c r="R10" i="9"/>
  <c r="R19" i="10"/>
  <c r="R10" i="8"/>
  <c r="R19" i="8"/>
  <c r="R14" i="9"/>
  <c r="R23" i="9"/>
  <c r="R16" i="10"/>
  <c r="R26" i="5"/>
  <c r="R26" i="9"/>
  <c r="R22" i="9"/>
  <c r="R26" i="7"/>
  <c r="R18" i="9"/>
  <c r="R9" i="10"/>
  <c r="R13" i="10"/>
  <c r="R21" i="10"/>
  <c r="E20" i="24"/>
  <c r="E161" i="21"/>
  <c r="E134" i="21"/>
  <c r="E107" i="21"/>
  <c r="E80" i="21"/>
  <c r="E53" i="21"/>
  <c r="E26" i="21"/>
  <c r="E161" i="19"/>
  <c r="E134" i="19"/>
  <c r="E107" i="19"/>
  <c r="E80" i="19"/>
  <c r="E53" i="19"/>
  <c r="E26" i="19"/>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F33" i="12"/>
  <c r="E31" i="11"/>
  <c r="E31" i="4"/>
  <c r="A7" i="30" l="1"/>
  <c r="B31" i="9" l="1"/>
  <c r="B31" i="10"/>
  <c r="B31" i="7"/>
  <c r="B31" i="8"/>
  <c r="A8" i="30"/>
  <c r="B31" i="5"/>
  <c r="B33" i="12"/>
  <c r="B21" i="24"/>
  <c r="C161" i="21"/>
  <c r="C134" i="21"/>
  <c r="C107" i="21"/>
  <c r="C80" i="21"/>
  <c r="C53" i="21"/>
  <c r="C26" i="21"/>
  <c r="C161" i="19"/>
  <c r="C134" i="19"/>
  <c r="C107" i="19"/>
  <c r="C80" i="19"/>
  <c r="C53" i="19"/>
  <c r="C26" i="19"/>
  <c r="B824" i="13"/>
  <c r="B791" i="13"/>
  <c r="B725" i="13"/>
  <c r="B758" i="13"/>
  <c r="B692" i="13"/>
  <c r="B659" i="13"/>
  <c r="B626" i="13"/>
  <c r="B593" i="13"/>
  <c r="B560" i="13"/>
  <c r="B527" i="13"/>
  <c r="B428" i="13"/>
  <c r="B494" i="13"/>
  <c r="B461" i="13"/>
  <c r="B395" i="13"/>
  <c r="B362" i="13"/>
  <c r="B329" i="13"/>
  <c r="B296" i="13"/>
  <c r="B263" i="13"/>
  <c r="B230" i="13"/>
  <c r="B197" i="13"/>
  <c r="B164" i="13"/>
  <c r="B98" i="13"/>
  <c r="B131" i="13"/>
  <c r="B65" i="13"/>
  <c r="B32" i="13"/>
  <c r="B31" i="11"/>
  <c r="B31" i="4"/>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L819" i="13"/>
  <c r="L818" i="13"/>
  <c r="L817" i="13"/>
  <c r="L816" i="13"/>
  <c r="L815" i="13"/>
  <c r="L814" i="13"/>
  <c r="L813" i="13"/>
  <c r="L812" i="13"/>
  <c r="L811" i="13"/>
  <c r="L810" i="13"/>
  <c r="L809" i="13"/>
  <c r="L808" i="13"/>
  <c r="L807" i="13"/>
  <c r="L806" i="13"/>
  <c r="L805" i="13"/>
  <c r="L804" i="13"/>
  <c r="L803" i="13"/>
  <c r="L802" i="13"/>
  <c r="L801" i="13"/>
  <c r="L800" i="13"/>
  <c r="L786" i="13"/>
  <c r="L785" i="13"/>
  <c r="L784" i="13"/>
  <c r="L783" i="13"/>
  <c r="L782" i="13"/>
  <c r="L781" i="13"/>
  <c r="L780" i="13"/>
  <c r="L779" i="13"/>
  <c r="L778" i="13"/>
  <c r="L777" i="13"/>
  <c r="L776" i="13"/>
  <c r="L775" i="13"/>
  <c r="L774" i="13"/>
  <c r="L773" i="13"/>
  <c r="L772" i="13"/>
  <c r="L771" i="13"/>
  <c r="L770" i="13"/>
  <c r="L769" i="13"/>
  <c r="L768" i="13"/>
  <c r="L767" i="13"/>
  <c r="L753" i="13"/>
  <c r="L752" i="13"/>
  <c r="L751" i="13"/>
  <c r="L750" i="13"/>
  <c r="L749" i="13"/>
  <c r="L748" i="13"/>
  <c r="L747" i="13"/>
  <c r="L746" i="13"/>
  <c r="L745" i="13"/>
  <c r="L744" i="13"/>
  <c r="L743" i="13"/>
  <c r="L742" i="13"/>
  <c r="L741" i="13"/>
  <c r="L740" i="13"/>
  <c r="L739" i="13"/>
  <c r="L738" i="13"/>
  <c r="L737" i="13"/>
  <c r="L736" i="13"/>
  <c r="L735" i="13"/>
  <c r="L734" i="13"/>
  <c r="L720" i="13"/>
  <c r="L719" i="13"/>
  <c r="L718" i="13"/>
  <c r="L717" i="13"/>
  <c r="L716" i="13"/>
  <c r="L715" i="13"/>
  <c r="L714" i="13"/>
  <c r="L713" i="13"/>
  <c r="L712" i="13"/>
  <c r="L711" i="13"/>
  <c r="L710" i="13"/>
  <c r="L709" i="13"/>
  <c r="L708" i="13"/>
  <c r="L707" i="13"/>
  <c r="L706" i="13"/>
  <c r="L705" i="13"/>
  <c r="L704" i="13"/>
  <c r="L703" i="13"/>
  <c r="L702" i="13"/>
  <c r="L701" i="13"/>
  <c r="L687" i="13"/>
  <c r="L686" i="13"/>
  <c r="L685" i="13"/>
  <c r="L684" i="13"/>
  <c r="L683" i="13"/>
  <c r="L682" i="13"/>
  <c r="L681" i="13"/>
  <c r="L680" i="13"/>
  <c r="L679" i="13"/>
  <c r="L678" i="13"/>
  <c r="L677" i="13"/>
  <c r="L676" i="13"/>
  <c r="L675" i="13"/>
  <c r="L674" i="13"/>
  <c r="L673" i="13"/>
  <c r="L672" i="13"/>
  <c r="L671" i="13"/>
  <c r="L670" i="13"/>
  <c r="L669" i="13"/>
  <c r="L668" i="13"/>
  <c r="L654" i="13"/>
  <c r="L653" i="13"/>
  <c r="L652" i="13"/>
  <c r="L651" i="13"/>
  <c r="L650" i="13"/>
  <c r="L649" i="13"/>
  <c r="L648" i="13"/>
  <c r="L647" i="13"/>
  <c r="L646" i="13"/>
  <c r="L645" i="13"/>
  <c r="L644" i="13"/>
  <c r="L643" i="13"/>
  <c r="L642" i="13"/>
  <c r="L641" i="13"/>
  <c r="L640" i="13"/>
  <c r="L639" i="13"/>
  <c r="L638" i="13"/>
  <c r="L637" i="13"/>
  <c r="L636" i="13"/>
  <c r="L635" i="13"/>
  <c r="L621" i="13"/>
  <c r="L620" i="13"/>
  <c r="L619" i="13"/>
  <c r="L618" i="13"/>
  <c r="L617" i="13"/>
  <c r="L616" i="13"/>
  <c r="L615" i="13"/>
  <c r="L614" i="13"/>
  <c r="L613" i="13"/>
  <c r="L612" i="13"/>
  <c r="L611" i="13"/>
  <c r="L610" i="13"/>
  <c r="L609" i="13"/>
  <c r="L608" i="13"/>
  <c r="L607" i="13"/>
  <c r="L606" i="13"/>
  <c r="L605" i="13"/>
  <c r="L604" i="13"/>
  <c r="L603" i="13"/>
  <c r="L602" i="13"/>
  <c r="L588" i="13"/>
  <c r="L587" i="13"/>
  <c r="L586" i="13"/>
  <c r="L585" i="13"/>
  <c r="L584" i="13"/>
  <c r="L583" i="13"/>
  <c r="L582" i="13"/>
  <c r="L581" i="13"/>
  <c r="L580" i="13"/>
  <c r="L579" i="13"/>
  <c r="L578" i="13"/>
  <c r="L577" i="13"/>
  <c r="L576" i="13"/>
  <c r="L575" i="13"/>
  <c r="L574" i="13"/>
  <c r="L573" i="13"/>
  <c r="L572" i="13"/>
  <c r="L571" i="13"/>
  <c r="L570" i="13"/>
  <c r="L569" i="13"/>
  <c r="L555" i="13"/>
  <c r="L554" i="13"/>
  <c r="L553" i="13"/>
  <c r="L552" i="13"/>
  <c r="L551" i="13"/>
  <c r="L550" i="13"/>
  <c r="L549" i="13"/>
  <c r="L548" i="13"/>
  <c r="L547" i="13"/>
  <c r="L546" i="13"/>
  <c r="L545" i="13"/>
  <c r="L544" i="13"/>
  <c r="L543" i="13"/>
  <c r="L542" i="13"/>
  <c r="L541" i="13"/>
  <c r="L540" i="13"/>
  <c r="L539" i="13"/>
  <c r="L538" i="13"/>
  <c r="L537" i="13"/>
  <c r="L536" i="13"/>
  <c r="L522" i="13"/>
  <c r="L521" i="13"/>
  <c r="L520" i="13"/>
  <c r="L519" i="13"/>
  <c r="L518" i="13"/>
  <c r="L517" i="13"/>
  <c r="L516" i="13"/>
  <c r="L515" i="13"/>
  <c r="L514" i="13"/>
  <c r="L513" i="13"/>
  <c r="L512" i="13"/>
  <c r="L511" i="13"/>
  <c r="L510" i="13"/>
  <c r="L509" i="13"/>
  <c r="L508" i="13"/>
  <c r="L507" i="13"/>
  <c r="L506" i="13"/>
  <c r="L505" i="13"/>
  <c r="L504" i="13"/>
  <c r="L503" i="13"/>
  <c r="L489" i="13"/>
  <c r="L488" i="13"/>
  <c r="L487" i="13"/>
  <c r="L486" i="13"/>
  <c r="L485" i="13"/>
  <c r="L484" i="13"/>
  <c r="L483" i="13"/>
  <c r="L482" i="13"/>
  <c r="L481" i="13"/>
  <c r="L480" i="13"/>
  <c r="L479" i="13"/>
  <c r="L478" i="13"/>
  <c r="L477" i="13"/>
  <c r="L476" i="13"/>
  <c r="L475" i="13"/>
  <c r="L474" i="13"/>
  <c r="L473" i="13"/>
  <c r="L472" i="13"/>
  <c r="L471" i="13"/>
  <c r="L470" i="13"/>
  <c r="L456" i="13"/>
  <c r="L455" i="13"/>
  <c r="L454" i="13"/>
  <c r="L453" i="13"/>
  <c r="L452" i="13"/>
  <c r="L451" i="13"/>
  <c r="L450" i="13"/>
  <c r="L449" i="13"/>
  <c r="L448" i="13"/>
  <c r="L447" i="13"/>
  <c r="L446" i="13"/>
  <c r="L445" i="13"/>
  <c r="L444" i="13"/>
  <c r="L443" i="13"/>
  <c r="L442" i="13"/>
  <c r="L441" i="13"/>
  <c r="L440" i="13"/>
  <c r="L439" i="13"/>
  <c r="L438" i="13"/>
  <c r="L437" i="13"/>
  <c r="L423" i="13"/>
  <c r="L422" i="13"/>
  <c r="L421" i="13"/>
  <c r="L420" i="13"/>
  <c r="L419" i="13"/>
  <c r="L418" i="13"/>
  <c r="L417" i="13"/>
  <c r="L416" i="13"/>
  <c r="L415" i="13"/>
  <c r="L414" i="13"/>
  <c r="L413" i="13"/>
  <c r="L412" i="13"/>
  <c r="L411" i="13"/>
  <c r="L410" i="13"/>
  <c r="L409" i="13"/>
  <c r="L408" i="13"/>
  <c r="L407" i="13"/>
  <c r="L406" i="13"/>
  <c r="L405" i="13"/>
  <c r="L404" i="13"/>
  <c r="L390" i="13"/>
  <c r="L389" i="13"/>
  <c r="L388" i="13"/>
  <c r="L387" i="13"/>
  <c r="L386" i="13"/>
  <c r="L385" i="13"/>
  <c r="L384" i="13"/>
  <c r="L383" i="13"/>
  <c r="L382" i="13"/>
  <c r="L381" i="13"/>
  <c r="L380" i="13"/>
  <c r="L379" i="13"/>
  <c r="L378" i="13"/>
  <c r="L377" i="13"/>
  <c r="L376" i="13"/>
  <c r="L375" i="13"/>
  <c r="L374" i="13"/>
  <c r="L373" i="13"/>
  <c r="L372" i="13"/>
  <c r="L371" i="13"/>
  <c r="L357" i="13"/>
  <c r="L356" i="13"/>
  <c r="L355" i="13"/>
  <c r="L354" i="13"/>
  <c r="L353" i="13"/>
  <c r="L352" i="13"/>
  <c r="L351" i="13"/>
  <c r="L350" i="13"/>
  <c r="L349" i="13"/>
  <c r="L348" i="13"/>
  <c r="L347" i="13"/>
  <c r="L346" i="13"/>
  <c r="L345" i="13"/>
  <c r="L344" i="13"/>
  <c r="L343" i="13"/>
  <c r="L342" i="13"/>
  <c r="L341" i="13"/>
  <c r="L340" i="13"/>
  <c r="L339" i="13"/>
  <c r="L338" i="13"/>
  <c r="L324" i="13"/>
  <c r="L323" i="13"/>
  <c r="L322" i="13"/>
  <c r="L321" i="13"/>
  <c r="L320" i="13"/>
  <c r="L319" i="13"/>
  <c r="L318" i="13"/>
  <c r="L317" i="13"/>
  <c r="L316" i="13"/>
  <c r="L315" i="13"/>
  <c r="L314" i="13"/>
  <c r="L313" i="13"/>
  <c r="L312" i="13"/>
  <c r="L311" i="13"/>
  <c r="L310" i="13"/>
  <c r="L309" i="13"/>
  <c r="L308" i="13"/>
  <c r="L307" i="13"/>
  <c r="L306" i="13"/>
  <c r="L305" i="13"/>
  <c r="L291" i="13"/>
  <c r="L290" i="13"/>
  <c r="L289" i="13"/>
  <c r="L288" i="13"/>
  <c r="L287" i="13"/>
  <c r="L286" i="13"/>
  <c r="L285" i="13"/>
  <c r="L284" i="13"/>
  <c r="L283" i="13"/>
  <c r="L282" i="13"/>
  <c r="L281" i="13"/>
  <c r="L280" i="13"/>
  <c r="L279" i="13"/>
  <c r="L278" i="13"/>
  <c r="L277" i="13"/>
  <c r="L276" i="13"/>
  <c r="L275" i="13"/>
  <c r="L274" i="13"/>
  <c r="L273" i="13"/>
  <c r="L272" i="13"/>
  <c r="L258" i="13"/>
  <c r="L257" i="13"/>
  <c r="L256" i="13"/>
  <c r="L255" i="13"/>
  <c r="L254" i="13"/>
  <c r="L253" i="13"/>
  <c r="L252" i="13"/>
  <c r="L251" i="13"/>
  <c r="L250" i="13"/>
  <c r="L249" i="13"/>
  <c r="L248" i="13"/>
  <c r="L247" i="13"/>
  <c r="L246" i="13"/>
  <c r="L245" i="13"/>
  <c r="L244" i="13"/>
  <c r="L243" i="13"/>
  <c r="L242" i="13"/>
  <c r="L241" i="13"/>
  <c r="L240" i="13"/>
  <c r="L239" i="13"/>
  <c r="L225" i="13"/>
  <c r="L224" i="13"/>
  <c r="L223" i="13"/>
  <c r="L222" i="13"/>
  <c r="L221" i="13"/>
  <c r="L220" i="13"/>
  <c r="L219" i="13"/>
  <c r="L218" i="13"/>
  <c r="L217" i="13"/>
  <c r="L216" i="13"/>
  <c r="L215" i="13"/>
  <c r="L214" i="13"/>
  <c r="L213" i="13"/>
  <c r="L212" i="13"/>
  <c r="L211" i="13"/>
  <c r="L210" i="13"/>
  <c r="L209" i="13"/>
  <c r="L208" i="13"/>
  <c r="L207" i="13"/>
  <c r="L206" i="13"/>
  <c r="L192" i="13"/>
  <c r="L191" i="13"/>
  <c r="L190" i="13"/>
  <c r="L189" i="13"/>
  <c r="L188" i="13"/>
  <c r="L187" i="13"/>
  <c r="L186" i="13"/>
  <c r="L185" i="13"/>
  <c r="L184" i="13"/>
  <c r="L183" i="13"/>
  <c r="L182" i="13"/>
  <c r="L181" i="13"/>
  <c r="L180" i="13"/>
  <c r="L179" i="13"/>
  <c r="L178" i="13"/>
  <c r="L177" i="13"/>
  <c r="L176" i="13"/>
  <c r="L175" i="13"/>
  <c r="L174" i="13"/>
  <c r="L173" i="13"/>
  <c r="L159" i="13"/>
  <c r="L158" i="13"/>
  <c r="L157" i="13"/>
  <c r="L156" i="13"/>
  <c r="L155" i="13"/>
  <c r="L154" i="13"/>
  <c r="L153" i="13"/>
  <c r="L152" i="13"/>
  <c r="L151" i="13"/>
  <c r="L150" i="13"/>
  <c r="L149" i="13"/>
  <c r="L148" i="13"/>
  <c r="L147" i="13"/>
  <c r="L146" i="13"/>
  <c r="L145" i="13"/>
  <c r="L144" i="13"/>
  <c r="L143" i="13"/>
  <c r="L142" i="13"/>
  <c r="L141" i="13"/>
  <c r="L140" i="13"/>
  <c r="L126" i="13"/>
  <c r="L125" i="13"/>
  <c r="L124" i="13"/>
  <c r="L123" i="13"/>
  <c r="L122" i="13"/>
  <c r="L121" i="13"/>
  <c r="L120" i="13"/>
  <c r="L119" i="13"/>
  <c r="L118" i="13"/>
  <c r="L117" i="13"/>
  <c r="L116" i="13"/>
  <c r="L115" i="13"/>
  <c r="L114" i="13"/>
  <c r="L113" i="13"/>
  <c r="L112" i="13"/>
  <c r="L111" i="13"/>
  <c r="L110" i="13"/>
  <c r="L109" i="13"/>
  <c r="L108" i="13"/>
  <c r="L107" i="13"/>
  <c r="L93" i="13"/>
  <c r="L92" i="13"/>
  <c r="L91" i="13"/>
  <c r="L90" i="13"/>
  <c r="L89" i="13"/>
  <c r="L88" i="13"/>
  <c r="L87" i="13"/>
  <c r="L86" i="13"/>
  <c r="L85" i="13"/>
  <c r="L84" i="13"/>
  <c r="L83" i="13"/>
  <c r="L82" i="13"/>
  <c r="L81" i="13"/>
  <c r="L80" i="13"/>
  <c r="L79" i="13"/>
  <c r="L78" i="13"/>
  <c r="L77" i="13"/>
  <c r="L76" i="13"/>
  <c r="L75" i="13"/>
  <c r="L74" i="13"/>
  <c r="L60" i="13"/>
  <c r="L59" i="13"/>
  <c r="L58" i="13"/>
  <c r="L57" i="13"/>
  <c r="L56" i="13"/>
  <c r="L55" i="13"/>
  <c r="L54" i="13"/>
  <c r="L53" i="13"/>
  <c r="L52" i="13"/>
  <c r="L51" i="13"/>
  <c r="L50" i="13"/>
  <c r="L49" i="13"/>
  <c r="L48" i="13"/>
  <c r="L47" i="13"/>
  <c r="L46" i="13"/>
  <c r="L45" i="13"/>
  <c r="L44" i="13"/>
  <c r="L43" i="13"/>
  <c r="L42" i="13"/>
  <c r="L41" i="13"/>
  <c r="L9" i="13"/>
  <c r="L10" i="13"/>
  <c r="L11" i="13"/>
  <c r="L12" i="13"/>
  <c r="L13" i="13"/>
  <c r="L14" i="13"/>
  <c r="L15" i="13"/>
  <c r="L16" i="13"/>
  <c r="L17" i="13"/>
  <c r="L18" i="13"/>
  <c r="L19" i="13"/>
  <c r="L20" i="13"/>
  <c r="L21" i="13"/>
  <c r="L22" i="13"/>
  <c r="L23" i="13"/>
  <c r="L24" i="13"/>
  <c r="L25" i="13"/>
  <c r="L26" i="13"/>
  <c r="L27" i="13"/>
  <c r="N27" i="4" l="1"/>
  <c r="B27" i="4"/>
  <c r="L27" i="4" s="1"/>
  <c r="N26" i="4"/>
  <c r="B26" i="4"/>
  <c r="L26" i="4" s="1"/>
  <c r="N25" i="4"/>
  <c r="Q25" i="4" s="1"/>
  <c r="B25" i="4"/>
  <c r="L25" i="4" s="1"/>
  <c r="N24" i="4"/>
  <c r="Q24" i="4" s="1"/>
  <c r="B24" i="4"/>
  <c r="L24" i="4" s="1"/>
  <c r="N23" i="4"/>
  <c r="Q23" i="4" s="1"/>
  <c r="B23" i="4"/>
  <c r="L23" i="4" s="1"/>
  <c r="N22" i="4"/>
  <c r="B22" i="4"/>
  <c r="L22" i="4" s="1"/>
  <c r="N21" i="4"/>
  <c r="Q21" i="4" s="1"/>
  <c r="B21" i="4"/>
  <c r="L21" i="4" s="1"/>
  <c r="N20" i="4"/>
  <c r="B20" i="4"/>
  <c r="L20" i="4" s="1"/>
  <c r="N19" i="4"/>
  <c r="Q19" i="4" s="1"/>
  <c r="B19" i="4"/>
  <c r="L19" i="4" s="1"/>
  <c r="N18" i="4"/>
  <c r="Q18" i="4" s="1"/>
  <c r="B18" i="4"/>
  <c r="L18" i="4" s="1"/>
  <c r="N17" i="4"/>
  <c r="Q17" i="4" s="1"/>
  <c r="B17" i="4"/>
  <c r="L17" i="4" s="1"/>
  <c r="N16" i="4"/>
  <c r="Q16" i="4" s="1"/>
  <c r="B16" i="4"/>
  <c r="L16" i="4" s="1"/>
  <c r="N15" i="4"/>
  <c r="Q15" i="4" s="1"/>
  <c r="B15" i="4"/>
  <c r="L15" i="4" s="1"/>
  <c r="N14" i="4"/>
  <c r="B14" i="4"/>
  <c r="L14" i="4" s="1"/>
  <c r="N13" i="4"/>
  <c r="Q13" i="4" s="1"/>
  <c r="B13" i="4"/>
  <c r="L13" i="4" s="1"/>
  <c r="N12" i="4"/>
  <c r="B12" i="4"/>
  <c r="L12" i="4" s="1"/>
  <c r="N11" i="4"/>
  <c r="B11" i="4"/>
  <c r="L11" i="4" s="1"/>
  <c r="N10" i="4"/>
  <c r="B10" i="4"/>
  <c r="L10" i="4" s="1"/>
  <c r="N9" i="4"/>
  <c r="Q9" i="4" s="1"/>
  <c r="B9" i="4"/>
  <c r="L9" i="4" s="1"/>
  <c r="N8" i="4"/>
  <c r="B8" i="4"/>
  <c r="B5" i="4"/>
  <c r="B4" i="4"/>
  <c r="A2" i="4"/>
  <c r="J50" i="19"/>
  <c r="J77" i="19" s="1"/>
  <c r="J104" i="19" s="1"/>
  <c r="J131" i="19" s="1"/>
  <c r="J158" i="19" s="1"/>
  <c r="H11" i="24" s="1"/>
  <c r="J23" i="19"/>
  <c r="J23" i="21"/>
  <c r="J50" i="21" s="1"/>
  <c r="J77" i="21" s="1"/>
  <c r="J104" i="21" s="1"/>
  <c r="J131" i="21" s="1"/>
  <c r="J158" i="21" s="1"/>
  <c r="H12" i="24" s="1"/>
  <c r="B8" i="24"/>
  <c r="R12" i="4" l="1"/>
  <c r="Q12" i="4"/>
  <c r="R10" i="4"/>
  <c r="Q10" i="4"/>
  <c r="R14" i="4"/>
  <c r="Q14" i="4"/>
  <c r="R22" i="4"/>
  <c r="Q22" i="4"/>
  <c r="R26" i="4"/>
  <c r="Q26" i="4"/>
  <c r="R11" i="4"/>
  <c r="Q11" i="4"/>
  <c r="R27" i="4"/>
  <c r="Q27" i="4"/>
  <c r="R8" i="4"/>
  <c r="Q8" i="4"/>
  <c r="R20" i="4"/>
  <c r="Q20" i="4"/>
  <c r="R19" i="4"/>
  <c r="R15" i="4"/>
  <c r="R16" i="4"/>
  <c r="R23" i="4"/>
  <c r="R24" i="4"/>
  <c r="R9" i="4"/>
  <c r="R17" i="4"/>
  <c r="R21" i="4"/>
  <c r="R25" i="4"/>
  <c r="R18" i="4"/>
  <c r="R13" i="4"/>
  <c r="J10" i="12"/>
  <c r="K10" i="12"/>
  <c r="J11" i="12"/>
  <c r="K11" i="12"/>
  <c r="J12" i="12"/>
  <c r="K12" i="12"/>
  <c r="J13" i="12"/>
  <c r="K13" i="12"/>
  <c r="J14" i="12"/>
  <c r="K14" i="12"/>
  <c r="J15" i="12"/>
  <c r="K15" i="12"/>
  <c r="J16" i="12"/>
  <c r="K16" i="12"/>
  <c r="J17" i="12"/>
  <c r="K17" i="12"/>
  <c r="J18" i="12"/>
  <c r="K18" i="12"/>
  <c r="J19" i="12"/>
  <c r="K19" i="12"/>
  <c r="J20" i="12"/>
  <c r="K20" i="12"/>
  <c r="J21" i="12"/>
  <c r="K21" i="12"/>
  <c r="J22" i="12"/>
  <c r="K22" i="12"/>
  <c r="J23" i="12"/>
  <c r="K23" i="12"/>
  <c r="J24" i="12"/>
  <c r="K24" i="12"/>
  <c r="J25" i="12"/>
  <c r="K25" i="12"/>
  <c r="J26" i="12"/>
  <c r="K26" i="12"/>
  <c r="J27" i="12"/>
  <c r="K27" i="12"/>
  <c r="J28" i="12"/>
  <c r="K28" i="12"/>
  <c r="N157" i="21" l="1"/>
  <c r="L157" i="21"/>
  <c r="M157" i="21" s="1"/>
  <c r="L156" i="21"/>
  <c r="K156" i="21" s="1"/>
  <c r="L155" i="21"/>
  <c r="K155" i="21" s="1"/>
  <c r="L154" i="21"/>
  <c r="K154" i="21" s="1"/>
  <c r="L153" i="21"/>
  <c r="M153" i="21" s="1"/>
  <c r="L152" i="21"/>
  <c r="K152" i="21" s="1"/>
  <c r="L151" i="21"/>
  <c r="K151" i="21" s="1"/>
  <c r="L150" i="21"/>
  <c r="K150" i="21" s="1"/>
  <c r="L149" i="21"/>
  <c r="M149" i="21" s="1"/>
  <c r="L148" i="21"/>
  <c r="K148" i="21" s="1"/>
  <c r="L147" i="21"/>
  <c r="K147" i="21" s="1"/>
  <c r="L146" i="21"/>
  <c r="K146" i="21" s="1"/>
  <c r="L145" i="21"/>
  <c r="M145" i="21" s="1"/>
  <c r="L144" i="21"/>
  <c r="K144" i="21" s="1"/>
  <c r="L143" i="21"/>
  <c r="K143" i="21" s="1"/>
  <c r="C140" i="21"/>
  <c r="C139" i="21"/>
  <c r="A137" i="21"/>
  <c r="N130" i="21"/>
  <c r="L130" i="21"/>
  <c r="K130" i="21" s="1"/>
  <c r="L129" i="21"/>
  <c r="K129" i="21" s="1"/>
  <c r="L128" i="21"/>
  <c r="K128" i="21" s="1"/>
  <c r="L127" i="21"/>
  <c r="M127" i="21" s="1"/>
  <c r="L126" i="21"/>
  <c r="K126" i="21" s="1"/>
  <c r="L125" i="21"/>
  <c r="K125" i="21" s="1"/>
  <c r="L124" i="21"/>
  <c r="K124" i="21" s="1"/>
  <c r="L123" i="21"/>
  <c r="M123" i="21" s="1"/>
  <c r="L122" i="21"/>
  <c r="K122" i="21" s="1"/>
  <c r="L121" i="21"/>
  <c r="K121" i="21" s="1"/>
  <c r="L120" i="21"/>
  <c r="K120" i="21" s="1"/>
  <c r="L119" i="21"/>
  <c r="M119" i="21" s="1"/>
  <c r="L118" i="21"/>
  <c r="K118" i="21" s="1"/>
  <c r="L117" i="21"/>
  <c r="K117" i="21" s="1"/>
  <c r="L116" i="21"/>
  <c r="K116" i="21" s="1"/>
  <c r="C113" i="21"/>
  <c r="C112" i="21"/>
  <c r="A110" i="21"/>
  <c r="N103" i="21"/>
  <c r="L103" i="21"/>
  <c r="K103" i="21" s="1"/>
  <c r="L102" i="21"/>
  <c r="K102" i="21" s="1"/>
  <c r="L101" i="21"/>
  <c r="M101" i="21" s="1"/>
  <c r="L100" i="21"/>
  <c r="K100" i="21" s="1"/>
  <c r="L99" i="21"/>
  <c r="K99" i="21" s="1"/>
  <c r="L98" i="21"/>
  <c r="K98" i="21" s="1"/>
  <c r="L97" i="21"/>
  <c r="M97" i="21" s="1"/>
  <c r="L96" i="21"/>
  <c r="K96" i="21" s="1"/>
  <c r="L95" i="21"/>
  <c r="K95" i="21" s="1"/>
  <c r="L94" i="21"/>
  <c r="K94" i="21" s="1"/>
  <c r="L93" i="21"/>
  <c r="M93" i="21" s="1"/>
  <c r="L92" i="21"/>
  <c r="K92" i="21" s="1"/>
  <c r="L91" i="21"/>
  <c r="K91" i="21" s="1"/>
  <c r="L90" i="21"/>
  <c r="K90" i="21" s="1"/>
  <c r="L89" i="21"/>
  <c r="M89" i="21" s="1"/>
  <c r="C86" i="21"/>
  <c r="C85" i="21"/>
  <c r="A83" i="21"/>
  <c r="N76" i="21"/>
  <c r="L76" i="21"/>
  <c r="K76" i="21" s="1"/>
  <c r="L75" i="21"/>
  <c r="M75" i="21" s="1"/>
  <c r="L74" i="21"/>
  <c r="K74" i="21" s="1"/>
  <c r="L73" i="21"/>
  <c r="K73" i="21" s="1"/>
  <c r="L72" i="21"/>
  <c r="K72" i="21" s="1"/>
  <c r="L71" i="21"/>
  <c r="M71" i="21" s="1"/>
  <c r="L70" i="21"/>
  <c r="K70" i="21" s="1"/>
  <c r="L69" i="21"/>
  <c r="K69" i="21" s="1"/>
  <c r="L68" i="21"/>
  <c r="K68" i="21" s="1"/>
  <c r="L67" i="21"/>
  <c r="M67" i="21" s="1"/>
  <c r="L66" i="21"/>
  <c r="K66" i="21" s="1"/>
  <c r="L65" i="21"/>
  <c r="K65" i="21" s="1"/>
  <c r="L64" i="21"/>
  <c r="K64" i="21" s="1"/>
  <c r="L63" i="21"/>
  <c r="M63" i="21" s="1"/>
  <c r="L62" i="21"/>
  <c r="K62" i="21" s="1"/>
  <c r="C59" i="21"/>
  <c r="C58" i="21"/>
  <c r="A56" i="21"/>
  <c r="L158" i="21"/>
  <c r="N49" i="21"/>
  <c r="L49" i="21"/>
  <c r="M49" i="21" s="1"/>
  <c r="M48" i="21"/>
  <c r="L48" i="21"/>
  <c r="K48" i="21" s="1"/>
  <c r="L47" i="21"/>
  <c r="K47" i="21" s="1"/>
  <c r="L46" i="21"/>
  <c r="M46" i="21" s="1"/>
  <c r="L45" i="21"/>
  <c r="M45" i="21" s="1"/>
  <c r="L44" i="21"/>
  <c r="K44" i="21" s="1"/>
  <c r="L43" i="21"/>
  <c r="K43" i="21" s="1"/>
  <c r="L42" i="21"/>
  <c r="M42" i="21" s="1"/>
  <c r="K42" i="21"/>
  <c r="L41" i="21"/>
  <c r="M41" i="21" s="1"/>
  <c r="L40" i="21"/>
  <c r="K40" i="21" s="1"/>
  <c r="L39" i="21"/>
  <c r="K39" i="21" s="1"/>
  <c r="M38" i="21"/>
  <c r="L38" i="21"/>
  <c r="K38" i="21"/>
  <c r="L37" i="21"/>
  <c r="M37" i="21" s="1"/>
  <c r="L36" i="21"/>
  <c r="K36" i="21" s="1"/>
  <c r="L35" i="21"/>
  <c r="K35" i="21" s="1"/>
  <c r="C32" i="21"/>
  <c r="C31" i="21"/>
  <c r="A29" i="21"/>
  <c r="I23" i="21"/>
  <c r="I50" i="21" s="1"/>
  <c r="I77" i="21" s="1"/>
  <c r="I104" i="21" s="1"/>
  <c r="I131" i="21" s="1"/>
  <c r="I158" i="21" s="1"/>
  <c r="G12" i="24" s="1"/>
  <c r="L22" i="21"/>
  <c r="K22" i="21" s="1"/>
  <c r="L21" i="21"/>
  <c r="M21" i="21" s="1"/>
  <c r="L20" i="21"/>
  <c r="M20" i="21" s="1"/>
  <c r="L19" i="21"/>
  <c r="M19" i="21" s="1"/>
  <c r="L18" i="21"/>
  <c r="K18" i="21" s="1"/>
  <c r="L17" i="21"/>
  <c r="M17" i="21" s="1"/>
  <c r="L16" i="21"/>
  <c r="M16" i="21" s="1"/>
  <c r="L15" i="21"/>
  <c r="M15" i="21" s="1"/>
  <c r="L14" i="21"/>
  <c r="K14" i="21" s="1"/>
  <c r="L13" i="21"/>
  <c r="M13" i="21" s="1"/>
  <c r="L12" i="21"/>
  <c r="M12" i="21" s="1"/>
  <c r="L11" i="21"/>
  <c r="M11" i="21" s="1"/>
  <c r="L10" i="21"/>
  <c r="K10" i="21" s="1"/>
  <c r="L9" i="21"/>
  <c r="M9" i="21" s="1"/>
  <c r="L8" i="21"/>
  <c r="M8" i="21" s="1"/>
  <c r="C5" i="21"/>
  <c r="C4" i="21"/>
  <c r="A2" i="21"/>
  <c r="I23" i="19"/>
  <c r="I50" i="19" s="1"/>
  <c r="I77" i="19" s="1"/>
  <c r="I104" i="19" s="1"/>
  <c r="I131" i="19" s="1"/>
  <c r="I158" i="19" s="1"/>
  <c r="G11" i="24" s="1"/>
  <c r="C140" i="19"/>
  <c r="C139" i="19"/>
  <c r="C113" i="19"/>
  <c r="C112" i="19"/>
  <c r="C86" i="19"/>
  <c r="C85" i="19"/>
  <c r="C59" i="19"/>
  <c r="C58" i="19"/>
  <c r="C32" i="19"/>
  <c r="C31" i="19"/>
  <c r="C5" i="19"/>
  <c r="C4" i="19"/>
  <c r="N157" i="19"/>
  <c r="M157" i="19"/>
  <c r="L157" i="19"/>
  <c r="K157" i="19" s="1"/>
  <c r="L156" i="19"/>
  <c r="K156" i="19" s="1"/>
  <c r="L155" i="19"/>
  <c r="K155" i="19" s="1"/>
  <c r="L154" i="19"/>
  <c r="M154" i="19" s="1"/>
  <c r="L153" i="19"/>
  <c r="K153" i="19" s="1"/>
  <c r="L152" i="19"/>
  <c r="K152" i="19" s="1"/>
  <c r="L151" i="19"/>
  <c r="M151" i="19" s="1"/>
  <c r="L150" i="19"/>
  <c r="M150" i="19" s="1"/>
  <c r="L149" i="19"/>
  <c r="K149" i="19" s="1"/>
  <c r="L148" i="19"/>
  <c r="K148" i="19" s="1"/>
  <c r="L147" i="19"/>
  <c r="K147" i="19" s="1"/>
  <c r="L146" i="19"/>
  <c r="M146" i="19" s="1"/>
  <c r="L145" i="19"/>
  <c r="K145" i="19" s="1"/>
  <c r="L144" i="19"/>
  <c r="K144" i="19" s="1"/>
  <c r="M143" i="19"/>
  <c r="L143" i="19"/>
  <c r="K143" i="19" s="1"/>
  <c r="A137" i="19"/>
  <c r="N130" i="19"/>
  <c r="M130" i="19"/>
  <c r="L130" i="19"/>
  <c r="K130" i="19" s="1"/>
  <c r="L129" i="19"/>
  <c r="K129" i="19" s="1"/>
  <c r="L128" i="19"/>
  <c r="K128" i="19" s="1"/>
  <c r="L127" i="19"/>
  <c r="K127" i="19" s="1"/>
  <c r="L126" i="19"/>
  <c r="M126" i="19" s="1"/>
  <c r="L125" i="19"/>
  <c r="K125" i="19" s="1"/>
  <c r="L124" i="19"/>
  <c r="K124" i="19" s="1"/>
  <c r="L123" i="19"/>
  <c r="K123" i="19" s="1"/>
  <c r="L122" i="19"/>
  <c r="K122" i="19" s="1"/>
  <c r="L121" i="19"/>
  <c r="K121" i="19" s="1"/>
  <c r="L120" i="19"/>
  <c r="K120" i="19" s="1"/>
  <c r="L119" i="19"/>
  <c r="K119" i="19" s="1"/>
  <c r="L118" i="19"/>
  <c r="K118" i="19" s="1"/>
  <c r="L117" i="19"/>
  <c r="K117" i="19" s="1"/>
  <c r="L116" i="19"/>
  <c r="K116" i="19" s="1"/>
  <c r="A110" i="19"/>
  <c r="N103" i="19"/>
  <c r="L103" i="19"/>
  <c r="K103" i="19" s="1"/>
  <c r="L102" i="19"/>
  <c r="K102" i="19" s="1"/>
  <c r="L101" i="19"/>
  <c r="M101" i="19" s="1"/>
  <c r="L100" i="19"/>
  <c r="K100" i="19" s="1"/>
  <c r="L99" i="19"/>
  <c r="K99" i="19" s="1"/>
  <c r="L98" i="19"/>
  <c r="K98" i="19" s="1"/>
  <c r="L97" i="19"/>
  <c r="M97" i="19" s="1"/>
  <c r="K97" i="19"/>
  <c r="L96" i="19"/>
  <c r="K96" i="19" s="1"/>
  <c r="L95" i="19"/>
  <c r="K95" i="19" s="1"/>
  <c r="L94" i="19"/>
  <c r="K94" i="19" s="1"/>
  <c r="L93" i="19"/>
  <c r="K93" i="19" s="1"/>
  <c r="L92" i="19"/>
  <c r="K92" i="19" s="1"/>
  <c r="L91" i="19"/>
  <c r="K91" i="19" s="1"/>
  <c r="L90" i="19"/>
  <c r="K90" i="19" s="1"/>
  <c r="L89" i="19"/>
  <c r="M89" i="19" s="1"/>
  <c r="A83" i="19"/>
  <c r="N76" i="19"/>
  <c r="L76" i="19"/>
  <c r="M76" i="19" s="1"/>
  <c r="K76" i="19"/>
  <c r="L75" i="19"/>
  <c r="K75" i="19" s="1"/>
  <c r="L74" i="19"/>
  <c r="K74" i="19" s="1"/>
  <c r="L73" i="19"/>
  <c r="K73" i="19" s="1"/>
  <c r="L72" i="19"/>
  <c r="M72" i="19" s="1"/>
  <c r="L71" i="19"/>
  <c r="K71" i="19" s="1"/>
  <c r="L70" i="19"/>
  <c r="K70" i="19" s="1"/>
  <c r="L69" i="19"/>
  <c r="K69" i="19" s="1"/>
  <c r="L68" i="19"/>
  <c r="M68" i="19" s="1"/>
  <c r="L67" i="19"/>
  <c r="K67" i="19" s="1"/>
  <c r="L66" i="19"/>
  <c r="K66" i="19" s="1"/>
  <c r="L65" i="19"/>
  <c r="K65" i="19" s="1"/>
  <c r="L64" i="19"/>
  <c r="M64" i="19" s="1"/>
  <c r="K64" i="19"/>
  <c r="L63" i="19"/>
  <c r="K63" i="19" s="1"/>
  <c r="L62" i="19"/>
  <c r="K62" i="19" s="1"/>
  <c r="A56" i="19"/>
  <c r="N49" i="19"/>
  <c r="L49" i="19"/>
  <c r="K49" i="19" s="1"/>
  <c r="L48" i="19"/>
  <c r="K48" i="19" s="1"/>
  <c r="L47" i="19"/>
  <c r="M47" i="19" s="1"/>
  <c r="L46" i="19"/>
  <c r="K46" i="19" s="1"/>
  <c r="L45" i="19"/>
  <c r="K45" i="19" s="1"/>
  <c r="L44" i="19"/>
  <c r="K44" i="19" s="1"/>
  <c r="L43" i="19"/>
  <c r="M43" i="19" s="1"/>
  <c r="L42" i="19"/>
  <c r="K42" i="19" s="1"/>
  <c r="L41" i="19"/>
  <c r="K41" i="19" s="1"/>
  <c r="L40" i="19"/>
  <c r="K40" i="19" s="1"/>
  <c r="L39" i="19"/>
  <c r="M39" i="19" s="1"/>
  <c r="L38" i="19"/>
  <c r="K38" i="19" s="1"/>
  <c r="L37" i="19"/>
  <c r="K37" i="19" s="1"/>
  <c r="L36" i="19"/>
  <c r="K36" i="19" s="1"/>
  <c r="L35" i="19"/>
  <c r="M35" i="19" s="1"/>
  <c r="A29" i="19"/>
  <c r="L158" i="19"/>
  <c r="L22" i="19"/>
  <c r="K22" i="19" s="1"/>
  <c r="L21" i="19"/>
  <c r="K21" i="19" s="1"/>
  <c r="L20" i="19"/>
  <c r="K20" i="19" s="1"/>
  <c r="L19" i="19"/>
  <c r="M19" i="19" s="1"/>
  <c r="L18" i="19"/>
  <c r="K18" i="19" s="1"/>
  <c r="L17" i="19"/>
  <c r="K17" i="19" s="1"/>
  <c r="L16" i="19"/>
  <c r="K16" i="19" s="1"/>
  <c r="L15" i="19"/>
  <c r="K15" i="19" s="1"/>
  <c r="L14" i="19"/>
  <c r="K14" i="19" s="1"/>
  <c r="L13" i="19"/>
  <c r="K13" i="19" s="1"/>
  <c r="L12" i="19"/>
  <c r="K12" i="19" s="1"/>
  <c r="L11" i="19"/>
  <c r="M11" i="19" s="1"/>
  <c r="L10" i="19"/>
  <c r="K10" i="19" s="1"/>
  <c r="L9" i="19"/>
  <c r="K9" i="19" s="1"/>
  <c r="L8" i="19"/>
  <c r="K8" i="19" s="1"/>
  <c r="A2" i="19"/>
  <c r="M44" i="21" l="1"/>
  <c r="M40" i="21"/>
  <c r="O1" i="21"/>
  <c r="K72" i="19"/>
  <c r="M36" i="21"/>
  <c r="K46" i="21"/>
  <c r="M147" i="19"/>
  <c r="M100" i="19"/>
  <c r="M117" i="19"/>
  <c r="M42" i="19"/>
  <c r="K89" i="19"/>
  <c r="M122" i="19"/>
  <c r="K39" i="19"/>
  <c r="K68" i="19"/>
  <c r="M125" i="19"/>
  <c r="M46" i="19"/>
  <c r="M92" i="19"/>
  <c r="K11" i="19"/>
  <c r="M15" i="19"/>
  <c r="K19" i="19"/>
  <c r="K35" i="19"/>
  <c r="K47" i="19"/>
  <c r="M63" i="19"/>
  <c r="M71" i="19"/>
  <c r="M93" i="19"/>
  <c r="M96" i="19"/>
  <c r="K101" i="19"/>
  <c r="M118" i="19"/>
  <c r="M121" i="19"/>
  <c r="K126" i="19"/>
  <c r="M145" i="19"/>
  <c r="K151" i="19"/>
  <c r="K9" i="21"/>
  <c r="K11" i="21"/>
  <c r="K13" i="21"/>
  <c r="K15" i="21"/>
  <c r="K17" i="21"/>
  <c r="K19" i="21"/>
  <c r="K21" i="21"/>
  <c r="M62" i="21"/>
  <c r="M64" i="21"/>
  <c r="M66" i="21"/>
  <c r="M68" i="21"/>
  <c r="M70" i="21"/>
  <c r="M72" i="21"/>
  <c r="M74" i="21"/>
  <c r="M76" i="21"/>
  <c r="M90" i="21"/>
  <c r="M92" i="21"/>
  <c r="M94" i="21"/>
  <c r="M96" i="21"/>
  <c r="M98" i="21"/>
  <c r="M100" i="21"/>
  <c r="M102" i="21"/>
  <c r="M116" i="21"/>
  <c r="M118" i="21"/>
  <c r="M120" i="21"/>
  <c r="M122" i="21"/>
  <c r="M124" i="21"/>
  <c r="M126" i="21"/>
  <c r="M128" i="21"/>
  <c r="M130" i="21"/>
  <c r="M144" i="21"/>
  <c r="M146" i="21"/>
  <c r="M148" i="21"/>
  <c r="M150" i="21"/>
  <c r="M152" i="21"/>
  <c r="M154" i="21"/>
  <c r="M156" i="21"/>
  <c r="M38" i="19"/>
  <c r="K43" i="19"/>
  <c r="M67" i="19"/>
  <c r="M75" i="19"/>
  <c r="M129" i="19"/>
  <c r="O1" i="19"/>
  <c r="M149" i="19"/>
  <c r="K8" i="21"/>
  <c r="M10" i="21"/>
  <c r="K12" i="21"/>
  <c r="M14" i="21"/>
  <c r="K16" i="21"/>
  <c r="M18" i="21"/>
  <c r="K20" i="21"/>
  <c r="M22" i="21"/>
  <c r="M35" i="21"/>
  <c r="K37" i="21"/>
  <c r="M39" i="21"/>
  <c r="K41" i="21"/>
  <c r="M43" i="21"/>
  <c r="K45" i="21"/>
  <c r="M47" i="21"/>
  <c r="K49" i="21"/>
  <c r="K63" i="21"/>
  <c r="M65" i="21"/>
  <c r="K67" i="21"/>
  <c r="M69" i="21"/>
  <c r="K71" i="21"/>
  <c r="M73" i="21"/>
  <c r="K75" i="21"/>
  <c r="K89" i="21"/>
  <c r="M91" i="21"/>
  <c r="K93" i="21"/>
  <c r="M95" i="21"/>
  <c r="K97" i="21"/>
  <c r="M99" i="21"/>
  <c r="K101" i="21"/>
  <c r="M103" i="21"/>
  <c r="M117" i="21"/>
  <c r="K119" i="21"/>
  <c r="M121" i="21"/>
  <c r="K123" i="21"/>
  <c r="M125" i="21"/>
  <c r="K127" i="21"/>
  <c r="M129" i="21"/>
  <c r="M143" i="21"/>
  <c r="K145" i="21"/>
  <c r="M147" i="21"/>
  <c r="K149" i="21"/>
  <c r="M151" i="21"/>
  <c r="K153" i="21"/>
  <c r="M155" i="21"/>
  <c r="K157" i="21"/>
  <c r="M10" i="19"/>
  <c r="M14" i="19"/>
  <c r="M18" i="19"/>
  <c r="M22" i="19"/>
  <c r="M37" i="19"/>
  <c r="M41" i="19"/>
  <c r="M45" i="19"/>
  <c r="M49" i="19"/>
  <c r="M62" i="19"/>
  <c r="M66" i="19"/>
  <c r="M70" i="19"/>
  <c r="M74" i="19"/>
  <c r="M153" i="19"/>
  <c r="M155" i="19"/>
  <c r="M91" i="19"/>
  <c r="M95" i="19"/>
  <c r="M99" i="19"/>
  <c r="M103" i="19"/>
  <c r="M116" i="19"/>
  <c r="M120" i="19"/>
  <c r="M124" i="19"/>
  <c r="M128" i="19"/>
  <c r="M9" i="19"/>
  <c r="M13" i="19"/>
  <c r="M17" i="19"/>
  <c r="M21" i="19"/>
  <c r="M8" i="19"/>
  <c r="M12" i="19"/>
  <c r="M16" i="19"/>
  <c r="M20" i="19"/>
  <c r="M36" i="19"/>
  <c r="M40" i="19"/>
  <c r="M44" i="19"/>
  <c r="M48" i="19"/>
  <c r="M65" i="19"/>
  <c r="M69" i="19"/>
  <c r="M73" i="19"/>
  <c r="M90" i="19"/>
  <c r="M94" i="19"/>
  <c r="M98" i="19"/>
  <c r="M102" i="19"/>
  <c r="M119" i="19"/>
  <c r="M123" i="19"/>
  <c r="M127" i="19"/>
  <c r="M144" i="19"/>
  <c r="K146" i="19"/>
  <c r="M148" i="19"/>
  <c r="K150" i="19"/>
  <c r="M152" i="19"/>
  <c r="K154" i="19"/>
  <c r="M156" i="19"/>
  <c r="E21" i="2" l="1"/>
  <c r="C18" i="2" l="1"/>
  <c r="C25" i="2"/>
  <c r="C26" i="2"/>
  <c r="A14" i="2"/>
  <c r="F1" i="1" l="1"/>
  <c r="N820" i="13"/>
  <c r="N787" i="13"/>
  <c r="N754" i="13"/>
  <c r="N721" i="13"/>
  <c r="N688" i="13"/>
  <c r="N655" i="13"/>
  <c r="N622" i="13"/>
  <c r="N589" i="13"/>
  <c r="N556" i="13"/>
  <c r="N523" i="13"/>
  <c r="N490" i="13"/>
  <c r="N457" i="13"/>
  <c r="N424" i="13"/>
  <c r="N391" i="13"/>
  <c r="N358" i="13"/>
  <c r="N325" i="13"/>
  <c r="N292" i="13"/>
  <c r="N259" i="13"/>
  <c r="N226" i="13"/>
  <c r="N193" i="13"/>
  <c r="N160" i="13"/>
  <c r="N127" i="13"/>
  <c r="N94" i="13"/>
  <c r="N61" i="13"/>
  <c r="C8" i="11" l="1"/>
  <c r="T8" i="11" s="1"/>
  <c r="C9" i="11"/>
  <c r="T9" i="11" s="1"/>
  <c r="C10" i="11"/>
  <c r="T10" i="11" s="1"/>
  <c r="C11" i="11"/>
  <c r="T11" i="11" s="1"/>
  <c r="C12" i="11"/>
  <c r="T12" i="11" s="1"/>
  <c r="C13" i="11"/>
  <c r="T13" i="11" s="1"/>
  <c r="C14" i="11"/>
  <c r="T14" i="11" s="1"/>
  <c r="C15" i="11"/>
  <c r="T15" i="11" s="1"/>
  <c r="C16" i="11"/>
  <c r="T16" i="11" s="1"/>
  <c r="C17" i="11"/>
  <c r="T17" i="11" s="1"/>
  <c r="C18" i="11"/>
  <c r="T18" i="11" s="1"/>
  <c r="C19" i="11"/>
  <c r="T19" i="11" s="1"/>
  <c r="C20" i="11"/>
  <c r="T20" i="11" s="1"/>
  <c r="C21" i="11"/>
  <c r="T21" i="11" s="1"/>
  <c r="C22" i="11"/>
  <c r="T22" i="11" s="1"/>
  <c r="C23" i="11"/>
  <c r="T23" i="11" s="1"/>
  <c r="C24" i="11"/>
  <c r="T24" i="11" s="1"/>
  <c r="C25" i="11"/>
  <c r="T25" i="11" s="1"/>
  <c r="C26" i="11"/>
  <c r="T26" i="11" s="1"/>
  <c r="C27" i="11"/>
  <c r="T27" i="11" s="1"/>
  <c r="B2" i="24" l="1"/>
  <c r="A2" i="12" l="1"/>
  <c r="D7" i="1" l="1"/>
  <c r="A794" i="13"/>
  <c r="A761" i="13"/>
  <c r="A728" i="13"/>
  <c r="A695" i="13"/>
  <c r="A662" i="13"/>
  <c r="A629" i="13"/>
  <c r="A596" i="13"/>
  <c r="A563" i="13"/>
  <c r="A530" i="13"/>
  <c r="A497" i="13"/>
  <c r="A464" i="13"/>
  <c r="A431" i="13"/>
  <c r="A398" i="13"/>
  <c r="A365" i="13"/>
  <c r="A332" i="13"/>
  <c r="A299" i="13"/>
  <c r="A266" i="13"/>
  <c r="A233" i="13"/>
  <c r="A200" i="13"/>
  <c r="A167" i="13"/>
  <c r="A134" i="13"/>
  <c r="A101" i="13"/>
  <c r="A68" i="13"/>
  <c r="A35" i="13"/>
  <c r="A2" i="13"/>
  <c r="A2" i="11"/>
  <c r="E7" i="1" l="1"/>
  <c r="D8" i="1" s="1"/>
  <c r="E8" i="1" s="1"/>
  <c r="D9" i="1" l="1"/>
  <c r="E9" i="1" s="1"/>
  <c r="D10" i="1" l="1"/>
  <c r="E10" i="1" s="1"/>
  <c r="D11" i="1" l="1"/>
  <c r="I31" i="1"/>
  <c r="J31" i="1"/>
  <c r="L48" i="1" l="1"/>
  <c r="L34" i="1"/>
  <c r="O18" i="7" s="1"/>
  <c r="S18" i="7" s="1"/>
  <c r="L40" i="1"/>
  <c r="L47" i="1"/>
  <c r="L38" i="1"/>
  <c r="L55" i="1"/>
  <c r="L41" i="1"/>
  <c r="L39" i="1"/>
  <c r="M29" i="1"/>
  <c r="D13" i="1" s="1"/>
  <c r="L49" i="1"/>
  <c r="L42" i="1"/>
  <c r="L32" i="1"/>
  <c r="P14" i="4" s="1"/>
  <c r="T14" i="4" s="1"/>
  <c r="L33" i="1"/>
  <c r="O26" i="5" s="1"/>
  <c r="S26" i="5" s="1"/>
  <c r="L45" i="1"/>
  <c r="L50" i="1"/>
  <c r="L35" i="1"/>
  <c r="L53" i="1"/>
  <c r="L51" i="1"/>
  <c r="L43" i="1"/>
  <c r="L46" i="1"/>
  <c r="L52" i="1"/>
  <c r="L36" i="1"/>
  <c r="L54" i="1"/>
  <c r="L44" i="1"/>
  <c r="O8" i="8" s="1"/>
  <c r="S8" i="8" s="1"/>
  <c r="L37" i="1"/>
  <c r="O9" i="10" s="1"/>
  <c r="S9" i="10" s="1"/>
  <c r="E3" i="4"/>
  <c r="E3" i="8"/>
  <c r="E3" i="7"/>
  <c r="E3" i="5"/>
  <c r="E3" i="10"/>
  <c r="E3" i="9"/>
  <c r="E11" i="1"/>
  <c r="O14" i="10"/>
  <c r="S14" i="10" s="1"/>
  <c r="O16" i="7"/>
  <c r="S16" i="7" s="1"/>
  <c r="O20" i="10"/>
  <c r="S20" i="10" s="1"/>
  <c r="O11" i="5"/>
  <c r="S11" i="5" s="1"/>
  <c r="P20" i="10"/>
  <c r="T20" i="10" s="1"/>
  <c r="P27" i="10"/>
  <c r="T27" i="10" s="1"/>
  <c r="P19" i="7"/>
  <c r="T19" i="7" s="1"/>
  <c r="P25" i="7"/>
  <c r="T25" i="7" s="1"/>
  <c r="P1" i="13"/>
  <c r="E8" i="11"/>
  <c r="U8" i="11" s="1"/>
  <c r="G8" i="11"/>
  <c r="V8" i="11" s="1"/>
  <c r="I8" i="11"/>
  <c r="W8" i="11" s="1"/>
  <c r="K8" i="11"/>
  <c r="X8" i="11" s="1"/>
  <c r="M8" i="11"/>
  <c r="Y8" i="11" s="1"/>
  <c r="E9" i="11"/>
  <c r="U9" i="11" s="1"/>
  <c r="G9" i="11"/>
  <c r="V9" i="11" s="1"/>
  <c r="I9" i="11"/>
  <c r="W9" i="11" s="1"/>
  <c r="K9" i="11"/>
  <c r="X9" i="11" s="1"/>
  <c r="M9" i="11"/>
  <c r="Y9" i="11" s="1"/>
  <c r="E10" i="11"/>
  <c r="U10" i="11" s="1"/>
  <c r="G10" i="11"/>
  <c r="V10" i="11" s="1"/>
  <c r="I10" i="11"/>
  <c r="W10" i="11" s="1"/>
  <c r="K10" i="11"/>
  <c r="X10" i="11" s="1"/>
  <c r="M10" i="11"/>
  <c r="Y10" i="11" s="1"/>
  <c r="E11" i="11"/>
  <c r="U11" i="11" s="1"/>
  <c r="G11" i="11"/>
  <c r="V11" i="11" s="1"/>
  <c r="I11" i="11"/>
  <c r="W11" i="11" s="1"/>
  <c r="K11" i="11"/>
  <c r="X11" i="11" s="1"/>
  <c r="M11" i="11"/>
  <c r="Y11" i="11" s="1"/>
  <c r="E12" i="11"/>
  <c r="U12" i="11" s="1"/>
  <c r="G12" i="11"/>
  <c r="V12" i="11" s="1"/>
  <c r="I12" i="11"/>
  <c r="W12" i="11" s="1"/>
  <c r="K12" i="11"/>
  <c r="X12" i="11" s="1"/>
  <c r="M12" i="11"/>
  <c r="Y12" i="11" s="1"/>
  <c r="E13" i="11"/>
  <c r="U13" i="11" s="1"/>
  <c r="G13" i="11"/>
  <c r="V13" i="11" s="1"/>
  <c r="I13" i="11"/>
  <c r="W13" i="11" s="1"/>
  <c r="K13" i="11"/>
  <c r="X13" i="11" s="1"/>
  <c r="M13" i="11"/>
  <c r="Y13" i="11" s="1"/>
  <c r="E14" i="11"/>
  <c r="U14" i="11" s="1"/>
  <c r="G14" i="11"/>
  <c r="V14" i="11" s="1"/>
  <c r="I14" i="11"/>
  <c r="W14" i="11" s="1"/>
  <c r="K14" i="11"/>
  <c r="X14" i="11" s="1"/>
  <c r="M14" i="11"/>
  <c r="Y14" i="11" s="1"/>
  <c r="E15" i="11"/>
  <c r="U15" i="11" s="1"/>
  <c r="G15" i="11"/>
  <c r="V15" i="11" s="1"/>
  <c r="I15" i="11"/>
  <c r="W15" i="11" s="1"/>
  <c r="K15" i="11"/>
  <c r="X15" i="11" s="1"/>
  <c r="M15" i="11"/>
  <c r="Y15" i="11" s="1"/>
  <c r="E16" i="11"/>
  <c r="U16" i="11" s="1"/>
  <c r="G16" i="11"/>
  <c r="V16" i="11" s="1"/>
  <c r="I16" i="11"/>
  <c r="W16" i="11" s="1"/>
  <c r="K16" i="11"/>
  <c r="X16" i="11" s="1"/>
  <c r="M16" i="11"/>
  <c r="Y16" i="11" s="1"/>
  <c r="E17" i="11"/>
  <c r="U17" i="11" s="1"/>
  <c r="G17" i="11"/>
  <c r="V17" i="11" s="1"/>
  <c r="I17" i="11"/>
  <c r="W17" i="11" s="1"/>
  <c r="K17" i="11"/>
  <c r="X17" i="11" s="1"/>
  <c r="M17" i="11"/>
  <c r="Y17" i="11" s="1"/>
  <c r="E18" i="11"/>
  <c r="U18" i="11" s="1"/>
  <c r="G18" i="11"/>
  <c r="V18" i="11" s="1"/>
  <c r="I18" i="11"/>
  <c r="W18" i="11" s="1"/>
  <c r="K18" i="11"/>
  <c r="X18" i="11" s="1"/>
  <c r="M18" i="11"/>
  <c r="Y18" i="11" s="1"/>
  <c r="E19" i="11"/>
  <c r="U19" i="11" s="1"/>
  <c r="G19" i="11"/>
  <c r="V19" i="11" s="1"/>
  <c r="I19" i="11"/>
  <c r="W19" i="11" s="1"/>
  <c r="K19" i="11"/>
  <c r="X19" i="11" s="1"/>
  <c r="M19" i="11"/>
  <c r="Y19" i="11" s="1"/>
  <c r="E20" i="11"/>
  <c r="U20" i="11" s="1"/>
  <c r="G20" i="11"/>
  <c r="V20" i="11" s="1"/>
  <c r="I20" i="11"/>
  <c r="W20" i="11" s="1"/>
  <c r="K20" i="11"/>
  <c r="X20" i="11" s="1"/>
  <c r="M20" i="11"/>
  <c r="Y20" i="11" s="1"/>
  <c r="E21" i="11"/>
  <c r="U21" i="11" s="1"/>
  <c r="G21" i="11"/>
  <c r="V21" i="11" s="1"/>
  <c r="I21" i="11"/>
  <c r="W21" i="11" s="1"/>
  <c r="K21" i="11"/>
  <c r="X21" i="11" s="1"/>
  <c r="M21" i="11"/>
  <c r="Y21" i="11" s="1"/>
  <c r="E22" i="11"/>
  <c r="U22" i="11" s="1"/>
  <c r="G22" i="11"/>
  <c r="V22" i="11" s="1"/>
  <c r="I22" i="11"/>
  <c r="W22" i="11" s="1"/>
  <c r="K22" i="11"/>
  <c r="X22" i="11" s="1"/>
  <c r="M22" i="11"/>
  <c r="Y22" i="11" s="1"/>
  <c r="E23" i="11"/>
  <c r="U23" i="11" s="1"/>
  <c r="G23" i="11"/>
  <c r="V23" i="11" s="1"/>
  <c r="I23" i="11"/>
  <c r="W23" i="11" s="1"/>
  <c r="K23" i="11"/>
  <c r="X23" i="11" s="1"/>
  <c r="M23" i="11"/>
  <c r="Y23" i="11" s="1"/>
  <c r="E24" i="11"/>
  <c r="U24" i="11" s="1"/>
  <c r="G24" i="11"/>
  <c r="V24" i="11" s="1"/>
  <c r="I24" i="11"/>
  <c r="W24" i="11" s="1"/>
  <c r="K24" i="11"/>
  <c r="X24" i="11" s="1"/>
  <c r="M24" i="11"/>
  <c r="Y24" i="11" s="1"/>
  <c r="E25" i="11"/>
  <c r="U25" i="11" s="1"/>
  <c r="G25" i="11"/>
  <c r="V25" i="11" s="1"/>
  <c r="I25" i="11"/>
  <c r="W25" i="11" s="1"/>
  <c r="K25" i="11"/>
  <c r="X25" i="11" s="1"/>
  <c r="M25" i="11"/>
  <c r="Y25" i="11" s="1"/>
  <c r="E26" i="11"/>
  <c r="U26" i="11" s="1"/>
  <c r="G26" i="11"/>
  <c r="V26" i="11" s="1"/>
  <c r="I26" i="11"/>
  <c r="W26" i="11" s="1"/>
  <c r="K26" i="11"/>
  <c r="X26" i="11" s="1"/>
  <c r="M26" i="11"/>
  <c r="Y26" i="11" s="1"/>
  <c r="E27" i="11"/>
  <c r="U27" i="11" s="1"/>
  <c r="G27" i="11"/>
  <c r="V27" i="11" s="1"/>
  <c r="I27" i="11"/>
  <c r="W27" i="11" s="1"/>
  <c r="K27" i="11"/>
  <c r="X27" i="11" s="1"/>
  <c r="M27" i="11"/>
  <c r="Y27" i="11" s="1"/>
  <c r="P17" i="5" l="1"/>
  <c r="T17" i="5" s="1"/>
  <c r="O9" i="5"/>
  <c r="S9" i="5" s="1"/>
  <c r="P12" i="5"/>
  <c r="T12" i="5" s="1"/>
  <c r="P13" i="5"/>
  <c r="T13" i="5" s="1"/>
  <c r="P18" i="7"/>
  <c r="T18" i="7" s="1"/>
  <c r="P22" i="7"/>
  <c r="T22" i="7" s="1"/>
  <c r="P23" i="7"/>
  <c r="T23" i="7" s="1"/>
  <c r="O12" i="7"/>
  <c r="S12" i="7" s="1"/>
  <c r="M12" i="7" s="1"/>
  <c r="P12" i="7"/>
  <c r="T12" i="7" s="1"/>
  <c r="P26" i="7"/>
  <c r="T26" i="7" s="1"/>
  <c r="P17" i="7"/>
  <c r="T17" i="7" s="1"/>
  <c r="O25" i="5"/>
  <c r="S25" i="5" s="1"/>
  <c r="O9" i="7"/>
  <c r="S9" i="7" s="1"/>
  <c r="P11" i="7"/>
  <c r="T11" i="7" s="1"/>
  <c r="P27" i="7"/>
  <c r="T27" i="7" s="1"/>
  <c r="M27" i="7" s="1"/>
  <c r="O12" i="5"/>
  <c r="S12" i="5" s="1"/>
  <c r="M12" i="5" s="1"/>
  <c r="P24" i="7"/>
  <c r="T24" i="7" s="1"/>
  <c r="O22" i="7"/>
  <c r="S22" i="7" s="1"/>
  <c r="P21" i="7"/>
  <c r="T21" i="7" s="1"/>
  <c r="P14" i="7"/>
  <c r="T14" i="7" s="1"/>
  <c r="P15" i="7"/>
  <c r="T15" i="7" s="1"/>
  <c r="P16" i="7"/>
  <c r="T16" i="7" s="1"/>
  <c r="M16" i="7" s="1"/>
  <c r="P9" i="7"/>
  <c r="T9" i="7" s="1"/>
  <c r="M9" i="7" s="1"/>
  <c r="O20" i="7"/>
  <c r="S20" i="7" s="1"/>
  <c r="P8" i="7"/>
  <c r="T8" i="7" s="1"/>
  <c r="O26" i="4"/>
  <c r="S26" i="4" s="1"/>
  <c r="O15" i="7"/>
  <c r="S15" i="7" s="1"/>
  <c r="M15" i="7" s="1"/>
  <c r="P16" i="5"/>
  <c r="T16" i="5" s="1"/>
  <c r="M16" i="5" s="1"/>
  <c r="P10" i="10"/>
  <c r="T10" i="10" s="1"/>
  <c r="O10" i="10"/>
  <c r="S10" i="10" s="1"/>
  <c r="M10" i="10" s="1"/>
  <c r="O21" i="5"/>
  <c r="S21" i="5" s="1"/>
  <c r="P25" i="5"/>
  <c r="T25" i="5" s="1"/>
  <c r="P23" i="10"/>
  <c r="T23" i="10" s="1"/>
  <c r="O13" i="10"/>
  <c r="S13" i="10" s="1"/>
  <c r="P14" i="5"/>
  <c r="T14" i="5" s="1"/>
  <c r="P22" i="10"/>
  <c r="T22" i="10" s="1"/>
  <c r="P26" i="5"/>
  <c r="T26" i="5" s="1"/>
  <c r="P19" i="5"/>
  <c r="T19" i="5" s="1"/>
  <c r="M19" i="5" s="1"/>
  <c r="P24" i="10"/>
  <c r="T24" i="10" s="1"/>
  <c r="O23" i="10"/>
  <c r="S23" i="10" s="1"/>
  <c r="P11" i="5"/>
  <c r="T11" i="5" s="1"/>
  <c r="P26" i="10"/>
  <c r="T26" i="10" s="1"/>
  <c r="O22" i="5"/>
  <c r="S22" i="5" s="1"/>
  <c r="P8" i="10"/>
  <c r="T8" i="10" s="1"/>
  <c r="O10" i="7"/>
  <c r="S10" i="7" s="1"/>
  <c r="O23" i="7"/>
  <c r="S23" i="7" s="1"/>
  <c r="M23" i="7" s="1"/>
  <c r="P24" i="5"/>
  <c r="T24" i="5" s="1"/>
  <c r="P9" i="5"/>
  <c r="T9" i="5" s="1"/>
  <c r="M9" i="5" s="1"/>
  <c r="P10" i="5"/>
  <c r="T10" i="5" s="1"/>
  <c r="P15" i="5"/>
  <c r="T15" i="5" s="1"/>
  <c r="O8" i="5"/>
  <c r="S8" i="5" s="1"/>
  <c r="O27" i="5"/>
  <c r="S27" i="5" s="1"/>
  <c r="O19" i="5"/>
  <c r="S19" i="5" s="1"/>
  <c r="O18" i="5"/>
  <c r="S18" i="5" s="1"/>
  <c r="O10" i="5"/>
  <c r="S10" i="5" s="1"/>
  <c r="O14" i="5"/>
  <c r="S14" i="5" s="1"/>
  <c r="P27" i="5"/>
  <c r="T27" i="5" s="1"/>
  <c r="P22" i="5"/>
  <c r="T22" i="5" s="1"/>
  <c r="P23" i="5"/>
  <c r="T23" i="5" s="1"/>
  <c r="P18" i="5"/>
  <c r="T18" i="5" s="1"/>
  <c r="O16" i="5"/>
  <c r="S16" i="5" s="1"/>
  <c r="O13" i="5"/>
  <c r="S13" i="5" s="1"/>
  <c r="M13" i="5" s="1"/>
  <c r="O17" i="5"/>
  <c r="S17" i="5" s="1"/>
  <c r="M17" i="5" s="1"/>
  <c r="P10" i="7"/>
  <c r="T10" i="7" s="1"/>
  <c r="M10" i="7" s="1"/>
  <c r="P19" i="10"/>
  <c r="T19" i="10" s="1"/>
  <c r="O15" i="5"/>
  <c r="S15" i="5" s="1"/>
  <c r="M15" i="5" s="1"/>
  <c r="O20" i="5"/>
  <c r="S20" i="5" s="1"/>
  <c r="O15" i="10"/>
  <c r="S15" i="10" s="1"/>
  <c r="O27" i="7"/>
  <c r="S27" i="7" s="1"/>
  <c r="P8" i="5"/>
  <c r="T8" i="5" s="1"/>
  <c r="P20" i="5"/>
  <c r="T20" i="5" s="1"/>
  <c r="P21" i="5"/>
  <c r="T21" i="5" s="1"/>
  <c r="M21" i="5" s="1"/>
  <c r="P20" i="7"/>
  <c r="T20" i="7" s="1"/>
  <c r="P13" i="7"/>
  <c r="T13" i="7" s="1"/>
  <c r="P25" i="10"/>
  <c r="T25" i="10" s="1"/>
  <c r="P15" i="10"/>
  <c r="T15" i="10" s="1"/>
  <c r="O25" i="7"/>
  <c r="S25" i="7" s="1"/>
  <c r="O10" i="9"/>
  <c r="S10" i="9" s="1"/>
  <c r="O22" i="10"/>
  <c r="S22" i="10" s="1"/>
  <c r="O26" i="7"/>
  <c r="S26" i="7" s="1"/>
  <c r="O14" i="7"/>
  <c r="S14" i="7" s="1"/>
  <c r="O24" i="5"/>
  <c r="S24" i="5" s="1"/>
  <c r="O24" i="7"/>
  <c r="S24" i="7" s="1"/>
  <c r="M24" i="7" s="1"/>
  <c r="O8" i="7"/>
  <c r="S8" i="7" s="1"/>
  <c r="M8" i="7" s="1"/>
  <c r="O23" i="5"/>
  <c r="S23" i="5" s="1"/>
  <c r="O19" i="7"/>
  <c r="S19" i="7" s="1"/>
  <c r="M19" i="7" s="1"/>
  <c r="O17" i="7"/>
  <c r="S17" i="7" s="1"/>
  <c r="O21" i="7"/>
  <c r="S21" i="7" s="1"/>
  <c r="O12" i="10"/>
  <c r="S12" i="10" s="1"/>
  <c r="O13" i="7"/>
  <c r="S13" i="7" s="1"/>
  <c r="M13" i="7" s="1"/>
  <c r="O11" i="7"/>
  <c r="S11" i="7" s="1"/>
  <c r="O9" i="9"/>
  <c r="S9" i="9" s="1"/>
  <c r="P26" i="9"/>
  <c r="T26" i="9" s="1"/>
  <c r="P24" i="9"/>
  <c r="T24" i="9" s="1"/>
  <c r="P11" i="9"/>
  <c r="T11" i="9" s="1"/>
  <c r="P12" i="10"/>
  <c r="T12" i="10" s="1"/>
  <c r="P11" i="10"/>
  <c r="T11" i="10" s="1"/>
  <c r="O25" i="10"/>
  <c r="S25" i="10" s="1"/>
  <c r="O11" i="10"/>
  <c r="S11" i="10" s="1"/>
  <c r="O17" i="10"/>
  <c r="S17" i="10" s="1"/>
  <c r="P23" i="4"/>
  <c r="T23" i="4" s="1"/>
  <c r="P13" i="9"/>
  <c r="T13" i="9" s="1"/>
  <c r="P14" i="10"/>
  <c r="T14" i="10" s="1"/>
  <c r="M14" i="10" s="1"/>
  <c r="P9" i="10"/>
  <c r="T9" i="10" s="1"/>
  <c r="M9" i="10" s="1"/>
  <c r="O26" i="10"/>
  <c r="S26" i="10" s="1"/>
  <c r="O18" i="10"/>
  <c r="S18" i="10" s="1"/>
  <c r="O13" i="9"/>
  <c r="S13" i="9" s="1"/>
  <c r="O16" i="10"/>
  <c r="S16" i="10" s="1"/>
  <c r="P17" i="10"/>
  <c r="T17" i="10" s="1"/>
  <c r="P16" i="10"/>
  <c r="T16" i="10" s="1"/>
  <c r="P13" i="10"/>
  <c r="T13" i="10" s="1"/>
  <c r="O21" i="10"/>
  <c r="S21" i="10" s="1"/>
  <c r="O8" i="10"/>
  <c r="S8" i="10" s="1"/>
  <c r="P18" i="4"/>
  <c r="T18" i="4" s="1"/>
  <c r="P21" i="10"/>
  <c r="T21" i="10" s="1"/>
  <c r="P18" i="10"/>
  <c r="T18" i="10" s="1"/>
  <c r="O27" i="10"/>
  <c r="S27" i="10" s="1"/>
  <c r="M27" i="10" s="1"/>
  <c r="O19" i="10"/>
  <c r="S19" i="10" s="1"/>
  <c r="O24" i="10"/>
  <c r="S24" i="10" s="1"/>
  <c r="M24" i="10" s="1"/>
  <c r="P16" i="4"/>
  <c r="T16" i="4" s="1"/>
  <c r="P8" i="4"/>
  <c r="T8" i="4" s="1"/>
  <c r="P17" i="4"/>
  <c r="T17" i="4" s="1"/>
  <c r="P8" i="9"/>
  <c r="T8" i="9" s="1"/>
  <c r="P23" i="9"/>
  <c r="T23" i="9" s="1"/>
  <c r="O17" i="9"/>
  <c r="S17" i="9" s="1"/>
  <c r="O23" i="9"/>
  <c r="S23" i="9" s="1"/>
  <c r="P26" i="4"/>
  <c r="T26" i="4" s="1"/>
  <c r="P22" i="8"/>
  <c r="T22" i="8" s="1"/>
  <c r="O9" i="8"/>
  <c r="S9" i="8" s="1"/>
  <c r="O12" i="4"/>
  <c r="S12" i="4" s="1"/>
  <c r="O18" i="9"/>
  <c r="S18" i="9" s="1"/>
  <c r="P15" i="4"/>
  <c r="T15" i="4" s="1"/>
  <c r="P21" i="9"/>
  <c r="T21" i="9" s="1"/>
  <c r="P10" i="4"/>
  <c r="T10" i="4" s="1"/>
  <c r="P27" i="4"/>
  <c r="T27" i="4" s="1"/>
  <c r="P14" i="9"/>
  <c r="T14" i="9" s="1"/>
  <c r="P17" i="9"/>
  <c r="T17" i="9" s="1"/>
  <c r="O25" i="9"/>
  <c r="S25" i="9" s="1"/>
  <c r="P12" i="9"/>
  <c r="T12" i="9" s="1"/>
  <c r="P19" i="4"/>
  <c r="T19" i="4" s="1"/>
  <c r="P12" i="4"/>
  <c r="T12" i="4" s="1"/>
  <c r="P11" i="4"/>
  <c r="T11" i="4" s="1"/>
  <c r="P20" i="9"/>
  <c r="T20" i="9" s="1"/>
  <c r="P16" i="9"/>
  <c r="T16" i="9" s="1"/>
  <c r="P15" i="9"/>
  <c r="T15" i="9" s="1"/>
  <c r="P10" i="9"/>
  <c r="T10" i="9" s="1"/>
  <c r="O24" i="4"/>
  <c r="S24" i="4" s="1"/>
  <c r="O11" i="9"/>
  <c r="S11" i="9" s="1"/>
  <c r="O18" i="4"/>
  <c r="S18" i="4" s="1"/>
  <c r="O21" i="4"/>
  <c r="S21" i="4" s="1"/>
  <c r="O9" i="4"/>
  <c r="S9" i="4" s="1"/>
  <c r="O21" i="9"/>
  <c r="S21" i="9" s="1"/>
  <c r="O16" i="9"/>
  <c r="S16" i="9" s="1"/>
  <c r="P25" i="9"/>
  <c r="T25" i="9" s="1"/>
  <c r="P27" i="9"/>
  <c r="T27" i="9" s="1"/>
  <c r="O27" i="8"/>
  <c r="S27" i="8" s="1"/>
  <c r="O14" i="9"/>
  <c r="S14" i="9" s="1"/>
  <c r="O20" i="9"/>
  <c r="S20" i="9" s="1"/>
  <c r="O12" i="9"/>
  <c r="S12" i="9" s="1"/>
  <c r="O8" i="9"/>
  <c r="S8" i="9" s="1"/>
  <c r="P19" i="8"/>
  <c r="T19" i="8" s="1"/>
  <c r="P18" i="9"/>
  <c r="T18" i="9" s="1"/>
  <c r="P9" i="9"/>
  <c r="T9" i="9" s="1"/>
  <c r="O17" i="4"/>
  <c r="S17" i="4" s="1"/>
  <c r="O26" i="9"/>
  <c r="S26" i="9" s="1"/>
  <c r="M26" i="9" s="1"/>
  <c r="O23" i="4"/>
  <c r="S23" i="4" s="1"/>
  <c r="O19" i="9"/>
  <c r="S19" i="9" s="1"/>
  <c r="P16" i="8"/>
  <c r="T16" i="8" s="1"/>
  <c r="P22" i="9"/>
  <c r="T22" i="9" s="1"/>
  <c r="P19" i="9"/>
  <c r="T19" i="9" s="1"/>
  <c r="O27" i="9"/>
  <c r="S27" i="9" s="1"/>
  <c r="O15" i="9"/>
  <c r="S15" i="9" s="1"/>
  <c r="O14" i="8"/>
  <c r="S14" i="8" s="1"/>
  <c r="O22" i="9"/>
  <c r="S22" i="9" s="1"/>
  <c r="O24" i="9"/>
  <c r="S24" i="9" s="1"/>
  <c r="O20" i="8"/>
  <c r="S20" i="8" s="1"/>
  <c r="O19" i="8"/>
  <c r="S19" i="8" s="1"/>
  <c r="M19" i="8" s="1"/>
  <c r="O26" i="8"/>
  <c r="S26" i="8" s="1"/>
  <c r="P22" i="4"/>
  <c r="T22" i="4" s="1"/>
  <c r="P20" i="4"/>
  <c r="T20" i="4" s="1"/>
  <c r="P25" i="8"/>
  <c r="T25" i="8" s="1"/>
  <c r="P14" i="8"/>
  <c r="T14" i="8" s="1"/>
  <c r="P26" i="8"/>
  <c r="T26" i="8" s="1"/>
  <c r="O8" i="4"/>
  <c r="S8" i="4" s="1"/>
  <c r="O10" i="4"/>
  <c r="S10" i="4" s="1"/>
  <c r="P27" i="8"/>
  <c r="T27" i="8" s="1"/>
  <c r="P13" i="8"/>
  <c r="T13" i="8" s="1"/>
  <c r="O18" i="8"/>
  <c r="S18" i="8" s="1"/>
  <c r="O12" i="8"/>
  <c r="S12" i="8" s="1"/>
  <c r="P23" i="8"/>
  <c r="T23" i="8" s="1"/>
  <c r="P20" i="8"/>
  <c r="T20" i="8" s="1"/>
  <c r="O22" i="8"/>
  <c r="S22" i="8" s="1"/>
  <c r="M22" i="8" s="1"/>
  <c r="O14" i="4"/>
  <c r="S14" i="4" s="1"/>
  <c r="M14" i="4" s="1"/>
  <c r="O17" i="8"/>
  <c r="S17" i="8" s="1"/>
  <c r="O15" i="4"/>
  <c r="S15" i="4" s="1"/>
  <c r="O20" i="4"/>
  <c r="S20" i="4" s="1"/>
  <c r="M20" i="4" s="1"/>
  <c r="O23" i="8"/>
  <c r="S23" i="8" s="1"/>
  <c r="O22" i="4"/>
  <c r="S22" i="4" s="1"/>
  <c r="O25" i="4"/>
  <c r="S25" i="4" s="1"/>
  <c r="O11" i="4"/>
  <c r="S11" i="4" s="1"/>
  <c r="P11" i="8"/>
  <c r="T11" i="8" s="1"/>
  <c r="O13" i="4"/>
  <c r="S13" i="4" s="1"/>
  <c r="P21" i="4"/>
  <c r="T21" i="4" s="1"/>
  <c r="P13" i="4"/>
  <c r="T13" i="4" s="1"/>
  <c r="P12" i="8"/>
  <c r="T12" i="8" s="1"/>
  <c r="P18" i="8"/>
  <c r="T18" i="8" s="1"/>
  <c r="O24" i="8"/>
  <c r="S24" i="8" s="1"/>
  <c r="O27" i="4"/>
  <c r="S27" i="4" s="1"/>
  <c r="O19" i="4"/>
  <c r="S19" i="4" s="1"/>
  <c r="O25" i="8"/>
  <c r="S25" i="8" s="1"/>
  <c r="O15" i="8"/>
  <c r="S15" i="8" s="1"/>
  <c r="P15" i="8"/>
  <c r="T15" i="8" s="1"/>
  <c r="O11" i="8"/>
  <c r="S11" i="8" s="1"/>
  <c r="O21" i="8"/>
  <c r="S21" i="8" s="1"/>
  <c r="O16" i="8"/>
  <c r="S16" i="8" s="1"/>
  <c r="O10" i="8"/>
  <c r="S10" i="8" s="1"/>
  <c r="O16" i="4"/>
  <c r="S16" i="4" s="1"/>
  <c r="P21" i="8"/>
  <c r="T21" i="8" s="1"/>
  <c r="P8" i="8"/>
  <c r="T8" i="8" s="1"/>
  <c r="M8" i="8" s="1"/>
  <c r="P24" i="8"/>
  <c r="T24" i="8" s="1"/>
  <c r="P25" i="4"/>
  <c r="T25" i="4" s="1"/>
  <c r="P9" i="4"/>
  <c r="T9" i="4" s="1"/>
  <c r="P24" i="4"/>
  <c r="T24" i="4" s="1"/>
  <c r="P17" i="8"/>
  <c r="T17" i="8" s="1"/>
  <c r="P10" i="8"/>
  <c r="T10" i="8" s="1"/>
  <c r="P9" i="8"/>
  <c r="T9" i="8" s="1"/>
  <c r="O13" i="8"/>
  <c r="S13" i="8" s="1"/>
  <c r="M13" i="8" s="1"/>
  <c r="M20" i="10"/>
  <c r="L8" i="10"/>
  <c r="L28" i="10" s="1"/>
  <c r="C28" i="10" s="1"/>
  <c r="M25" i="7"/>
  <c r="L8" i="9"/>
  <c r="L28" i="9" s="1"/>
  <c r="C28" i="9" s="1"/>
  <c r="M18" i="7"/>
  <c r="L8" i="8"/>
  <c r="L28" i="8" s="1"/>
  <c r="J28" i="8" s="1"/>
  <c r="L8" i="7"/>
  <c r="L28" i="7" s="1"/>
  <c r="H28" i="7" s="1"/>
  <c r="M11" i="5"/>
  <c r="L8" i="5"/>
  <c r="L28" i="5" s="1"/>
  <c r="K28" i="5" s="1"/>
  <c r="M26" i="5"/>
  <c r="E28" i="10"/>
  <c r="L8" i="4"/>
  <c r="L28" i="4" s="1"/>
  <c r="J28" i="4" s="1"/>
  <c r="Z12" i="11"/>
  <c r="Z24" i="11"/>
  <c r="Z16" i="11"/>
  <c r="Z20" i="11"/>
  <c r="Z8" i="11"/>
  <c r="Z27" i="11"/>
  <c r="Z23" i="11"/>
  <c r="Z19" i="11"/>
  <c r="Z15" i="11"/>
  <c r="Z11" i="11"/>
  <c r="Z26" i="11"/>
  <c r="Z22" i="11"/>
  <c r="Z18" i="11"/>
  <c r="Z14" i="11"/>
  <c r="Z10" i="11"/>
  <c r="Z25" i="11"/>
  <c r="Z21" i="11"/>
  <c r="Z17" i="11"/>
  <c r="Z13" i="11"/>
  <c r="Z9" i="11"/>
  <c r="O8" i="1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M22" i="10" l="1"/>
  <c r="M25" i="5"/>
  <c r="M11" i="7"/>
  <c r="M20" i="5"/>
  <c r="M14" i="5"/>
  <c r="M21" i="7"/>
  <c r="M22" i="7"/>
  <c r="M20" i="7"/>
  <c r="M26" i="7"/>
  <c r="M26" i="4"/>
  <c r="M17" i="7"/>
  <c r="M8" i="10"/>
  <c r="M14" i="7"/>
  <c r="M27" i="5"/>
  <c r="M23" i="10"/>
  <c r="M22" i="5"/>
  <c r="M25" i="9"/>
  <c r="M26" i="10"/>
  <c r="M10" i="5"/>
  <c r="M13" i="10"/>
  <c r="M8" i="5"/>
  <c r="M19" i="10"/>
  <c r="M15" i="10"/>
  <c r="M18" i="5"/>
  <c r="M23" i="5"/>
  <c r="M13" i="9"/>
  <c r="M10" i="9"/>
  <c r="M18" i="10"/>
  <c r="M25" i="10"/>
  <c r="M24" i="5"/>
  <c r="M27" i="9"/>
  <c r="M13" i="4"/>
  <c r="M18" i="9"/>
  <c r="M18" i="4"/>
  <c r="M12" i="4"/>
  <c r="M17" i="4"/>
  <c r="M17" i="8"/>
  <c r="M26" i="8"/>
  <c r="M19" i="9"/>
  <c r="M21" i="8"/>
  <c r="M15" i="4"/>
  <c r="M9" i="9"/>
  <c r="M23" i="4"/>
  <c r="M17" i="9"/>
  <c r="M21" i="9"/>
  <c r="M20" i="9"/>
  <c r="M11" i="9"/>
  <c r="M12" i="10"/>
  <c r="M15" i="9"/>
  <c r="M9" i="8"/>
  <c r="M14" i="9"/>
  <c r="M22" i="4"/>
  <c r="M8" i="4"/>
  <c r="M16" i="9"/>
  <c r="M21" i="10"/>
  <c r="M24" i="4"/>
  <c r="M24" i="9"/>
  <c r="M12" i="9"/>
  <c r="M22" i="9"/>
  <c r="M21" i="4"/>
  <c r="M10" i="4"/>
  <c r="M27" i="8"/>
  <c r="M17" i="10"/>
  <c r="M23" i="8"/>
  <c r="M25" i="8"/>
  <c r="M16" i="10"/>
  <c r="M8" i="9"/>
  <c r="M11" i="10"/>
  <c r="M16" i="4"/>
  <c r="M16" i="8"/>
  <c r="M24" i="8"/>
  <c r="M20" i="8"/>
  <c r="M9" i="4"/>
  <c r="M23" i="9"/>
  <c r="M19" i="4"/>
  <c r="M11" i="8"/>
  <c r="M12" i="8"/>
  <c r="M14" i="8"/>
  <c r="M15" i="8"/>
  <c r="M18" i="8"/>
  <c r="M10" i="8"/>
  <c r="M27" i="4"/>
  <c r="M11" i="4"/>
  <c r="M25" i="4"/>
  <c r="G28" i="9"/>
  <c r="D28" i="9"/>
  <c r="I28" i="9"/>
  <c r="K28" i="10"/>
  <c r="F28" i="10"/>
  <c r="J28" i="10"/>
  <c r="G28" i="10"/>
  <c r="H28" i="10"/>
  <c r="D28" i="10"/>
  <c r="I28" i="10"/>
  <c r="E28" i="9"/>
  <c r="H28" i="9"/>
  <c r="K28" i="9"/>
  <c r="J28" i="9"/>
  <c r="F28" i="9"/>
  <c r="I28" i="8"/>
  <c r="F28" i="8"/>
  <c r="G28" i="8"/>
  <c r="E28" i="8"/>
  <c r="D28" i="8"/>
  <c r="K28" i="8"/>
  <c r="C28" i="8"/>
  <c r="H28" i="8"/>
  <c r="H28" i="5"/>
  <c r="G28" i="7"/>
  <c r="J28" i="7"/>
  <c r="D28" i="7"/>
  <c r="F28" i="7"/>
  <c r="K28" i="7"/>
  <c r="I28" i="7"/>
  <c r="E28" i="7"/>
  <c r="C28" i="7"/>
  <c r="C28" i="5"/>
  <c r="I28" i="5"/>
  <c r="J28" i="5"/>
  <c r="G28" i="5"/>
  <c r="E28" i="5"/>
  <c r="D28" i="5"/>
  <c r="F28" i="5"/>
  <c r="I28" i="4"/>
  <c r="K28" i="4"/>
  <c r="H28" i="4"/>
  <c r="G28" i="4"/>
  <c r="E28" i="4"/>
  <c r="C28" i="4"/>
  <c r="F28" i="4"/>
  <c r="D28" i="4"/>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C5" i="24" l="1"/>
  <c r="C4" i="24"/>
  <c r="C5" i="13" l="1"/>
  <c r="C4" i="13"/>
  <c r="J9" i="12" l="1"/>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M10" i="12" l="1"/>
  <c r="N10" i="12"/>
  <c r="O10" i="12"/>
  <c r="L10" i="12"/>
  <c r="M18" i="12"/>
  <c r="N18" i="12"/>
  <c r="L18" i="12"/>
  <c r="O18" i="12"/>
  <c r="O11" i="12"/>
  <c r="L11" i="12"/>
  <c r="M11" i="12"/>
  <c r="N11" i="12"/>
  <c r="O15" i="12"/>
  <c r="L15" i="12"/>
  <c r="M15" i="12"/>
  <c r="N15" i="12"/>
  <c r="O19" i="12"/>
  <c r="L19" i="12"/>
  <c r="N19" i="12"/>
  <c r="M19" i="12"/>
  <c r="O23" i="12"/>
  <c r="L23" i="12"/>
  <c r="M23" i="12"/>
  <c r="N23" i="12"/>
  <c r="O27" i="12"/>
  <c r="L27" i="12"/>
  <c r="M27" i="12"/>
  <c r="N27" i="12"/>
  <c r="M22" i="12"/>
  <c r="N22" i="12"/>
  <c r="O22" i="12"/>
  <c r="L22" i="12"/>
  <c r="M12" i="12"/>
  <c r="N12" i="12"/>
  <c r="O12" i="12"/>
  <c r="L12" i="12"/>
  <c r="M16" i="12"/>
  <c r="N16" i="12"/>
  <c r="L16" i="12"/>
  <c r="O16" i="12"/>
  <c r="M20" i="12"/>
  <c r="N20" i="12"/>
  <c r="O20" i="12"/>
  <c r="L20" i="12"/>
  <c r="M24" i="12"/>
  <c r="N24" i="12"/>
  <c r="O24" i="12"/>
  <c r="L24" i="12"/>
  <c r="M28" i="12"/>
  <c r="N28" i="12"/>
  <c r="L28" i="12"/>
  <c r="O28" i="12"/>
  <c r="M14" i="12"/>
  <c r="N14" i="12"/>
  <c r="O14" i="12"/>
  <c r="L14" i="12"/>
  <c r="M26" i="12"/>
  <c r="N26" i="12"/>
  <c r="L26" i="12"/>
  <c r="O26" i="12"/>
  <c r="O13" i="12"/>
  <c r="L13" i="12"/>
  <c r="M13" i="12"/>
  <c r="N13" i="12"/>
  <c r="O17" i="12"/>
  <c r="N17" i="12"/>
  <c r="L17" i="12"/>
  <c r="M17" i="12"/>
  <c r="O21" i="12"/>
  <c r="L21" i="12"/>
  <c r="M21" i="12"/>
  <c r="N21" i="12"/>
  <c r="O25" i="12"/>
  <c r="L25" i="12"/>
  <c r="N25" i="12"/>
  <c r="M25" i="12"/>
  <c r="L9" i="12"/>
  <c r="B9" i="11"/>
  <c r="B10" i="11"/>
  <c r="B11" i="11"/>
  <c r="B12" i="11"/>
  <c r="B13" i="11"/>
  <c r="B14" i="11"/>
  <c r="B15" i="11"/>
  <c r="B16" i="11"/>
  <c r="B17" i="11"/>
  <c r="B18" i="11"/>
  <c r="B19" i="11"/>
  <c r="B20" i="11"/>
  <c r="B21" i="11"/>
  <c r="B22" i="11"/>
  <c r="B23" i="11"/>
  <c r="B24" i="11"/>
  <c r="B25" i="11"/>
  <c r="B26" i="11"/>
  <c r="B27" i="11"/>
  <c r="B8" i="11"/>
  <c r="B5" i="11"/>
  <c r="B4" i="11"/>
  <c r="L8" i="13" s="1"/>
  <c r="G819" i="13" l="1"/>
  <c r="J818" i="13"/>
  <c r="G815" i="13"/>
  <c r="J814" i="13"/>
  <c r="G811" i="13"/>
  <c r="J810" i="13"/>
  <c r="G807" i="13"/>
  <c r="J806" i="13"/>
  <c r="G803" i="13"/>
  <c r="J802" i="13"/>
  <c r="G784" i="13"/>
  <c r="J783" i="13"/>
  <c r="G780" i="13"/>
  <c r="J779" i="13"/>
  <c r="G776" i="13"/>
  <c r="J775" i="13"/>
  <c r="G772" i="13"/>
  <c r="J771" i="13"/>
  <c r="G768" i="13"/>
  <c r="J767" i="13"/>
  <c r="G753" i="13"/>
  <c r="J752" i="13"/>
  <c r="G749" i="13"/>
  <c r="J748" i="13"/>
  <c r="G745" i="13"/>
  <c r="J744" i="13"/>
  <c r="G741" i="13"/>
  <c r="J740" i="13"/>
  <c r="G737" i="13"/>
  <c r="J736" i="13"/>
  <c r="G718" i="13"/>
  <c r="J717" i="13"/>
  <c r="G714" i="13"/>
  <c r="J713" i="13"/>
  <c r="G710" i="13"/>
  <c r="J709" i="13"/>
  <c r="G706" i="13"/>
  <c r="J705" i="13"/>
  <c r="G702" i="13"/>
  <c r="J701" i="13"/>
  <c r="G687" i="13"/>
  <c r="J686" i="13"/>
  <c r="G683" i="13"/>
  <c r="J682" i="13"/>
  <c r="G679" i="13"/>
  <c r="J678" i="13"/>
  <c r="G675" i="13"/>
  <c r="J674" i="13"/>
  <c r="G671" i="13"/>
  <c r="J670" i="13"/>
  <c r="G652" i="13"/>
  <c r="J651" i="13"/>
  <c r="J819" i="13"/>
  <c r="G816" i="13"/>
  <c r="J815" i="13"/>
  <c r="G812" i="13"/>
  <c r="J811" i="13"/>
  <c r="G808" i="13"/>
  <c r="J807" i="13"/>
  <c r="G804" i="13"/>
  <c r="J803" i="13"/>
  <c r="G800" i="13"/>
  <c r="G785" i="13"/>
  <c r="J784" i="13"/>
  <c r="G781" i="13"/>
  <c r="J780" i="13"/>
  <c r="G777" i="13"/>
  <c r="J776" i="13"/>
  <c r="G773" i="13"/>
  <c r="J772" i="13"/>
  <c r="G769" i="13"/>
  <c r="J768" i="13"/>
  <c r="J753" i="13"/>
  <c r="G750" i="13"/>
  <c r="J749" i="13"/>
  <c r="G746" i="13"/>
  <c r="J745" i="13"/>
  <c r="G742" i="13"/>
  <c r="J741" i="13"/>
  <c r="G738" i="13"/>
  <c r="J737" i="13"/>
  <c r="G734" i="13"/>
  <c r="G719" i="13"/>
  <c r="J718" i="13"/>
  <c r="G715" i="13"/>
  <c r="J714" i="13"/>
  <c r="G711" i="13"/>
  <c r="J710" i="13"/>
  <c r="G707" i="13"/>
  <c r="J706" i="13"/>
  <c r="G703" i="13"/>
  <c r="J702" i="13"/>
  <c r="J687" i="13"/>
  <c r="G684" i="13"/>
  <c r="J683" i="13"/>
  <c r="G680" i="13"/>
  <c r="J679" i="13"/>
  <c r="G676" i="13"/>
  <c r="J675" i="13"/>
  <c r="G672" i="13"/>
  <c r="J671" i="13"/>
  <c r="G653" i="13"/>
  <c r="J652" i="13"/>
  <c r="G649" i="13"/>
  <c r="J648" i="13"/>
  <c r="G645" i="13"/>
  <c r="G817" i="13"/>
  <c r="J812" i="13"/>
  <c r="G809" i="13"/>
  <c r="J804" i="13"/>
  <c r="G801" i="13"/>
  <c r="J785" i="13"/>
  <c r="G782" i="13"/>
  <c r="J777" i="13"/>
  <c r="G774" i="13"/>
  <c r="J769" i="13"/>
  <c r="G751" i="13"/>
  <c r="J746" i="13"/>
  <c r="G743" i="13"/>
  <c r="J738" i="13"/>
  <c r="G735" i="13"/>
  <c r="J719" i="13"/>
  <c r="G716" i="13"/>
  <c r="J711" i="13"/>
  <c r="G708" i="13"/>
  <c r="J703" i="13"/>
  <c r="G685" i="13"/>
  <c r="J680" i="13"/>
  <c r="G677" i="13"/>
  <c r="J672" i="13"/>
  <c r="G669" i="13"/>
  <c r="J653" i="13"/>
  <c r="G650" i="13"/>
  <c r="G648" i="13"/>
  <c r="G646" i="13"/>
  <c r="G643" i="13"/>
  <c r="J642" i="13"/>
  <c r="G639" i="13"/>
  <c r="J638" i="13"/>
  <c r="G635" i="13"/>
  <c r="G620" i="13"/>
  <c r="J619" i="13"/>
  <c r="G616" i="13"/>
  <c r="J615" i="13"/>
  <c r="G612" i="13"/>
  <c r="J611" i="13"/>
  <c r="G608" i="13"/>
  <c r="J607" i="13"/>
  <c r="G604" i="13"/>
  <c r="J603" i="13"/>
  <c r="J588" i="13"/>
  <c r="G585" i="13"/>
  <c r="J584" i="13"/>
  <c r="G581" i="13"/>
  <c r="J580" i="13"/>
  <c r="G577" i="13"/>
  <c r="J576" i="13"/>
  <c r="G573" i="13"/>
  <c r="J572" i="13"/>
  <c r="G569" i="13"/>
  <c r="G554" i="13"/>
  <c r="J553" i="13"/>
  <c r="J817" i="13"/>
  <c r="G814" i="13"/>
  <c r="J809" i="13"/>
  <c r="G806" i="13"/>
  <c r="J801" i="13"/>
  <c r="J782" i="13"/>
  <c r="G779" i="13"/>
  <c r="J774" i="13"/>
  <c r="G771" i="13"/>
  <c r="J751" i="13"/>
  <c r="G748" i="13"/>
  <c r="J743" i="13"/>
  <c r="G740" i="13"/>
  <c r="J735" i="13"/>
  <c r="J716" i="13"/>
  <c r="G713" i="13"/>
  <c r="J708" i="13"/>
  <c r="G705" i="13"/>
  <c r="J685" i="13"/>
  <c r="G682" i="13"/>
  <c r="J677" i="13"/>
  <c r="G674" i="13"/>
  <c r="J669" i="13"/>
  <c r="J650" i="13"/>
  <c r="J646" i="13"/>
  <c r="G644" i="13"/>
  <c r="J643" i="13"/>
  <c r="G818" i="13"/>
  <c r="J813" i="13"/>
  <c r="G810" i="13"/>
  <c r="J805" i="13"/>
  <c r="G802" i="13"/>
  <c r="J786" i="13"/>
  <c r="G783" i="13"/>
  <c r="J778" i="13"/>
  <c r="G775" i="13"/>
  <c r="J770" i="13"/>
  <c r="G767" i="13"/>
  <c r="G752" i="13"/>
  <c r="J747" i="13"/>
  <c r="G744" i="13"/>
  <c r="J739" i="13"/>
  <c r="G736" i="13"/>
  <c r="J720" i="13"/>
  <c r="G717" i="13"/>
  <c r="J712" i="13"/>
  <c r="G709" i="13"/>
  <c r="J704" i="13"/>
  <c r="G701" i="13"/>
  <c r="G686" i="13"/>
  <c r="J681" i="13"/>
  <c r="G678" i="13"/>
  <c r="J673" i="13"/>
  <c r="G670" i="13"/>
  <c r="J654" i="13"/>
  <c r="G651" i="13"/>
  <c r="J647" i="13"/>
  <c r="J645" i="13"/>
  <c r="G642" i="13"/>
  <c r="J641" i="13"/>
  <c r="G638" i="13"/>
  <c r="J637" i="13"/>
  <c r="G619" i="13"/>
  <c r="J618" i="13"/>
  <c r="G615" i="13"/>
  <c r="J614" i="13"/>
  <c r="G611" i="13"/>
  <c r="J610" i="13"/>
  <c r="G607" i="13"/>
  <c r="J606" i="13"/>
  <c r="G603" i="13"/>
  <c r="J602" i="13"/>
  <c r="G588" i="13"/>
  <c r="J587" i="13"/>
  <c r="G584" i="13"/>
  <c r="J583" i="13"/>
  <c r="G580" i="13"/>
  <c r="J579" i="13"/>
  <c r="G576" i="13"/>
  <c r="J575" i="13"/>
  <c r="G572" i="13"/>
  <c r="J571" i="13"/>
  <c r="G553" i="13"/>
  <c r="J800" i="13"/>
  <c r="J773" i="13"/>
  <c r="J734" i="13"/>
  <c r="J707" i="13"/>
  <c r="J644" i="13"/>
  <c r="G640" i="13"/>
  <c r="J635" i="13"/>
  <c r="G621" i="13"/>
  <c r="J616" i="13"/>
  <c r="G613" i="13"/>
  <c r="J608" i="13"/>
  <c r="G605" i="13"/>
  <c r="J585" i="13"/>
  <c r="G582" i="13"/>
  <c r="J577" i="13"/>
  <c r="G574" i="13"/>
  <c r="J569" i="13"/>
  <c r="G555" i="13"/>
  <c r="J551" i="13"/>
  <c r="G548" i="13"/>
  <c r="J547" i="13"/>
  <c r="G544" i="13"/>
  <c r="J543" i="13"/>
  <c r="G540" i="13"/>
  <c r="J539" i="13"/>
  <c r="G536" i="13"/>
  <c r="G521" i="13"/>
  <c r="G517" i="13"/>
  <c r="G513" i="13"/>
  <c r="G509" i="13"/>
  <c r="G505" i="13"/>
  <c r="G486" i="13"/>
  <c r="G482" i="13"/>
  <c r="G478" i="13"/>
  <c r="G474" i="13"/>
  <c r="G470" i="13"/>
  <c r="J808" i="13"/>
  <c r="J781" i="13"/>
  <c r="G770" i="13"/>
  <c r="J742" i="13"/>
  <c r="J715" i="13"/>
  <c r="G704" i="13"/>
  <c r="J676" i="13"/>
  <c r="J649" i="13"/>
  <c r="J640" i="13"/>
  <c r="G637" i="13"/>
  <c r="J621" i="13"/>
  <c r="G618" i="13"/>
  <c r="J613" i="13"/>
  <c r="G610" i="13"/>
  <c r="J605" i="13"/>
  <c r="G602" i="13"/>
  <c r="G587" i="13"/>
  <c r="J582" i="13"/>
  <c r="G579" i="13"/>
  <c r="J574" i="13"/>
  <c r="G571" i="13"/>
  <c r="J555" i="13"/>
  <c r="G552" i="13"/>
  <c r="G549" i="13"/>
  <c r="J548" i="13"/>
  <c r="G545" i="13"/>
  <c r="J544" i="13"/>
  <c r="G541" i="13"/>
  <c r="J540" i="13"/>
  <c r="G537" i="13"/>
  <c r="J536" i="13"/>
  <c r="G522" i="13"/>
  <c r="G518" i="13"/>
  <c r="G514" i="13"/>
  <c r="G510" i="13"/>
  <c r="G506" i="13"/>
  <c r="G487" i="13"/>
  <c r="G483" i="13"/>
  <c r="G479" i="13"/>
  <c r="J816" i="13"/>
  <c r="G805" i="13"/>
  <c r="G778" i="13"/>
  <c r="J750" i="13"/>
  <c r="G739" i="13"/>
  <c r="G712" i="13"/>
  <c r="J684" i="13"/>
  <c r="G673" i="13"/>
  <c r="G647" i="13"/>
  <c r="J639" i="13"/>
  <c r="G636" i="13"/>
  <c r="J620" i="13"/>
  <c r="G617" i="13"/>
  <c r="J612" i="13"/>
  <c r="G609" i="13"/>
  <c r="J604" i="13"/>
  <c r="G586" i="13"/>
  <c r="J581" i="13"/>
  <c r="G578" i="13"/>
  <c r="J573" i="13"/>
  <c r="G570" i="13"/>
  <c r="J554" i="13"/>
  <c r="J552" i="13"/>
  <c r="G550" i="13"/>
  <c r="J549" i="13"/>
  <c r="G546" i="13"/>
  <c r="J545" i="13"/>
  <c r="G542" i="13"/>
  <c r="J541" i="13"/>
  <c r="G538" i="13"/>
  <c r="J537" i="13"/>
  <c r="G519" i="13"/>
  <c r="G515" i="13"/>
  <c r="G511" i="13"/>
  <c r="G507" i="13"/>
  <c r="G488" i="13"/>
  <c r="G484" i="13"/>
  <c r="G480" i="13"/>
  <c r="G476" i="13"/>
  <c r="G472" i="13"/>
  <c r="G453" i="13"/>
  <c r="G449" i="13"/>
  <c r="G445" i="13"/>
  <c r="G441" i="13"/>
  <c r="G813" i="13"/>
  <c r="G786" i="13"/>
  <c r="G747" i="13"/>
  <c r="G720" i="13"/>
  <c r="G681" i="13"/>
  <c r="G654" i="13"/>
  <c r="J636" i="13"/>
  <c r="J617" i="13"/>
  <c r="G606" i="13"/>
  <c r="J586" i="13"/>
  <c r="G575" i="13"/>
  <c r="G543" i="13"/>
  <c r="J538" i="13"/>
  <c r="G516" i="13"/>
  <c r="G485" i="13"/>
  <c r="G471" i="13"/>
  <c r="G451" i="13"/>
  <c r="G444" i="13"/>
  <c r="G442" i="13"/>
  <c r="G421" i="13"/>
  <c r="G417" i="13"/>
  <c r="G413" i="13"/>
  <c r="G409" i="13"/>
  <c r="G405" i="13"/>
  <c r="G390" i="13"/>
  <c r="G386" i="13"/>
  <c r="G382" i="13"/>
  <c r="G378" i="13"/>
  <c r="G374" i="13"/>
  <c r="G355" i="13"/>
  <c r="G351" i="13"/>
  <c r="G347" i="13"/>
  <c r="G343" i="13"/>
  <c r="G339" i="13"/>
  <c r="G324" i="13"/>
  <c r="G320" i="13"/>
  <c r="G614" i="13"/>
  <c r="G583" i="13"/>
  <c r="G547" i="13"/>
  <c r="J542" i="13"/>
  <c r="G520" i="13"/>
  <c r="G504" i="13"/>
  <c r="G489" i="13"/>
  <c r="G473" i="13"/>
  <c r="G456" i="13"/>
  <c r="G454" i="13"/>
  <c r="G447" i="13"/>
  <c r="G440" i="13"/>
  <c r="G437" i="13"/>
  <c r="G422" i="13"/>
  <c r="G418" i="13"/>
  <c r="G414" i="13"/>
  <c r="G410" i="13"/>
  <c r="G406" i="13"/>
  <c r="G387" i="13"/>
  <c r="G383" i="13"/>
  <c r="G379" i="13"/>
  <c r="G375" i="13"/>
  <c r="G371" i="13"/>
  <c r="G356" i="13"/>
  <c r="G352" i="13"/>
  <c r="G348" i="13"/>
  <c r="G344" i="13"/>
  <c r="G340" i="13"/>
  <c r="G321" i="13"/>
  <c r="G317" i="13"/>
  <c r="G641" i="13"/>
  <c r="J570" i="13"/>
  <c r="G551" i="13"/>
  <c r="J546" i="13"/>
  <c r="G508" i="13"/>
  <c r="G475" i="13"/>
  <c r="G452" i="13"/>
  <c r="G450" i="13"/>
  <c r="G443" i="13"/>
  <c r="G438" i="13"/>
  <c r="G423" i="13"/>
  <c r="G419" i="13"/>
  <c r="G415" i="13"/>
  <c r="G411" i="13"/>
  <c r="G407" i="13"/>
  <c r="G388" i="13"/>
  <c r="G384" i="13"/>
  <c r="G380" i="13"/>
  <c r="G376" i="13"/>
  <c r="J550" i="13"/>
  <c r="G477" i="13"/>
  <c r="G416" i="13"/>
  <c r="G389" i="13"/>
  <c r="G350" i="13"/>
  <c r="G342" i="13"/>
  <c r="G319" i="13"/>
  <c r="K319" i="13" s="1"/>
  <c r="G315" i="13"/>
  <c r="G311" i="13"/>
  <c r="G307" i="13"/>
  <c r="G288" i="13"/>
  <c r="G284" i="13"/>
  <c r="G280" i="13"/>
  <c r="G276" i="13"/>
  <c r="K276" i="13" s="1"/>
  <c r="G272" i="13"/>
  <c r="G257" i="13"/>
  <c r="G253" i="13"/>
  <c r="G249" i="13"/>
  <c r="G245" i="13"/>
  <c r="G241" i="13"/>
  <c r="G222" i="13"/>
  <c r="G218" i="13"/>
  <c r="G214" i="13"/>
  <c r="G210" i="13"/>
  <c r="G206" i="13"/>
  <c r="G191" i="13"/>
  <c r="G187" i="13"/>
  <c r="G183" i="13"/>
  <c r="G179" i="13"/>
  <c r="G175" i="13"/>
  <c r="G156" i="13"/>
  <c r="G152" i="13"/>
  <c r="G148" i="13"/>
  <c r="G144" i="13"/>
  <c r="G140" i="13"/>
  <c r="G125" i="13"/>
  <c r="G121" i="13"/>
  <c r="G117" i="13"/>
  <c r="G113" i="13"/>
  <c r="G109" i="13"/>
  <c r="G90" i="13"/>
  <c r="G86" i="13"/>
  <c r="G82" i="13"/>
  <c r="G78" i="13"/>
  <c r="G74" i="13"/>
  <c r="G59" i="13"/>
  <c r="G55" i="13"/>
  <c r="G51" i="13"/>
  <c r="G47" i="13"/>
  <c r="G43" i="13"/>
  <c r="G79" i="13"/>
  <c r="G56" i="13"/>
  <c r="G44" i="13"/>
  <c r="G274" i="13"/>
  <c r="G255" i="13"/>
  <c r="J578" i="13"/>
  <c r="G455" i="13"/>
  <c r="G448" i="13"/>
  <c r="G420" i="13"/>
  <c r="G404" i="13"/>
  <c r="G377" i="13"/>
  <c r="G357" i="13"/>
  <c r="G349" i="13"/>
  <c r="G341" i="13"/>
  <c r="G318" i="13"/>
  <c r="K318" i="13" s="1"/>
  <c r="G316" i="13"/>
  <c r="K316" i="13" s="1"/>
  <c r="G312" i="13"/>
  <c r="K312" i="13" s="1"/>
  <c r="G308" i="13"/>
  <c r="K308" i="13" s="1"/>
  <c r="G289" i="13"/>
  <c r="G285" i="13"/>
  <c r="K285" i="13" s="1"/>
  <c r="G281" i="13"/>
  <c r="K281" i="13" s="1"/>
  <c r="G277" i="13"/>
  <c r="K277" i="13" s="1"/>
  <c r="G273" i="13"/>
  <c r="K273" i="13" s="1"/>
  <c r="G258" i="13"/>
  <c r="K258" i="13" s="1"/>
  <c r="G254" i="13"/>
  <c r="G250" i="13"/>
  <c r="K250" i="13" s="1"/>
  <c r="G246" i="13"/>
  <c r="K246" i="13" s="1"/>
  <c r="G242" i="13"/>
  <c r="K242" i="13" s="1"/>
  <c r="G223" i="13"/>
  <c r="K223" i="13" s="1"/>
  <c r="G219" i="13"/>
  <c r="K219" i="13" s="1"/>
  <c r="G215" i="13"/>
  <c r="K215" i="13" s="1"/>
  <c r="G211" i="13"/>
  <c r="K211" i="13" s="1"/>
  <c r="G207" i="13"/>
  <c r="G192" i="13"/>
  <c r="K192" i="13" s="1"/>
  <c r="G188" i="13"/>
  <c r="K188" i="13" s="1"/>
  <c r="G184" i="13"/>
  <c r="K184" i="13" s="1"/>
  <c r="G180" i="13"/>
  <c r="K180" i="13" s="1"/>
  <c r="G176" i="13"/>
  <c r="K176" i="13" s="1"/>
  <c r="G157" i="13"/>
  <c r="G153" i="13"/>
  <c r="G149" i="13"/>
  <c r="G145" i="13"/>
  <c r="K145" i="13" s="1"/>
  <c r="G141" i="13"/>
  <c r="G126" i="13"/>
  <c r="G122" i="13"/>
  <c r="G118" i="13"/>
  <c r="G114" i="13"/>
  <c r="G110" i="13"/>
  <c r="G91" i="13"/>
  <c r="G87" i="13"/>
  <c r="G83" i="13"/>
  <c r="G75" i="13"/>
  <c r="G60" i="13"/>
  <c r="G52" i="13"/>
  <c r="G48" i="13"/>
  <c r="G286" i="13"/>
  <c r="K286" i="13" s="1"/>
  <c r="G278" i="13"/>
  <c r="G251" i="13"/>
  <c r="K251" i="13" s="1"/>
  <c r="J609" i="13"/>
  <c r="G539" i="13"/>
  <c r="G512" i="13"/>
  <c r="G446" i="13"/>
  <c r="G439" i="13"/>
  <c r="G408" i="13"/>
  <c r="G381" i="13"/>
  <c r="G373" i="13"/>
  <c r="G354" i="13"/>
  <c r="G346" i="13"/>
  <c r="G323" i="13"/>
  <c r="G313" i="13"/>
  <c r="G309" i="13"/>
  <c r="G305" i="13"/>
  <c r="G290" i="13"/>
  <c r="G282" i="13"/>
  <c r="G306" i="13"/>
  <c r="G291" i="13"/>
  <c r="G275" i="13"/>
  <c r="G248" i="13"/>
  <c r="G240" i="13"/>
  <c r="G220" i="13"/>
  <c r="G212" i="13"/>
  <c r="G190" i="13"/>
  <c r="G182" i="13"/>
  <c r="G174" i="13"/>
  <c r="G154" i="13"/>
  <c r="G146" i="13"/>
  <c r="G124" i="13"/>
  <c r="G116" i="13"/>
  <c r="G108" i="13"/>
  <c r="G88" i="13"/>
  <c r="G80" i="13"/>
  <c r="G58" i="13"/>
  <c r="G50" i="13"/>
  <c r="G42" i="13"/>
  <c r="G481" i="13"/>
  <c r="G345" i="13"/>
  <c r="G310" i="13"/>
  <c r="K310" i="13" s="1"/>
  <c r="G279" i="13"/>
  <c r="G252" i="13"/>
  <c r="G247" i="13"/>
  <c r="G239" i="13"/>
  <c r="G225" i="13"/>
  <c r="G217" i="13"/>
  <c r="G209" i="13"/>
  <c r="K209" i="13" s="1"/>
  <c r="G189" i="13"/>
  <c r="K189" i="13" s="1"/>
  <c r="G181" i="13"/>
  <c r="G173" i="13"/>
  <c r="G159" i="13"/>
  <c r="G151" i="13"/>
  <c r="G143" i="13"/>
  <c r="G123" i="13"/>
  <c r="G115" i="13"/>
  <c r="G107" i="13"/>
  <c r="G93" i="13"/>
  <c r="G85" i="13"/>
  <c r="G77" i="13"/>
  <c r="G57" i="13"/>
  <c r="G49" i="13"/>
  <c r="G412" i="13"/>
  <c r="G221" i="13"/>
  <c r="G185" i="13"/>
  <c r="K185" i="13" s="1"/>
  <c r="G155" i="13"/>
  <c r="G119" i="13"/>
  <c r="G89" i="13"/>
  <c r="G53" i="13"/>
  <c r="G372" i="13"/>
  <c r="G353" i="13"/>
  <c r="G322" i="13"/>
  <c r="K322" i="13" s="1"/>
  <c r="G314" i="13"/>
  <c r="K314" i="13" s="1"/>
  <c r="G283" i="13"/>
  <c r="G256" i="13"/>
  <c r="G244" i="13"/>
  <c r="G224" i="13"/>
  <c r="K224" i="13" s="1"/>
  <c r="G216" i="13"/>
  <c r="K216" i="13" s="1"/>
  <c r="G208" i="13"/>
  <c r="G186" i="13"/>
  <c r="K186" i="13" s="1"/>
  <c r="G178" i="13"/>
  <c r="G158" i="13"/>
  <c r="G150" i="13"/>
  <c r="G142" i="13"/>
  <c r="K142" i="13" s="1"/>
  <c r="G120" i="13"/>
  <c r="G112" i="13"/>
  <c r="G92" i="13"/>
  <c r="G84" i="13"/>
  <c r="G76" i="13"/>
  <c r="G54" i="13"/>
  <c r="G46" i="13"/>
  <c r="G385" i="13"/>
  <c r="G287" i="13"/>
  <c r="G243" i="13"/>
  <c r="K243" i="13" s="1"/>
  <c r="G213" i="13"/>
  <c r="G177" i="13"/>
  <c r="G147" i="13"/>
  <c r="G111" i="13"/>
  <c r="G81" i="13"/>
  <c r="G45" i="13"/>
  <c r="G10" i="13"/>
  <c r="G14" i="13"/>
  <c r="G18" i="13"/>
  <c r="G22" i="13"/>
  <c r="G26" i="13"/>
  <c r="G11" i="13"/>
  <c r="G23" i="13"/>
  <c r="G16" i="13"/>
  <c r="G15" i="13"/>
  <c r="G19" i="13"/>
  <c r="G27" i="13"/>
  <c r="G24" i="13"/>
  <c r="G12" i="13"/>
  <c r="G20" i="13"/>
  <c r="G21" i="13"/>
  <c r="G25" i="13"/>
  <c r="G13" i="13"/>
  <c r="G17" i="13"/>
  <c r="G9" i="13"/>
  <c r="G8" i="13"/>
  <c r="G41" i="13" l="1"/>
  <c r="G61" i="13" s="1"/>
  <c r="G503" i="13"/>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J668" i="13"/>
  <c r="K455" i="13"/>
  <c r="M455" i="13" s="1"/>
  <c r="G668" i="13"/>
  <c r="G688" i="13" s="1"/>
  <c r="G338" i="13"/>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K9" i="12" l="1"/>
  <c r="M9" i="12" s="1"/>
  <c r="H244" i="13" l="1"/>
  <c r="I244" i="13" s="1"/>
  <c r="H316" i="13"/>
  <c r="I316" i="13" s="1"/>
  <c r="H252" i="13"/>
  <c r="I252" i="13" s="1"/>
  <c r="H319" i="13"/>
  <c r="I319" i="13" s="1"/>
  <c r="H317" i="13"/>
  <c r="I317" i="13" s="1"/>
  <c r="H324" i="13"/>
  <c r="I324" i="13" s="1"/>
  <c r="H318" i="13"/>
  <c r="I318" i="13" s="1"/>
  <c r="H313" i="13"/>
  <c r="I313" i="13" s="1"/>
  <c r="H322" i="13"/>
  <c r="I322" i="13" s="1"/>
  <c r="H314" i="13"/>
  <c r="I314" i="13" s="1"/>
  <c r="H323" i="13"/>
  <c r="I323" i="13" s="1"/>
  <c r="H311" i="13"/>
  <c r="I311" i="13" s="1"/>
  <c r="H315" i="13"/>
  <c r="I315" i="13" s="1"/>
  <c r="H321" i="13"/>
  <c r="I321" i="13" s="1"/>
  <c r="H320" i="13"/>
  <c r="I320" i="13" s="1"/>
  <c r="H312" i="13"/>
  <c r="I312" i="13" s="1"/>
  <c r="H280" i="13"/>
  <c r="I280" i="13" s="1"/>
  <c r="H281" i="13"/>
  <c r="I281" i="13" s="1"/>
  <c r="H277" i="13"/>
  <c r="I277" i="13" s="1"/>
  <c r="H284" i="13"/>
  <c r="I284" i="13" s="1"/>
  <c r="H283" i="13"/>
  <c r="I283" i="13" s="1"/>
  <c r="H275" i="13"/>
  <c r="I275" i="13" s="1"/>
  <c r="H278" i="13"/>
  <c r="I278" i="13" s="1"/>
  <c r="H279" i="13"/>
  <c r="I279" i="13" s="1"/>
  <c r="H276" i="13"/>
  <c r="I276" i="13" s="1"/>
  <c r="H285" i="13"/>
  <c r="I285" i="13" s="1"/>
  <c r="H249" i="13"/>
  <c r="I249" i="13" s="1"/>
  <c r="H580" i="13"/>
  <c r="I580" i="13" s="1"/>
  <c r="H250" i="13"/>
  <c r="I250" i="13" s="1"/>
  <c r="H247" i="13"/>
  <c r="I247" i="13" s="1"/>
  <c r="H577" i="13"/>
  <c r="I577" i="13" s="1"/>
  <c r="H574" i="13"/>
  <c r="I574" i="13" s="1"/>
  <c r="H251" i="13"/>
  <c r="I251" i="13" s="1"/>
  <c r="H581" i="13"/>
  <c r="I581" i="13" s="1"/>
  <c r="H576" i="13"/>
  <c r="I576" i="13" s="1"/>
  <c r="H246" i="13"/>
  <c r="I246" i="13" s="1"/>
  <c r="H578" i="13"/>
  <c r="I578" i="13" s="1"/>
  <c r="H248" i="13"/>
  <c r="I248" i="13" s="1"/>
  <c r="H575" i="13"/>
  <c r="I575" i="13" s="1"/>
  <c r="H245" i="13"/>
  <c r="I245" i="13" s="1"/>
  <c r="H583" i="13"/>
  <c r="I583" i="13" s="1"/>
  <c r="H253" i="13"/>
  <c r="I253" i="13" s="1"/>
  <c r="H546" i="13"/>
  <c r="I546" i="13" s="1"/>
  <c r="H216" i="13"/>
  <c r="I216" i="13" s="1"/>
  <c r="H547" i="13"/>
  <c r="I547" i="13" s="1"/>
  <c r="H217" i="13"/>
  <c r="I217" i="13" s="1"/>
  <c r="H215" i="13"/>
  <c r="I215" i="13" s="1"/>
  <c r="H545" i="13"/>
  <c r="I545" i="13" s="1"/>
  <c r="H544" i="13"/>
  <c r="I544" i="13" s="1"/>
  <c r="H214" i="13"/>
  <c r="I214" i="13" s="1"/>
  <c r="H742" i="13"/>
  <c r="I742" i="13" s="1"/>
  <c r="H412" i="13"/>
  <c r="I412" i="13" s="1"/>
  <c r="H82" i="13"/>
  <c r="I82" i="13" s="1"/>
  <c r="H743" i="13"/>
  <c r="I743" i="13" s="1"/>
  <c r="H413" i="13"/>
  <c r="I413" i="13" s="1"/>
  <c r="H83" i="13"/>
  <c r="I83" i="13" s="1"/>
  <c r="H80" i="13"/>
  <c r="I80" i="13" s="1"/>
  <c r="H740" i="13"/>
  <c r="I740" i="13" s="1"/>
  <c r="H410" i="13"/>
  <c r="I410" i="13" s="1"/>
  <c r="H738" i="13"/>
  <c r="I738" i="13" s="1"/>
  <c r="H78" i="13"/>
  <c r="I78" i="13" s="1"/>
  <c r="H408" i="13"/>
  <c r="I408" i="13" s="1"/>
  <c r="H750" i="13"/>
  <c r="I750" i="13" s="1"/>
  <c r="H90" i="13"/>
  <c r="I90" i="13" s="1"/>
  <c r="H420" i="13"/>
  <c r="I420" i="13" s="1"/>
  <c r="H422" i="13"/>
  <c r="I422" i="13" s="1"/>
  <c r="H92" i="13"/>
  <c r="I92" i="13" s="1"/>
  <c r="H752" i="13"/>
  <c r="I752" i="13" s="1"/>
  <c r="H748" i="13"/>
  <c r="I748" i="13" s="1"/>
  <c r="H418" i="13"/>
  <c r="I418" i="13" s="1"/>
  <c r="H88" i="13"/>
  <c r="I88" i="13" s="1"/>
  <c r="H407" i="13"/>
  <c r="I407" i="13" s="1"/>
  <c r="H77" i="13"/>
  <c r="I77" i="13" s="1"/>
  <c r="H737" i="13"/>
  <c r="I737" i="13" s="1"/>
  <c r="H421" i="13"/>
  <c r="I421" i="13" s="1"/>
  <c r="H91" i="13"/>
  <c r="I91" i="13" s="1"/>
  <c r="H751" i="13"/>
  <c r="I751" i="13" s="1"/>
  <c r="H411" i="13"/>
  <c r="I411" i="13" s="1"/>
  <c r="H81" i="13"/>
  <c r="I81" i="13" s="1"/>
  <c r="H741" i="13"/>
  <c r="I741" i="13" s="1"/>
  <c r="H405" i="13"/>
  <c r="I405" i="13" s="1"/>
  <c r="H75" i="13"/>
  <c r="I75" i="13" s="1"/>
  <c r="H735" i="13"/>
  <c r="I735" i="13" s="1"/>
  <c r="H745" i="13"/>
  <c r="I745" i="13" s="1"/>
  <c r="H85" i="13"/>
  <c r="I85" i="13" s="1"/>
  <c r="H415" i="13"/>
  <c r="I415" i="13" s="1"/>
  <c r="H753" i="13"/>
  <c r="I753" i="13" s="1"/>
  <c r="H423" i="13"/>
  <c r="I423" i="13" s="1"/>
  <c r="H93" i="13"/>
  <c r="I93" i="13" s="1"/>
  <c r="H416" i="13"/>
  <c r="I416" i="13" s="1"/>
  <c r="H86" i="13"/>
  <c r="I86" i="13" s="1"/>
  <c r="H746" i="13"/>
  <c r="I746" i="13" s="1"/>
  <c r="H79" i="13"/>
  <c r="I79" i="13" s="1"/>
  <c r="H739" i="13"/>
  <c r="I739" i="13" s="1"/>
  <c r="H409" i="13"/>
  <c r="I409" i="13" s="1"/>
  <c r="H749" i="13"/>
  <c r="I749" i="13" s="1"/>
  <c r="H419" i="13"/>
  <c r="I419" i="13" s="1"/>
  <c r="H89" i="13"/>
  <c r="I89" i="13" s="1"/>
  <c r="H719" i="13"/>
  <c r="I719" i="13" s="1"/>
  <c r="H389" i="13"/>
  <c r="I389" i="13" s="1"/>
  <c r="H380" i="13"/>
  <c r="I380" i="13" s="1"/>
  <c r="H710" i="13"/>
  <c r="I710" i="13" s="1"/>
  <c r="H377" i="13"/>
  <c r="I377" i="13" s="1"/>
  <c r="H707" i="13"/>
  <c r="I707" i="13" s="1"/>
  <c r="H702" i="13"/>
  <c r="I702" i="13" s="1"/>
  <c r="H372" i="13"/>
  <c r="I372" i="13" s="1"/>
  <c r="H373" i="13"/>
  <c r="I373" i="13" s="1"/>
  <c r="H703" i="13"/>
  <c r="I703" i="13" s="1"/>
  <c r="H379" i="13"/>
  <c r="I379" i="13" s="1"/>
  <c r="H709" i="13"/>
  <c r="I709" i="13" s="1"/>
  <c r="H716" i="13"/>
  <c r="I716" i="13" s="1"/>
  <c r="H386" i="13"/>
  <c r="I386" i="13" s="1"/>
  <c r="H713" i="13"/>
  <c r="I713" i="13" s="1"/>
  <c r="H383" i="13"/>
  <c r="I383" i="13" s="1"/>
  <c r="H720" i="13"/>
  <c r="I720" i="13" s="1"/>
  <c r="H390" i="13"/>
  <c r="I390" i="13" s="1"/>
  <c r="H376" i="13"/>
  <c r="I376" i="13" s="1"/>
  <c r="H706" i="13"/>
  <c r="I706" i="13" s="1"/>
  <c r="H374" i="13"/>
  <c r="I374" i="13" s="1"/>
  <c r="H704" i="13"/>
  <c r="I704" i="13" s="1"/>
  <c r="H705" i="13"/>
  <c r="I705" i="13" s="1"/>
  <c r="H375" i="13"/>
  <c r="I375" i="13" s="1"/>
  <c r="H387" i="13"/>
  <c r="I387" i="13" s="1"/>
  <c r="H717" i="13"/>
  <c r="I717" i="13" s="1"/>
  <c r="H715" i="13"/>
  <c r="I715" i="13" s="1"/>
  <c r="H385" i="13"/>
  <c r="I385" i="13" s="1"/>
  <c r="H711" i="13"/>
  <c r="I711" i="13" s="1"/>
  <c r="H381" i="13"/>
  <c r="I381" i="13" s="1"/>
  <c r="H714" i="13"/>
  <c r="I714" i="13" s="1"/>
  <c r="H384" i="13"/>
  <c r="I384" i="13" s="1"/>
  <c r="H712" i="13"/>
  <c r="I712" i="13" s="1"/>
  <c r="H382" i="13"/>
  <c r="I382" i="13" s="1"/>
  <c r="H388" i="13"/>
  <c r="I388" i="13" s="1"/>
  <c r="H718" i="13"/>
  <c r="I718" i="13" s="1"/>
  <c r="H701" i="13"/>
  <c r="I701" i="13" s="1"/>
  <c r="H371" i="13"/>
  <c r="I371" i="13" s="1"/>
  <c r="H350" i="13"/>
  <c r="I350" i="13" s="1"/>
  <c r="H680" i="13"/>
  <c r="I680" i="13" s="1"/>
  <c r="H681" i="13"/>
  <c r="I681" i="13" s="1"/>
  <c r="H351" i="13"/>
  <c r="I351" i="13" s="1"/>
  <c r="H349" i="13"/>
  <c r="I349" i="13" s="1"/>
  <c r="H679" i="13"/>
  <c r="I679" i="13" s="1"/>
  <c r="H686" i="13"/>
  <c r="I686" i="13" s="1"/>
  <c r="H356" i="13"/>
  <c r="I356" i="13" s="1"/>
  <c r="H353" i="13"/>
  <c r="I353" i="13" s="1"/>
  <c r="H683" i="13"/>
  <c r="I683" i="13" s="1"/>
  <c r="H347" i="13"/>
  <c r="I347" i="13" s="1"/>
  <c r="H677" i="13"/>
  <c r="I677" i="13" s="1"/>
  <c r="H343" i="13"/>
  <c r="I343" i="13" s="1"/>
  <c r="H673" i="13"/>
  <c r="I673" i="13" s="1"/>
  <c r="H340" i="13"/>
  <c r="I340" i="13" s="1"/>
  <c r="H670" i="13"/>
  <c r="I670" i="13" s="1"/>
  <c r="H685" i="13"/>
  <c r="I685" i="13" s="1"/>
  <c r="H355" i="13"/>
  <c r="I355" i="13" s="1"/>
  <c r="H671" i="13"/>
  <c r="I671" i="13" s="1"/>
  <c r="H341" i="13"/>
  <c r="I341" i="13" s="1"/>
  <c r="H339" i="13"/>
  <c r="I339" i="13" s="1"/>
  <c r="H669" i="13"/>
  <c r="I669" i="13" s="1"/>
  <c r="H684" i="13"/>
  <c r="I684" i="13" s="1"/>
  <c r="H354" i="13"/>
  <c r="I354" i="13" s="1"/>
  <c r="H682" i="13"/>
  <c r="I682" i="13" s="1"/>
  <c r="H352" i="13"/>
  <c r="I352" i="13" s="1"/>
  <c r="H672" i="13"/>
  <c r="I672" i="13" s="1"/>
  <c r="H342" i="13"/>
  <c r="I342" i="13" s="1"/>
  <c r="H687" i="13"/>
  <c r="I687" i="13" s="1"/>
  <c r="H357" i="13"/>
  <c r="I357" i="13" s="1"/>
  <c r="H675" i="13"/>
  <c r="I675" i="13" s="1"/>
  <c r="H345" i="13"/>
  <c r="I345" i="13" s="1"/>
  <c r="H678" i="13"/>
  <c r="I678" i="13" s="1"/>
  <c r="H348" i="13"/>
  <c r="I348" i="13" s="1"/>
  <c r="H344" i="13"/>
  <c r="I344" i="13" s="1"/>
  <c r="H674" i="13"/>
  <c r="I674" i="13" s="1"/>
  <c r="H676" i="13"/>
  <c r="I676" i="13" s="1"/>
  <c r="H346" i="13"/>
  <c r="I346" i="13" s="1"/>
  <c r="H579" i="13"/>
  <c r="I579" i="13" s="1"/>
  <c r="H611" i="13"/>
  <c r="I611" i="13" s="1"/>
  <c r="H654" i="13"/>
  <c r="I654" i="13" s="1"/>
  <c r="H653" i="13"/>
  <c r="I653" i="13" s="1"/>
  <c r="H652" i="13"/>
  <c r="I652" i="13" s="1"/>
  <c r="H651" i="13"/>
  <c r="I651" i="13" s="1"/>
  <c r="H650" i="13"/>
  <c r="I650" i="13" s="1"/>
  <c r="H649" i="13"/>
  <c r="I649" i="13" s="1"/>
  <c r="H648" i="13"/>
  <c r="I648" i="13" s="1"/>
  <c r="H647" i="13"/>
  <c r="I647" i="13" s="1"/>
  <c r="H646" i="13"/>
  <c r="I646" i="13" s="1"/>
  <c r="H645" i="13"/>
  <c r="I645" i="13" s="1"/>
  <c r="H644" i="13"/>
  <c r="I644" i="13" s="1"/>
  <c r="H643" i="13"/>
  <c r="I643" i="13" s="1"/>
  <c r="H642" i="13"/>
  <c r="I642" i="13" s="1"/>
  <c r="H641" i="13"/>
  <c r="I641" i="13" s="1"/>
  <c r="H615" i="13"/>
  <c r="I615" i="13" s="1"/>
  <c r="H614" i="13"/>
  <c r="I614" i="13" s="1"/>
  <c r="H613" i="13"/>
  <c r="I613" i="13" s="1"/>
  <c r="H610" i="13"/>
  <c r="I610" i="13" s="1"/>
  <c r="H609" i="13"/>
  <c r="I609" i="13" s="1"/>
  <c r="H608" i="13"/>
  <c r="I608" i="13" s="1"/>
  <c r="H607" i="13"/>
  <c r="I607" i="13" s="1"/>
  <c r="H606" i="13"/>
  <c r="I606" i="13" s="1"/>
  <c r="H605" i="13"/>
  <c r="I605" i="13" s="1"/>
  <c r="H582" i="13" l="1"/>
  <c r="I582" i="13" s="1"/>
  <c r="H747" i="13"/>
  <c r="I747" i="13" s="1"/>
  <c r="H417" i="13"/>
  <c r="I417" i="13" s="1"/>
  <c r="H309" i="13"/>
  <c r="I309" i="13" s="1"/>
  <c r="H639" i="13"/>
  <c r="I639" i="13" s="1"/>
  <c r="H636" i="13"/>
  <c r="I636" i="13" s="1"/>
  <c r="H306" i="13"/>
  <c r="I306" i="13" s="1"/>
  <c r="H310" i="13"/>
  <c r="I310" i="13" s="1"/>
  <c r="H640" i="13"/>
  <c r="I640" i="13" s="1"/>
  <c r="H635" i="13"/>
  <c r="I635" i="13" s="1"/>
  <c r="H305" i="13"/>
  <c r="I305" i="13" s="1"/>
  <c r="H637" i="13"/>
  <c r="I637" i="13" s="1"/>
  <c r="H307" i="13"/>
  <c r="I307" i="13" s="1"/>
  <c r="H604" i="13"/>
  <c r="I604" i="13" s="1"/>
  <c r="H274" i="13"/>
  <c r="I274" i="13" s="1"/>
  <c r="H619" i="13"/>
  <c r="I619" i="13" s="1"/>
  <c r="H289" i="13"/>
  <c r="I289" i="13" s="1"/>
  <c r="H620" i="13"/>
  <c r="I620" i="13" s="1"/>
  <c r="H290" i="13"/>
  <c r="I290" i="13" s="1"/>
  <c r="H617" i="13"/>
  <c r="I617" i="13" s="1"/>
  <c r="H287" i="13"/>
  <c r="I287" i="13" s="1"/>
  <c r="H282" i="13"/>
  <c r="I282" i="13" s="1"/>
  <c r="H612" i="13"/>
  <c r="I612" i="13" s="1"/>
  <c r="H621" i="13"/>
  <c r="I621" i="13" s="1"/>
  <c r="H291" i="13"/>
  <c r="I291" i="13" s="1"/>
  <c r="H272" i="13"/>
  <c r="I272" i="13" s="1"/>
  <c r="H602" i="13"/>
  <c r="I602" i="13" s="1"/>
  <c r="H273" i="13"/>
  <c r="I273" i="13" s="1"/>
  <c r="H603" i="13"/>
  <c r="I603" i="13" s="1"/>
  <c r="H286" i="13"/>
  <c r="I286" i="13" s="1"/>
  <c r="H616" i="13"/>
  <c r="I616" i="13" s="1"/>
  <c r="H618" i="13"/>
  <c r="I618" i="13" s="1"/>
  <c r="H288" i="13"/>
  <c r="I288" i="13" s="1"/>
  <c r="H588" i="13"/>
  <c r="I588" i="13" s="1"/>
  <c r="H258" i="13"/>
  <c r="I258" i="13" s="1"/>
  <c r="H570" i="13"/>
  <c r="I570" i="13" s="1"/>
  <c r="H240" i="13"/>
  <c r="I240" i="13" s="1"/>
  <c r="H572" i="13"/>
  <c r="I572" i="13" s="1"/>
  <c r="H242" i="13"/>
  <c r="I242" i="13" s="1"/>
  <c r="H573" i="13"/>
  <c r="I573" i="13" s="1"/>
  <c r="H243" i="13"/>
  <c r="I243" i="13" s="1"/>
  <c r="H587" i="13"/>
  <c r="I587" i="13" s="1"/>
  <c r="H257" i="13"/>
  <c r="I257" i="13" s="1"/>
  <c r="H254" i="13"/>
  <c r="I254" i="13" s="1"/>
  <c r="H584" i="13"/>
  <c r="I584" i="13" s="1"/>
  <c r="H586" i="13"/>
  <c r="I586" i="13" s="1"/>
  <c r="H256" i="13"/>
  <c r="I256" i="13" s="1"/>
  <c r="H585" i="13"/>
  <c r="I585" i="13" s="1"/>
  <c r="H255" i="13"/>
  <c r="I255" i="13" s="1"/>
  <c r="H569" i="13"/>
  <c r="I569" i="13" s="1"/>
  <c r="H239" i="13"/>
  <c r="I239" i="13" s="1"/>
  <c r="H571" i="13"/>
  <c r="I571" i="13" s="1"/>
  <c r="H241" i="13"/>
  <c r="I241" i="13" s="1"/>
  <c r="H550" i="13"/>
  <c r="I550" i="13" s="1"/>
  <c r="H220" i="13"/>
  <c r="I220" i="13" s="1"/>
  <c r="H554" i="13"/>
  <c r="I554" i="13" s="1"/>
  <c r="H224" i="13"/>
  <c r="I224" i="13" s="1"/>
  <c r="H206" i="13"/>
  <c r="I206" i="13" s="1"/>
  <c r="H536" i="13"/>
  <c r="I536" i="13" s="1"/>
  <c r="H542" i="13"/>
  <c r="I542" i="13" s="1"/>
  <c r="H212" i="13"/>
  <c r="I212" i="13" s="1"/>
  <c r="H549" i="13"/>
  <c r="I549" i="13" s="1"/>
  <c r="H219" i="13"/>
  <c r="I219" i="13" s="1"/>
  <c r="H551" i="13"/>
  <c r="I551" i="13" s="1"/>
  <c r="H221" i="13"/>
  <c r="I221" i="13" s="1"/>
  <c r="H223" i="13"/>
  <c r="I223" i="13" s="1"/>
  <c r="H553" i="13"/>
  <c r="I553" i="13" s="1"/>
  <c r="H555" i="13"/>
  <c r="I555" i="13" s="1"/>
  <c r="H225" i="13"/>
  <c r="I225" i="13" s="1"/>
  <c r="H548" i="13"/>
  <c r="I548" i="13" s="1"/>
  <c r="H218" i="13"/>
  <c r="I218" i="13" s="1"/>
  <c r="H552" i="13"/>
  <c r="I552" i="13" s="1"/>
  <c r="H222" i="13"/>
  <c r="I222" i="13" s="1"/>
  <c r="H538" i="13"/>
  <c r="I538" i="13" s="1"/>
  <c r="H208" i="13"/>
  <c r="I208" i="13" s="1"/>
  <c r="H540" i="13"/>
  <c r="I540" i="13" s="1"/>
  <c r="H210" i="13"/>
  <c r="I210" i="13" s="1"/>
  <c r="H207" i="13"/>
  <c r="I207" i="13" s="1"/>
  <c r="H537" i="13"/>
  <c r="I537" i="13" s="1"/>
  <c r="H539" i="13"/>
  <c r="I539" i="13" s="1"/>
  <c r="H209" i="13"/>
  <c r="I209" i="13" s="1"/>
  <c r="H541" i="13"/>
  <c r="I541" i="13" s="1"/>
  <c r="H211" i="13"/>
  <c r="I211" i="13" s="1"/>
  <c r="H543" i="13"/>
  <c r="I543" i="13" s="1"/>
  <c r="H213" i="13"/>
  <c r="I213" i="13" s="1"/>
  <c r="H508" i="13"/>
  <c r="I508" i="13" s="1"/>
  <c r="H178" i="13"/>
  <c r="I178" i="13" s="1"/>
  <c r="H512" i="13"/>
  <c r="I512" i="13" s="1"/>
  <c r="H182" i="13"/>
  <c r="I182" i="13" s="1"/>
  <c r="H184" i="13"/>
  <c r="I184" i="13" s="1"/>
  <c r="H514" i="13"/>
  <c r="I514" i="13" s="1"/>
  <c r="H516" i="13"/>
  <c r="I516" i="13" s="1"/>
  <c r="H186" i="13"/>
  <c r="I186" i="13" s="1"/>
  <c r="H518" i="13"/>
  <c r="I518" i="13" s="1"/>
  <c r="H188" i="13"/>
  <c r="I188" i="13" s="1"/>
  <c r="H520" i="13"/>
  <c r="I520" i="13" s="1"/>
  <c r="H190" i="13"/>
  <c r="I190" i="13" s="1"/>
  <c r="H522" i="13"/>
  <c r="I522" i="13" s="1"/>
  <c r="H192" i="13"/>
  <c r="I192" i="13" s="1"/>
  <c r="H504" i="13"/>
  <c r="I504" i="13" s="1"/>
  <c r="H174" i="13"/>
  <c r="I174" i="13" s="1"/>
  <c r="H506" i="13"/>
  <c r="I506" i="13" s="1"/>
  <c r="H176" i="13"/>
  <c r="I176" i="13" s="1"/>
  <c r="H510" i="13"/>
  <c r="I510" i="13" s="1"/>
  <c r="H180" i="13"/>
  <c r="I180" i="13" s="1"/>
  <c r="H503" i="13"/>
  <c r="I503" i="13" s="1"/>
  <c r="H173" i="13"/>
  <c r="I173" i="13" s="1"/>
  <c r="H175" i="13"/>
  <c r="I175" i="13" s="1"/>
  <c r="H505" i="13"/>
  <c r="I505" i="13" s="1"/>
  <c r="H507" i="13"/>
  <c r="I507" i="13" s="1"/>
  <c r="H177" i="13"/>
  <c r="I177" i="13" s="1"/>
  <c r="H179" i="13"/>
  <c r="I179" i="13" s="1"/>
  <c r="H509" i="13"/>
  <c r="I509" i="13" s="1"/>
  <c r="H181" i="13"/>
  <c r="I181" i="13" s="1"/>
  <c r="H511" i="13"/>
  <c r="I511" i="13" s="1"/>
  <c r="H513" i="13"/>
  <c r="I513" i="13" s="1"/>
  <c r="H183" i="13"/>
  <c r="I183" i="13" s="1"/>
  <c r="H185" i="13"/>
  <c r="I185" i="13" s="1"/>
  <c r="H515" i="13"/>
  <c r="I515" i="13" s="1"/>
  <c r="H187" i="13"/>
  <c r="I187" i="13" s="1"/>
  <c r="H517" i="13"/>
  <c r="I517" i="13" s="1"/>
  <c r="H519" i="13"/>
  <c r="I519" i="13" s="1"/>
  <c r="H189" i="13"/>
  <c r="I189" i="13" s="1"/>
  <c r="H191" i="13"/>
  <c r="I191" i="13" s="1"/>
  <c r="H521" i="13"/>
  <c r="I521" i="13" s="1"/>
  <c r="H801" i="13"/>
  <c r="I801" i="13" s="1"/>
  <c r="H471" i="13"/>
  <c r="I471" i="13" s="1"/>
  <c r="H141" i="13"/>
  <c r="I141" i="13" s="1"/>
  <c r="H815" i="13"/>
  <c r="I815" i="13" s="1"/>
  <c r="H485" i="13"/>
  <c r="I485" i="13" s="1"/>
  <c r="H155" i="13"/>
  <c r="I155" i="13" s="1"/>
  <c r="H146" i="13"/>
  <c r="I146" i="13" s="1"/>
  <c r="H806" i="13"/>
  <c r="I806" i="13" s="1"/>
  <c r="H476" i="13"/>
  <c r="I476" i="13" s="1"/>
  <c r="H478" i="13"/>
  <c r="I478" i="13" s="1"/>
  <c r="H148" i="13"/>
  <c r="I148" i="13" s="1"/>
  <c r="H808" i="13"/>
  <c r="I808" i="13" s="1"/>
  <c r="H150" i="13"/>
  <c r="I150" i="13" s="1"/>
  <c r="H810" i="13"/>
  <c r="I810" i="13" s="1"/>
  <c r="H480" i="13"/>
  <c r="I480" i="13" s="1"/>
  <c r="H812" i="13"/>
  <c r="I812" i="13" s="1"/>
  <c r="H152" i="13"/>
  <c r="I152" i="13" s="1"/>
  <c r="H482" i="13"/>
  <c r="I482" i="13" s="1"/>
  <c r="H156" i="13"/>
  <c r="I156" i="13" s="1"/>
  <c r="H816" i="13"/>
  <c r="I816" i="13" s="1"/>
  <c r="H486" i="13"/>
  <c r="I486" i="13" s="1"/>
  <c r="H803" i="13"/>
  <c r="I803" i="13" s="1"/>
  <c r="H473" i="13"/>
  <c r="I473" i="13" s="1"/>
  <c r="H143" i="13"/>
  <c r="I143" i="13" s="1"/>
  <c r="H483" i="13"/>
  <c r="I483" i="13" s="1"/>
  <c r="H813" i="13"/>
  <c r="I813" i="13" s="1"/>
  <c r="H153" i="13"/>
  <c r="I153" i="13" s="1"/>
  <c r="H475" i="13"/>
  <c r="I475" i="13" s="1"/>
  <c r="H145" i="13"/>
  <c r="I145" i="13" s="1"/>
  <c r="H805" i="13"/>
  <c r="I805" i="13" s="1"/>
  <c r="H800" i="13"/>
  <c r="I800" i="13" s="1"/>
  <c r="H470" i="13"/>
  <c r="I470" i="13" s="1"/>
  <c r="H140" i="13"/>
  <c r="I140" i="13" s="1"/>
  <c r="H142" i="13"/>
  <c r="I142" i="13" s="1"/>
  <c r="H802" i="13"/>
  <c r="I802" i="13" s="1"/>
  <c r="H472" i="13"/>
  <c r="I472" i="13" s="1"/>
  <c r="H474" i="13"/>
  <c r="I474" i="13" s="1"/>
  <c r="H804" i="13"/>
  <c r="I804" i="13" s="1"/>
  <c r="H144" i="13"/>
  <c r="I144" i="13" s="1"/>
  <c r="H817" i="13"/>
  <c r="I817" i="13" s="1"/>
  <c r="H157" i="13"/>
  <c r="I157" i="13" s="1"/>
  <c r="H487" i="13"/>
  <c r="I487" i="13" s="1"/>
  <c r="H147" i="13"/>
  <c r="I147" i="13" s="1"/>
  <c r="H477" i="13"/>
  <c r="I477" i="13" s="1"/>
  <c r="H807" i="13"/>
  <c r="I807" i="13" s="1"/>
  <c r="H479" i="13"/>
  <c r="I479" i="13" s="1"/>
  <c r="H809" i="13"/>
  <c r="I809" i="13" s="1"/>
  <c r="H149" i="13"/>
  <c r="I149" i="13" s="1"/>
  <c r="H811" i="13"/>
  <c r="I811" i="13" s="1"/>
  <c r="H481" i="13"/>
  <c r="I481" i="13" s="1"/>
  <c r="H151" i="13"/>
  <c r="I151" i="13" s="1"/>
  <c r="H814" i="13"/>
  <c r="I814" i="13" s="1"/>
  <c r="H484" i="13"/>
  <c r="I484" i="13" s="1"/>
  <c r="H154" i="13"/>
  <c r="I154" i="13" s="1"/>
  <c r="H158" i="13"/>
  <c r="I158" i="13" s="1"/>
  <c r="H818" i="13"/>
  <c r="I818" i="13" s="1"/>
  <c r="H488" i="13"/>
  <c r="I488" i="13" s="1"/>
  <c r="H819" i="13"/>
  <c r="I819" i="13" s="1"/>
  <c r="H489" i="13"/>
  <c r="I489" i="13" s="1"/>
  <c r="H159" i="13"/>
  <c r="I159" i="13" s="1"/>
  <c r="H771" i="13"/>
  <c r="I771" i="13" s="1"/>
  <c r="H441" i="13"/>
  <c r="I441" i="13" s="1"/>
  <c r="H111" i="13"/>
  <c r="I111" i="13" s="1"/>
  <c r="H773" i="13"/>
  <c r="I773" i="13" s="1"/>
  <c r="H443" i="13"/>
  <c r="I443" i="13" s="1"/>
  <c r="H113" i="13"/>
  <c r="I113" i="13" s="1"/>
  <c r="H778" i="13"/>
  <c r="I778" i="13" s="1"/>
  <c r="H448" i="13"/>
  <c r="I448" i="13" s="1"/>
  <c r="H118" i="13"/>
  <c r="I118" i="13" s="1"/>
  <c r="H122" i="13"/>
  <c r="I122" i="13" s="1"/>
  <c r="H782" i="13"/>
  <c r="I782" i="13" s="1"/>
  <c r="H452" i="13"/>
  <c r="I452" i="13" s="1"/>
  <c r="H776" i="13"/>
  <c r="I776" i="13" s="1"/>
  <c r="H116" i="13"/>
  <c r="I116" i="13" s="1"/>
  <c r="H446" i="13"/>
  <c r="I446" i="13" s="1"/>
  <c r="H108" i="13"/>
  <c r="I108" i="13" s="1"/>
  <c r="H438" i="13"/>
  <c r="I438" i="13" s="1"/>
  <c r="H768" i="13"/>
  <c r="I768" i="13" s="1"/>
  <c r="H774" i="13"/>
  <c r="I774" i="13" s="1"/>
  <c r="H444" i="13"/>
  <c r="I444" i="13" s="1"/>
  <c r="H114" i="13"/>
  <c r="I114" i="13" s="1"/>
  <c r="H119" i="13"/>
  <c r="I119" i="13" s="1"/>
  <c r="H779" i="13"/>
  <c r="I779" i="13" s="1"/>
  <c r="H449" i="13"/>
  <c r="I449" i="13" s="1"/>
  <c r="H123" i="13"/>
  <c r="I123" i="13" s="1"/>
  <c r="H783" i="13"/>
  <c r="I783" i="13" s="1"/>
  <c r="H453" i="13"/>
  <c r="I453" i="13" s="1"/>
  <c r="H786" i="13"/>
  <c r="I786" i="13" s="1"/>
  <c r="H456" i="13"/>
  <c r="I456" i="13" s="1"/>
  <c r="H126" i="13"/>
  <c r="I126" i="13" s="1"/>
  <c r="H110" i="13"/>
  <c r="I110" i="13" s="1"/>
  <c r="H770" i="13"/>
  <c r="I770" i="13" s="1"/>
  <c r="H440" i="13"/>
  <c r="I440" i="13" s="1"/>
  <c r="H442" i="13"/>
  <c r="I442" i="13" s="1"/>
  <c r="H772" i="13"/>
  <c r="I772" i="13" s="1"/>
  <c r="H112" i="13"/>
  <c r="I112" i="13" s="1"/>
  <c r="H115" i="13"/>
  <c r="I115" i="13" s="1"/>
  <c r="H775" i="13"/>
  <c r="I775" i="13" s="1"/>
  <c r="H445" i="13"/>
  <c r="I445" i="13" s="1"/>
  <c r="H120" i="13"/>
  <c r="I120" i="13" s="1"/>
  <c r="H780" i="13"/>
  <c r="I780" i="13" s="1"/>
  <c r="H450" i="13"/>
  <c r="I450" i="13" s="1"/>
  <c r="H124" i="13"/>
  <c r="I124" i="13" s="1"/>
  <c r="H784" i="13"/>
  <c r="I784" i="13" s="1"/>
  <c r="H454" i="13"/>
  <c r="I454" i="13" s="1"/>
  <c r="H107" i="13"/>
  <c r="I107" i="13" s="1"/>
  <c r="H767" i="13"/>
  <c r="I767" i="13" s="1"/>
  <c r="H437" i="13"/>
  <c r="I437" i="13" s="1"/>
  <c r="H439" i="13"/>
  <c r="I439" i="13" s="1"/>
  <c r="H109" i="13"/>
  <c r="I109" i="13" s="1"/>
  <c r="H769" i="13"/>
  <c r="I769" i="13" s="1"/>
  <c r="H447" i="13"/>
  <c r="I447" i="13" s="1"/>
  <c r="H777" i="13"/>
  <c r="I777" i="13" s="1"/>
  <c r="H117" i="13"/>
  <c r="I117" i="13" s="1"/>
  <c r="H781" i="13"/>
  <c r="I781" i="13" s="1"/>
  <c r="H121" i="13"/>
  <c r="I121" i="13" s="1"/>
  <c r="H451" i="13"/>
  <c r="I451" i="13" s="1"/>
  <c r="H785" i="13"/>
  <c r="I785" i="13" s="1"/>
  <c r="H125" i="13"/>
  <c r="I125" i="13" s="1"/>
  <c r="H455" i="13"/>
  <c r="I455" i="13" s="1"/>
  <c r="H736" i="13"/>
  <c r="I736" i="13" s="1"/>
  <c r="H76" i="13"/>
  <c r="I76" i="13" s="1"/>
  <c r="H406" i="13"/>
  <c r="I406" i="13" s="1"/>
  <c r="H734" i="13"/>
  <c r="I734" i="13" s="1"/>
  <c r="H404" i="13"/>
  <c r="I404" i="13" s="1"/>
  <c r="H84" i="13"/>
  <c r="I84" i="13" s="1"/>
  <c r="H744" i="13"/>
  <c r="I744" i="13" s="1"/>
  <c r="H414" i="13"/>
  <c r="I414" i="13" s="1"/>
  <c r="H708" i="13"/>
  <c r="I708" i="13" s="1"/>
  <c r="H378" i="13"/>
  <c r="I378" i="13" s="1"/>
  <c r="H338" i="13"/>
  <c r="I338" i="13" s="1"/>
  <c r="H668" i="13"/>
  <c r="I668" i="13" s="1"/>
  <c r="H638" i="13" l="1"/>
  <c r="I638" i="13" s="1"/>
  <c r="H308" i="13"/>
  <c r="I308" i="13" s="1"/>
  <c r="G28" i="13" l="1"/>
  <c r="E62" i="13" s="1"/>
  <c r="E29" i="13" l="1"/>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7" i="13" l="1"/>
  <c r="H87" i="13"/>
  <c r="J24" i="11" l="1"/>
  <c r="J11" i="11"/>
  <c r="J26" i="11"/>
  <c r="H19" i="11"/>
  <c r="N16" i="11"/>
  <c r="N19" i="11"/>
  <c r="F10" i="11"/>
  <c r="N26" i="11"/>
  <c r="L20" i="11"/>
  <c r="F24" i="11"/>
  <c r="N13" i="11"/>
  <c r="L12" i="11"/>
  <c r="L22" i="11"/>
  <c r="N23" i="11"/>
  <c r="L11" i="11"/>
  <c r="J19" i="11"/>
  <c r="N24" i="11"/>
  <c r="L26" i="11"/>
  <c r="H20" i="11"/>
  <c r="H25" i="11"/>
  <c r="D16" i="11"/>
  <c r="N18" i="11"/>
  <c r="N12" i="11"/>
  <c r="J8" i="11"/>
  <c r="L14" i="11"/>
  <c r="H22" i="11"/>
  <c r="L15" i="11"/>
  <c r="L23" i="11"/>
  <c r="H13" i="11" l="1"/>
  <c r="D11" i="11"/>
  <c r="F11" i="11"/>
  <c r="N14" i="11"/>
  <c r="F26" i="11"/>
  <c r="F19" i="11"/>
  <c r="J27" i="11"/>
  <c r="D22" i="11"/>
  <c r="H17" i="11"/>
  <c r="F13" i="11"/>
  <c r="L18" i="11"/>
  <c r="N9" i="11"/>
  <c r="L24" i="11"/>
  <c r="H27" i="11"/>
  <c r="J22" i="11"/>
  <c r="F14" i="11"/>
  <c r="F23" i="11"/>
  <c r="H14" i="11"/>
  <c r="N25" i="11"/>
  <c r="F25" i="11"/>
  <c r="H15" i="11"/>
  <c r="D17" i="11"/>
  <c r="H16" i="11"/>
  <c r="L16" i="11"/>
  <c r="J20" i="11"/>
  <c r="L10" i="11"/>
  <c r="D26" i="11"/>
  <c r="J21" i="11"/>
  <c r="D21" i="11"/>
  <c r="D27" i="11"/>
  <c r="F15" i="11"/>
  <c r="F22" i="11"/>
  <c r="D15" i="11"/>
  <c r="F17" i="11"/>
  <c r="H10" i="11"/>
  <c r="D13" i="11"/>
  <c r="F9" i="11"/>
  <c r="F27" i="11"/>
  <c r="L17" i="11"/>
  <c r="N21" i="11"/>
  <c r="F21" i="11"/>
  <c r="J18" i="11"/>
  <c r="J17" i="11"/>
  <c r="D24" i="11"/>
  <c r="J14" i="11"/>
  <c r="H26" i="11"/>
  <c r="L9" i="11"/>
  <c r="J25" i="11"/>
  <c r="F18" i="11"/>
  <c r="L21" i="11"/>
  <c r="N15" i="11"/>
  <c r="L27" i="11"/>
  <c r="D19" i="11"/>
  <c r="H18" i="11"/>
  <c r="N11" i="11"/>
  <c r="J23" i="11"/>
  <c r="H24" i="11"/>
  <c r="H23" i="11"/>
  <c r="D9" i="11"/>
  <c r="D20" i="11"/>
  <c r="J13" i="11"/>
  <c r="D25" i="11"/>
  <c r="D23" i="11"/>
  <c r="J15" i="11"/>
  <c r="J16" i="11"/>
  <c r="F16" i="11"/>
  <c r="J12" i="11"/>
  <c r="J10" i="11"/>
  <c r="L13" i="11"/>
  <c r="N10" i="11"/>
  <c r="D12" i="11"/>
  <c r="D10" i="11"/>
  <c r="N17" i="11"/>
  <c r="H21" i="11"/>
  <c r="L19" i="11"/>
  <c r="D18" i="11"/>
  <c r="F12" i="11"/>
  <c r="H11" i="11"/>
  <c r="H12" i="11"/>
  <c r="N22" i="11"/>
  <c r="H9" i="11"/>
  <c r="F20" i="11"/>
  <c r="L25" i="11"/>
  <c r="D14" i="11"/>
  <c r="N27" i="11"/>
  <c r="N20" i="11"/>
  <c r="C6" i="11"/>
  <c r="M6" i="11"/>
  <c r="K6" i="11"/>
  <c r="E6" i="11"/>
  <c r="G6" i="11"/>
  <c r="I6" i="11"/>
  <c r="P16" i="11" l="1"/>
  <c r="R16" i="11" s="1"/>
  <c r="P23" i="11"/>
  <c r="R23" i="11" s="1"/>
  <c r="P14" i="11"/>
  <c r="R14" i="11" s="1"/>
  <c r="P21" i="11"/>
  <c r="R21" i="11" s="1"/>
  <c r="P25" i="11"/>
  <c r="R25" i="11" s="1"/>
  <c r="P24" i="11"/>
  <c r="R24" i="11" s="1"/>
  <c r="P27" i="11"/>
  <c r="R27" i="11" s="1"/>
  <c r="P26" i="11"/>
  <c r="R26" i="11" s="1"/>
  <c r="P10" i="11"/>
  <c r="R10" i="11" s="1"/>
  <c r="J9" i="11"/>
  <c r="P9" i="11" s="1"/>
  <c r="R9" i="11" s="1"/>
  <c r="P19" i="11"/>
  <c r="R19" i="11" s="1"/>
  <c r="P13" i="11"/>
  <c r="R13" i="11" s="1"/>
  <c r="P15" i="11"/>
  <c r="R15" i="11" s="1"/>
  <c r="P22" i="11"/>
  <c r="R22" i="11" s="1"/>
  <c r="P11" i="11"/>
  <c r="R11" i="11" s="1"/>
  <c r="P12" i="11"/>
  <c r="R12" i="11" s="1"/>
  <c r="P20" i="11"/>
  <c r="R20" i="11" s="1"/>
  <c r="P17" i="11"/>
  <c r="R17" i="11" s="1"/>
  <c r="P18" i="11"/>
  <c r="R18" i="11" s="1"/>
  <c r="N8" i="11"/>
  <c r="L8" i="11"/>
  <c r="D8" i="11"/>
  <c r="F8" i="11"/>
  <c r="H8" i="11"/>
  <c r="H11" i="13" l="1"/>
  <c r="I11" i="13" s="1"/>
  <c r="H44" i="13"/>
  <c r="I44" i="13" s="1"/>
  <c r="H26" i="13"/>
  <c r="I26" i="13" s="1"/>
  <c r="H59" i="13"/>
  <c r="I59" i="13" s="1"/>
  <c r="H21" i="13"/>
  <c r="I21" i="13" s="1"/>
  <c r="H54" i="13"/>
  <c r="I54" i="13" s="1"/>
  <c r="H17" i="13"/>
  <c r="I17" i="13" s="1"/>
  <c r="H50" i="13"/>
  <c r="I50" i="13" s="1"/>
  <c r="H22" i="13"/>
  <c r="I22" i="13" s="1"/>
  <c r="H55" i="13"/>
  <c r="I55" i="13" s="1"/>
  <c r="H27" i="13"/>
  <c r="I27" i="13" s="1"/>
  <c r="H60" i="13"/>
  <c r="I60" i="13" s="1"/>
  <c r="H14" i="13"/>
  <c r="I14" i="13" s="1"/>
  <c r="H47" i="13"/>
  <c r="I47" i="13" s="1"/>
  <c r="H18" i="13"/>
  <c r="I18" i="13" s="1"/>
  <c r="H51" i="13"/>
  <c r="I51" i="13" s="1"/>
  <c r="H19" i="13"/>
  <c r="I19" i="13" s="1"/>
  <c r="H52" i="13"/>
  <c r="I52" i="13" s="1"/>
  <c r="H53" i="13"/>
  <c r="I53" i="13" s="1"/>
  <c r="H15" i="13"/>
  <c r="I15" i="13" s="1"/>
  <c r="H48" i="13"/>
  <c r="I48" i="13" s="1"/>
  <c r="H9" i="13"/>
  <c r="I9" i="13" s="1"/>
  <c r="H24" i="13"/>
  <c r="I24" i="13" s="1"/>
  <c r="H57" i="13"/>
  <c r="I57" i="13" s="1"/>
  <c r="H23" i="13"/>
  <c r="I23" i="13" s="1"/>
  <c r="H56" i="13"/>
  <c r="I56" i="13" s="1"/>
  <c r="H12" i="13"/>
  <c r="I12" i="13" s="1"/>
  <c r="H45" i="13"/>
  <c r="I45" i="13" s="1"/>
  <c r="H13" i="13"/>
  <c r="I13" i="13" s="1"/>
  <c r="H46" i="13"/>
  <c r="I46" i="13" s="1"/>
  <c r="H10" i="13"/>
  <c r="I10" i="13" s="1"/>
  <c r="H43" i="13"/>
  <c r="I43" i="13" s="1"/>
  <c r="H25" i="13"/>
  <c r="I25" i="13" s="1"/>
  <c r="H58" i="13"/>
  <c r="I58" i="13" s="1"/>
  <c r="H16" i="13"/>
  <c r="I16" i="13" s="1"/>
  <c r="H49" i="13"/>
  <c r="I49" i="13" s="1"/>
  <c r="P8" i="11"/>
  <c r="R8" i="11" s="1"/>
  <c r="N9" i="12" l="1"/>
  <c r="O9" i="12" s="1"/>
  <c r="H42" i="13"/>
  <c r="I42" i="13" s="1"/>
  <c r="H74" i="13"/>
  <c r="I74" i="13" s="1"/>
  <c r="H41" i="13"/>
  <c r="I41" i="13" s="1"/>
  <c r="H8" i="13" l="1"/>
  <c r="I8" i="13" s="1"/>
  <c r="H20" i="13"/>
  <c r="I20" i="13" s="1"/>
  <c r="I28" i="13" l="1"/>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l="1"/>
  <c r="G7" i="24" s="1"/>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G15" i="24" l="1"/>
  <c r="G14" i="24"/>
</calcChain>
</file>

<file path=xl/sharedStrings.xml><?xml version="1.0" encoding="utf-8"?>
<sst xmlns="http://schemas.openxmlformats.org/spreadsheetml/2006/main" count="1196" uniqueCount="165">
  <si>
    <t>PROJE BİLGİLERİ</t>
  </si>
  <si>
    <t>Proje No</t>
  </si>
  <si>
    <t>Proje Başvuru Tarihi</t>
  </si>
  <si>
    <t>Destek Başlangıç Tarihi</t>
  </si>
  <si>
    <t>Destek Bitiş Tarihi</t>
  </si>
  <si>
    <t>Brüt Asgari Ücret</t>
  </si>
  <si>
    <t>PERSONEL BİLGİLERİ</t>
  </si>
  <si>
    <t>Sıra No</t>
  </si>
  <si>
    <t>Adı Soyadı</t>
  </si>
  <si>
    <t>TC Kimlik No</t>
  </si>
  <si>
    <t>Emekli mi?</t>
  </si>
  <si>
    <t>Proje Adı</t>
  </si>
  <si>
    <t>Asgari Ücret</t>
  </si>
  <si>
    <t>TÜBİTAK</t>
  </si>
  <si>
    <t>PROJE NUMARASI</t>
  </si>
  <si>
    <t>:</t>
  </si>
  <si>
    <t>PROJE YÜRÜTÜCÜSÜ</t>
  </si>
  <si>
    <t>KURULUŞ ADI</t>
  </si>
  <si>
    <t>ADRES</t>
  </si>
  <si>
    <t>TELEFON</t>
  </si>
  <si>
    <t>FAX</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</si>
  <si>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</si>
  <si>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</si>
  <si>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</si>
  <si>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</si>
  <si>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</si>
  <si>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</si>
  <si>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</si>
  <si>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</si>
  <si>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</si>
  <si>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</si>
  <si>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</si>
  <si>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</si>
  <si>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</si>
  <si>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</si>
  <si>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</si>
  <si>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</si>
  <si>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</si>
  <si>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</si>
  <si>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</si>
  <si>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</si>
  <si>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</si>
  <si>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</si>
  <si>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</si>
  <si>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</si>
  <si>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</si>
  <si>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</si>
  <si>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</si>
  <si>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</si>
  <si>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</si>
  <si>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</si>
  <si>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</si>
  <si>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</si>
  <si>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</si>
  <si>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</si>
  <si>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</si>
  <si>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</si>
  <si>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</si>
  <si>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</si>
  <si>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</si>
  <si>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</si>
  <si>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</si>
  <si>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</si>
  <si>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</si>
  <si>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</si>
  <si>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</si>
  <si>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</si>
  <si>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</si>
  <si>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</si>
  <si>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</si>
  <si>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</si>
  <si>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</si>
  <si>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</si>
  <si>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</si>
  <si>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</si>
  <si>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</si>
  <si>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</si>
  <si>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</si>
  <si>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</si>
  <si>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</si>
  <si>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</si>
  <si>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</si>
  <si>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</si>
  <si>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</si>
  <si>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</si>
  <si>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</si>
  <si>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Belge Tarihi</t>
  </si>
  <si>
    <t>Belge Numarası</t>
  </si>
  <si>
    <t>Ödenen Tutar</t>
  </si>
  <si>
    <t>KDV DAHİL</t>
  </si>
  <si>
    <t>Yaptırılan İş**</t>
  </si>
  <si>
    <t>Yaptırılan İşin Açıklaması ve Firma Dışında Yaptırılma Nedenleri</t>
  </si>
  <si>
    <t>Kuruluş Adı (Üniversite ise, Bölüm, Akademisyen Unvan ve Adı)</t>
  </si>
  <si>
    <t>HİZMET ALIMLARI GİDER FORMU</t>
  </si>
  <si>
    <t>M015 Formundaki Sıra No</t>
  </si>
  <si>
    <t xml:space="preserve">Kuruluş Türü* </t>
  </si>
  <si>
    <t>G015-A (YURTİÇİ)</t>
  </si>
  <si>
    <t>G015-B (YURTDIŞI)</t>
  </si>
  <si>
    <t>PROJE DÖNEMSEL TOPLAM GİDERLER TABLOSU</t>
  </si>
  <si>
    <t>G020</t>
  </si>
  <si>
    <t>GİDER KALEMLERİ</t>
  </si>
  <si>
    <t>Dönem Gideri (TL)</t>
  </si>
  <si>
    <t>Personel Giderleri (G011)</t>
  </si>
  <si>
    <t>Yurtiçi</t>
  </si>
  <si>
    <t>Yurtdışı</t>
  </si>
  <si>
    <t>Hizmet Alım Giderleri (G015)</t>
  </si>
  <si>
    <t>5510 Sayılı Kanun ve Diğer Kanunlar Kapsamında Yararlanılan Tutar</t>
  </si>
  <si>
    <t>Önceki Dönem/Dönemlere Ait Personel Gideri*</t>
  </si>
  <si>
    <t>* Bu dönem ile birlikte önceki dönem/dönemlere ait personel gideri beyanı olması halinde doldurulmalıdır.</t>
  </si>
  <si>
    <t>Asıl
Brüt Ücret</t>
  </si>
  <si>
    <t>Dönem Ortalama Aylık Maliyet (TL)</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</si>
  <si>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</si>
  <si>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</si>
  <si>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</si>
  <si>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</si>
  <si>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</si>
  <si>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</si>
  <si>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</si>
  <si>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</si>
  <si>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Projedeki Görevi/Unvanı</t>
  </si>
  <si>
    <t>'Proje ve Personel Bilgileri'!$B$14:$B$213</t>
  </si>
  <si>
    <t>1. Dönem Tarih Aralığı</t>
  </si>
  <si>
    <t>2. Dönem Tarih Aralığı</t>
  </si>
  <si>
    <t>3. Dönem Tarih Aralığı</t>
  </si>
  <si>
    <t>MALİ RAPOR DÖNEMİ</t>
  </si>
  <si>
    <t>OCAK</t>
  </si>
  <si>
    <t>ŞUBAT</t>
  </si>
  <si>
    <t>MART</t>
  </si>
  <si>
    <t>NİSAN</t>
  </si>
  <si>
    <t>MAYIS</t>
  </si>
  <si>
    <t>HAZİRAN</t>
  </si>
  <si>
    <t>TEMMUZ</t>
  </si>
  <si>
    <t>AĞUSTOS</t>
  </si>
  <si>
    <t>EYLÜL</t>
  </si>
  <si>
    <t>EKİM</t>
  </si>
  <si>
    <t>KASIM</t>
  </si>
  <si>
    <t>ARALIK</t>
  </si>
  <si>
    <t>&lt;&lt;== Mali rapor hazırlamak istediğiniz dönemi seçiniz</t>
  </si>
  <si>
    <t>4. Dönem Tarih Aralığı</t>
  </si>
  <si>
    <t>*KOBİ, Büyük firma, Üniversite, Konferans/Fuar (Birini Seçiniz)
**MM Rapor Hazırlama, Proje Yazım Hizmeti, Eğitim, Konferans/Fuar, İşçilik, Ara Mamül Üretimi, Kalıp Tasarım ve Üretimi, (Birini Seçiniz)</t>
  </si>
  <si>
    <t>TAAHHÜTNAME</t>
  </si>
  <si>
    <t>YARARLANILAN TEŞVİKLER</t>
  </si>
  <si>
    <t>5746 Sayılı Kanun Kapsamında Yararlanılan SGK İşveren Payı Desteği</t>
  </si>
  <si>
    <t>KDV HARİÇ</t>
  </si>
  <si>
    <t>Genel Giderler</t>
  </si>
  <si>
    <t>Dönem Toplamı KDV HARİÇ (TL)</t>
  </si>
  <si>
    <t>Dönem Toplamı KDV DAHİL (TL)</t>
  </si>
  <si>
    <t>Taahhütname kurumunuz tarafından mevzuata uygun olarak imzalanarak TÜBİTAK'a gönderilecektir.</t>
  </si>
  <si>
    <t>1601 - Tübitak Yenilik Ve Girişimcilik Alanlarında Kapasite Artırılmasına 
Yönelik Destek Programı</t>
  </si>
  <si>
    <t xml:space="preserve">MENTOR ARAYÜZÜ (BİGG+) ÇAĞRISI </t>
  </si>
  <si>
    <t>2.3 İlgili Dönemde Eğitim Durumuna Göre Uygulanacak Personel Ortalama  Aylık Maliyet Formu (G011-C)</t>
  </si>
  <si>
    <t>3.Hizmet Alımları Gider Formu (G015)</t>
  </si>
  <si>
    <t>4.Proje Dönemsel Toplam Giderler Tablosu (G020)</t>
  </si>
  <si>
    <t>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t>
  </si>
  <si>
    <t>Gider Formları İmza Tarihi</t>
  </si>
  <si>
    <t>Gider Formlarını İmzalayacak Kuruluş Yetkilisi/Yetkililerinin Adı Soyadı</t>
  </si>
  <si>
    <t>KAŞE/İMZA</t>
  </si>
  <si>
    <t xml:space="preserve">Kaşe-İmza   </t>
  </si>
  <si>
    <t xml:space="preserve">Kuruluş Yetkilisi   </t>
  </si>
  <si>
    <t>5746/4691 Sayılı Kanun Kapsamında Yararlanılan Gelir Vergisi Stopaj Teşviki</t>
  </si>
  <si>
    <t>Diğer Kanunlar Kapsamında Yararlanılan Teşvikler/
Destekler</t>
  </si>
  <si>
    <t>Dönem Başlangıç Ayı</t>
  </si>
  <si>
    <t>Dönem Başlangıç Yılı</t>
  </si>
  <si>
    <t>YılDönem</t>
  </si>
  <si>
    <t>5. Dönem Tarih Aralığı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</si>
</sst>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1"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sz val="14"/>
      <color theme="1"/>
      <name val="Calibri"/>
      <family val="2"/>
      <charset val="162"/>
      <scheme val="minor"/>
    </font>
    <font>
      <sz val="8"/>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12"/>
      <color rgb="FF000000"/>
      <name val="Calibri"/>
      <family val="2"/>
      <charset val="162"/>
      <scheme val="minor"/>
    </font>
    <font>
      <b/>
      <sz val="11.5"/>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b/>
      <sz val="14"/>
      <color rgb="FF000000"/>
      <name val="Calibri"/>
      <family val="2"/>
      <charset val="162"/>
    </font>
    <font>
      <sz val="13"/>
      <color theme="1"/>
      <name val="Calibri"/>
      <family val="2"/>
      <charset val="162"/>
      <scheme val="minor"/>
    </font>
    <font>
      <b/>
      <sz val="18"/>
      <color theme="1"/>
      <name val="Calibri"/>
      <family val="2"/>
      <charset val="162"/>
      <scheme val="minor"/>
    </font>
    <font>
      <sz val="12"/>
      <color indexed="8"/>
      <name val="Calibri"/>
      <family val="2"/>
      <charset val="162"/>
    </font>
    <font>
      <b/>
      <sz val="18"/>
      <color rgb="FF000000"/>
      <name val="Calibri"/>
      <family val="2"/>
      <charset val="162"/>
      <scheme val="minor"/>
    </font>
    <font>
      <b/>
      <sz val="13"/>
      <color theme="1"/>
      <name val="Calibri"/>
      <family val="2"/>
      <charset val="162"/>
      <scheme val="minor"/>
    </font>
    <font>
      <b/>
      <sz val="22"/>
      <color theme="1"/>
      <name val="Calibri"/>
      <family val="2"/>
      <charset val="162"/>
      <scheme val="minor"/>
    </font>
    <font>
      <b/>
      <sz val="15"/>
      <color theme="1"/>
      <name val="Calibri"/>
      <family val="2"/>
      <charset val="162"/>
      <scheme val="minor"/>
    </font>
    <font>
      <sz val="15"/>
      <color theme="1"/>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right style="medium">
        <color rgb="FF000000"/>
      </right>
      <top/>
      <bottom style="thin">
        <color rgb="FF000000"/>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4" fillId="0" borderId="0"/>
    <xf numFmtId="43" fontId="5" fillId="0" borderId="0" applyFont="0" applyFill="0" applyBorder="0" applyAlignment="0" applyProtection="0"/>
  </cellStyleXfs>
  <cellXfs count="438">
    <xf numFmtId="0" fontId="0" fillId="0" borderId="0" xfId="0"/>
    <xf numFmtId="0" fontId="1" fillId="0" borderId="0" xfId="0" applyFont="1"/>
    <xf numFmtId="0" fontId="1" fillId="0" borderId="0" xfId="0" applyFont="1" applyAlignment="1">
      <alignment horizontal="center" vertical="center" wrapText="1"/>
    </xf>
    <xf numFmtId="0" fontId="10" fillId="0" borderId="18" xfId="0" applyFont="1" applyBorder="1" applyAlignment="1">
      <alignment horizontal="center"/>
    </xf>
    <xf numFmtId="0" fontId="10" fillId="0" borderId="36" xfId="0" applyFont="1" applyBorder="1" applyAlignment="1">
      <alignment horizontal="center"/>
    </xf>
    <xf numFmtId="0" fontId="9" fillId="0" borderId="0" xfId="0" applyFont="1" applyProtection="1">
      <protection locked="0"/>
    </xf>
    <xf numFmtId="0" fontId="9" fillId="0" borderId="0" xfId="0" applyFont="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0" xfId="0" applyFont="1" applyProtection="1">
      <protection locked="0"/>
    </xf>
    <xf numFmtId="0" fontId="1" fillId="0" borderId="18" xfId="0" applyFont="1" applyBorder="1" applyAlignment="1" applyProtection="1">
      <alignment horizontal="left" wrapText="1"/>
      <protection locked="0"/>
    </xf>
    <xf numFmtId="43" fontId="0" fillId="0" borderId="0" xfId="2" applyFont="1"/>
    <xf numFmtId="0" fontId="14" fillId="0" borderId="0" xfId="0" applyFont="1"/>
    <xf numFmtId="0" fontId="10" fillId="0" borderId="33" xfId="0" applyFont="1" applyBorder="1" applyAlignment="1" applyProtection="1">
      <alignment horizontal="center"/>
      <protection locked="0"/>
    </xf>
    <xf numFmtId="0" fontId="15" fillId="0" borderId="33" xfId="0" applyFont="1" applyBorder="1" applyAlignment="1" applyProtection="1">
      <alignment wrapText="1"/>
      <protection locked="0"/>
    </xf>
    <xf numFmtId="164" fontId="15" fillId="0" borderId="33"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15" fillId="0" borderId="1" xfId="0" applyFont="1" applyBorder="1" applyAlignment="1" applyProtection="1">
      <alignment wrapText="1"/>
      <protection locked="0"/>
    </xf>
    <xf numFmtId="0" fontId="10" fillId="0" borderId="17" xfId="0" applyFont="1" applyBorder="1" applyAlignment="1" applyProtection="1">
      <alignment horizontal="center"/>
      <protection locked="0"/>
    </xf>
    <xf numFmtId="0" fontId="15" fillId="0" borderId="17" xfId="0" applyFont="1" applyBorder="1" applyAlignment="1" applyProtection="1">
      <alignment wrapText="1"/>
      <protection locked="0"/>
    </xf>
    <xf numFmtId="0" fontId="15" fillId="0" borderId="0" xfId="0" applyFont="1"/>
    <xf numFmtId="0" fontId="10" fillId="0" borderId="10" xfId="0" applyFont="1" applyBorder="1" applyAlignment="1">
      <alignment horizontal="center"/>
    </xf>
    <xf numFmtId="0" fontId="10" fillId="0" borderId="12" xfId="0" applyFont="1" applyBorder="1" applyAlignment="1">
      <alignment horizontal="center"/>
    </xf>
    <xf numFmtId="0" fontId="10" fillId="0" borderId="14" xfId="0" applyFont="1" applyBorder="1" applyAlignment="1">
      <alignment horizontal="center"/>
    </xf>
    <xf numFmtId="0" fontId="10" fillId="0" borderId="8" xfId="0" applyFont="1" applyBorder="1" applyAlignment="1">
      <alignment horizontal="center"/>
    </xf>
    <xf numFmtId="0" fontId="10" fillId="0" borderId="16" xfId="0" applyFont="1" applyBorder="1" applyAlignment="1" applyProtection="1">
      <alignment horizontal="center"/>
      <protection locked="0"/>
    </xf>
    <xf numFmtId="0" fontId="15" fillId="0" borderId="16" xfId="0" applyFont="1" applyBorder="1" applyAlignment="1" applyProtection="1">
      <alignment wrapText="1"/>
      <protection locked="0"/>
    </xf>
    <xf numFmtId="164" fontId="15" fillId="0" borderId="16" xfId="0" applyNumberFormat="1" applyFont="1" applyBorder="1" applyAlignment="1" applyProtection="1">
      <alignment horizontal="center"/>
      <protection locked="0"/>
    </xf>
    <xf numFmtId="0" fontId="16" fillId="0" borderId="0" xfId="0" applyFont="1"/>
    <xf numFmtId="0" fontId="16" fillId="0" borderId="0" xfId="0" applyFont="1" applyProtection="1">
      <protection locked="0"/>
    </xf>
    <xf numFmtId="164" fontId="15" fillId="0" borderId="1" xfId="0" applyNumberFormat="1" applyFont="1" applyBorder="1" applyAlignment="1" applyProtection="1">
      <alignment horizontal="center"/>
      <protection locked="0"/>
    </xf>
    <xf numFmtId="164" fontId="15" fillId="0" borderId="17" xfId="0" applyNumberFormat="1" applyFont="1" applyBorder="1" applyAlignment="1" applyProtection="1">
      <alignment horizontal="center"/>
      <protection locked="0"/>
    </xf>
    <xf numFmtId="0" fontId="15" fillId="0" borderId="0" xfId="0" applyFont="1" applyProtection="1">
      <protection locked="0"/>
    </xf>
    <xf numFmtId="0" fontId="19" fillId="0" borderId="0" xfId="0" applyFont="1" applyProtection="1">
      <protection locked="0"/>
    </xf>
    <xf numFmtId="0" fontId="20" fillId="0" borderId="23" xfId="0" applyFont="1" applyBorder="1" applyProtection="1">
      <protection locked="0"/>
    </xf>
    <xf numFmtId="0" fontId="19" fillId="0" borderId="16" xfId="0" applyFont="1" applyBorder="1" applyAlignment="1" applyProtection="1">
      <alignment horizontal="center"/>
      <protection locked="0"/>
    </xf>
    <xf numFmtId="165" fontId="19" fillId="0" borderId="16" xfId="2" applyNumberFormat="1" applyFont="1" applyBorder="1" applyProtection="1">
      <protection locked="0"/>
    </xf>
    <xf numFmtId="165" fontId="19" fillId="0" borderId="33" xfId="2" applyNumberFormat="1" applyFont="1" applyBorder="1" applyProtection="1">
      <protection locked="0"/>
    </xf>
    <xf numFmtId="0" fontId="19" fillId="0" borderId="1" xfId="0" applyFont="1" applyBorder="1" applyAlignment="1" applyProtection="1">
      <alignment horizontal="center"/>
      <protection locked="0"/>
    </xf>
    <xf numFmtId="165" fontId="19" fillId="0" borderId="1" xfId="2" applyNumberFormat="1" applyFont="1" applyBorder="1" applyProtection="1">
      <protection locked="0"/>
    </xf>
    <xf numFmtId="0" fontId="19" fillId="0" borderId="17" xfId="0" applyFont="1" applyBorder="1" applyAlignment="1" applyProtection="1">
      <alignment horizontal="center"/>
      <protection locked="0"/>
    </xf>
    <xf numFmtId="165" fontId="19" fillId="0" borderId="17" xfId="2" applyNumberFormat="1" applyFont="1" applyBorder="1" applyProtection="1">
      <protection locked="0"/>
    </xf>
    <xf numFmtId="0" fontId="19" fillId="0" borderId="32" xfId="0" applyFont="1" applyBorder="1" applyProtection="1">
      <protection locked="0"/>
    </xf>
    <xf numFmtId="0" fontId="19" fillId="0" borderId="0" xfId="0" applyFont="1" applyAlignment="1" applyProtection="1">
      <alignment horizontal="center"/>
      <protection locked="0"/>
    </xf>
    <xf numFmtId="0" fontId="0" fillId="0" borderId="0" xfId="0" applyProtection="1">
      <protection locked="0"/>
    </xf>
    <xf numFmtId="0" fontId="19" fillId="0" borderId="0" xfId="0" applyFont="1"/>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165" fontId="14" fillId="0" borderId="0" xfId="0" applyNumberFormat="1" applyFont="1"/>
    <xf numFmtId="0" fontId="22" fillId="0" borderId="18" xfId="0" applyFont="1" applyBorder="1" applyAlignment="1" applyProtection="1">
      <alignment horizontal="center" vertical="center"/>
      <protection locked="0"/>
    </xf>
    <xf numFmtId="0" fontId="23" fillId="0" borderId="0" xfId="0" applyFont="1" applyProtection="1">
      <protection locked="0"/>
    </xf>
    <xf numFmtId="0" fontId="18" fillId="0" borderId="0" xfId="0" applyFont="1" applyProtection="1">
      <protection locked="0"/>
    </xf>
    <xf numFmtId="0" fontId="0" fillId="0" borderId="33" xfId="0" applyBorder="1" applyProtection="1">
      <protection locked="0"/>
    </xf>
    <xf numFmtId="4" fontId="0" fillId="0" borderId="33" xfId="0" applyNumberFormat="1" applyBorder="1" applyAlignment="1" applyProtection="1">
      <alignment horizontal="center"/>
      <protection locked="0"/>
    </xf>
    <xf numFmtId="2" fontId="0" fillId="0" borderId="33"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25"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28" fillId="0" borderId="0" xfId="0" applyFont="1" applyAlignment="1" applyProtection="1">
      <alignment horizontal="left" vertical="center"/>
      <protection locked="0"/>
    </xf>
    <xf numFmtId="0" fontId="28" fillId="0" borderId="0" xfId="0" applyFont="1" applyAlignment="1" applyProtection="1">
      <alignment horizontal="left"/>
      <protection locked="0"/>
    </xf>
    <xf numFmtId="0" fontId="29" fillId="0" borderId="0" xfId="0" applyFont="1" applyAlignment="1" applyProtection="1">
      <alignment horizontal="center" vertical="center"/>
      <protection locked="0"/>
    </xf>
    <xf numFmtId="0" fontId="22" fillId="0" borderId="0" xfId="0" applyFont="1" applyAlignment="1" applyProtection="1">
      <alignment horizontal="center" vertical="center"/>
      <protection locked="0"/>
    </xf>
    <xf numFmtId="0" fontId="24" fillId="0" borderId="0" xfId="0" applyFont="1" applyAlignment="1" applyProtection="1">
      <alignment horizontal="center" vertical="center"/>
      <protection locked="0"/>
    </xf>
    <xf numFmtId="0" fontId="22" fillId="0" borderId="0" xfId="0" applyFont="1" applyAlignment="1" applyProtection="1">
      <alignment horizontal="justify" vertical="center"/>
      <protection locked="0"/>
    </xf>
    <xf numFmtId="0" fontId="27" fillId="0" borderId="0" xfId="0" applyFont="1" applyAlignment="1" applyProtection="1">
      <alignment horizontal="left" wrapText="1"/>
      <protection locked="0"/>
    </xf>
    <xf numFmtId="0" fontId="22" fillId="0" borderId="0" xfId="0" applyFont="1" applyAlignment="1" applyProtection="1">
      <alignment horizontal="right" vertical="center"/>
      <protection locked="0"/>
    </xf>
    <xf numFmtId="0" fontId="24" fillId="0" borderId="0" xfId="0" applyFont="1" applyAlignment="1" applyProtection="1">
      <alignment horizontal="right" vertical="center"/>
      <protection locked="0"/>
    </xf>
    <xf numFmtId="0" fontId="28" fillId="0" borderId="0" xfId="0" applyFont="1" applyAlignment="1" applyProtection="1">
      <alignment vertical="center"/>
      <protection locked="0"/>
    </xf>
    <xf numFmtId="0" fontId="17" fillId="0" borderId="0" xfId="0" applyFont="1" applyProtection="1">
      <protection hidden="1"/>
    </xf>
    <xf numFmtId="4" fontId="10" fillId="0" borderId="36" xfId="0" applyNumberFormat="1" applyFont="1" applyBorder="1" applyAlignment="1" applyProtection="1">
      <alignment horizontal="center"/>
      <protection hidden="1"/>
    </xf>
    <xf numFmtId="0" fontId="16" fillId="0" borderId="0" xfId="0" applyFont="1" applyProtection="1">
      <protection hidden="1"/>
    </xf>
    <xf numFmtId="1" fontId="15" fillId="0" borderId="0" xfId="0" applyNumberFormat="1" applyFont="1" applyProtection="1">
      <protection hidden="1"/>
    </xf>
    <xf numFmtId="0" fontId="21" fillId="0" borderId="0" xfId="0" applyFont="1" applyAlignment="1" applyProtection="1">
      <alignment vertical="center" wrapText="1"/>
      <protection hidden="1"/>
    </xf>
    <xf numFmtId="4" fontId="15" fillId="0" borderId="0" xfId="2" applyNumberFormat="1" applyFont="1" applyProtection="1">
      <protection hidden="1"/>
    </xf>
    <xf numFmtId="0" fontId="15" fillId="0" borderId="0" xfId="0" applyFont="1" applyProtection="1">
      <protection hidden="1"/>
    </xf>
    <xf numFmtId="4" fontId="10" fillId="0" borderId="22" xfId="0" applyNumberFormat="1" applyFont="1" applyBorder="1" applyAlignment="1" applyProtection="1">
      <alignment horizontal="center"/>
      <protection hidden="1"/>
    </xf>
    <xf numFmtId="4" fontId="10" fillId="0" borderId="18" xfId="0" applyNumberFormat="1" applyFont="1" applyBorder="1" applyAlignment="1" applyProtection="1">
      <alignment horizontal="center"/>
      <protection hidden="1"/>
    </xf>
    <xf numFmtId="1" fontId="0" fillId="0" borderId="33" xfId="0" applyNumberFormat="1" applyBorder="1" applyAlignment="1" applyProtection="1">
      <alignment horizontal="center"/>
      <protection hidden="1"/>
    </xf>
    <xf numFmtId="0" fontId="0" fillId="0" borderId="33"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3"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3"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1"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0" fontId="7" fillId="0" borderId="33" xfId="0" applyFont="1" applyBorder="1" applyAlignment="1" applyProtection="1">
      <alignment horizontal="center"/>
      <protection hidden="1"/>
    </xf>
    <xf numFmtId="165" fontId="7" fillId="0" borderId="33" xfId="2" applyNumberFormat="1" applyFont="1" applyBorder="1" applyAlignment="1" applyProtection="1">
      <alignment horizontal="center"/>
      <protection hidden="1"/>
    </xf>
    <xf numFmtId="165" fontId="7" fillId="0" borderId="11" xfId="2" applyNumberFormat="1" applyFont="1" applyBorder="1" applyAlignment="1" applyProtection="1">
      <alignment horizontal="center"/>
      <protection hidden="1"/>
    </xf>
    <xf numFmtId="0" fontId="7" fillId="0" borderId="31" xfId="0" applyFont="1" applyBorder="1" applyAlignment="1" applyProtection="1">
      <alignment horizontal="center"/>
      <protection hidden="1"/>
    </xf>
    <xf numFmtId="165" fontId="7" fillId="0" borderId="31" xfId="2" applyNumberFormat="1" applyFont="1" applyBorder="1" applyAlignment="1" applyProtection="1">
      <alignment horizontal="center"/>
      <protection hidden="1"/>
    </xf>
    <xf numFmtId="165" fontId="7" fillId="0" borderId="29" xfId="2" applyNumberFormat="1" applyFont="1" applyBorder="1" applyAlignment="1" applyProtection="1">
      <alignment horizontal="center"/>
      <protection hidden="1"/>
    </xf>
    <xf numFmtId="165" fontId="19" fillId="0" borderId="9" xfId="2" applyNumberFormat="1" applyFont="1" applyBorder="1" applyProtection="1">
      <protection hidden="1"/>
    </xf>
    <xf numFmtId="43" fontId="8" fillId="0" borderId="0" xfId="2" applyFont="1" applyAlignment="1" applyProtection="1">
      <alignment horizontal="left" vertical="top" wrapText="1"/>
      <protection hidden="1"/>
    </xf>
    <xf numFmtId="165" fontId="7" fillId="0" borderId="1" xfId="2" applyNumberFormat="1" applyFont="1" applyBorder="1" applyProtection="1">
      <protection hidden="1"/>
    </xf>
    <xf numFmtId="165" fontId="19" fillId="0" borderId="13" xfId="2" applyNumberFormat="1" applyFont="1" applyBorder="1" applyProtection="1">
      <protection hidden="1"/>
    </xf>
    <xf numFmtId="0" fontId="19" fillId="0" borderId="1" xfId="0" applyFont="1" applyBorder="1" applyAlignment="1" applyProtection="1">
      <alignment horizontal="left"/>
      <protection hidden="1"/>
    </xf>
    <xf numFmtId="0" fontId="19" fillId="0" borderId="17" xfId="0" applyFont="1" applyBorder="1" applyAlignment="1" applyProtection="1">
      <alignment horizontal="left"/>
      <protection hidden="1"/>
    </xf>
    <xf numFmtId="165" fontId="19" fillId="0" borderId="15" xfId="2" applyNumberFormat="1" applyFont="1" applyBorder="1" applyProtection="1">
      <protection hidden="1"/>
    </xf>
    <xf numFmtId="4" fontId="20" fillId="0" borderId="31" xfId="0" applyNumberFormat="1" applyFont="1" applyBorder="1" applyAlignment="1" applyProtection="1">
      <alignment horizontal="right"/>
      <protection hidden="1"/>
    </xf>
    <xf numFmtId="4" fontId="20" fillId="0" borderId="29" xfId="0" applyNumberFormat="1" applyFont="1" applyBorder="1" applyAlignment="1" applyProtection="1">
      <alignment horizontal="right"/>
      <protection hidden="1"/>
    </xf>
    <xf numFmtId="0" fontId="0" fillId="0" borderId="18" xfId="0" applyBorder="1" applyAlignment="1" applyProtection="1">
      <alignment horizontal="center"/>
      <protection hidden="1"/>
    </xf>
    <xf numFmtId="0" fontId="27" fillId="0" borderId="0" xfId="0" applyFont="1" applyAlignment="1" applyProtection="1">
      <alignment horizontal="left"/>
      <protection hidden="1"/>
    </xf>
    <xf numFmtId="164" fontId="27" fillId="0" borderId="0" xfId="0" applyNumberFormat="1" applyFont="1" applyAlignment="1" applyProtection="1">
      <alignment horizontal="left"/>
      <protection hidden="1"/>
    </xf>
    <xf numFmtId="14" fontId="27" fillId="0" borderId="0" xfId="0" applyNumberFormat="1" applyFont="1" applyAlignment="1" applyProtection="1">
      <alignment horizontal="left"/>
      <protection hidden="1"/>
    </xf>
    <xf numFmtId="0" fontId="10" fillId="0" borderId="0" xfId="0" applyFont="1" applyProtection="1">
      <protection locked="0"/>
    </xf>
    <xf numFmtId="0" fontId="10" fillId="0" borderId="0" xfId="0" applyFont="1" applyAlignment="1" applyProtection="1">
      <alignment horizontal="center"/>
      <protection locked="0"/>
    </xf>
    <xf numFmtId="4" fontId="15" fillId="0" borderId="9" xfId="0" applyNumberFormat="1" applyFont="1" applyBorder="1" applyAlignment="1" applyProtection="1">
      <alignment horizontal="right"/>
      <protection locked="0"/>
    </xf>
    <xf numFmtId="4" fontId="15" fillId="0" borderId="11" xfId="0" applyNumberFormat="1" applyFont="1" applyBorder="1" applyAlignment="1" applyProtection="1">
      <alignment horizontal="right"/>
      <protection locked="0"/>
    </xf>
    <xf numFmtId="4" fontId="15" fillId="0" borderId="13" xfId="0" applyNumberFormat="1" applyFont="1" applyBorder="1" applyAlignment="1" applyProtection="1">
      <alignment horizontal="right"/>
      <protection locked="0"/>
    </xf>
    <xf numFmtId="4" fontId="15" fillId="0" borderId="15" xfId="0" applyNumberFormat="1" applyFont="1" applyBorder="1" applyAlignment="1" applyProtection="1">
      <alignment horizontal="right"/>
      <protection locked="0"/>
    </xf>
    <xf numFmtId="164" fontId="15" fillId="0" borderId="0" xfId="0" applyNumberFormat="1" applyFont="1" applyAlignment="1">
      <alignment horizontal="center"/>
    </xf>
    <xf numFmtId="4" fontId="10" fillId="0" borderId="4" xfId="0" applyNumberFormat="1" applyFont="1" applyBorder="1" applyAlignment="1" applyProtection="1">
      <alignment horizontal="right"/>
      <protection hidden="1"/>
    </xf>
    <xf numFmtId="0" fontId="0" fillId="0" borderId="1" xfId="0" applyBorder="1" applyAlignment="1" applyProtection="1">
      <alignment horizontal="center"/>
      <protection locked="0"/>
    </xf>
    <xf numFmtId="0" fontId="22" fillId="0" borderId="0" xfId="0" applyFont="1" applyAlignment="1" applyProtection="1">
      <alignment horizontal="left"/>
      <protection locked="0"/>
    </xf>
    <xf numFmtId="0" fontId="22" fillId="0" borderId="0" xfId="0" applyFont="1" applyProtection="1">
      <protection locked="0"/>
    </xf>
    <xf numFmtId="0" fontId="14" fillId="0" borderId="0" xfId="0" applyFont="1" applyProtection="1">
      <protection hidden="1"/>
    </xf>
    <xf numFmtId="0" fontId="22" fillId="0" borderId="24" xfId="0" applyFont="1" applyBorder="1" applyAlignment="1" applyProtection="1">
      <alignment horizontal="center" vertical="center"/>
      <protection locked="0"/>
    </xf>
    <xf numFmtId="0" fontId="34" fillId="0" borderId="0" xfId="0" applyFont="1" applyAlignment="1">
      <alignment horizontal="center"/>
    </xf>
    <xf numFmtId="0" fontId="20" fillId="0" borderId="0" xfId="0" applyFont="1" applyAlignment="1" applyProtection="1">
      <alignment horizontal="center"/>
      <protection locked="0"/>
    </xf>
    <xf numFmtId="0" fontId="22" fillId="0" borderId="0" xfId="0" applyFont="1" applyAlignment="1" applyProtection="1">
      <alignment horizontal="center"/>
      <protection locked="0"/>
    </xf>
    <xf numFmtId="0" fontId="15" fillId="0" borderId="0" xfId="0" applyFont="1" applyAlignment="1" applyProtection="1">
      <alignment horizontal="center"/>
      <protection locked="0"/>
    </xf>
    <xf numFmtId="0" fontId="20" fillId="0" borderId="0" xfId="0" applyFont="1" applyProtection="1">
      <protection locked="0"/>
    </xf>
    <xf numFmtId="0" fontId="21" fillId="0" borderId="0" xfId="0" applyFont="1" applyProtection="1">
      <protection locked="0"/>
    </xf>
    <xf numFmtId="164" fontId="15" fillId="0" borderId="0" xfId="0" applyNumberFormat="1" applyFont="1" applyAlignment="1" applyProtection="1">
      <alignment horizontal="center"/>
      <protection locked="0"/>
    </xf>
    <xf numFmtId="0" fontId="1" fillId="0" borderId="0" xfId="0" applyFont="1" applyAlignment="1" applyProtection="1">
      <alignment horizontal="center" vertical="center" wrapText="1"/>
      <protection locked="0"/>
    </xf>
    <xf numFmtId="1" fontId="0" fillId="0" borderId="33" xfId="0" applyNumberFormat="1" applyBorder="1" applyAlignment="1" applyProtection="1">
      <alignment horizontal="center"/>
      <protection locked="0"/>
    </xf>
    <xf numFmtId="0" fontId="0" fillId="0" borderId="33" xfId="0" applyBorder="1" applyAlignment="1" applyProtection="1">
      <alignment wrapText="1"/>
      <protection locked="0"/>
    </xf>
    <xf numFmtId="1" fontId="0" fillId="0" borderId="1" xfId="0" applyNumberFormat="1" applyBorder="1" applyAlignment="1" applyProtection="1">
      <alignment horizontal="center"/>
      <protection locked="0"/>
    </xf>
    <xf numFmtId="0" fontId="0" fillId="0" borderId="1" xfId="0" applyBorder="1" applyAlignment="1" applyProtection="1">
      <alignment wrapText="1"/>
      <protection locked="0"/>
    </xf>
    <xf numFmtId="1" fontId="0" fillId="0" borderId="25" xfId="0" applyNumberFormat="1" applyBorder="1" applyAlignment="1" applyProtection="1">
      <alignment horizontal="center"/>
      <protection locked="0"/>
    </xf>
    <xf numFmtId="0" fontId="0" fillId="0" borderId="25" xfId="0" applyBorder="1" applyAlignment="1" applyProtection="1">
      <alignment wrapText="1"/>
      <protection locked="0"/>
    </xf>
    <xf numFmtId="0" fontId="1" fillId="0" borderId="18"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40" xfId="0" applyFont="1" applyBorder="1" applyAlignment="1">
      <alignment horizontal="center"/>
    </xf>
    <xf numFmtId="0" fontId="7" fillId="0" borderId="0" xfId="0" applyFont="1"/>
    <xf numFmtId="0" fontId="20" fillId="0" borderId="0" xfId="0" applyFont="1" applyAlignment="1" applyProtection="1">
      <alignment horizontal="right"/>
      <protection hidden="1"/>
    </xf>
    <xf numFmtId="0" fontId="20" fillId="0" borderId="18" xfId="0" applyFont="1" applyBorder="1" applyAlignment="1" applyProtection="1">
      <alignment horizontal="center" vertical="center" wrapText="1"/>
      <protection hidden="1"/>
    </xf>
    <xf numFmtId="0" fontId="2" fillId="0" borderId="1" xfId="0" applyFont="1" applyBorder="1" applyAlignment="1" applyProtection="1">
      <alignment horizontal="center" vertical="center" wrapText="1"/>
      <protection hidden="1"/>
    </xf>
    <xf numFmtId="0" fontId="2" fillId="0" borderId="25" xfId="0" applyFont="1" applyBorder="1" applyAlignment="1" applyProtection="1">
      <alignment horizontal="center" vertical="center" wrapText="1"/>
      <protection hidden="1"/>
    </xf>
    <xf numFmtId="0" fontId="20" fillId="0" borderId="18" xfId="0" applyFont="1" applyBorder="1" applyProtection="1">
      <protection hidden="1"/>
    </xf>
    <xf numFmtId="0" fontId="20" fillId="0" borderId="24" xfId="0" applyFont="1" applyBorder="1" applyProtection="1">
      <protection hidden="1"/>
    </xf>
    <xf numFmtId="0" fontId="19" fillId="0" borderId="8" xfId="0" applyFont="1" applyBorder="1" applyAlignment="1" applyProtection="1">
      <alignment horizontal="center"/>
      <protection hidden="1"/>
    </xf>
    <xf numFmtId="0" fontId="19" fillId="0" borderId="12" xfId="0" applyFont="1" applyBorder="1" applyAlignment="1" applyProtection="1">
      <alignment horizontal="center"/>
      <protection hidden="1"/>
    </xf>
    <xf numFmtId="0" fontId="19" fillId="0" borderId="14" xfId="0" applyFont="1" applyBorder="1" applyAlignment="1" applyProtection="1">
      <alignment horizontal="center"/>
      <protection hidden="1"/>
    </xf>
    <xf numFmtId="0" fontId="19" fillId="0" borderId="32" xfId="0" applyFont="1" applyBorder="1" applyProtection="1">
      <protection hidden="1"/>
    </xf>
    <xf numFmtId="0" fontId="0" fillId="0" borderId="0" xfId="0" quotePrefix="1" applyProtection="1">
      <protection locked="0"/>
    </xf>
    <xf numFmtId="0" fontId="9" fillId="0" borderId="43" xfId="0" applyFont="1" applyBorder="1" applyAlignment="1" applyProtection="1">
      <alignment wrapText="1"/>
      <protection hidden="1"/>
    </xf>
    <xf numFmtId="0" fontId="0" fillId="0" borderId="24" xfId="0" applyBorder="1" applyAlignment="1" applyProtection="1">
      <alignment horizontal="center" vertical="center"/>
      <protection hidden="1"/>
    </xf>
    <xf numFmtId="0" fontId="0" fillId="0" borderId="1" xfId="0" applyBorder="1" applyAlignment="1" applyProtection="1">
      <alignment horizontal="center"/>
      <protection hidden="1"/>
    </xf>
    <xf numFmtId="0" fontId="0" fillId="0" borderId="1" xfId="0" applyBorder="1" applyProtection="1">
      <protection hidden="1"/>
    </xf>
    <xf numFmtId="164" fontId="12" fillId="0" borderId="18" xfId="0" applyNumberFormat="1" applyFont="1" applyBorder="1" applyAlignment="1" applyProtection="1">
      <alignment horizontal="left"/>
      <protection hidden="1"/>
    </xf>
    <xf numFmtId="0" fontId="32" fillId="3" borderId="18" xfId="0" applyFont="1" applyFill="1" applyBorder="1" applyAlignment="1" applyProtection="1">
      <alignment horizontal="center"/>
      <protection locked="0"/>
    </xf>
    <xf numFmtId="0" fontId="29" fillId="0" borderId="0" xfId="0" applyFont="1" applyAlignment="1" applyProtection="1">
      <alignment horizontal="center"/>
      <protection locked="0"/>
    </xf>
    <xf numFmtId="0" fontId="27" fillId="0" borderId="0" xfId="0" applyFont="1" applyProtection="1">
      <protection locked="0"/>
    </xf>
    <xf numFmtId="0" fontId="0" fillId="4" borderId="32" xfId="0" applyFill="1" applyBorder="1" applyProtection="1">
      <protection locked="0"/>
    </xf>
    <xf numFmtId="0" fontId="15" fillId="0" borderId="44" xfId="0" applyFont="1" applyBorder="1" applyAlignment="1" applyProtection="1">
      <alignment wrapText="1"/>
      <protection locked="0"/>
    </xf>
    <xf numFmtId="0" fontId="15" fillId="0" borderId="45" xfId="0" applyFont="1" applyBorder="1" applyAlignment="1" applyProtection="1">
      <alignment wrapText="1"/>
      <protection locked="0"/>
    </xf>
    <xf numFmtId="0" fontId="15" fillId="0" borderId="46" xfId="0" applyFont="1" applyBorder="1" applyAlignment="1" applyProtection="1">
      <alignment wrapText="1"/>
      <protection locked="0"/>
    </xf>
    <xf numFmtId="0" fontId="15" fillId="0" borderId="47" xfId="0" applyFont="1" applyBorder="1" applyAlignment="1" applyProtection="1">
      <alignment wrapText="1"/>
      <protection locked="0"/>
    </xf>
    <xf numFmtId="0" fontId="0" fillId="0" borderId="8" xfId="0" applyBorder="1" applyAlignment="1" applyProtection="1">
      <alignment horizontal="center"/>
      <protection hidden="1"/>
    </xf>
    <xf numFmtId="0" fontId="0" fillId="0" borderId="16" xfId="0" applyBorder="1" applyProtection="1">
      <protection locked="0"/>
    </xf>
    <xf numFmtId="1" fontId="0" fillId="0" borderId="16" xfId="0" applyNumberFormat="1" applyBorder="1" applyAlignment="1" applyProtection="1">
      <alignment horizontal="center"/>
      <protection locked="0"/>
    </xf>
    <xf numFmtId="0" fontId="0" fillId="0" borderId="16" xfId="0" applyBorder="1" applyAlignment="1" applyProtection="1">
      <alignment horizontal="left" wrapText="1"/>
      <protection locked="0"/>
    </xf>
    <xf numFmtId="0" fontId="0" fillId="0" borderId="9" xfId="0" applyBorder="1" applyProtection="1">
      <protection locked="0"/>
    </xf>
    <xf numFmtId="0" fontId="0" fillId="0" borderId="12" xfId="0" applyBorder="1" applyAlignment="1" applyProtection="1">
      <alignment horizontal="center"/>
      <protection hidden="1"/>
    </xf>
    <xf numFmtId="0" fontId="0" fillId="0" borderId="1" xfId="0" applyBorder="1" applyAlignment="1" applyProtection="1">
      <alignment horizontal="left" wrapText="1"/>
      <protection locked="0"/>
    </xf>
    <xf numFmtId="0" fontId="0" fillId="0" borderId="13" xfId="0" applyBorder="1" applyProtection="1">
      <protection locked="0"/>
    </xf>
    <xf numFmtId="0" fontId="0" fillId="0" borderId="33" xfId="0" applyBorder="1" applyAlignment="1" applyProtection="1">
      <alignment horizontal="left" wrapText="1"/>
      <protection locked="0"/>
    </xf>
    <xf numFmtId="0" fontId="0" fillId="0" borderId="14" xfId="0" applyBorder="1" applyAlignment="1" applyProtection="1">
      <alignment horizontal="center"/>
      <protection hidden="1"/>
    </xf>
    <xf numFmtId="0" fontId="0" fillId="0" borderId="31" xfId="0" applyBorder="1" applyProtection="1">
      <protection locked="0"/>
    </xf>
    <xf numFmtId="1" fontId="0" fillId="0" borderId="31" xfId="0" applyNumberFormat="1" applyBorder="1" applyAlignment="1" applyProtection="1">
      <alignment horizontal="center"/>
      <protection locked="0"/>
    </xf>
    <xf numFmtId="0" fontId="0" fillId="0" borderId="17" xfId="0" applyBorder="1" applyAlignment="1" applyProtection="1">
      <alignment horizontal="left" wrapText="1"/>
      <protection locked="0"/>
    </xf>
    <xf numFmtId="0" fontId="0" fillId="0" borderId="15" xfId="0" applyBorder="1" applyProtection="1">
      <protection locked="0"/>
    </xf>
    <xf numFmtId="0" fontId="37" fillId="0" borderId="18" xfId="0" applyFont="1" applyBorder="1" applyAlignment="1" applyProtection="1">
      <alignment horizontal="left"/>
      <protection hidden="1"/>
    </xf>
    <xf numFmtId="0" fontId="37" fillId="0" borderId="24" xfId="0" applyFont="1" applyBorder="1" applyAlignment="1" applyProtection="1">
      <alignment horizontal="left"/>
      <protection hidden="1"/>
    </xf>
    <xf numFmtId="4" fontId="37" fillId="0" borderId="20" xfId="0" applyNumberFormat="1" applyFont="1" applyBorder="1" applyAlignment="1" applyProtection="1">
      <alignment horizontal="center"/>
      <protection hidden="1"/>
    </xf>
    <xf numFmtId="4" fontId="37" fillId="0" borderId="18" xfId="0" applyNumberFormat="1" applyFont="1" applyBorder="1" applyAlignment="1" applyProtection="1">
      <alignment horizontal="center"/>
      <protection locked="0"/>
    </xf>
    <xf numFmtId="0" fontId="33" fillId="0" borderId="37" xfId="0" applyFont="1" applyBorder="1" applyAlignment="1" applyProtection="1">
      <alignment horizontal="center"/>
      <protection hidden="1"/>
    </xf>
    <xf numFmtId="4" fontId="37" fillId="0" borderId="15" xfId="0" applyNumberFormat="1" applyFont="1" applyBorder="1" applyAlignment="1" applyProtection="1">
      <alignment horizontal="center"/>
      <protection hidden="1"/>
    </xf>
    <xf numFmtId="0" fontId="33" fillId="0" borderId="38" xfId="0" applyFont="1" applyBorder="1" applyAlignment="1" applyProtection="1">
      <alignment horizontal="center"/>
      <protection hidden="1"/>
    </xf>
    <xf numFmtId="4" fontId="37" fillId="0" borderId="22" xfId="0" applyNumberFormat="1" applyFont="1" applyBorder="1" applyAlignment="1" applyProtection="1">
      <alignment horizontal="center"/>
      <protection hidden="1"/>
    </xf>
    <xf numFmtId="4" fontId="37" fillId="0" borderId="36" xfId="0" applyNumberFormat="1" applyFont="1" applyBorder="1" applyAlignment="1" applyProtection="1">
      <alignment horizontal="center"/>
      <protection hidden="1"/>
    </xf>
    <xf numFmtId="0" fontId="1" fillId="0" borderId="18" xfId="0" applyFont="1" applyBorder="1" applyProtection="1">
      <protection hidden="1"/>
    </xf>
    <xf numFmtId="0" fontId="1" fillId="0" borderId="34" xfId="0" applyFont="1" applyBorder="1" applyProtection="1">
      <protection hidden="1"/>
    </xf>
    <xf numFmtId="0" fontId="1" fillId="0" borderId="18" xfId="0" applyFont="1" applyBorder="1" applyAlignment="1" applyProtection="1">
      <alignment horizontal="center" vertical="center" wrapText="1"/>
      <protection hidden="1"/>
    </xf>
    <xf numFmtId="0" fontId="7" fillId="0" borderId="0" xfId="0" applyFont="1" applyProtection="1">
      <protection hidden="1"/>
    </xf>
    <xf numFmtId="0" fontId="9" fillId="0" borderId="0" xfId="0" applyFont="1" applyProtection="1">
      <protection hidden="1"/>
    </xf>
    <xf numFmtId="0" fontId="29" fillId="0" borderId="0" xfId="0" applyFont="1" applyAlignment="1" applyProtection="1">
      <alignment horizontal="center" vertical="center" wrapText="1"/>
      <protection locked="0"/>
    </xf>
    <xf numFmtId="0" fontId="22" fillId="0" borderId="0" xfId="0" applyFont="1" applyAlignment="1" applyProtection="1">
      <alignment horizontal="justify"/>
      <protection locked="0"/>
    </xf>
    <xf numFmtId="0" fontId="28" fillId="0" borderId="0" xfId="0" applyFont="1" applyAlignment="1" applyProtection="1">
      <alignment horizontal="left" vertical="center"/>
      <protection hidden="1"/>
    </xf>
    <xf numFmtId="0" fontId="28" fillId="0" borderId="0" xfId="0" applyFont="1" applyAlignment="1" applyProtection="1">
      <alignment vertical="center" wrapText="1"/>
      <protection hidden="1"/>
    </xf>
    <xf numFmtId="0" fontId="26" fillId="0" borderId="0" xfId="0" applyFont="1" applyAlignment="1" applyProtection="1">
      <alignment horizontal="left" vertical="center"/>
      <protection hidden="1"/>
    </xf>
    <xf numFmtId="0" fontId="27" fillId="0" borderId="0" xfId="0" applyFont="1" applyAlignment="1" applyProtection="1">
      <alignment vertical="center"/>
      <protection hidden="1"/>
    </xf>
    <xf numFmtId="4" fontId="31" fillId="0" borderId="1" xfId="1" applyNumberFormat="1" applyFont="1" applyBorder="1" applyProtection="1">
      <protection hidden="1"/>
    </xf>
    <xf numFmtId="4" fontId="31" fillId="0" borderId="1" xfId="1" applyNumberFormat="1" applyFont="1" applyBorder="1" applyProtection="1">
      <protection locked="0"/>
    </xf>
    <xf numFmtId="0" fontId="11" fillId="0" borderId="0" xfId="0" applyFont="1" applyAlignment="1" applyProtection="1">
      <alignment horizontal="center" vertical="center" wrapText="1"/>
      <protection hidden="1"/>
    </xf>
    <xf numFmtId="0" fontId="11" fillId="0" borderId="0" xfId="0" applyFont="1" applyAlignment="1" applyProtection="1">
      <alignment vertical="center" wrapText="1"/>
      <protection hidden="1"/>
    </xf>
    <xf numFmtId="0" fontId="26" fillId="0" borderId="0" xfId="0" applyFont="1" applyAlignment="1">
      <alignment horizontal="left"/>
    </xf>
    <xf numFmtId="164" fontId="26" fillId="0" borderId="0" xfId="0" applyNumberFormat="1" applyFont="1" applyAlignment="1">
      <alignment horizontal="left"/>
    </xf>
    <xf numFmtId="0" fontId="39" fillId="0" borderId="0" xfId="0" applyFont="1" applyProtection="1">
      <protection hidden="1"/>
    </xf>
    <xf numFmtId="164" fontId="39" fillId="0" borderId="0" xfId="0" applyNumberFormat="1" applyFont="1" applyAlignment="1">
      <alignment horizontal="left"/>
    </xf>
    <xf numFmtId="0" fontId="40" fillId="0" borderId="0" xfId="0" applyFont="1" applyProtection="1">
      <protection locked="0"/>
    </xf>
    <xf numFmtId="0" fontId="39" fillId="0" borderId="0" xfId="0" applyFont="1" applyAlignment="1" applyProtection="1">
      <alignment horizontal="right"/>
      <protection hidden="1"/>
    </xf>
    <xf numFmtId="0" fontId="39" fillId="0" borderId="0" xfId="0" applyFont="1" applyAlignment="1" applyProtection="1">
      <alignment horizontal="left"/>
      <protection hidden="1"/>
    </xf>
    <xf numFmtId="0" fontId="6" fillId="0" borderId="0" xfId="0" applyFont="1" applyProtection="1">
      <protection hidden="1"/>
    </xf>
    <xf numFmtId="0" fontId="12" fillId="0" borderId="0" xfId="0" applyFont="1" applyProtection="1">
      <protection locked="0"/>
    </xf>
    <xf numFmtId="164" fontId="12" fillId="0" borderId="0" xfId="0" applyNumberFormat="1" applyFont="1" applyAlignment="1" applyProtection="1">
      <alignment horizontal="center"/>
      <protection locked="0"/>
    </xf>
    <xf numFmtId="164" fontId="6" fillId="0" borderId="0" xfId="0" applyNumberFormat="1" applyFont="1" applyAlignment="1">
      <alignment horizontal="left"/>
    </xf>
    <xf numFmtId="0" fontId="20" fillId="0" borderId="31" xfId="0" applyFont="1" applyBorder="1" applyAlignment="1" applyProtection="1">
      <alignment horizontal="right"/>
      <protection hidden="1"/>
    </xf>
    <xf numFmtId="0" fontId="31" fillId="0" borderId="1" xfId="1" applyFont="1" applyBorder="1" applyProtection="1">
      <protection hidden="1"/>
    </xf>
    <xf numFmtId="0" fontId="10" fillId="0" borderId="35" xfId="0" applyFont="1" applyBorder="1" applyAlignment="1" applyProtection="1">
      <alignment horizontal="center"/>
      <protection hidden="1"/>
    </xf>
    <xf numFmtId="0" fontId="10" fillId="0" borderId="24" xfId="0" applyFont="1" applyBorder="1" applyAlignment="1" applyProtection="1">
      <alignment horizontal="center"/>
      <protection hidden="1"/>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0" borderId="1" xfId="0"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3" fillId="0" borderId="4" xfId="0" applyFont="1"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6" fillId="0" borderId="2" xfId="0" applyFont="1" applyBorder="1" applyAlignment="1" applyProtection="1">
      <alignment horizontal="left"/>
      <protection hidden="1"/>
    </xf>
    <xf numFmtId="0" fontId="6" fillId="0" borderId="4" xfId="0" applyFont="1" applyBorder="1" applyAlignment="1" applyProtection="1">
      <alignment horizontal="left"/>
      <protection hidden="1"/>
    </xf>
    <xf numFmtId="0" fontId="6" fillId="0" borderId="2" xfId="0" applyFont="1" applyBorder="1" applyAlignment="1" applyProtection="1">
      <alignment horizontal="left" vertical="center"/>
      <protection hidden="1"/>
    </xf>
    <xf numFmtId="0" fontId="6" fillId="0" borderId="4" xfId="0" applyFont="1" applyBorder="1" applyAlignment="1" applyProtection="1">
      <alignment horizontal="left" vertical="center"/>
      <protection hidden="1"/>
    </xf>
    <xf numFmtId="1" fontId="12" fillId="0" borderId="2" xfId="0" applyNumberFormat="1" applyFont="1" applyBorder="1" applyAlignment="1" applyProtection="1">
      <alignment horizontal="left"/>
      <protection locked="0"/>
    </xf>
    <xf numFmtId="1" fontId="12" fillId="0" borderId="4" xfId="0" applyNumberFormat="1" applyFont="1" applyBorder="1" applyAlignment="1" applyProtection="1">
      <alignment horizontal="left"/>
      <protection locked="0"/>
    </xf>
    <xf numFmtId="0" fontId="12" fillId="0" borderId="2" xfId="0" applyFont="1" applyBorder="1" applyAlignment="1" applyProtection="1">
      <alignment horizontal="left" vertical="center" wrapText="1"/>
      <protection locked="0"/>
    </xf>
    <xf numFmtId="0" fontId="12" fillId="0" borderId="4" xfId="0" applyFont="1" applyBorder="1" applyAlignment="1" applyProtection="1">
      <alignment horizontal="left" vertical="center" wrapText="1"/>
      <protection locked="0"/>
    </xf>
    <xf numFmtId="4" fontId="6" fillId="0" borderId="2" xfId="0" applyNumberFormat="1" applyFont="1" applyBorder="1" applyAlignment="1" applyProtection="1">
      <alignment horizontal="left"/>
      <protection hidden="1"/>
    </xf>
    <xf numFmtId="4" fontId="6" fillId="0" borderId="4" xfId="0" applyNumberFormat="1" applyFont="1" applyBorder="1" applyAlignment="1" applyProtection="1">
      <alignment horizontal="left"/>
      <protection hidden="1"/>
    </xf>
    <xf numFmtId="164" fontId="12" fillId="0" borderId="2" xfId="0" applyNumberFormat="1" applyFont="1" applyBorder="1" applyAlignment="1" applyProtection="1">
      <alignment horizontal="left"/>
      <protection locked="0"/>
    </xf>
    <xf numFmtId="164" fontId="12" fillId="0" borderId="4" xfId="0" applyNumberFormat="1" applyFont="1" applyBorder="1" applyAlignment="1" applyProtection="1">
      <alignment horizontal="left"/>
      <protection locked="0"/>
    </xf>
    <xf numFmtId="0" fontId="0" fillId="0" borderId="1" xfId="0" applyBorder="1" applyAlignment="1" applyProtection="1">
      <alignment horizontal="center" wrapText="1"/>
      <protection locked="0"/>
    </xf>
    <xf numFmtId="0" fontId="37" fillId="0" borderId="2" xfId="0" applyFont="1" applyBorder="1" applyAlignment="1">
      <alignment horizontal="left" wrapText="1"/>
    </xf>
    <xf numFmtId="0" fontId="37" fillId="0" borderId="4" xfId="0" applyFont="1" applyBorder="1" applyAlignment="1">
      <alignment horizontal="left" wrapText="1"/>
    </xf>
    <xf numFmtId="164" fontId="33" fillId="0" borderId="2" xfId="0" applyNumberFormat="1" applyFont="1" applyBorder="1" applyAlignment="1" applyProtection="1">
      <alignment horizontal="left"/>
      <protection locked="0"/>
    </xf>
    <xf numFmtId="164" fontId="33" fillId="0" borderId="4" xfId="0" applyNumberFormat="1" applyFont="1" applyBorder="1" applyAlignment="1" applyProtection="1">
      <alignment horizontal="left"/>
      <protection locked="0"/>
    </xf>
    <xf numFmtId="4" fontId="33" fillId="0" borderId="2" xfId="0" applyNumberFormat="1" applyFont="1" applyBorder="1" applyAlignment="1" applyProtection="1">
      <alignment horizontal="left" wrapText="1"/>
      <protection locked="0"/>
    </xf>
    <xf numFmtId="4" fontId="33" fillId="0" borderId="4" xfId="0" applyNumberFormat="1" applyFont="1" applyBorder="1" applyAlignment="1" applyProtection="1">
      <alignment horizontal="left" wrapText="1"/>
      <protection locked="0"/>
    </xf>
    <xf numFmtId="0" fontId="11" fillId="0" borderId="0" xfId="0" applyFont="1" applyAlignment="1" applyProtection="1">
      <alignment horizontal="center" vertical="center" wrapText="1"/>
      <protection hidden="1"/>
    </xf>
    <xf numFmtId="0" fontId="11" fillId="0" borderId="0" xfId="0" applyFont="1" applyAlignment="1">
      <alignment horizontal="center" vertical="center" wrapText="1"/>
    </xf>
    <xf numFmtId="0" fontId="22" fillId="0" borderId="0" xfId="0" applyFont="1" applyAlignment="1" applyProtection="1">
      <alignment horizontal="center" vertical="center"/>
      <protection locked="0"/>
    </xf>
    <xf numFmtId="0" fontId="24" fillId="0" borderId="0" xfId="0" applyFont="1" applyAlignment="1" applyProtection="1">
      <alignment horizontal="center" vertical="center"/>
      <protection locked="0"/>
    </xf>
    <xf numFmtId="164" fontId="24" fillId="0" borderId="0" xfId="0" applyNumberFormat="1" applyFont="1" applyAlignment="1" applyProtection="1">
      <alignment horizontal="center"/>
      <protection locked="0"/>
    </xf>
    <xf numFmtId="0" fontId="29"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36" fillId="0" borderId="0" xfId="0" applyFont="1" applyAlignment="1" applyProtection="1">
      <alignment horizontal="center" vertical="center"/>
      <protection hidden="1"/>
    </xf>
    <xf numFmtId="0" fontId="29" fillId="0" borderId="0" xfId="0" applyFont="1" applyAlignment="1" applyProtection="1">
      <alignment horizontal="center" vertical="center" wrapText="1"/>
      <protection locked="0"/>
    </xf>
    <xf numFmtId="0" fontId="35" fillId="0" borderId="0" xfId="0" applyFont="1" applyAlignment="1">
      <alignment horizontal="justify" vertical="top" wrapText="1"/>
    </xf>
    <xf numFmtId="0" fontId="38" fillId="2" borderId="34" xfId="0" applyFont="1" applyFill="1" applyBorder="1" applyAlignment="1">
      <alignment horizontal="left" vertical="center" wrapText="1"/>
    </xf>
    <xf numFmtId="0" fontId="38" fillId="2" borderId="32" xfId="0" applyFont="1" applyFill="1" applyBorder="1" applyAlignment="1">
      <alignment horizontal="left" vertical="center" wrapText="1"/>
    </xf>
    <xf numFmtId="0" fontId="38" fillId="2" borderId="35" xfId="0" applyFont="1" applyFill="1" applyBorder="1" applyAlignment="1">
      <alignment horizontal="left" vertical="center" wrapText="1"/>
    </xf>
    <xf numFmtId="0" fontId="38" fillId="2" borderId="21" xfId="0" applyFont="1" applyFill="1" applyBorder="1" applyAlignment="1">
      <alignment horizontal="left" vertical="center" wrapText="1"/>
    </xf>
    <xf numFmtId="0" fontId="38" fillId="2" borderId="23" xfId="0" applyFont="1" applyFill="1" applyBorder="1" applyAlignment="1">
      <alignment horizontal="left" vertical="center" wrapText="1"/>
    </xf>
    <xf numFmtId="0" fontId="38" fillId="2" borderId="22" xfId="0" applyFont="1" applyFill="1" applyBorder="1" applyAlignment="1">
      <alignment horizontal="left" vertical="center" wrapText="1"/>
    </xf>
    <xf numFmtId="0" fontId="40" fillId="0" borderId="0" xfId="0" applyFont="1" applyAlignment="1" applyProtection="1">
      <alignment horizontal="center"/>
      <protection locked="0"/>
    </xf>
    <xf numFmtId="0" fontId="39" fillId="0" borderId="0" xfId="0" applyFont="1" applyAlignment="1" applyProtection="1">
      <alignment horizontal="right"/>
      <protection hidden="1"/>
    </xf>
    <xf numFmtId="0" fontId="20" fillId="0" borderId="30" xfId="0" applyFont="1" applyBorder="1" applyAlignment="1" applyProtection="1">
      <alignment horizontal="center"/>
      <protection hidden="1"/>
    </xf>
    <xf numFmtId="0" fontId="20" fillId="0" borderId="31" xfId="0" applyFont="1" applyBorder="1" applyAlignment="1" applyProtection="1">
      <alignment horizontal="center"/>
      <protection hidden="1"/>
    </xf>
    <xf numFmtId="0" fontId="20" fillId="0" borderId="23" xfId="0" applyFont="1" applyBorder="1" applyAlignment="1" applyProtection="1">
      <alignment horizontal="center"/>
      <protection hidden="1"/>
    </xf>
    <xf numFmtId="0" fontId="0" fillId="0" borderId="1" xfId="0" applyBorder="1" applyAlignment="1" applyProtection="1">
      <alignment horizontal="center"/>
      <protection hidden="1"/>
    </xf>
    <xf numFmtId="0" fontId="23" fillId="0" borderId="0" xfId="0" applyFont="1" applyAlignment="1" applyProtection="1">
      <alignment horizontal="center"/>
      <protection hidden="1"/>
    </xf>
    <xf numFmtId="0" fontId="20" fillId="0" borderId="5" xfId="0" applyFont="1" applyBorder="1" applyAlignment="1" applyProtection="1">
      <alignment horizontal="left"/>
      <protection hidden="1"/>
    </xf>
    <xf numFmtId="0" fontId="20" fillId="0" borderId="6" xfId="0" applyFont="1" applyBorder="1" applyAlignment="1" applyProtection="1">
      <alignment horizontal="left"/>
      <protection hidden="1"/>
    </xf>
    <xf numFmtId="0" fontId="20" fillId="0" borderId="7" xfId="0" applyFont="1" applyBorder="1" applyAlignment="1" applyProtection="1">
      <alignment horizontal="left"/>
      <protection hidden="1"/>
    </xf>
    <xf numFmtId="0" fontId="20" fillId="0" borderId="26" xfId="0" applyFont="1" applyBorder="1" applyAlignment="1" applyProtection="1">
      <alignment horizontal="left" vertical="top" wrapText="1"/>
      <protection hidden="1"/>
    </xf>
    <xf numFmtId="0" fontId="20" fillId="0" borderId="27" xfId="0" applyFont="1" applyBorder="1" applyAlignment="1" applyProtection="1">
      <alignment horizontal="left" vertical="top" wrapText="1"/>
      <protection hidden="1"/>
    </xf>
    <xf numFmtId="0" fontId="20" fillId="0" borderId="28" xfId="0" applyFont="1" applyBorder="1" applyAlignment="1" applyProtection="1">
      <alignment horizontal="left" vertical="top" wrapText="1"/>
      <protection hidden="1"/>
    </xf>
    <xf numFmtId="0" fontId="20" fillId="0" borderId="0" xfId="0" applyFont="1" applyAlignment="1" applyProtection="1">
      <alignment horizontal="center"/>
      <protection hidden="1"/>
    </xf>
    <xf numFmtId="0" fontId="20" fillId="0" borderId="24" xfId="0" applyFont="1" applyBorder="1" applyAlignment="1" applyProtection="1">
      <alignment horizontal="center" vertical="center" wrapText="1"/>
      <protection hidden="1"/>
    </xf>
    <xf numFmtId="0" fontId="20" fillId="0" borderId="22" xfId="0" applyFont="1" applyBorder="1" applyAlignment="1" applyProtection="1">
      <alignment horizontal="center" vertical="center" wrapText="1"/>
      <protection hidden="1"/>
    </xf>
    <xf numFmtId="0" fontId="20" fillId="0" borderId="34" xfId="0" applyFont="1" applyBorder="1" applyAlignment="1" applyProtection="1">
      <alignment horizontal="center" vertical="center" wrapText="1"/>
      <protection hidden="1"/>
    </xf>
    <xf numFmtId="0" fontId="20" fillId="0" borderId="32" xfId="0" applyFont="1" applyBorder="1" applyAlignment="1" applyProtection="1">
      <alignment horizontal="center" vertical="center" wrapText="1"/>
      <protection hidden="1"/>
    </xf>
    <xf numFmtId="0" fontId="20" fillId="0" borderId="35" xfId="0" applyFont="1" applyBorder="1" applyAlignment="1" applyProtection="1">
      <alignment horizontal="center" vertical="center" wrapText="1"/>
      <protection hidden="1"/>
    </xf>
    <xf numFmtId="0" fontId="20" fillId="0" borderId="36" xfId="0" applyFont="1" applyBorder="1" applyAlignment="1" applyProtection="1">
      <alignment horizontal="center" vertical="center" wrapText="1"/>
      <protection hidden="1"/>
    </xf>
    <xf numFmtId="0" fontId="20" fillId="0" borderId="23" xfId="0" applyFont="1" applyBorder="1" applyAlignment="1" applyProtection="1">
      <alignment horizontal="center" vertical="center" wrapText="1"/>
      <protection hidden="1"/>
    </xf>
    <xf numFmtId="0" fontId="1" fillId="0" borderId="24" xfId="0" applyFont="1" applyBorder="1" applyAlignment="1" applyProtection="1">
      <alignment horizontal="center" vertical="center" wrapText="1"/>
      <protection hidden="1"/>
    </xf>
    <xf numFmtId="0" fontId="1" fillId="0" borderId="36" xfId="0" applyFont="1" applyBorder="1" applyAlignment="1" applyProtection="1">
      <alignment horizontal="center" vertical="center" wrapText="1"/>
      <protection hidden="1"/>
    </xf>
    <xf numFmtId="0" fontId="1" fillId="0" borderId="37" xfId="0" applyFont="1" applyBorder="1" applyAlignment="1" applyProtection="1">
      <alignment horizontal="center" vertical="center" wrapText="1"/>
      <protection hidden="1"/>
    </xf>
    <xf numFmtId="0" fontId="1" fillId="0" borderId="38" xfId="0" applyFont="1" applyBorder="1" applyAlignment="1" applyProtection="1">
      <alignment horizontal="center" vertical="center"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pplyProtection="1">
      <alignment horizontal="center"/>
      <protection hidden="1"/>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4" xfId="0" applyFont="1" applyBorder="1" applyAlignment="1" applyProtection="1">
      <alignment horizontal="left" wrapText="1"/>
      <protection hidden="1"/>
    </xf>
    <xf numFmtId="0" fontId="1" fillId="0" borderId="32" xfId="0" applyFont="1" applyBorder="1" applyAlignment="1" applyProtection="1">
      <alignment horizontal="left" wrapText="1"/>
      <protection hidden="1"/>
    </xf>
    <xf numFmtId="0" fontId="1" fillId="0" borderId="35" xfId="0" applyFont="1" applyBorder="1" applyAlignment="1" applyProtection="1">
      <alignment horizontal="left" wrapText="1"/>
      <protection hidden="1"/>
    </xf>
    <xf numFmtId="0" fontId="1" fillId="0" borderId="0" xfId="0" applyFont="1" applyAlignment="1" applyProtection="1">
      <alignment horizontal="center"/>
      <protection hidden="1"/>
    </xf>
    <xf numFmtId="0" fontId="6" fillId="0" borderId="23" xfId="0" applyFont="1" applyBorder="1" applyAlignment="1" applyProtection="1">
      <alignment horizontal="right"/>
      <protection hidden="1"/>
    </xf>
    <xf numFmtId="0" fontId="10" fillId="0" borderId="0" xfId="0" applyFont="1" applyAlignment="1">
      <alignment horizontal="center"/>
    </xf>
    <xf numFmtId="0" fontId="0" fillId="0" borderId="24" xfId="0" applyBorder="1" applyAlignment="1">
      <alignment horizontal="center" vertical="center" wrapText="1"/>
    </xf>
    <xf numFmtId="0" fontId="0" fillId="0" borderId="39" xfId="0" applyBorder="1" applyAlignment="1">
      <alignment horizontal="center" vertical="center" wrapText="1"/>
    </xf>
    <xf numFmtId="0" fontId="1" fillId="0" borderId="2" xfId="0" applyFont="1" applyBorder="1" applyAlignment="1">
      <alignment horizontal="left"/>
    </xf>
    <xf numFmtId="0" fontId="1" fillId="0" borderId="35" xfId="0" applyFont="1" applyBorder="1" applyAlignment="1">
      <alignment horizontal="left"/>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0" fillId="0" borderId="36" xfId="0" applyBorder="1" applyAlignment="1">
      <alignment horizontal="center" vertical="center" wrapText="1"/>
    </xf>
    <xf numFmtId="0" fontId="10" fillId="0" borderId="0" xfId="0" applyFont="1" applyAlignment="1" applyProtection="1">
      <alignment horizontal="right"/>
      <protection hidden="1"/>
    </xf>
    <xf numFmtId="0" fontId="6" fillId="0" borderId="23" xfId="0" applyFont="1" applyBorder="1" applyAlignment="1">
      <alignment horizontal="right"/>
    </xf>
    <xf numFmtId="0" fontId="0" fillId="0" borderId="24" xfId="0" applyBorder="1" applyAlignment="1">
      <alignment horizontal="center" vertical="center"/>
    </xf>
    <xf numFmtId="0" fontId="0" fillId="0" borderId="39" xfId="0" applyBorder="1" applyAlignment="1">
      <alignment horizontal="center" vertical="center"/>
    </xf>
    <xf numFmtId="0" fontId="25" fillId="0" borderId="32" xfId="0" applyFont="1" applyBorder="1" applyAlignment="1" applyProtection="1">
      <alignment horizontal="center" vertical="center" wrapText="1"/>
      <protection locked="0"/>
    </xf>
    <xf numFmtId="0" fontId="6" fillId="0" borderId="5" xfId="0" applyFont="1" applyBorder="1" applyAlignment="1">
      <alignment horizontal="right"/>
    </xf>
    <xf numFmtId="0" fontId="6" fillId="0" borderId="6" xfId="0" applyFont="1" applyBorder="1" applyAlignment="1">
      <alignment horizontal="right"/>
    </xf>
    <xf numFmtId="0" fontId="6" fillId="0" borderId="7" xfId="0" applyFont="1" applyBorder="1" applyAlignment="1">
      <alignment horizontal="right"/>
    </xf>
    <xf numFmtId="0" fontId="10" fillId="0" borderId="30" xfId="0" applyFont="1" applyBorder="1" applyAlignment="1">
      <alignment horizontal="right"/>
    </xf>
    <xf numFmtId="0" fontId="10" fillId="0" borderId="31" xfId="0" applyFont="1" applyBorder="1" applyAlignment="1">
      <alignment horizontal="right"/>
    </xf>
    <xf numFmtId="0" fontId="10" fillId="0" borderId="42" xfId="0" applyFont="1" applyBorder="1" applyAlignment="1">
      <alignment horizontal="right"/>
    </xf>
    <xf numFmtId="0" fontId="0" fillId="0" borderId="30"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4" xfId="0" applyFont="1" applyBorder="1" applyAlignment="1">
      <alignment horizontal="left"/>
    </xf>
    <xf numFmtId="0" fontId="24" fillId="0" borderId="23" xfId="0" applyFont="1" applyBorder="1" applyAlignment="1">
      <alignment horizontal="right"/>
    </xf>
    <xf numFmtId="0" fontId="15" fillId="0" borderId="0" xfId="0" applyFont="1" applyAlignment="1" applyProtection="1">
      <alignment horizontal="left" vertical="top" wrapText="1"/>
      <protection hidden="1"/>
    </xf>
    <xf numFmtId="0" fontId="15" fillId="0" borderId="20" xfId="0" applyFont="1" applyBorder="1" applyAlignment="1" applyProtection="1">
      <alignment horizontal="left" vertical="top" wrapText="1"/>
      <protection hidden="1"/>
    </xf>
    <xf numFmtId="0" fontId="22" fillId="0" borderId="0" xfId="0" applyFont="1" applyAlignment="1" applyProtection="1">
      <alignment horizontal="center"/>
      <protection hidden="1"/>
    </xf>
    <xf numFmtId="0" fontId="22" fillId="0" borderId="24" xfId="0" applyFont="1" applyBorder="1" applyAlignment="1" applyProtection="1">
      <alignment horizontal="center" vertical="center" wrapText="1"/>
      <protection hidden="1"/>
    </xf>
    <xf numFmtId="0" fontId="22" fillId="0" borderId="39" xfId="0" applyFont="1" applyBorder="1" applyAlignment="1" applyProtection="1">
      <alignment horizontal="center" vertical="center" wrapText="1"/>
      <protection hidden="1"/>
    </xf>
    <xf numFmtId="0" fontId="15" fillId="0" borderId="32" xfId="0" applyFont="1" applyBorder="1" applyAlignment="1" applyProtection="1">
      <alignment horizontal="left" vertical="top" wrapText="1"/>
      <protection hidden="1"/>
    </xf>
    <xf numFmtId="0" fontId="15" fillId="0" borderId="35" xfId="0" applyFont="1" applyBorder="1" applyAlignment="1" applyProtection="1">
      <alignment horizontal="left" vertical="top" wrapText="1"/>
      <protection hidden="1"/>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164" fontId="22" fillId="0" borderId="24" xfId="0" applyNumberFormat="1" applyFont="1" applyBorder="1" applyAlignment="1" applyProtection="1">
      <alignment horizontal="center" vertical="center" wrapText="1"/>
      <protection hidden="1"/>
    </xf>
    <xf numFmtId="164" fontId="22" fillId="0" borderId="39" xfId="0" applyNumberFormat="1" applyFont="1" applyBorder="1" applyAlignment="1" applyProtection="1">
      <alignment horizontal="center" vertical="center" wrapText="1"/>
      <protection hidden="1"/>
    </xf>
    <xf numFmtId="0" fontId="10" fillId="0" borderId="2" xfId="0" applyFont="1" applyBorder="1" applyProtection="1">
      <protection hidden="1"/>
    </xf>
    <xf numFmtId="0" fontId="10" fillId="0" borderId="4" xfId="0" applyFont="1" applyBorder="1" applyProtection="1">
      <protection hidden="1"/>
    </xf>
    <xf numFmtId="0" fontId="37" fillId="0" borderId="2" xfId="0" applyFont="1" applyBorder="1" applyAlignment="1" applyProtection="1">
      <alignment horizontal="right" vertical="center"/>
      <protection hidden="1"/>
    </xf>
    <xf numFmtId="0" fontId="37" fillId="0" borderId="3" xfId="0" applyFont="1" applyBorder="1" applyAlignment="1" applyProtection="1">
      <alignment horizontal="right" vertical="center"/>
      <protection hidden="1"/>
    </xf>
    <xf numFmtId="0" fontId="37" fillId="0" borderId="4" xfId="0" applyFont="1" applyBorder="1" applyAlignment="1" applyProtection="1">
      <alignment horizontal="right" vertical="center"/>
      <protection hidden="1"/>
    </xf>
    <xf numFmtId="4" fontId="6" fillId="0" borderId="21" xfId="0" applyNumberFormat="1" applyFont="1" applyBorder="1" applyAlignment="1" applyProtection="1">
      <alignment horizontal="center" wrapText="1"/>
      <protection hidden="1"/>
    </xf>
    <xf numFmtId="4" fontId="6" fillId="0" borderId="22" xfId="0" applyNumberFormat="1" applyFont="1" applyBorder="1" applyAlignment="1" applyProtection="1">
      <alignment horizontal="center" wrapText="1"/>
      <protection hidden="1"/>
    </xf>
    <xf numFmtId="0" fontId="37" fillId="0" borderId="2" xfId="0" applyFont="1" applyBorder="1" applyAlignment="1" applyProtection="1">
      <alignment horizontal="center"/>
      <protection hidden="1"/>
    </xf>
    <xf numFmtId="0" fontId="37" fillId="0" borderId="4" xfId="0" applyFont="1" applyBorder="1" applyAlignment="1" applyProtection="1">
      <alignment horizontal="center"/>
      <protection hidden="1"/>
    </xf>
    <xf numFmtId="4" fontId="37" fillId="0" borderId="34" xfId="0" applyNumberFormat="1" applyFont="1" applyBorder="1" applyAlignment="1" applyProtection="1">
      <alignment horizontal="center" vertical="center"/>
      <protection hidden="1"/>
    </xf>
    <xf numFmtId="4" fontId="37" fillId="0" borderId="35" xfId="0" applyNumberFormat="1" applyFont="1" applyBorder="1" applyAlignment="1" applyProtection="1">
      <alignment horizontal="center" vertical="center"/>
      <protection hidden="1"/>
    </xf>
    <xf numFmtId="4" fontId="37" fillId="0" borderId="19" xfId="0" applyNumberFormat="1" applyFont="1" applyBorder="1" applyAlignment="1" applyProtection="1">
      <alignment horizontal="center" vertical="center"/>
      <protection hidden="1"/>
    </xf>
    <xf numFmtId="4" fontId="37" fillId="0" borderId="20" xfId="0" applyNumberFormat="1" applyFont="1" applyBorder="1" applyAlignment="1" applyProtection="1">
      <alignment horizontal="center" vertical="center"/>
      <protection hidden="1"/>
    </xf>
    <xf numFmtId="4" fontId="37" fillId="0" borderId="21" xfId="0" applyNumberFormat="1" applyFont="1" applyBorder="1" applyAlignment="1" applyProtection="1">
      <alignment horizontal="center" vertical="center"/>
      <protection hidden="1"/>
    </xf>
    <xf numFmtId="4" fontId="37" fillId="0" borderId="22" xfId="0" applyNumberFormat="1" applyFont="1" applyBorder="1" applyAlignment="1" applyProtection="1">
      <alignment horizontal="center" vertical="center"/>
      <protection hidden="1"/>
    </xf>
    <xf numFmtId="4" fontId="37" fillId="0" borderId="34" xfId="0" applyNumberFormat="1" applyFont="1" applyBorder="1" applyAlignment="1" applyProtection="1">
      <alignment horizontal="center"/>
      <protection locked="0"/>
    </xf>
    <xf numFmtId="4" fontId="37" fillId="0" borderId="35" xfId="0" applyNumberFormat="1" applyFont="1" applyBorder="1" applyAlignment="1" applyProtection="1">
      <alignment horizontal="center"/>
      <protection locked="0"/>
    </xf>
    <xf numFmtId="4" fontId="6" fillId="0" borderId="2" xfId="0" applyNumberFormat="1" applyFont="1" applyBorder="1" applyAlignment="1" applyProtection="1">
      <alignment horizontal="center" wrapText="1"/>
      <protection hidden="1"/>
    </xf>
    <xf numFmtId="4" fontId="6" fillId="0" borderId="4" xfId="0" applyNumberFormat="1" applyFont="1" applyBorder="1" applyAlignment="1" applyProtection="1">
      <alignment horizontal="center" wrapText="1"/>
      <protection hidden="1"/>
    </xf>
    <xf numFmtId="0" fontId="37" fillId="0" borderId="34" xfId="0" applyFont="1" applyBorder="1" applyAlignment="1" applyProtection="1">
      <alignment horizontal="right" vertical="center"/>
      <protection hidden="1"/>
    </xf>
    <xf numFmtId="0" fontId="37" fillId="0" borderId="32" xfId="0" applyFont="1" applyBorder="1" applyAlignment="1" applyProtection="1">
      <alignment horizontal="right" vertical="center"/>
      <protection hidden="1"/>
    </xf>
    <xf numFmtId="0" fontId="37" fillId="0" borderId="35" xfId="0" applyFont="1" applyBorder="1" applyAlignment="1" applyProtection="1">
      <alignment horizontal="right" vertical="center"/>
      <protection hidden="1"/>
    </xf>
    <xf numFmtId="0" fontId="6" fillId="0" borderId="0" xfId="0" applyFont="1" applyAlignment="1" applyProtection="1">
      <alignment horizontal="right"/>
      <protection hidden="1"/>
    </xf>
    <xf numFmtId="0" fontId="33" fillId="0" borderId="34" xfId="0" applyFont="1" applyBorder="1" applyAlignment="1" applyProtection="1">
      <alignment horizontal="left" vertical="center" wrapText="1"/>
      <protection hidden="1"/>
    </xf>
    <xf numFmtId="0" fontId="33" fillId="0" borderId="32" xfId="0" applyFont="1" applyBorder="1" applyAlignment="1" applyProtection="1">
      <alignment horizontal="left" vertical="center" wrapText="1"/>
      <protection hidden="1"/>
    </xf>
    <xf numFmtId="0" fontId="33" fillId="0" borderId="21" xfId="0" applyFont="1" applyBorder="1" applyAlignment="1" applyProtection="1">
      <alignment horizontal="left" vertical="center" wrapText="1"/>
      <protection hidden="1"/>
    </xf>
    <xf numFmtId="0" fontId="33" fillId="0" borderId="23" xfId="0" applyFont="1" applyBorder="1" applyAlignment="1" applyProtection="1">
      <alignment horizontal="left" vertical="center" wrapText="1"/>
      <protection hidden="1"/>
    </xf>
    <xf numFmtId="0" fontId="33" fillId="0" borderId="2" xfId="0" applyFont="1" applyBorder="1" applyAlignment="1" applyProtection="1">
      <alignment horizontal="left"/>
      <protection hidden="1"/>
    </xf>
    <xf numFmtId="0" fontId="33" fillId="0" borderId="3" xfId="0" applyFont="1" applyBorder="1" applyAlignment="1" applyProtection="1">
      <alignment horizontal="left"/>
      <protection hidden="1"/>
    </xf>
    <xf numFmtId="0" fontId="33" fillId="0" borderId="4" xfId="0" applyFont="1" applyBorder="1" applyAlignment="1" applyProtection="1">
      <alignment horizontal="left"/>
      <protection hidden="1"/>
    </xf>
    <xf numFmtId="0" fontId="0" fillId="0" borderId="0" xfId="0" applyAlignment="1">
      <alignment horizontal="center"/>
    </xf>
    <xf numFmtId="0" fontId="37" fillId="0" borderId="2" xfId="0" applyFont="1" applyBorder="1" applyAlignment="1" applyProtection="1">
      <alignment horizontal="left"/>
      <protection hidden="1"/>
    </xf>
    <xf numFmtId="0" fontId="37" fillId="0" borderId="3" xfId="0" applyFont="1" applyBorder="1" applyAlignment="1" applyProtection="1">
      <alignment horizontal="left"/>
      <protection hidden="1"/>
    </xf>
    <xf numFmtId="0" fontId="37" fillId="0" borderId="4" xfId="0" applyFont="1" applyBorder="1" applyAlignment="1" applyProtection="1">
      <alignment horizontal="left"/>
      <protection hidden="1"/>
    </xf>
    <xf numFmtId="0" fontId="37" fillId="0" borderId="2" xfId="0" applyFont="1" applyBorder="1" applyAlignment="1" applyProtection="1">
      <alignment horizontal="left" wrapText="1"/>
      <protection hidden="1"/>
    </xf>
    <xf numFmtId="0" fontId="37" fillId="0" borderId="3" xfId="0" applyFont="1" applyBorder="1" applyAlignment="1" applyProtection="1">
      <alignment horizontal="left" wrapText="1"/>
      <protection hidden="1"/>
    </xf>
    <xf numFmtId="0" fontId="37" fillId="0" borderId="4" xfId="0" applyFont="1" applyBorder="1" applyAlignment="1" applyProtection="1">
      <alignment horizontal="left" wrapText="1"/>
      <protection hidden="1"/>
    </xf>
    <xf numFmtId="0" fontId="10" fillId="0" borderId="23" xfId="0" applyFont="1" applyBorder="1" applyAlignment="1" applyProtection="1">
      <alignment horizontal="right"/>
      <protection hidden="1"/>
    </xf>
    <xf numFmtId="0" fontId="0" fillId="0" borderId="0" xfId="0" applyAlignment="1" applyProtection="1">
      <alignment horizontal="left" wrapText="1"/>
      <protection hidden="1"/>
    </xf>
    <xf numFmtId="0" fontId="33" fillId="0" borderId="2" xfId="0" applyFont="1" applyBorder="1" applyAlignment="1" applyProtection="1">
      <alignment horizontal="center" wrapText="1"/>
      <protection hidden="1"/>
    </xf>
    <xf numFmtId="0" fontId="33" fillId="0" borderId="3" xfId="0" applyFont="1" applyBorder="1" applyAlignment="1" applyProtection="1">
      <alignment horizontal="center" wrapText="1"/>
      <protection hidden="1"/>
    </xf>
    <xf numFmtId="0" fontId="33" fillId="0" borderId="4" xfId="0" applyFont="1" applyBorder="1" applyAlignment="1" applyProtection="1">
      <alignment horizontal="center" wrapText="1"/>
      <protection hidden="1"/>
    </xf>
    <xf numFmtId="0" fontId="37" fillId="0" borderId="2" xfId="0" applyFont="1" applyBorder="1" applyAlignment="1" applyProtection="1">
      <alignment horizontal="center" vertical="center"/>
      <protection hidden="1"/>
    </xf>
    <xf numFmtId="0" fontId="37" fillId="0" borderId="3" xfId="0" applyFont="1" applyBorder="1" applyAlignment="1" applyProtection="1">
      <alignment horizontal="center" vertical="center"/>
      <protection hidden="1"/>
    </xf>
    <xf numFmtId="0" fontId="33" fillId="0" borderId="5" xfId="0" applyFont="1" applyBorder="1" applyAlignment="1" applyProtection="1">
      <alignment horizontal="left"/>
      <protection hidden="1"/>
    </xf>
    <xf numFmtId="0" fontId="33" fillId="0" borderId="6" xfId="0" applyFont="1" applyBorder="1" applyAlignment="1" applyProtection="1">
      <alignment horizontal="left"/>
      <protection hidden="1"/>
    </xf>
    <xf numFmtId="0" fontId="33" fillId="0" borderId="7" xfId="0" applyFont="1" applyBorder="1" applyAlignment="1" applyProtection="1">
      <alignment horizontal="left"/>
      <protection hidden="1"/>
    </xf>
    <xf numFmtId="0" fontId="33" fillId="0" borderId="30" xfId="0" applyFont="1" applyBorder="1" applyAlignment="1" applyProtection="1">
      <alignment horizontal="left" wrapText="1"/>
      <protection hidden="1"/>
    </xf>
    <xf numFmtId="0" fontId="33" fillId="0" borderId="31" xfId="0" applyFont="1" applyBorder="1" applyAlignment="1" applyProtection="1">
      <alignment horizontal="left" wrapText="1"/>
      <protection hidden="1"/>
    </xf>
    <xf numFmtId="0" fontId="33" fillId="0" borderId="42" xfId="0" applyFont="1" applyBorder="1" applyAlignment="1" applyProtection="1">
      <alignment horizontal="left" wrapText="1"/>
      <protection hidden="1"/>
    </xf>
  </cellXfs>
  <cellStyles count="3">
    <cellStyle name="Normal" xfId="0" builtinId="0"/>
    <cellStyle name="Normal 2" xfId="1" xr:uid="{00000000-0005-0000-0000-000001000000}"/>
    <cellStyle name="Virgül" xfId="2" builtinId="3"/>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urat.bozlagan/Desktop/G&#304;DER%20FORMLARI/1513/1513-Gider%20Formlar&#305;%2028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 ve Personel Bilgileri"/>
      <sheetName val="KAPAK"/>
      <sheetName val="TAAHHÜTNAME"/>
      <sheetName val="G011A (Ocak)"/>
      <sheetName val="G011A (Şubat)"/>
      <sheetName val="G011A (Mart)"/>
      <sheetName val="G011A (Nisan)"/>
      <sheetName val="G011A (Mayıs)"/>
      <sheetName val="G011A (Haziran)"/>
      <sheetName val="G011A (Temmuz)"/>
      <sheetName val="G011A (Ağustos)"/>
      <sheetName val="G011A (Eylül)"/>
      <sheetName val="G011A (Ekim)"/>
      <sheetName val="G011A (Kasım)"/>
      <sheetName val="G011A (Aralık)"/>
      <sheetName val="G011B"/>
      <sheetName val="G011C"/>
      <sheetName val="G011"/>
      <sheetName val="G012"/>
      <sheetName val="G013"/>
      <sheetName val="G015A"/>
      <sheetName val="G015B"/>
      <sheetName val="G018"/>
      <sheetName val="G020"/>
    </sheetNames>
    <sheetDataSet>
      <sheetData sheetId="0">
        <row r="38">
          <cell r="N38" t="str">
            <v>03.3.1.01 Yurtiçi Geçici Görev Yollukları</v>
          </cell>
        </row>
        <row r="39">
          <cell r="N39" t="str">
            <v>03.3.3.01 Yurtdışı Geçici Görev Yollukları</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8"/>
  <sheetViews>
    <sheetView tabSelected="1" zoomScale="80" zoomScaleNormal="80" workbookViewId="0">
      <selection activeCell="D2" sqref="D2:E2"/>
    </sheetView>
  </sheetViews>
  <sheetFormatPr defaultColWidth="9.125" defaultRowHeight="14.3" x14ac:dyDescent="0.25"/>
  <cols>
    <col min="1" max="1" width="2" style="43" customWidth="1"/>
    <col min="2" max="2" width="8" style="73" customWidth="1"/>
    <col min="3" max="3" width="33.625" style="8" customWidth="1"/>
    <col min="4" max="4" width="20.125" style="8" customWidth="1"/>
    <col min="5" max="5" width="40.125" style="8" customWidth="1"/>
    <col min="6" max="6" width="22.375" style="8" customWidth="1"/>
    <col min="7" max="7" width="9.875" style="43" hidden="1" customWidth="1"/>
    <col min="8" max="8" width="12.75" style="43" hidden="1" customWidth="1"/>
    <col min="9" max="14" width="12.75" hidden="1" customWidth="1"/>
    <col min="15" max="15" width="42" hidden="1" customWidth="1"/>
    <col min="16" max="17" width="9.125" customWidth="1"/>
    <col min="19" max="16384" width="9.125" style="43"/>
  </cols>
  <sheetData>
    <row r="1" spans="2:18" ht="31.6" customHeight="1" thickBot="1" x14ac:dyDescent="0.35">
      <c r="B1" s="263" t="s">
        <v>0</v>
      </c>
      <c r="C1" s="264"/>
      <c r="D1" s="264"/>
      <c r="E1" s="265"/>
      <c r="F1" s="286" t="str">
        <f>IF(YilDonem&gt;0,"","SOL TARAFTAKİ BOYALI HÜCRELER DOLDURULMALIDIR.")</f>
        <v>SOL TARAFTAKİ BOYALI HÜCRELER DOLDURULMALIDIR.</v>
      </c>
      <c r="G1" s="244"/>
      <c r="I1" s="43"/>
      <c r="J1" s="43"/>
      <c r="K1" s="43"/>
      <c r="L1" s="43"/>
      <c r="M1" s="43"/>
      <c r="N1" s="85"/>
      <c r="O1" s="43"/>
      <c r="P1" s="43"/>
      <c r="Q1" s="43"/>
      <c r="R1" s="43"/>
    </row>
    <row r="2" spans="2:18" ht="30.1" customHeight="1" thickBot="1" x14ac:dyDescent="0.4">
      <c r="B2" s="267" t="s">
        <v>1</v>
      </c>
      <c r="C2" s="268"/>
      <c r="D2" s="271"/>
      <c r="E2" s="272"/>
      <c r="F2" s="286"/>
      <c r="G2" s="244"/>
      <c r="I2" s="43"/>
      <c r="J2" s="43"/>
      <c r="K2" s="43"/>
      <c r="L2" s="43"/>
      <c r="M2" s="43"/>
      <c r="N2" s="43"/>
      <c r="O2" s="43"/>
      <c r="P2" s="43"/>
      <c r="Q2" s="43"/>
      <c r="R2" s="43"/>
    </row>
    <row r="3" spans="2:18" ht="90" customHeight="1" thickBot="1" x14ac:dyDescent="0.3">
      <c r="B3" s="269" t="s">
        <v>11</v>
      </c>
      <c r="C3" s="270"/>
      <c r="D3" s="273"/>
      <c r="E3" s="274"/>
      <c r="F3" s="286"/>
      <c r="G3" s="244"/>
      <c r="I3" s="43"/>
      <c r="J3" s="43"/>
      <c r="K3" s="43"/>
      <c r="L3" s="43"/>
      <c r="M3" s="43"/>
      <c r="N3" s="43"/>
      <c r="O3" s="43"/>
      <c r="P3" s="43"/>
      <c r="Q3" s="43"/>
      <c r="R3" s="43"/>
    </row>
    <row r="4" spans="2:18" ht="30.1" customHeight="1" thickBot="1" x14ac:dyDescent="0.4">
      <c r="B4" s="267" t="s">
        <v>2</v>
      </c>
      <c r="C4" s="268"/>
      <c r="D4" s="277"/>
      <c r="E4" s="278"/>
      <c r="F4" s="286"/>
      <c r="G4" s="244"/>
      <c r="I4" s="43"/>
      <c r="J4" s="43"/>
      <c r="K4" s="43"/>
      <c r="L4" s="43"/>
      <c r="M4" s="43"/>
      <c r="N4" s="43"/>
      <c r="O4" s="43"/>
      <c r="P4" s="43"/>
      <c r="Q4" s="43"/>
      <c r="R4" s="43"/>
    </row>
    <row r="5" spans="2:18" ht="30.1" customHeight="1" thickBot="1" x14ac:dyDescent="0.4">
      <c r="B5" s="267" t="s">
        <v>3</v>
      </c>
      <c r="C5" s="268"/>
      <c r="D5" s="277"/>
      <c r="E5" s="278"/>
      <c r="F5" s="286"/>
      <c r="G5" s="244"/>
      <c r="I5" s="43"/>
      <c r="J5" s="43"/>
      <c r="K5" s="43"/>
      <c r="L5" s="43"/>
      <c r="M5" s="43"/>
      <c r="N5" s="43"/>
      <c r="O5" s="43"/>
      <c r="P5" s="43"/>
      <c r="Q5" s="43"/>
      <c r="R5" s="43"/>
    </row>
    <row r="6" spans="2:18" ht="30.1" customHeight="1" thickBot="1" x14ac:dyDescent="0.4">
      <c r="B6" s="267" t="s">
        <v>4</v>
      </c>
      <c r="C6" s="268"/>
      <c r="D6" s="277"/>
      <c r="E6" s="278"/>
      <c r="F6" s="286"/>
      <c r="G6" s="244"/>
      <c r="I6" s="43"/>
      <c r="J6" s="43"/>
      <c r="K6" s="43"/>
      <c r="L6" s="43"/>
      <c r="M6" s="43"/>
      <c r="N6" s="43"/>
      <c r="O6" s="43"/>
      <c r="P6" s="43"/>
      <c r="Q6" s="43"/>
      <c r="R6" s="43"/>
    </row>
    <row r="7" spans="2:18" ht="30.1" customHeight="1" thickBot="1" x14ac:dyDescent="0.4">
      <c r="B7" s="267" t="s">
        <v>121</v>
      </c>
      <c r="C7" s="268"/>
      <c r="D7" s="198" t="str">
        <f>IF(AND(D5&gt;0,D6&gt;0),D5,"")</f>
        <v/>
      </c>
      <c r="E7" s="198" t="str">
        <f>IF(LEN(D7)&gt;0,IF(ISERROR(IF(EOMONTH(D5,5)&gt;D6,D6,EOMONTH(D5,5))),IF(EOMONTH(D5,5)&gt;D6,D6,EOMONTH(D5,5)),IF(EOMONTH(D5,5)&gt;D6,D6,EOMONTH(D5,5))),"")</f>
        <v/>
      </c>
      <c r="F7" s="286"/>
      <c r="G7" s="244"/>
      <c r="I7" s="43">
        <v>2021</v>
      </c>
      <c r="J7" s="43"/>
      <c r="K7" s="43"/>
      <c r="L7" s="43"/>
      <c r="M7" s="43"/>
      <c r="N7" s="43"/>
      <c r="O7" s="43"/>
      <c r="P7" s="43"/>
      <c r="Q7" s="43"/>
      <c r="R7" s="43"/>
    </row>
    <row r="8" spans="2:18" ht="30.1" customHeight="1" thickBot="1" x14ac:dyDescent="0.4">
      <c r="B8" s="267" t="s">
        <v>122</v>
      </c>
      <c r="C8" s="268"/>
      <c r="D8" s="198" t="str">
        <f>IFERROR(IF(E7=D6,"",E7+1),"")</f>
        <v/>
      </c>
      <c r="E8" s="198" t="str">
        <f>IF(ISERROR(IF(D8&lt;&gt;"",IF(SERİAY(D8,5)&gt;D6,D6,SERİAY(D8,5)),"")),IF(D8&lt;&gt;"",IF(EOMONTH(D8,5)&gt;D6,D6,EOMONTH(D8,5)),""),IF(D8&lt;&gt;"",IF(SERİAY(D8,5)&gt;D6,D6,SERİAY(D8,5)),""))</f>
        <v/>
      </c>
      <c r="F8" s="286"/>
      <c r="G8" s="244"/>
      <c r="I8" s="43">
        <v>2022</v>
      </c>
      <c r="J8" s="43"/>
      <c r="K8" s="43"/>
      <c r="L8" s="43"/>
      <c r="M8" s="43"/>
      <c r="N8" s="43"/>
      <c r="O8" s="43"/>
      <c r="P8" s="43"/>
      <c r="Q8" s="43"/>
      <c r="R8" s="43"/>
    </row>
    <row r="9" spans="2:18" ht="30.1" customHeight="1" thickBot="1" x14ac:dyDescent="0.4">
      <c r="B9" s="267" t="s">
        <v>123</v>
      </c>
      <c r="C9" s="268"/>
      <c r="D9" s="198" t="str">
        <f>IF(D8&lt;&gt;"",IF(E8=D6,"",E8+1),"")</f>
        <v/>
      </c>
      <c r="E9" s="198" t="str">
        <f>IF(ISERROR(IF(D9&lt;&gt;"",IF(SERİAY(D9,5)&gt;D6,D6,SERİAY(D9,5)),"")),IF(D9&lt;&gt;"",IF(EOMONTH(D9,5)&gt;D6,D6,EOMONTH(D9,5)),""),IF(D9&lt;&gt;"",IF(SERİAY(D9,5)&gt;D6,D6,SERİAY(D9,5)),""))</f>
        <v/>
      </c>
      <c r="F9" s="286"/>
      <c r="G9" s="244"/>
      <c r="I9" s="43">
        <v>2023</v>
      </c>
      <c r="J9" s="43"/>
      <c r="K9" s="43"/>
      <c r="L9" s="43"/>
      <c r="M9" s="43"/>
      <c r="N9" s="43"/>
      <c r="O9" s="43"/>
      <c r="P9" s="43"/>
      <c r="Q9" s="43"/>
      <c r="R9" s="43"/>
    </row>
    <row r="10" spans="2:18" ht="30.1" customHeight="1" thickBot="1" x14ac:dyDescent="0.4">
      <c r="B10" s="267" t="s">
        <v>138</v>
      </c>
      <c r="C10" s="268"/>
      <c r="D10" s="198" t="str">
        <f>IF(D9&lt;&gt;"",IF(E9=D6,"",E9+1),"")</f>
        <v/>
      </c>
      <c r="E10" s="198" t="str">
        <f>IF(ISERROR(IF(D10&lt;&gt;"",IF(EOMONTH(D10,5)&gt;D6,D6,EOMONTH(D10,5)),"")),IF(D10&lt;&gt;"",IF(EOMONTH(D10,5)&gt;D6,D6,EOMONTH(D10,5)),""),IF(D10&lt;&gt;"",IF(EOMONTH(D10,5)&gt;D6,D6,EOMONTH(D10,5)),""))</f>
        <v/>
      </c>
      <c r="F10" s="286"/>
      <c r="G10" s="244"/>
      <c r="I10" s="43">
        <v>2024</v>
      </c>
      <c r="J10" s="43"/>
      <c r="K10" s="43"/>
      <c r="L10" s="43"/>
      <c r="M10" s="43"/>
      <c r="N10" s="43"/>
      <c r="O10" s="43"/>
      <c r="P10" s="43"/>
      <c r="Q10" s="43"/>
      <c r="R10" s="43"/>
    </row>
    <row r="11" spans="2:18" ht="30.1" customHeight="1" thickBot="1" x14ac:dyDescent="0.4">
      <c r="B11" s="267" t="s">
        <v>164</v>
      </c>
      <c r="C11" s="268"/>
      <c r="D11" s="198" t="str">
        <f>IF(D10&lt;&gt;"",IF(E10=D6,"",E10+1),"")</f>
        <v/>
      </c>
      <c r="E11" s="198" t="str">
        <f>IF(D11&lt;&gt;"",D6,"")</f>
        <v/>
      </c>
      <c r="F11" s="286"/>
      <c r="G11" s="244"/>
      <c r="I11" s="43"/>
      <c r="J11" s="43"/>
      <c r="K11" s="43"/>
      <c r="L11" s="43"/>
      <c r="M11" s="43"/>
      <c r="N11" s="43"/>
      <c r="O11" s="43"/>
      <c r="P11" s="43"/>
      <c r="Q11" s="43"/>
      <c r="R11" s="43"/>
    </row>
    <row r="12" spans="2:18" ht="32.299999999999997" customHeight="1" thickBot="1" x14ac:dyDescent="0.4">
      <c r="B12" s="267" t="s">
        <v>124</v>
      </c>
      <c r="C12" s="268"/>
      <c r="D12" s="199"/>
      <c r="E12" s="194" t="s">
        <v>137</v>
      </c>
      <c r="F12" s="286"/>
      <c r="G12" s="244"/>
      <c r="I12" s="43">
        <v>2025</v>
      </c>
      <c r="J12" s="43"/>
      <c r="K12" s="43"/>
      <c r="L12" s="43"/>
      <c r="M12" s="43"/>
      <c r="N12" s="43"/>
      <c r="O12" s="43"/>
      <c r="P12" s="43"/>
      <c r="Q12" s="43"/>
      <c r="R12" s="43"/>
    </row>
    <row r="13" spans="2:18" ht="30.1" customHeight="1" thickBot="1" x14ac:dyDescent="0.4">
      <c r="B13" s="267" t="s">
        <v>5</v>
      </c>
      <c r="C13" s="268"/>
      <c r="D13" s="275" t="str">
        <f>IFERROR(IF(YilDonem&lt;&gt;"",VLOOKUP($M$29,AsgariUcret,2,0),""),"")</f>
        <v/>
      </c>
      <c r="E13" s="276"/>
      <c r="F13" s="286"/>
      <c r="G13" s="244"/>
      <c r="J13" s="43"/>
      <c r="K13" s="43"/>
      <c r="L13" s="43"/>
      <c r="M13" s="43"/>
      <c r="N13" s="43"/>
      <c r="O13" s="43"/>
      <c r="P13" s="43"/>
      <c r="Q13" s="43"/>
      <c r="R13" s="43"/>
    </row>
    <row r="14" spans="2:18" ht="30.1" customHeight="1" thickBot="1" x14ac:dyDescent="0.35">
      <c r="B14" s="280" t="s">
        <v>154</v>
      </c>
      <c r="C14" s="281"/>
      <c r="D14" s="282">
        <f ca="1">TODAY()</f>
        <v>45686</v>
      </c>
      <c r="E14" s="283"/>
      <c r="F14" s="286"/>
      <c r="G14" s="243"/>
      <c r="J14" s="43"/>
      <c r="K14" s="43"/>
      <c r="L14" s="43"/>
      <c r="M14" s="43"/>
      <c r="N14" s="43"/>
      <c r="O14" s="43"/>
      <c r="P14" s="43"/>
      <c r="Q14" s="43"/>
      <c r="R14" s="43"/>
    </row>
    <row r="15" spans="2:18" ht="53.35" customHeight="1" thickBot="1" x14ac:dyDescent="0.35">
      <c r="B15" s="280" t="s">
        <v>155</v>
      </c>
      <c r="C15" s="281"/>
      <c r="D15" s="284"/>
      <c r="E15" s="285"/>
      <c r="F15" s="286"/>
      <c r="G15" s="243"/>
      <c r="J15" s="43"/>
      <c r="K15" s="43"/>
      <c r="L15" s="43"/>
      <c r="M15" s="43"/>
      <c r="N15" s="43"/>
      <c r="O15" s="43"/>
      <c r="P15" s="43"/>
      <c r="Q15" s="43"/>
      <c r="R15" s="43"/>
    </row>
    <row r="16" spans="2:18" ht="21.75" customHeight="1" thickBot="1" x14ac:dyDescent="0.3">
      <c r="C16" s="43"/>
      <c r="D16" s="43"/>
      <c r="E16" s="43"/>
      <c r="F16" s="43"/>
      <c r="I16" s="43"/>
      <c r="J16" s="43"/>
      <c r="K16" s="43"/>
      <c r="L16" s="43"/>
      <c r="M16" s="43"/>
      <c r="N16" s="43"/>
      <c r="O16" s="43"/>
      <c r="P16" s="43"/>
      <c r="Q16" s="43"/>
      <c r="R16" s="43"/>
    </row>
    <row r="17" spans="2:18" ht="30.1" customHeight="1" thickBot="1" x14ac:dyDescent="0.3">
      <c r="B17" s="263" t="s">
        <v>6</v>
      </c>
      <c r="C17" s="264"/>
      <c r="D17" s="264"/>
      <c r="E17" s="264"/>
      <c r="F17" s="265"/>
      <c r="I17" s="266" t="s">
        <v>12</v>
      </c>
      <c r="J17" s="266"/>
      <c r="K17" s="43"/>
      <c r="L17" s="262" t="s">
        <v>38</v>
      </c>
      <c r="M17" s="262"/>
      <c r="N17" s="43"/>
      <c r="O17" s="195" t="s">
        <v>62</v>
      </c>
      <c r="P17" s="43"/>
      <c r="Q17" s="43"/>
      <c r="R17" s="43"/>
    </row>
    <row r="18" spans="2:18" s="73" customFormat="1" ht="30.1" customHeight="1" thickBot="1" x14ac:dyDescent="0.35">
      <c r="B18" s="259" t="s">
        <v>7</v>
      </c>
      <c r="C18" s="259" t="s">
        <v>8</v>
      </c>
      <c r="D18" s="259" t="s">
        <v>9</v>
      </c>
      <c r="E18" s="259" t="s">
        <v>119</v>
      </c>
      <c r="F18" s="258" t="s">
        <v>10</v>
      </c>
      <c r="I18" s="257">
        <v>20211</v>
      </c>
      <c r="J18" s="241">
        <v>3577.5</v>
      </c>
      <c r="L18" s="257">
        <v>20211</v>
      </c>
      <c r="M18" s="106">
        <v>26831.25</v>
      </c>
      <c r="O18" s="145">
        <v>1601</v>
      </c>
    </row>
    <row r="19" spans="2:18" ht="30.1" customHeight="1" x14ac:dyDescent="0.25">
      <c r="B19" s="207">
        <v>1</v>
      </c>
      <c r="C19" s="208"/>
      <c r="D19" s="209"/>
      <c r="E19" s="210"/>
      <c r="F19" s="211"/>
      <c r="I19" s="257">
        <v>20212</v>
      </c>
      <c r="J19" s="241">
        <v>3577.5</v>
      </c>
      <c r="K19" s="43"/>
      <c r="L19" s="257">
        <v>20212</v>
      </c>
      <c r="M19" s="106">
        <v>26831.25</v>
      </c>
      <c r="N19" s="43"/>
      <c r="O19" s="43"/>
      <c r="P19" s="43"/>
      <c r="Q19" s="43"/>
      <c r="R19" s="43"/>
    </row>
    <row r="20" spans="2:18" ht="30.1" customHeight="1" x14ac:dyDescent="0.25">
      <c r="B20" s="212">
        <v>2</v>
      </c>
      <c r="C20" s="53"/>
      <c r="D20" s="170"/>
      <c r="E20" s="213"/>
      <c r="F20" s="214"/>
      <c r="I20" s="257">
        <v>20221</v>
      </c>
      <c r="J20" s="241">
        <v>5004</v>
      </c>
      <c r="K20" s="43"/>
      <c r="L20" s="257">
        <v>20221</v>
      </c>
      <c r="M20" s="106">
        <v>37530</v>
      </c>
      <c r="N20" s="43"/>
      <c r="O20" s="43"/>
      <c r="P20" s="43"/>
      <c r="Q20" s="43"/>
      <c r="R20" s="43"/>
    </row>
    <row r="21" spans="2:18" ht="30.1" customHeight="1" x14ac:dyDescent="0.25">
      <c r="B21" s="212">
        <v>3</v>
      </c>
      <c r="C21" s="53"/>
      <c r="D21" s="170"/>
      <c r="E21" s="215"/>
      <c r="F21" s="214"/>
      <c r="I21" s="257">
        <v>20222</v>
      </c>
      <c r="J21" s="242">
        <v>6471</v>
      </c>
      <c r="K21" s="43"/>
      <c r="L21" s="257">
        <v>20222</v>
      </c>
      <c r="M21" s="106">
        <v>48532.5</v>
      </c>
      <c r="N21" s="43"/>
      <c r="O21" s="112" t="s">
        <v>81</v>
      </c>
      <c r="P21" s="43"/>
      <c r="Q21" s="43"/>
      <c r="R21" s="43"/>
    </row>
    <row r="22" spans="2:18" ht="30.1" customHeight="1" x14ac:dyDescent="0.25">
      <c r="B22" s="212">
        <v>4</v>
      </c>
      <c r="C22" s="53"/>
      <c r="D22" s="170"/>
      <c r="E22" s="213"/>
      <c r="F22" s="214"/>
      <c r="I22" s="257">
        <v>20231</v>
      </c>
      <c r="J22" s="242">
        <v>10008</v>
      </c>
      <c r="K22" s="43"/>
      <c r="L22" s="257">
        <v>20231</v>
      </c>
      <c r="M22" s="106">
        <v>75060</v>
      </c>
      <c r="N22" s="43"/>
      <c r="O22" s="112" t="s">
        <v>120</v>
      </c>
      <c r="P22" s="43"/>
      <c r="Q22" s="43"/>
      <c r="R22" s="43"/>
    </row>
    <row r="23" spans="2:18" ht="30.1" customHeight="1" x14ac:dyDescent="0.25">
      <c r="B23" s="212">
        <v>5</v>
      </c>
      <c r="C23" s="53"/>
      <c r="D23" s="170"/>
      <c r="E23" s="215"/>
      <c r="F23" s="214"/>
      <c r="I23" s="257">
        <v>20232</v>
      </c>
      <c r="J23" s="242">
        <v>13414.5</v>
      </c>
      <c r="K23" s="43"/>
      <c r="L23" s="257">
        <v>20232</v>
      </c>
      <c r="M23" s="58">
        <v>100608.9</v>
      </c>
      <c r="N23" s="43"/>
      <c r="O23" s="43"/>
      <c r="P23" s="43"/>
      <c r="Q23" s="43"/>
      <c r="R23" s="43"/>
    </row>
    <row r="24" spans="2:18" ht="30.1" customHeight="1" x14ac:dyDescent="0.25">
      <c r="B24" s="212">
        <v>6</v>
      </c>
      <c r="C24" s="53"/>
      <c r="D24" s="170"/>
      <c r="E24" s="213"/>
      <c r="F24" s="214"/>
      <c r="I24" s="257">
        <v>20241</v>
      </c>
      <c r="J24" s="242">
        <v>20002.5</v>
      </c>
      <c r="K24" s="43"/>
      <c r="L24" s="257">
        <v>20241</v>
      </c>
      <c r="M24" s="58">
        <v>150018.9</v>
      </c>
      <c r="N24" s="43"/>
      <c r="O24" s="43"/>
      <c r="P24" s="43"/>
      <c r="Q24" s="43"/>
      <c r="R24" s="43"/>
    </row>
    <row r="25" spans="2:18" ht="30.1" customHeight="1" x14ac:dyDescent="0.25">
      <c r="B25" s="212">
        <v>7</v>
      </c>
      <c r="C25" s="53"/>
      <c r="D25" s="170"/>
      <c r="E25" s="215"/>
      <c r="F25" s="214"/>
      <c r="I25" s="257">
        <v>20242</v>
      </c>
      <c r="J25" s="242">
        <v>20002.5</v>
      </c>
      <c r="K25" s="43"/>
      <c r="L25" s="257">
        <v>20242</v>
      </c>
      <c r="M25" s="58">
        <v>150018.9</v>
      </c>
      <c r="N25" s="43"/>
      <c r="O25" s="193"/>
      <c r="P25" s="43"/>
      <c r="Q25" s="43"/>
      <c r="R25" s="43"/>
    </row>
    <row r="26" spans="2:18" ht="30.1" customHeight="1" x14ac:dyDescent="0.25">
      <c r="B26" s="212">
        <v>8</v>
      </c>
      <c r="C26" s="53"/>
      <c r="D26" s="170"/>
      <c r="E26" s="213"/>
      <c r="F26" s="214"/>
      <c r="I26" s="257">
        <v>20251</v>
      </c>
      <c r="J26" s="242">
        <v>26005.5</v>
      </c>
      <c r="K26" s="43"/>
      <c r="L26" s="257">
        <v>20251</v>
      </c>
      <c r="M26" s="58">
        <v>195041.5</v>
      </c>
      <c r="N26" s="43"/>
      <c r="O26" s="43"/>
      <c r="P26" s="43"/>
      <c r="Q26" s="43"/>
      <c r="R26" s="43"/>
    </row>
    <row r="27" spans="2:18" ht="30.1" customHeight="1" x14ac:dyDescent="0.25">
      <c r="B27" s="212">
        <v>9</v>
      </c>
      <c r="C27" s="53"/>
      <c r="D27" s="170"/>
      <c r="E27" s="215"/>
      <c r="F27" s="214"/>
      <c r="I27" s="257">
        <v>20252</v>
      </c>
      <c r="J27" s="242">
        <v>26005.5</v>
      </c>
      <c r="K27" s="43"/>
      <c r="L27" s="257">
        <v>20252</v>
      </c>
      <c r="M27" s="58">
        <v>195041.5</v>
      </c>
      <c r="N27" s="43"/>
      <c r="O27" s="43"/>
      <c r="P27" s="43"/>
      <c r="Q27" s="43"/>
      <c r="R27" s="43"/>
    </row>
    <row r="28" spans="2:18" ht="30.1" customHeight="1" x14ac:dyDescent="0.25">
      <c r="B28" s="212">
        <v>10</v>
      </c>
      <c r="C28" s="53"/>
      <c r="D28" s="170"/>
      <c r="E28" s="213"/>
      <c r="F28" s="214"/>
      <c r="I28" s="43"/>
      <c r="J28" s="43"/>
      <c r="K28" s="43"/>
      <c r="L28" s="43"/>
      <c r="M28" s="43"/>
      <c r="N28" s="43"/>
      <c r="O28" s="43"/>
      <c r="P28" s="43"/>
      <c r="Q28" s="43"/>
      <c r="R28" s="43"/>
    </row>
    <row r="29" spans="2:18" ht="30.1" customHeight="1" x14ac:dyDescent="0.25">
      <c r="B29" s="212">
        <v>11</v>
      </c>
      <c r="C29" s="53"/>
      <c r="D29" s="170"/>
      <c r="E29" s="215"/>
      <c r="F29" s="214"/>
      <c r="I29" s="279" t="s">
        <v>161</v>
      </c>
      <c r="J29" s="279" t="s">
        <v>162</v>
      </c>
      <c r="K29" s="43"/>
      <c r="L29" s="260" t="s">
        <v>163</v>
      </c>
      <c r="M29" s="261">
        <f ca="1">VALUE(CONCATENATE(Yıl,IF(DönBasAy&gt;6,2,1)))</f>
        <v>19001</v>
      </c>
      <c r="N29" s="43"/>
      <c r="O29" s="43"/>
      <c r="P29" s="43"/>
      <c r="Q29" s="43"/>
      <c r="R29" s="43"/>
    </row>
    <row r="30" spans="2:18" ht="30.1" customHeight="1" x14ac:dyDescent="0.25">
      <c r="B30" s="212">
        <v>12</v>
      </c>
      <c r="C30" s="53"/>
      <c r="D30" s="170"/>
      <c r="E30" s="213"/>
      <c r="F30" s="214"/>
      <c r="I30" s="279"/>
      <c r="J30" s="279"/>
      <c r="K30" s="43"/>
      <c r="L30" s="43"/>
      <c r="M30" s="43"/>
      <c r="N30" s="43"/>
      <c r="O30" s="43"/>
      <c r="P30" s="43"/>
      <c r="Q30" s="43"/>
      <c r="R30" s="43"/>
    </row>
    <row r="31" spans="2:18" ht="30.1" customHeight="1" x14ac:dyDescent="0.25">
      <c r="B31" s="212">
        <v>13</v>
      </c>
      <c r="C31" s="53"/>
      <c r="D31" s="170"/>
      <c r="E31" s="215"/>
      <c r="F31" s="214"/>
      <c r="I31" s="196">
        <f ca="1">MONTH(INDIRECT(CONCATENATE("D",6+D12)))</f>
        <v>1</v>
      </c>
      <c r="J31" s="196">
        <f ca="1">YEAR(INDIRECT(CONCATENATE("D",6+D12)))</f>
        <v>1900</v>
      </c>
      <c r="K31" s="43"/>
      <c r="L31" s="43"/>
      <c r="M31" s="43"/>
      <c r="N31" s="43"/>
      <c r="O31" s="43"/>
      <c r="P31" s="43"/>
      <c r="Q31" s="43"/>
      <c r="R31" s="43"/>
    </row>
    <row r="32" spans="2:18" ht="30.1" customHeight="1" x14ac:dyDescent="0.25">
      <c r="B32" s="212">
        <v>14</v>
      </c>
      <c r="C32" s="53"/>
      <c r="D32" s="170"/>
      <c r="E32" s="213"/>
      <c r="F32" s="214"/>
      <c r="I32" s="197">
        <v>1</v>
      </c>
      <c r="J32" s="197" t="s">
        <v>125</v>
      </c>
      <c r="K32" s="43">
        <v>1</v>
      </c>
      <c r="L32" s="43">
        <f t="shared" ref="L32:L43" ca="1" si="0">VALUE(CONCATENATE(Yıl&amp;K32))</f>
        <v>19001</v>
      </c>
      <c r="M32" s="43"/>
      <c r="N32" s="43"/>
      <c r="O32" s="43"/>
      <c r="P32" s="43"/>
      <c r="Q32" s="43"/>
      <c r="R32" s="43"/>
    </row>
    <row r="33" spans="2:18" ht="30.1" customHeight="1" x14ac:dyDescent="0.25">
      <c r="B33" s="212">
        <v>15</v>
      </c>
      <c r="C33" s="53"/>
      <c r="D33" s="170"/>
      <c r="E33" s="215"/>
      <c r="F33" s="214"/>
      <c r="I33" s="197">
        <v>2</v>
      </c>
      <c r="J33" s="197" t="s">
        <v>126</v>
      </c>
      <c r="K33" s="43">
        <v>1</v>
      </c>
      <c r="L33" s="43">
        <f t="shared" ca="1" si="0"/>
        <v>19001</v>
      </c>
      <c r="M33" s="43"/>
      <c r="N33" s="43"/>
      <c r="O33" s="43"/>
      <c r="P33" s="43"/>
      <c r="Q33" s="43"/>
      <c r="R33" s="43"/>
    </row>
    <row r="34" spans="2:18" ht="30.1" customHeight="1" x14ac:dyDescent="0.25">
      <c r="B34" s="212">
        <v>16</v>
      </c>
      <c r="C34" s="53"/>
      <c r="D34" s="170"/>
      <c r="E34" s="213"/>
      <c r="F34" s="214"/>
      <c r="I34" s="197">
        <v>3</v>
      </c>
      <c r="J34" s="197" t="s">
        <v>127</v>
      </c>
      <c r="K34" s="43">
        <v>1</v>
      </c>
      <c r="L34" s="43">
        <f t="shared" ca="1" si="0"/>
        <v>19001</v>
      </c>
      <c r="M34" s="43"/>
      <c r="N34" s="43"/>
      <c r="O34" s="43"/>
      <c r="P34" s="43"/>
      <c r="Q34" s="43"/>
      <c r="R34" s="43"/>
    </row>
    <row r="35" spans="2:18" ht="30.1" customHeight="1" x14ac:dyDescent="0.25">
      <c r="B35" s="212">
        <v>17</v>
      </c>
      <c r="C35" s="53"/>
      <c r="D35" s="170"/>
      <c r="E35" s="215"/>
      <c r="F35" s="214"/>
      <c r="I35" s="197">
        <v>4</v>
      </c>
      <c r="J35" s="197" t="s">
        <v>128</v>
      </c>
      <c r="K35" s="43">
        <v>1</v>
      </c>
      <c r="L35" s="43">
        <f t="shared" ca="1" si="0"/>
        <v>19001</v>
      </c>
      <c r="M35" s="43"/>
      <c r="N35" s="43"/>
      <c r="O35" s="43"/>
      <c r="P35" s="43"/>
      <c r="Q35" s="43"/>
      <c r="R35" s="43"/>
    </row>
    <row r="36" spans="2:18" ht="30.1" customHeight="1" x14ac:dyDescent="0.25">
      <c r="B36" s="212">
        <v>18</v>
      </c>
      <c r="C36" s="53"/>
      <c r="D36" s="170"/>
      <c r="E36" s="213"/>
      <c r="F36" s="214"/>
      <c r="I36" s="197">
        <v>5</v>
      </c>
      <c r="J36" s="197" t="s">
        <v>129</v>
      </c>
      <c r="K36" s="43">
        <v>1</v>
      </c>
      <c r="L36" s="43">
        <f t="shared" ca="1" si="0"/>
        <v>19001</v>
      </c>
      <c r="M36" s="43"/>
      <c r="N36" s="43"/>
      <c r="O36" s="43"/>
      <c r="P36" s="43"/>
      <c r="Q36" s="43"/>
      <c r="R36" s="43"/>
    </row>
    <row r="37" spans="2:18" ht="30.1" customHeight="1" x14ac:dyDescent="0.25">
      <c r="B37" s="212">
        <v>19</v>
      </c>
      <c r="C37" s="53"/>
      <c r="D37" s="170"/>
      <c r="E37" s="215"/>
      <c r="F37" s="214"/>
      <c r="I37" s="197">
        <v>6</v>
      </c>
      <c r="J37" s="197" t="s">
        <v>130</v>
      </c>
      <c r="K37" s="43">
        <v>1</v>
      </c>
      <c r="L37" s="43">
        <f t="shared" ca="1" si="0"/>
        <v>19001</v>
      </c>
      <c r="M37" s="43"/>
      <c r="N37" s="43"/>
      <c r="O37" s="43"/>
      <c r="P37" s="43"/>
      <c r="Q37" s="43"/>
      <c r="R37" s="43"/>
    </row>
    <row r="38" spans="2:18" ht="30.1" customHeight="1" thickBot="1" x14ac:dyDescent="0.3">
      <c r="B38" s="216">
        <v>20</v>
      </c>
      <c r="C38" s="217"/>
      <c r="D38" s="218"/>
      <c r="E38" s="219"/>
      <c r="F38" s="220"/>
      <c r="I38" s="197">
        <v>7</v>
      </c>
      <c r="J38" s="197" t="s">
        <v>131</v>
      </c>
      <c r="K38" s="43">
        <v>2</v>
      </c>
      <c r="L38" s="43">
        <f t="shared" ca="1" si="0"/>
        <v>19002</v>
      </c>
      <c r="M38" s="43"/>
      <c r="N38" s="43"/>
      <c r="O38" s="43"/>
      <c r="P38" s="43"/>
      <c r="Q38" s="43"/>
      <c r="R38" s="43"/>
    </row>
    <row r="39" spans="2:18" ht="19.899999999999999" customHeight="1" x14ac:dyDescent="0.25">
      <c r="I39" s="197">
        <v>8</v>
      </c>
      <c r="J39" s="197" t="s">
        <v>132</v>
      </c>
      <c r="K39" s="43">
        <v>2</v>
      </c>
      <c r="L39" s="43">
        <f t="shared" ca="1" si="0"/>
        <v>19002</v>
      </c>
      <c r="M39" s="43"/>
      <c r="N39" s="43"/>
      <c r="O39" s="43"/>
      <c r="P39" s="43"/>
      <c r="Q39" s="43"/>
      <c r="R39" s="43"/>
    </row>
    <row r="40" spans="2:18" ht="19.899999999999999" customHeight="1" x14ac:dyDescent="0.25">
      <c r="I40" s="197">
        <v>9</v>
      </c>
      <c r="J40" s="197" t="s">
        <v>133</v>
      </c>
      <c r="K40" s="43">
        <v>2</v>
      </c>
      <c r="L40" s="43">
        <f t="shared" ca="1" si="0"/>
        <v>19002</v>
      </c>
      <c r="M40" s="43"/>
      <c r="N40" s="43"/>
      <c r="O40" s="43"/>
      <c r="P40" s="43"/>
      <c r="Q40" s="43"/>
      <c r="R40" s="43"/>
    </row>
    <row r="41" spans="2:18" ht="19.899999999999999" customHeight="1" x14ac:dyDescent="0.25">
      <c r="I41" s="197">
        <v>10</v>
      </c>
      <c r="J41" s="197" t="s">
        <v>134</v>
      </c>
      <c r="K41" s="43">
        <v>2</v>
      </c>
      <c r="L41" s="43">
        <f t="shared" ca="1" si="0"/>
        <v>19002</v>
      </c>
      <c r="M41" s="43"/>
      <c r="N41" s="43"/>
      <c r="O41" s="43"/>
      <c r="P41" s="43"/>
      <c r="Q41" s="43"/>
      <c r="R41" s="43"/>
    </row>
    <row r="42" spans="2:18" ht="19.899999999999999" customHeight="1" x14ac:dyDescent="0.25">
      <c r="I42" s="197">
        <v>11</v>
      </c>
      <c r="J42" s="197" t="s">
        <v>135</v>
      </c>
      <c r="K42" s="43">
        <v>2</v>
      </c>
      <c r="L42" s="43">
        <f t="shared" ca="1" si="0"/>
        <v>19002</v>
      </c>
      <c r="M42" s="43"/>
      <c r="N42" s="43"/>
      <c r="O42" s="43"/>
      <c r="P42" s="43"/>
      <c r="Q42" s="43"/>
      <c r="R42" s="43"/>
    </row>
    <row r="43" spans="2:18" ht="19.899999999999999" customHeight="1" x14ac:dyDescent="0.25">
      <c r="I43" s="197">
        <v>12</v>
      </c>
      <c r="J43" s="197" t="s">
        <v>136</v>
      </c>
      <c r="K43" s="43">
        <v>2</v>
      </c>
      <c r="L43" s="43">
        <f t="shared" ca="1" si="0"/>
        <v>19002</v>
      </c>
      <c r="M43" s="43"/>
      <c r="N43" s="43"/>
      <c r="O43" s="43"/>
      <c r="P43" s="43"/>
      <c r="Q43" s="43"/>
      <c r="R43" s="43"/>
    </row>
    <row r="44" spans="2:18" ht="19.899999999999999" customHeight="1" x14ac:dyDescent="0.25">
      <c r="I44" s="197">
        <v>13</v>
      </c>
      <c r="J44" s="197" t="s">
        <v>125</v>
      </c>
      <c r="K44" s="43">
        <v>1</v>
      </c>
      <c r="L44" s="43">
        <f t="shared" ref="L44:L55" ca="1" si="1">VALUE(CONCATENATE(Yıl+1&amp;K44))</f>
        <v>19011</v>
      </c>
      <c r="M44" s="43"/>
      <c r="N44" s="43"/>
      <c r="O44" s="43"/>
      <c r="P44" s="43"/>
      <c r="Q44" s="43"/>
      <c r="R44" s="43"/>
    </row>
    <row r="45" spans="2:18" ht="19.899999999999999" customHeight="1" x14ac:dyDescent="0.25">
      <c r="I45" s="197">
        <v>14</v>
      </c>
      <c r="J45" s="197" t="s">
        <v>126</v>
      </c>
      <c r="K45" s="43">
        <v>1</v>
      </c>
      <c r="L45" s="43">
        <f t="shared" ca="1" si="1"/>
        <v>19011</v>
      </c>
      <c r="M45" s="43"/>
      <c r="N45" s="43"/>
      <c r="O45" s="43"/>
      <c r="P45" s="43"/>
      <c r="Q45" s="43"/>
      <c r="R45" s="43"/>
    </row>
    <row r="46" spans="2:18" ht="19.899999999999999" customHeight="1" x14ac:dyDescent="0.25">
      <c r="I46" s="197">
        <v>15</v>
      </c>
      <c r="J46" s="197" t="s">
        <v>127</v>
      </c>
      <c r="K46" s="43">
        <v>1</v>
      </c>
      <c r="L46" s="43">
        <f t="shared" ca="1" si="1"/>
        <v>19011</v>
      </c>
      <c r="M46" s="43"/>
      <c r="N46" s="43"/>
      <c r="O46" s="43"/>
      <c r="P46" s="43"/>
      <c r="Q46" s="43"/>
      <c r="R46" s="43"/>
    </row>
    <row r="47" spans="2:18" ht="19.899999999999999" customHeight="1" x14ac:dyDescent="0.25">
      <c r="I47" s="197">
        <v>16</v>
      </c>
      <c r="J47" s="197" t="s">
        <v>128</v>
      </c>
      <c r="K47" s="43">
        <v>1</v>
      </c>
      <c r="L47" s="43">
        <f t="shared" ca="1" si="1"/>
        <v>19011</v>
      </c>
      <c r="M47" s="43"/>
      <c r="N47" s="43"/>
      <c r="O47" s="43"/>
      <c r="P47" s="43"/>
      <c r="Q47" s="43"/>
      <c r="R47" s="43"/>
    </row>
    <row r="48" spans="2:18" ht="19.899999999999999" customHeight="1" x14ac:dyDescent="0.25">
      <c r="I48" s="197">
        <v>17</v>
      </c>
      <c r="J48" s="197" t="s">
        <v>129</v>
      </c>
      <c r="K48" s="43">
        <v>1</v>
      </c>
      <c r="L48" s="43">
        <f t="shared" ca="1" si="1"/>
        <v>19011</v>
      </c>
      <c r="M48" s="43"/>
      <c r="N48" s="43"/>
      <c r="O48" s="43"/>
      <c r="P48" s="43"/>
      <c r="Q48" s="43"/>
      <c r="R48" s="43"/>
    </row>
    <row r="49" spans="9:18" ht="19.899999999999999" customHeight="1" x14ac:dyDescent="0.25">
      <c r="I49" s="197">
        <v>18</v>
      </c>
      <c r="J49" s="197" t="s">
        <v>130</v>
      </c>
      <c r="K49" s="43">
        <v>1</v>
      </c>
      <c r="L49" s="43">
        <f t="shared" ca="1" si="1"/>
        <v>19011</v>
      </c>
      <c r="M49" s="43"/>
      <c r="N49" s="43"/>
      <c r="O49" s="43"/>
      <c r="P49" s="43"/>
      <c r="Q49" s="43"/>
      <c r="R49" s="43"/>
    </row>
    <row r="50" spans="9:18" ht="19.899999999999999" customHeight="1" x14ac:dyDescent="0.25">
      <c r="I50" s="197">
        <v>19</v>
      </c>
      <c r="J50" s="197" t="s">
        <v>131</v>
      </c>
      <c r="K50" s="43">
        <v>2</v>
      </c>
      <c r="L50" s="43">
        <f t="shared" ca="1" si="1"/>
        <v>19012</v>
      </c>
      <c r="M50" s="43"/>
      <c r="N50" s="43"/>
      <c r="O50" s="43"/>
      <c r="P50" s="43"/>
      <c r="Q50" s="43"/>
      <c r="R50" s="43"/>
    </row>
    <row r="51" spans="9:18" ht="19.899999999999999" customHeight="1" x14ac:dyDescent="0.25">
      <c r="I51" s="197">
        <v>20</v>
      </c>
      <c r="J51" s="197" t="s">
        <v>132</v>
      </c>
      <c r="K51" s="43">
        <v>2</v>
      </c>
      <c r="L51" s="43">
        <f t="shared" ca="1" si="1"/>
        <v>19012</v>
      </c>
      <c r="M51" s="43"/>
      <c r="N51" s="43"/>
      <c r="O51" s="43"/>
      <c r="P51" s="43"/>
      <c r="Q51" s="43"/>
      <c r="R51" s="43"/>
    </row>
    <row r="52" spans="9:18" ht="19.899999999999999" customHeight="1" x14ac:dyDescent="0.25">
      <c r="I52" s="197">
        <v>21</v>
      </c>
      <c r="J52" s="197" t="s">
        <v>133</v>
      </c>
      <c r="K52" s="43">
        <v>2</v>
      </c>
      <c r="L52" s="43">
        <f t="shared" ca="1" si="1"/>
        <v>19012</v>
      </c>
      <c r="M52" s="43"/>
      <c r="N52" s="43"/>
      <c r="O52" s="43"/>
      <c r="P52" s="43"/>
      <c r="Q52" s="43"/>
      <c r="R52" s="43"/>
    </row>
    <row r="53" spans="9:18" ht="19.899999999999999" customHeight="1" x14ac:dyDescent="0.25">
      <c r="I53" s="197">
        <v>22</v>
      </c>
      <c r="J53" s="197" t="s">
        <v>134</v>
      </c>
      <c r="K53" s="43">
        <v>2</v>
      </c>
      <c r="L53" s="43">
        <f t="shared" ca="1" si="1"/>
        <v>19012</v>
      </c>
      <c r="M53" s="43"/>
      <c r="N53" s="43"/>
      <c r="O53" s="43"/>
      <c r="P53" s="43"/>
      <c r="Q53" s="43"/>
      <c r="R53" s="43"/>
    </row>
    <row r="54" spans="9:18" ht="19.899999999999999" customHeight="1" x14ac:dyDescent="0.25">
      <c r="I54" s="197">
        <v>23</v>
      </c>
      <c r="J54" s="197" t="s">
        <v>135</v>
      </c>
      <c r="K54" s="43">
        <v>2</v>
      </c>
      <c r="L54" s="43">
        <f t="shared" ca="1" si="1"/>
        <v>19012</v>
      </c>
      <c r="M54" s="43"/>
      <c r="N54" s="43"/>
      <c r="O54" s="43"/>
      <c r="P54" s="43"/>
      <c r="Q54" s="43"/>
      <c r="R54" s="43"/>
    </row>
    <row r="55" spans="9:18" ht="19.899999999999999" customHeight="1" x14ac:dyDescent="0.25">
      <c r="I55" s="197">
        <v>24</v>
      </c>
      <c r="J55" s="197" t="s">
        <v>136</v>
      </c>
      <c r="K55" s="43">
        <v>2</v>
      </c>
      <c r="L55" s="43">
        <f t="shared" ca="1" si="1"/>
        <v>19012</v>
      </c>
      <c r="M55" s="43"/>
      <c r="N55" s="43"/>
      <c r="O55" s="43"/>
      <c r="P55" s="43"/>
      <c r="Q55" s="43"/>
      <c r="R55" s="43"/>
    </row>
    <row r="56" spans="9:18" ht="19.899999999999999" customHeight="1" x14ac:dyDescent="0.25">
      <c r="I56" s="43"/>
      <c r="J56" s="43"/>
      <c r="K56" s="43"/>
      <c r="L56" s="43"/>
      <c r="M56" s="43"/>
      <c r="N56" s="43"/>
      <c r="O56" s="43"/>
      <c r="P56" s="43"/>
      <c r="Q56" s="43"/>
      <c r="R56" s="43"/>
    </row>
    <row r="57" spans="9:18" ht="19.899999999999999" customHeight="1" x14ac:dyDescent="0.25">
      <c r="I57" s="43"/>
      <c r="J57" s="43"/>
      <c r="K57" s="43"/>
      <c r="L57" s="43"/>
      <c r="M57" s="43"/>
      <c r="N57" s="43"/>
      <c r="O57" s="43"/>
      <c r="P57" s="43"/>
      <c r="Q57" s="43"/>
      <c r="R57" s="43"/>
    </row>
    <row r="58" spans="9:18" ht="19.899999999999999" customHeight="1" x14ac:dyDescent="0.25">
      <c r="I58" s="43"/>
      <c r="J58" s="43"/>
      <c r="K58" s="43"/>
      <c r="L58" s="43"/>
      <c r="M58" s="43"/>
      <c r="N58" s="43"/>
      <c r="O58" s="43"/>
      <c r="P58" s="43"/>
      <c r="Q58" s="43"/>
      <c r="R58" s="43"/>
    </row>
    <row r="59" spans="9:18" ht="19.899999999999999" customHeight="1" x14ac:dyDescent="0.25">
      <c r="I59" s="43"/>
      <c r="J59" s="43"/>
      <c r="K59" s="43"/>
      <c r="L59" s="43"/>
      <c r="M59" s="43"/>
      <c r="N59" s="43"/>
      <c r="O59" s="43"/>
      <c r="P59" s="43"/>
      <c r="Q59" s="43"/>
      <c r="R59" s="43"/>
    </row>
    <row r="60" spans="9:18" ht="19.899999999999999" customHeight="1" x14ac:dyDescent="0.25">
      <c r="I60" s="43"/>
      <c r="J60" s="43"/>
      <c r="K60" s="43"/>
      <c r="L60" s="43"/>
      <c r="M60" s="43"/>
      <c r="N60" s="43"/>
      <c r="O60" s="43"/>
      <c r="P60" s="43"/>
      <c r="Q60" s="43"/>
      <c r="R60" s="43"/>
    </row>
    <row r="61" spans="9:18" ht="19.899999999999999" customHeight="1" x14ac:dyDescent="0.25">
      <c r="I61" s="43"/>
      <c r="J61" s="43"/>
      <c r="K61" s="43"/>
      <c r="L61" s="43"/>
      <c r="M61" s="43"/>
      <c r="N61" s="43"/>
      <c r="O61" s="43"/>
      <c r="P61" s="43"/>
      <c r="Q61" s="43"/>
      <c r="R61" s="43"/>
    </row>
    <row r="62" spans="9:18" ht="19.899999999999999" customHeight="1" x14ac:dyDescent="0.25">
      <c r="I62" s="43"/>
      <c r="J62" s="43"/>
      <c r="K62" s="43"/>
      <c r="L62" s="43"/>
      <c r="M62" s="43"/>
      <c r="N62" s="43"/>
      <c r="O62" s="43"/>
      <c r="P62" s="43"/>
      <c r="Q62" s="43"/>
      <c r="R62" s="43"/>
    </row>
    <row r="63" spans="9:18" ht="19.899999999999999" customHeight="1" x14ac:dyDescent="0.25">
      <c r="I63" s="43"/>
      <c r="J63" s="43"/>
      <c r="K63" s="43"/>
      <c r="L63" s="43"/>
      <c r="M63" s="43"/>
      <c r="N63" s="43"/>
      <c r="O63" s="43"/>
      <c r="P63" s="43"/>
      <c r="Q63" s="43"/>
      <c r="R63" s="43"/>
    </row>
    <row r="64" spans="9:18" ht="19.899999999999999" customHeight="1" x14ac:dyDescent="0.25">
      <c r="I64" s="43"/>
      <c r="J64" s="43"/>
      <c r="K64" s="43"/>
      <c r="L64" s="43"/>
      <c r="M64" s="43"/>
      <c r="N64" s="43"/>
      <c r="O64" s="43"/>
      <c r="P64" s="43"/>
      <c r="Q64" s="43"/>
      <c r="R64" s="43"/>
    </row>
    <row r="65" spans="9:18" ht="19.899999999999999" customHeight="1" x14ac:dyDescent="0.25">
      <c r="I65" s="43"/>
      <c r="J65" s="43"/>
      <c r="K65" s="43"/>
      <c r="L65" s="43"/>
      <c r="M65" s="43"/>
      <c r="N65" s="43"/>
      <c r="O65" s="43"/>
      <c r="P65" s="43"/>
      <c r="Q65" s="43"/>
      <c r="R65" s="43"/>
    </row>
    <row r="66" spans="9:18" ht="19.899999999999999" customHeight="1" x14ac:dyDescent="0.25">
      <c r="I66" s="43"/>
      <c r="J66" s="43"/>
      <c r="K66" s="43"/>
      <c r="L66" s="43"/>
      <c r="M66" s="43"/>
      <c r="N66" s="43"/>
      <c r="O66" s="43"/>
      <c r="P66" s="43"/>
      <c r="Q66" s="43"/>
      <c r="R66" s="43"/>
    </row>
    <row r="67" spans="9:18" ht="19.899999999999999" customHeight="1" x14ac:dyDescent="0.25">
      <c r="I67" s="43"/>
      <c r="J67" s="43"/>
      <c r="K67" s="43"/>
      <c r="L67" s="43"/>
      <c r="M67" s="43"/>
      <c r="N67" s="43"/>
      <c r="O67" s="43"/>
      <c r="P67" s="43"/>
      <c r="Q67" s="43"/>
      <c r="R67" s="43"/>
    </row>
    <row r="68" spans="9:18" ht="19.899999999999999" customHeight="1" x14ac:dyDescent="0.25">
      <c r="I68" s="43"/>
      <c r="J68" s="43"/>
      <c r="K68" s="43"/>
      <c r="L68" s="43"/>
      <c r="M68" s="43"/>
      <c r="N68" s="43"/>
      <c r="O68" s="43"/>
      <c r="P68" s="43"/>
      <c r="Q68" s="43"/>
      <c r="R68" s="43"/>
    </row>
    <row r="69" spans="9:18" ht="19.899999999999999" customHeight="1" x14ac:dyDescent="0.25">
      <c r="I69" s="43"/>
      <c r="J69" s="43"/>
      <c r="K69" s="43"/>
      <c r="L69" s="43"/>
      <c r="M69" s="43"/>
      <c r="N69" s="43"/>
      <c r="O69" s="43"/>
      <c r="P69" s="43"/>
      <c r="Q69" s="43"/>
      <c r="R69" s="43"/>
    </row>
    <row r="70" spans="9:18" ht="19.899999999999999" customHeight="1" x14ac:dyDescent="0.25">
      <c r="I70" s="43"/>
      <c r="J70" s="43"/>
      <c r="K70" s="43"/>
      <c r="L70" s="43"/>
      <c r="M70" s="43"/>
      <c r="N70" s="43"/>
      <c r="O70" s="43"/>
      <c r="P70" s="43"/>
      <c r="Q70" s="43"/>
      <c r="R70" s="43"/>
    </row>
    <row r="71" spans="9:18" ht="19.899999999999999" customHeight="1" x14ac:dyDescent="0.25">
      <c r="I71" s="43"/>
      <c r="J71" s="43"/>
      <c r="K71" s="43"/>
      <c r="L71" s="43"/>
      <c r="M71" s="43"/>
      <c r="N71" s="43"/>
      <c r="O71" s="43"/>
      <c r="P71" s="43"/>
      <c r="Q71" s="43"/>
      <c r="R71" s="43"/>
    </row>
    <row r="72" spans="9:18" ht="19.899999999999999" customHeight="1" x14ac:dyDescent="0.25">
      <c r="I72" s="43"/>
      <c r="J72" s="43"/>
      <c r="K72" s="43"/>
      <c r="L72" s="43"/>
      <c r="M72" s="43"/>
      <c r="N72" s="43"/>
      <c r="O72" s="43"/>
      <c r="P72" s="43"/>
      <c r="Q72" s="43"/>
      <c r="R72" s="43"/>
    </row>
    <row r="73" spans="9:18" ht="19.899999999999999" customHeight="1" x14ac:dyDescent="0.25">
      <c r="I73" s="43"/>
      <c r="J73" s="43"/>
      <c r="K73" s="43"/>
      <c r="L73" s="43"/>
      <c r="M73" s="43"/>
      <c r="N73" s="43"/>
      <c r="O73" s="43"/>
      <c r="P73" s="43"/>
      <c r="Q73" s="43"/>
      <c r="R73" s="43"/>
    </row>
    <row r="74" spans="9:18" ht="19.899999999999999" customHeight="1" x14ac:dyDescent="0.25">
      <c r="I74" s="43"/>
      <c r="J74" s="43"/>
      <c r="K74" s="43"/>
      <c r="L74" s="43"/>
      <c r="M74" s="43"/>
      <c r="N74" s="43"/>
      <c r="O74" s="43"/>
      <c r="P74" s="43"/>
      <c r="Q74" s="43"/>
      <c r="R74" s="43"/>
    </row>
    <row r="75" spans="9:18" ht="19.899999999999999" customHeight="1" x14ac:dyDescent="0.25">
      <c r="I75" s="43"/>
      <c r="J75" s="43"/>
      <c r="K75" s="43"/>
      <c r="L75" s="43"/>
      <c r="M75" s="43"/>
      <c r="N75" s="43"/>
      <c r="O75" s="43"/>
      <c r="P75" s="43"/>
      <c r="Q75" s="43"/>
      <c r="R75" s="43"/>
    </row>
    <row r="76" spans="9:18" ht="19.899999999999999" customHeight="1" x14ac:dyDescent="0.25">
      <c r="I76" s="43"/>
      <c r="J76" s="43"/>
      <c r="K76" s="43"/>
      <c r="L76" s="43"/>
      <c r="M76" s="43"/>
      <c r="N76" s="43"/>
      <c r="O76" s="43"/>
      <c r="P76" s="43"/>
      <c r="Q76" s="43"/>
      <c r="R76" s="43"/>
    </row>
    <row r="77" spans="9:18" ht="19.899999999999999" customHeight="1" x14ac:dyDescent="0.25">
      <c r="I77" s="43"/>
      <c r="J77" s="43"/>
      <c r="K77" s="43"/>
      <c r="L77" s="43"/>
      <c r="M77" s="43"/>
      <c r="N77" s="43"/>
      <c r="O77" s="43"/>
      <c r="P77" s="43"/>
      <c r="Q77" s="43"/>
      <c r="R77" s="43"/>
    </row>
    <row r="78" spans="9:18" ht="19.899999999999999" customHeight="1" x14ac:dyDescent="0.25">
      <c r="I78" s="43"/>
      <c r="J78" s="43"/>
      <c r="K78" s="43"/>
      <c r="L78" s="43"/>
      <c r="M78" s="43"/>
      <c r="N78" s="43"/>
      <c r="O78" s="43"/>
      <c r="P78" s="43"/>
      <c r="Q78" s="43"/>
      <c r="R78" s="43"/>
    </row>
    <row r="79" spans="9:18" ht="19.899999999999999" customHeight="1" x14ac:dyDescent="0.25">
      <c r="I79" s="43"/>
      <c r="J79" s="43"/>
      <c r="K79" s="43"/>
      <c r="L79" s="43"/>
      <c r="M79" s="43"/>
      <c r="N79" s="43"/>
      <c r="O79" s="43"/>
      <c r="P79" s="43"/>
      <c r="Q79" s="43"/>
      <c r="R79" s="43"/>
    </row>
    <row r="80" spans="9:18" ht="19.899999999999999" customHeight="1" x14ac:dyDescent="0.25">
      <c r="I80" s="43"/>
      <c r="J80" s="43"/>
      <c r="K80" s="43"/>
      <c r="L80" s="43"/>
      <c r="M80" s="43"/>
      <c r="N80" s="43"/>
      <c r="O80" s="43"/>
      <c r="P80" s="43"/>
      <c r="Q80" s="43"/>
      <c r="R80" s="43"/>
    </row>
    <row r="81" spans="9:18" ht="19.899999999999999" customHeight="1" x14ac:dyDescent="0.25">
      <c r="I81" s="43"/>
      <c r="J81" s="43"/>
      <c r="K81" s="43"/>
      <c r="L81" s="43"/>
      <c r="M81" s="43"/>
      <c r="N81" s="43"/>
      <c r="O81" s="43"/>
      <c r="P81" s="43"/>
      <c r="Q81" s="43"/>
      <c r="R81" s="43"/>
    </row>
    <row r="82" spans="9:18" ht="19.899999999999999" customHeight="1" x14ac:dyDescent="0.25">
      <c r="I82" s="43"/>
      <c r="J82" s="43"/>
      <c r="K82" s="43"/>
      <c r="L82" s="43"/>
      <c r="M82" s="43"/>
      <c r="N82" s="43"/>
      <c r="O82" s="43"/>
      <c r="P82" s="43"/>
      <c r="Q82" s="43"/>
      <c r="R82" s="43"/>
    </row>
    <row r="83" spans="9:18" ht="19.899999999999999" customHeight="1" x14ac:dyDescent="0.25">
      <c r="I83" s="43"/>
      <c r="J83" s="43"/>
      <c r="K83" s="43"/>
      <c r="L83" s="43"/>
      <c r="M83" s="43"/>
      <c r="N83" s="43"/>
      <c r="O83" s="43"/>
      <c r="P83" s="43"/>
      <c r="Q83" s="43"/>
      <c r="R83" s="43"/>
    </row>
    <row r="84" spans="9:18" ht="19.899999999999999" customHeight="1" x14ac:dyDescent="0.25">
      <c r="I84" s="43"/>
      <c r="J84" s="43"/>
      <c r="K84" s="43"/>
      <c r="L84" s="43"/>
      <c r="M84" s="43"/>
      <c r="N84" s="43"/>
      <c r="O84" s="43"/>
      <c r="P84" s="43"/>
      <c r="Q84" s="43"/>
      <c r="R84" s="43"/>
    </row>
    <row r="85" spans="9:18" ht="19.899999999999999" customHeight="1" x14ac:dyDescent="0.25">
      <c r="I85" s="43"/>
      <c r="J85" s="43"/>
      <c r="K85" s="43"/>
      <c r="L85" s="43"/>
      <c r="M85" s="43"/>
      <c r="N85" s="43"/>
      <c r="O85" s="43"/>
      <c r="P85" s="43"/>
      <c r="Q85" s="43"/>
      <c r="R85" s="43"/>
    </row>
    <row r="86" spans="9:18" ht="19.899999999999999" customHeight="1" x14ac:dyDescent="0.25">
      <c r="I86" s="43"/>
      <c r="J86" s="43"/>
      <c r="K86" s="43"/>
      <c r="L86" s="43"/>
      <c r="M86" s="43"/>
      <c r="N86" s="43"/>
      <c r="O86" s="43"/>
      <c r="P86" s="43"/>
      <c r="Q86" s="43"/>
      <c r="R86" s="43"/>
    </row>
    <row r="87" spans="9:18" ht="19.899999999999999" customHeight="1" x14ac:dyDescent="0.25">
      <c r="I87" s="43"/>
      <c r="J87" s="43"/>
      <c r="K87" s="43"/>
      <c r="L87" s="43"/>
      <c r="M87" s="43"/>
      <c r="N87" s="43"/>
      <c r="O87" s="43"/>
      <c r="P87" s="43"/>
      <c r="Q87" s="43"/>
      <c r="R87" s="43"/>
    </row>
    <row r="88" spans="9:18" ht="19.899999999999999" customHeight="1" x14ac:dyDescent="0.25">
      <c r="I88" s="43"/>
      <c r="J88" s="43"/>
      <c r="K88" s="43"/>
      <c r="L88" s="43"/>
      <c r="M88" s="43"/>
      <c r="N88" s="43"/>
      <c r="O88" s="43"/>
      <c r="P88" s="43"/>
      <c r="Q88" s="43"/>
      <c r="R88" s="43"/>
    </row>
    <row r="89" spans="9:18" ht="19.899999999999999" customHeight="1" x14ac:dyDescent="0.25">
      <c r="I89" s="43"/>
      <c r="J89" s="43"/>
      <c r="K89" s="43"/>
      <c r="L89" s="43"/>
      <c r="M89" s="43"/>
      <c r="N89" s="43"/>
      <c r="O89" s="43"/>
      <c r="P89" s="43"/>
      <c r="Q89" s="43"/>
      <c r="R89" s="43"/>
    </row>
    <row r="90" spans="9:18" ht="19.899999999999999" customHeight="1" x14ac:dyDescent="0.25">
      <c r="I90" s="43"/>
      <c r="J90" s="43"/>
      <c r="K90" s="43"/>
      <c r="L90" s="43"/>
      <c r="M90" s="43"/>
      <c r="N90" s="43"/>
      <c r="O90" s="43"/>
      <c r="P90" s="43"/>
      <c r="Q90" s="43"/>
      <c r="R90" s="43"/>
    </row>
    <row r="91" spans="9:18" ht="19.899999999999999" customHeight="1" x14ac:dyDescent="0.25">
      <c r="I91" s="43"/>
      <c r="J91" s="43"/>
      <c r="K91" s="43"/>
      <c r="L91" s="43"/>
      <c r="M91" s="43"/>
      <c r="N91" s="43"/>
      <c r="O91" s="43"/>
      <c r="P91" s="43"/>
      <c r="Q91" s="43"/>
      <c r="R91" s="43"/>
    </row>
    <row r="92" spans="9:18" ht="19.899999999999999" customHeight="1" x14ac:dyDescent="0.25">
      <c r="I92" s="43"/>
      <c r="J92" s="43"/>
      <c r="K92" s="43"/>
      <c r="L92" s="43"/>
      <c r="M92" s="43"/>
      <c r="N92" s="43"/>
      <c r="O92" s="43"/>
      <c r="P92" s="43"/>
      <c r="Q92" s="43"/>
      <c r="R92" s="43"/>
    </row>
    <row r="93" spans="9:18" ht="19.899999999999999" customHeight="1" x14ac:dyDescent="0.25">
      <c r="I93" s="43"/>
      <c r="J93" s="43"/>
      <c r="K93" s="43"/>
      <c r="L93" s="43"/>
      <c r="M93" s="43"/>
      <c r="N93" s="43"/>
      <c r="O93" s="43"/>
      <c r="P93" s="43"/>
      <c r="Q93" s="43"/>
      <c r="R93" s="43"/>
    </row>
    <row r="94" spans="9:18" ht="19.899999999999999" customHeight="1" x14ac:dyDescent="0.25">
      <c r="I94" s="43"/>
      <c r="J94" s="43"/>
      <c r="K94" s="43"/>
      <c r="L94" s="43"/>
      <c r="M94" s="43"/>
      <c r="N94" s="43"/>
      <c r="O94" s="43"/>
      <c r="P94" s="43"/>
      <c r="Q94" s="43"/>
      <c r="R94" s="43"/>
    </row>
    <row r="95" spans="9:18" ht="19.899999999999999" customHeight="1" x14ac:dyDescent="0.25">
      <c r="I95" s="43"/>
      <c r="J95" s="43"/>
      <c r="K95" s="43"/>
      <c r="L95" s="43"/>
      <c r="M95" s="43"/>
      <c r="N95" s="43"/>
      <c r="O95" s="43"/>
      <c r="P95" s="43"/>
      <c r="Q95" s="43"/>
      <c r="R95" s="43"/>
    </row>
    <row r="96" spans="9:18" ht="19.899999999999999" customHeight="1" x14ac:dyDescent="0.25">
      <c r="I96" s="43"/>
      <c r="J96" s="43"/>
      <c r="K96" s="43"/>
      <c r="L96" s="43"/>
      <c r="M96" s="43"/>
      <c r="N96" s="43"/>
      <c r="O96" s="43"/>
      <c r="P96" s="43"/>
      <c r="Q96" s="43"/>
      <c r="R96" s="43"/>
    </row>
    <row r="97" spans="9:18" ht="19.899999999999999" customHeight="1" x14ac:dyDescent="0.25">
      <c r="I97" s="43"/>
      <c r="J97" s="43"/>
      <c r="K97" s="43"/>
      <c r="L97" s="43"/>
      <c r="M97" s="43"/>
      <c r="N97" s="43"/>
      <c r="O97" s="43"/>
      <c r="P97" s="43"/>
      <c r="Q97" s="43"/>
      <c r="R97" s="43"/>
    </row>
    <row r="98" spans="9:18" ht="19.899999999999999" customHeight="1" x14ac:dyDescent="0.25">
      <c r="I98" s="43"/>
      <c r="J98" s="43"/>
      <c r="K98" s="43"/>
      <c r="L98" s="43"/>
      <c r="M98" s="43"/>
      <c r="N98" s="43"/>
      <c r="O98" s="43"/>
      <c r="P98" s="43"/>
      <c r="Q98" s="43"/>
      <c r="R98" s="43"/>
    </row>
    <row r="99" spans="9:18" ht="19.899999999999999" customHeight="1" x14ac:dyDescent="0.25">
      <c r="I99" s="43"/>
      <c r="J99" s="43"/>
      <c r="K99" s="43"/>
      <c r="L99" s="43"/>
      <c r="M99" s="43"/>
      <c r="N99" s="43"/>
      <c r="O99" s="43"/>
      <c r="P99" s="43"/>
      <c r="Q99" s="43"/>
      <c r="R99" s="43"/>
    </row>
    <row r="100" spans="9:18" ht="19.899999999999999" customHeight="1" x14ac:dyDescent="0.25">
      <c r="I100" s="43"/>
      <c r="J100" s="43"/>
      <c r="K100" s="43"/>
      <c r="L100" s="43"/>
      <c r="M100" s="43"/>
      <c r="N100" s="43"/>
      <c r="O100" s="43"/>
      <c r="P100" s="43"/>
      <c r="Q100" s="43"/>
      <c r="R100" s="43"/>
    </row>
    <row r="101" spans="9:18" ht="19.899999999999999" customHeight="1" x14ac:dyDescent="0.25">
      <c r="I101" s="43"/>
      <c r="J101" s="43"/>
      <c r="K101" s="43"/>
      <c r="L101" s="43"/>
      <c r="M101" s="43"/>
      <c r="N101" s="43"/>
      <c r="O101" s="43"/>
      <c r="P101" s="43"/>
      <c r="Q101" s="43"/>
      <c r="R101" s="43"/>
    </row>
    <row r="102" spans="9:18" ht="19.899999999999999" customHeight="1" x14ac:dyDescent="0.25">
      <c r="I102" s="43"/>
      <c r="J102" s="43"/>
      <c r="K102" s="43"/>
      <c r="L102" s="43"/>
      <c r="M102" s="43"/>
      <c r="N102" s="43"/>
      <c r="O102" s="43"/>
      <c r="P102" s="43"/>
      <c r="Q102" s="43"/>
      <c r="R102" s="43"/>
    </row>
    <row r="103" spans="9:18" ht="19.899999999999999" customHeight="1" x14ac:dyDescent="0.25">
      <c r="I103" s="43"/>
      <c r="J103" s="43"/>
      <c r="K103" s="43"/>
      <c r="L103" s="43"/>
      <c r="M103" s="43"/>
      <c r="N103" s="43"/>
      <c r="O103" s="43"/>
      <c r="P103" s="43"/>
      <c r="Q103" s="43"/>
      <c r="R103" s="43"/>
    </row>
    <row r="104" spans="9:18" ht="19.899999999999999" customHeight="1" x14ac:dyDescent="0.25">
      <c r="I104" s="43"/>
      <c r="J104" s="43"/>
      <c r="K104" s="43"/>
      <c r="L104" s="43"/>
      <c r="M104" s="43"/>
      <c r="N104" s="43"/>
      <c r="O104" s="43"/>
      <c r="P104" s="43"/>
      <c r="Q104" s="43"/>
      <c r="R104" s="43"/>
    </row>
    <row r="105" spans="9:18" ht="19.899999999999999" customHeight="1" x14ac:dyDescent="0.25">
      <c r="I105" s="43"/>
      <c r="J105" s="43"/>
      <c r="K105" s="43"/>
      <c r="L105" s="43"/>
      <c r="M105" s="43"/>
      <c r="N105" s="43"/>
      <c r="O105" s="43"/>
      <c r="P105" s="43"/>
      <c r="Q105" s="43"/>
      <c r="R105" s="43"/>
    </row>
    <row r="106" spans="9:18" ht="19.899999999999999" customHeight="1" x14ac:dyDescent="0.25">
      <c r="I106" s="43"/>
      <c r="J106" s="43"/>
      <c r="K106" s="43"/>
      <c r="L106" s="43"/>
      <c r="M106" s="43"/>
      <c r="N106" s="43"/>
      <c r="O106" s="43"/>
      <c r="P106" s="43"/>
      <c r="Q106" s="43"/>
      <c r="R106" s="43"/>
    </row>
    <row r="107" spans="9:18" ht="19.899999999999999" customHeight="1" x14ac:dyDescent="0.25">
      <c r="I107" s="43"/>
      <c r="J107" s="43"/>
      <c r="K107" s="43"/>
      <c r="L107" s="43"/>
      <c r="M107" s="43"/>
      <c r="N107" s="43"/>
      <c r="O107" s="43"/>
      <c r="P107" s="43"/>
      <c r="Q107" s="43"/>
      <c r="R107" s="43"/>
    </row>
    <row r="108" spans="9:18" ht="19.899999999999999" customHeight="1" x14ac:dyDescent="0.25">
      <c r="I108" s="43"/>
      <c r="J108" s="43"/>
      <c r="K108" s="43"/>
      <c r="L108" s="43"/>
      <c r="M108" s="43"/>
      <c r="N108" s="43"/>
      <c r="O108" s="43"/>
      <c r="P108" s="43"/>
      <c r="Q108" s="43"/>
      <c r="R108" s="43"/>
    </row>
    <row r="109" spans="9:18" ht="19.899999999999999" customHeight="1" x14ac:dyDescent="0.25">
      <c r="I109" s="43"/>
      <c r="J109" s="43"/>
      <c r="K109" s="43"/>
      <c r="L109" s="43"/>
      <c r="M109" s="43"/>
      <c r="N109" s="43"/>
      <c r="O109" s="43"/>
      <c r="P109" s="43"/>
      <c r="Q109" s="43"/>
      <c r="R109" s="43"/>
    </row>
    <row r="110" spans="9:18" ht="19.899999999999999" customHeight="1" x14ac:dyDescent="0.25">
      <c r="I110" s="43"/>
      <c r="J110" s="43"/>
      <c r="K110" s="43"/>
      <c r="L110" s="43"/>
      <c r="M110" s="43"/>
      <c r="N110" s="43"/>
      <c r="O110" s="43"/>
      <c r="P110" s="43"/>
      <c r="Q110" s="43"/>
      <c r="R110" s="43"/>
    </row>
    <row r="111" spans="9:18" ht="19.899999999999999" customHeight="1" x14ac:dyDescent="0.25">
      <c r="I111" s="43"/>
      <c r="J111" s="43"/>
      <c r="K111" s="43"/>
      <c r="L111" s="43"/>
      <c r="M111" s="43"/>
      <c r="N111" s="43"/>
      <c r="O111" s="43"/>
      <c r="P111" s="43"/>
      <c r="Q111" s="43"/>
      <c r="R111" s="43"/>
    </row>
    <row r="112" spans="9:18" ht="19.899999999999999" customHeight="1" x14ac:dyDescent="0.25">
      <c r="I112" s="43"/>
      <c r="J112" s="43"/>
      <c r="K112" s="43"/>
      <c r="L112" s="43"/>
      <c r="M112" s="43"/>
      <c r="N112" s="43"/>
      <c r="O112" s="43"/>
      <c r="P112" s="43"/>
      <c r="Q112" s="43"/>
      <c r="R112" s="43"/>
    </row>
    <row r="113" spans="9:18" ht="19.899999999999999" customHeight="1" x14ac:dyDescent="0.25">
      <c r="I113" s="43"/>
      <c r="J113" s="43"/>
      <c r="K113" s="43"/>
      <c r="L113" s="43"/>
      <c r="M113" s="43"/>
      <c r="N113" s="43"/>
      <c r="O113" s="43"/>
      <c r="P113" s="43"/>
      <c r="Q113" s="43"/>
      <c r="R113" s="43"/>
    </row>
    <row r="114" spans="9:18" ht="19.899999999999999" customHeight="1" x14ac:dyDescent="0.25">
      <c r="I114" s="43"/>
      <c r="J114" s="43"/>
      <c r="K114" s="43"/>
      <c r="L114" s="43"/>
      <c r="M114" s="43"/>
      <c r="N114" s="43"/>
      <c r="O114" s="43"/>
      <c r="P114" s="43"/>
      <c r="Q114" s="43"/>
      <c r="R114" s="43"/>
    </row>
    <row r="115" spans="9:18" ht="19.899999999999999" customHeight="1" x14ac:dyDescent="0.25">
      <c r="I115" s="43"/>
      <c r="J115" s="43"/>
      <c r="K115" s="43"/>
      <c r="L115" s="43"/>
      <c r="M115" s="43"/>
      <c r="N115" s="43"/>
      <c r="O115" s="43"/>
      <c r="P115" s="43"/>
      <c r="Q115" s="43"/>
      <c r="R115" s="43"/>
    </row>
    <row r="116" spans="9:18" ht="19.899999999999999" customHeight="1" x14ac:dyDescent="0.25">
      <c r="I116" s="43"/>
      <c r="J116" s="43"/>
      <c r="K116" s="43"/>
      <c r="L116" s="43"/>
      <c r="M116" s="43"/>
      <c r="N116" s="43"/>
      <c r="O116" s="43"/>
      <c r="P116" s="43"/>
      <c r="Q116" s="43"/>
      <c r="R116" s="43"/>
    </row>
    <row r="117" spans="9:18" ht="19.899999999999999" customHeight="1" x14ac:dyDescent="0.25">
      <c r="I117" s="43"/>
      <c r="J117" s="43"/>
      <c r="K117" s="43"/>
      <c r="L117" s="43"/>
      <c r="M117" s="43"/>
      <c r="N117" s="43"/>
      <c r="O117" s="43"/>
      <c r="P117" s="43"/>
      <c r="Q117" s="43"/>
      <c r="R117" s="43"/>
    </row>
    <row r="118" spans="9:18" ht="19.899999999999999" customHeight="1" x14ac:dyDescent="0.25">
      <c r="I118" s="43"/>
      <c r="J118" s="43"/>
      <c r="K118" s="43"/>
      <c r="L118" s="43"/>
      <c r="M118" s="43"/>
      <c r="N118" s="43"/>
      <c r="O118" s="43"/>
      <c r="P118" s="43"/>
      <c r="Q118" s="43"/>
      <c r="R118" s="43"/>
    </row>
    <row r="119" spans="9:18" ht="19.899999999999999" customHeight="1" x14ac:dyDescent="0.25">
      <c r="I119" s="43"/>
      <c r="J119" s="43"/>
      <c r="K119" s="43"/>
      <c r="L119" s="43"/>
      <c r="M119" s="43"/>
      <c r="N119" s="43"/>
      <c r="O119" s="43"/>
      <c r="P119" s="43"/>
      <c r="Q119" s="43"/>
      <c r="R119" s="43"/>
    </row>
    <row r="120" spans="9:18" ht="19.899999999999999" customHeight="1" x14ac:dyDescent="0.25">
      <c r="I120" s="43"/>
      <c r="J120" s="43"/>
      <c r="K120" s="43"/>
      <c r="L120" s="43"/>
      <c r="M120" s="43"/>
      <c r="N120" s="43"/>
      <c r="O120" s="43"/>
      <c r="P120" s="43"/>
      <c r="Q120" s="43"/>
      <c r="R120" s="43"/>
    </row>
    <row r="121" spans="9:18" ht="19.899999999999999" customHeight="1" x14ac:dyDescent="0.25">
      <c r="I121" s="43"/>
      <c r="J121" s="43"/>
      <c r="K121" s="43"/>
      <c r="L121" s="43"/>
      <c r="M121" s="43"/>
      <c r="N121" s="43"/>
      <c r="O121" s="43"/>
      <c r="P121" s="43"/>
      <c r="Q121" s="43"/>
      <c r="R121" s="43"/>
    </row>
    <row r="122" spans="9:18" ht="19.899999999999999" customHeight="1" x14ac:dyDescent="0.25">
      <c r="I122" s="43"/>
      <c r="J122" s="43"/>
      <c r="K122" s="43"/>
      <c r="L122" s="43"/>
      <c r="M122" s="43"/>
      <c r="N122" s="43"/>
      <c r="O122" s="43"/>
      <c r="P122" s="43"/>
      <c r="Q122" s="43"/>
      <c r="R122" s="43"/>
    </row>
    <row r="123" spans="9:18" ht="19.899999999999999" customHeight="1" x14ac:dyDescent="0.25">
      <c r="I123" s="43"/>
      <c r="J123" s="43"/>
      <c r="K123" s="43"/>
      <c r="L123" s="43"/>
      <c r="M123" s="43"/>
      <c r="N123" s="43"/>
      <c r="O123" s="43"/>
      <c r="P123" s="43"/>
      <c r="Q123" s="43"/>
      <c r="R123" s="43"/>
    </row>
    <row r="124" spans="9:18" ht="19.899999999999999" customHeight="1" x14ac:dyDescent="0.25">
      <c r="I124" s="43"/>
      <c r="J124" s="43"/>
      <c r="K124" s="43"/>
      <c r="L124" s="43"/>
      <c r="M124" s="43"/>
      <c r="N124" s="43"/>
      <c r="O124" s="43"/>
      <c r="P124" s="43"/>
      <c r="Q124" s="43"/>
      <c r="R124" s="43"/>
    </row>
    <row r="125" spans="9:18" ht="19.899999999999999" customHeight="1" x14ac:dyDescent="0.25">
      <c r="I125" s="43"/>
      <c r="J125" s="43"/>
      <c r="K125" s="43"/>
      <c r="L125" s="43"/>
      <c r="M125" s="43"/>
      <c r="N125" s="43"/>
      <c r="O125" s="43"/>
      <c r="P125" s="43"/>
      <c r="Q125" s="43"/>
      <c r="R125" s="43"/>
    </row>
    <row r="126" spans="9:18" ht="19.899999999999999" customHeight="1" x14ac:dyDescent="0.25">
      <c r="I126" s="43"/>
      <c r="J126" s="43"/>
      <c r="K126" s="43"/>
      <c r="L126" s="43"/>
      <c r="M126" s="43"/>
      <c r="N126" s="43"/>
      <c r="O126" s="43"/>
      <c r="P126" s="43"/>
      <c r="Q126" s="43"/>
      <c r="R126" s="43"/>
    </row>
    <row r="127" spans="9:18" ht="19.899999999999999" customHeight="1" x14ac:dyDescent="0.25">
      <c r="I127" s="43"/>
      <c r="J127" s="43"/>
      <c r="K127" s="43"/>
      <c r="L127" s="43"/>
      <c r="M127" s="43"/>
      <c r="N127" s="43"/>
      <c r="O127" s="43"/>
      <c r="P127" s="43"/>
      <c r="Q127" s="43"/>
      <c r="R127" s="43"/>
    </row>
    <row r="128" spans="9:18" ht="19.899999999999999" customHeight="1" x14ac:dyDescent="0.25">
      <c r="I128" s="43"/>
      <c r="J128" s="43"/>
      <c r="K128" s="43"/>
      <c r="L128" s="43"/>
      <c r="M128" s="43"/>
      <c r="N128" s="43"/>
      <c r="O128" s="43"/>
      <c r="P128" s="43"/>
      <c r="Q128" s="43"/>
      <c r="R128" s="43"/>
    </row>
    <row r="129" spans="9:18" ht="19.899999999999999" customHeight="1" x14ac:dyDescent="0.25">
      <c r="I129" s="43"/>
      <c r="J129" s="43"/>
      <c r="K129" s="43"/>
      <c r="L129" s="43"/>
      <c r="M129" s="43"/>
      <c r="N129" s="43"/>
      <c r="O129" s="43"/>
      <c r="P129" s="43"/>
      <c r="Q129" s="43"/>
      <c r="R129" s="43"/>
    </row>
    <row r="130" spans="9:18" ht="19.899999999999999" customHeight="1" x14ac:dyDescent="0.25">
      <c r="I130" s="43"/>
      <c r="J130" s="43"/>
      <c r="K130" s="43"/>
      <c r="L130" s="43"/>
      <c r="M130" s="43"/>
      <c r="N130" s="43"/>
      <c r="O130" s="43"/>
      <c r="P130" s="43"/>
      <c r="Q130" s="43"/>
      <c r="R130" s="43"/>
    </row>
    <row r="131" spans="9:18" ht="19.899999999999999" customHeight="1" x14ac:dyDescent="0.25">
      <c r="I131" s="43"/>
      <c r="J131" s="43"/>
      <c r="K131" s="43"/>
      <c r="L131" s="43"/>
      <c r="M131" s="43"/>
      <c r="N131" s="43"/>
      <c r="O131" s="43"/>
      <c r="P131" s="43"/>
      <c r="Q131" s="43"/>
      <c r="R131" s="43"/>
    </row>
    <row r="132" spans="9:18" ht="19.899999999999999" customHeight="1" x14ac:dyDescent="0.25">
      <c r="I132" s="43"/>
      <c r="J132" s="43"/>
      <c r="K132" s="43"/>
      <c r="L132" s="43"/>
      <c r="M132" s="43"/>
      <c r="N132" s="43"/>
      <c r="O132" s="43"/>
      <c r="P132" s="43"/>
      <c r="Q132" s="43"/>
      <c r="R132" s="43"/>
    </row>
    <row r="133" spans="9:18" ht="19.899999999999999" customHeight="1" x14ac:dyDescent="0.25">
      <c r="I133" s="43"/>
      <c r="J133" s="43"/>
      <c r="K133" s="43"/>
      <c r="L133" s="43"/>
      <c r="M133" s="43"/>
      <c r="N133" s="43"/>
      <c r="O133" s="43"/>
      <c r="P133" s="43"/>
      <c r="Q133" s="43"/>
      <c r="R133" s="43"/>
    </row>
    <row r="134" spans="9:18" ht="19.899999999999999" customHeight="1" x14ac:dyDescent="0.25">
      <c r="I134" s="43"/>
      <c r="J134" s="43"/>
      <c r="K134" s="43"/>
      <c r="L134" s="43"/>
      <c r="M134" s="43"/>
      <c r="N134" s="43"/>
      <c r="O134" s="43"/>
      <c r="P134" s="43"/>
      <c r="Q134" s="43"/>
      <c r="R134" s="43"/>
    </row>
    <row r="135" spans="9:18" ht="19.899999999999999" customHeight="1" x14ac:dyDescent="0.25">
      <c r="I135" s="43"/>
      <c r="J135" s="43"/>
      <c r="K135" s="43"/>
      <c r="L135" s="43"/>
      <c r="M135" s="43"/>
      <c r="N135" s="43"/>
      <c r="O135" s="43"/>
      <c r="P135" s="43"/>
      <c r="Q135" s="43"/>
      <c r="R135" s="43"/>
    </row>
    <row r="136" spans="9:18" ht="19.899999999999999" customHeight="1" x14ac:dyDescent="0.25">
      <c r="I136" s="43"/>
      <c r="J136" s="43"/>
      <c r="K136" s="43"/>
      <c r="L136" s="43"/>
      <c r="M136" s="43"/>
      <c r="N136" s="43"/>
      <c r="O136" s="43"/>
      <c r="P136" s="43"/>
      <c r="Q136" s="43"/>
      <c r="R136" s="43"/>
    </row>
    <row r="137" spans="9:18" ht="19.899999999999999" customHeight="1" x14ac:dyDescent="0.25">
      <c r="I137" s="43"/>
      <c r="J137" s="43"/>
      <c r="K137" s="43"/>
      <c r="L137" s="43"/>
      <c r="M137" s="43"/>
      <c r="N137" s="43"/>
      <c r="O137" s="43"/>
      <c r="P137" s="43"/>
      <c r="Q137" s="43"/>
      <c r="R137" s="43"/>
    </row>
    <row r="138" spans="9:18" ht="19.899999999999999" customHeight="1" x14ac:dyDescent="0.25">
      <c r="I138" s="43"/>
      <c r="J138" s="43"/>
      <c r="K138" s="43"/>
      <c r="L138" s="43"/>
      <c r="M138" s="43"/>
      <c r="N138" s="43"/>
      <c r="O138" s="43"/>
      <c r="P138" s="43"/>
      <c r="Q138" s="43"/>
      <c r="R138" s="43"/>
    </row>
    <row r="139" spans="9:18" ht="19.899999999999999" customHeight="1" x14ac:dyDescent="0.25">
      <c r="I139" s="43"/>
      <c r="J139" s="43"/>
      <c r="K139" s="43"/>
      <c r="L139" s="43"/>
      <c r="M139" s="43"/>
      <c r="N139" s="43"/>
      <c r="O139" s="43"/>
      <c r="P139" s="43"/>
      <c r="Q139" s="43"/>
      <c r="R139" s="43"/>
    </row>
    <row r="140" spans="9:18" ht="19.899999999999999" customHeight="1" x14ac:dyDescent="0.25">
      <c r="I140" s="43"/>
      <c r="J140" s="43"/>
      <c r="K140" s="43"/>
      <c r="L140" s="43"/>
      <c r="M140" s="43"/>
      <c r="N140" s="43"/>
      <c r="O140" s="43"/>
      <c r="P140" s="43"/>
      <c r="Q140" s="43"/>
      <c r="R140" s="43"/>
    </row>
    <row r="141" spans="9:18" ht="19.899999999999999" customHeight="1" x14ac:dyDescent="0.25">
      <c r="I141" s="43"/>
      <c r="J141" s="43"/>
      <c r="K141" s="43"/>
      <c r="L141" s="43"/>
      <c r="M141" s="43"/>
      <c r="N141" s="43"/>
      <c r="O141" s="43"/>
      <c r="P141" s="43"/>
      <c r="Q141" s="43"/>
      <c r="R141" s="43"/>
    </row>
    <row r="142" spans="9:18" ht="19.899999999999999" customHeight="1" x14ac:dyDescent="0.25">
      <c r="I142" s="43"/>
      <c r="J142" s="43"/>
      <c r="K142" s="43"/>
      <c r="L142" s="43"/>
      <c r="M142" s="43"/>
      <c r="N142" s="43"/>
      <c r="O142" s="43"/>
      <c r="P142" s="43"/>
      <c r="Q142" s="43"/>
      <c r="R142" s="43"/>
    </row>
    <row r="143" spans="9:18" ht="19.899999999999999" customHeight="1" x14ac:dyDescent="0.25">
      <c r="I143" s="43"/>
      <c r="J143" s="43"/>
      <c r="K143" s="43"/>
      <c r="L143" s="43"/>
      <c r="M143" s="43"/>
      <c r="N143" s="43"/>
      <c r="O143" s="43"/>
      <c r="P143" s="43"/>
      <c r="Q143" s="43"/>
      <c r="R143" s="43"/>
    </row>
    <row r="144" spans="9:18" ht="19.899999999999999" customHeight="1" x14ac:dyDescent="0.25">
      <c r="I144" s="43"/>
      <c r="J144" s="43"/>
      <c r="K144" s="43"/>
      <c r="L144" s="43"/>
      <c r="M144" s="43"/>
      <c r="N144" s="43"/>
      <c r="O144" s="43"/>
      <c r="P144" s="43"/>
      <c r="Q144" s="43"/>
      <c r="R144" s="43"/>
    </row>
    <row r="145" spans="9:18" ht="19.899999999999999" customHeight="1" x14ac:dyDescent="0.25">
      <c r="I145" s="43"/>
      <c r="J145" s="43"/>
      <c r="K145" s="43"/>
      <c r="L145" s="43"/>
      <c r="M145" s="43"/>
      <c r="N145" s="43"/>
      <c r="O145" s="43"/>
      <c r="P145" s="43"/>
      <c r="Q145" s="43"/>
      <c r="R145" s="43"/>
    </row>
    <row r="146" spans="9:18" ht="19.899999999999999" customHeight="1" x14ac:dyDescent="0.25">
      <c r="I146" s="43"/>
      <c r="J146" s="43"/>
      <c r="K146" s="43"/>
      <c r="L146" s="43"/>
      <c r="M146" s="43"/>
      <c r="N146" s="43"/>
      <c r="O146" s="43"/>
      <c r="P146" s="43"/>
      <c r="Q146" s="43"/>
      <c r="R146" s="43"/>
    </row>
    <row r="147" spans="9:18" ht="19.899999999999999" customHeight="1" x14ac:dyDescent="0.25">
      <c r="I147" s="43"/>
      <c r="J147" s="43"/>
      <c r="K147" s="43"/>
      <c r="L147" s="43"/>
      <c r="M147" s="43"/>
      <c r="N147" s="43"/>
      <c r="O147" s="43"/>
      <c r="P147" s="43"/>
      <c r="Q147" s="43"/>
      <c r="R147" s="43"/>
    </row>
    <row r="148" spans="9:18" ht="19.899999999999999" customHeight="1" x14ac:dyDescent="0.25">
      <c r="I148" s="43"/>
      <c r="J148" s="43"/>
      <c r="K148" s="43"/>
      <c r="L148" s="43"/>
      <c r="M148" s="43"/>
      <c r="N148" s="43"/>
      <c r="O148" s="43"/>
      <c r="P148" s="43"/>
      <c r="Q148" s="43"/>
      <c r="R148" s="43"/>
    </row>
    <row r="149" spans="9:18" ht="19.899999999999999" customHeight="1" x14ac:dyDescent="0.25">
      <c r="I149" s="43"/>
      <c r="J149" s="43"/>
      <c r="K149" s="43"/>
      <c r="L149" s="43"/>
      <c r="M149" s="43"/>
      <c r="N149" s="43"/>
      <c r="O149" s="43"/>
      <c r="P149" s="43"/>
      <c r="Q149" s="43"/>
      <c r="R149" s="43"/>
    </row>
    <row r="150" spans="9:18" ht="19.899999999999999" customHeight="1" x14ac:dyDescent="0.25">
      <c r="I150" s="43"/>
      <c r="J150" s="43"/>
      <c r="K150" s="43"/>
      <c r="L150" s="43"/>
      <c r="M150" s="43"/>
      <c r="N150" s="43"/>
      <c r="O150" s="43"/>
      <c r="P150" s="43"/>
      <c r="Q150" s="43"/>
      <c r="R150" s="43"/>
    </row>
    <row r="151" spans="9:18" ht="19.899999999999999" customHeight="1" x14ac:dyDescent="0.25">
      <c r="I151" s="43"/>
      <c r="J151" s="43"/>
      <c r="K151" s="43"/>
      <c r="L151" s="43"/>
      <c r="M151" s="43"/>
      <c r="N151" s="43"/>
      <c r="O151" s="43"/>
      <c r="P151" s="43"/>
      <c r="Q151" s="43"/>
      <c r="R151" s="43"/>
    </row>
    <row r="152" spans="9:18" ht="19.899999999999999" customHeight="1" x14ac:dyDescent="0.25">
      <c r="I152" s="43"/>
      <c r="J152" s="43"/>
      <c r="K152" s="43"/>
      <c r="L152" s="43"/>
      <c r="M152" s="43"/>
      <c r="N152" s="43"/>
      <c r="O152" s="43"/>
      <c r="P152" s="43"/>
      <c r="Q152" s="43"/>
      <c r="R152" s="43"/>
    </row>
    <row r="153" spans="9:18" ht="19.899999999999999" customHeight="1" x14ac:dyDescent="0.25">
      <c r="I153" s="43"/>
      <c r="J153" s="43"/>
      <c r="K153" s="43"/>
      <c r="L153" s="43"/>
      <c r="M153" s="43"/>
      <c r="N153" s="43"/>
      <c r="O153" s="43"/>
      <c r="P153" s="43"/>
      <c r="Q153" s="43"/>
      <c r="R153" s="43"/>
    </row>
    <row r="154" spans="9:18" ht="19.899999999999999" customHeight="1" x14ac:dyDescent="0.25">
      <c r="I154" s="43"/>
      <c r="J154" s="43"/>
      <c r="K154" s="43"/>
      <c r="L154" s="43"/>
      <c r="M154" s="43"/>
      <c r="N154" s="43"/>
      <c r="O154" s="43"/>
      <c r="P154" s="43"/>
      <c r="Q154" s="43"/>
      <c r="R154" s="43"/>
    </row>
    <row r="155" spans="9:18" ht="19.899999999999999" customHeight="1" x14ac:dyDescent="0.25">
      <c r="I155" s="43"/>
      <c r="J155" s="43"/>
      <c r="K155" s="43"/>
      <c r="L155" s="43"/>
      <c r="M155" s="43"/>
      <c r="N155" s="43"/>
      <c r="O155" s="43"/>
      <c r="P155" s="43"/>
      <c r="Q155" s="43"/>
      <c r="R155" s="43"/>
    </row>
    <row r="156" spans="9:18" ht="19.899999999999999" customHeight="1" x14ac:dyDescent="0.25">
      <c r="I156" s="43"/>
      <c r="J156" s="43"/>
      <c r="K156" s="43"/>
      <c r="L156" s="43"/>
      <c r="M156" s="43"/>
      <c r="N156" s="43"/>
      <c r="O156" s="43"/>
      <c r="P156" s="43"/>
      <c r="Q156" s="43"/>
      <c r="R156" s="43"/>
    </row>
    <row r="157" spans="9:18" ht="19.899999999999999" customHeight="1" x14ac:dyDescent="0.25">
      <c r="I157" s="43"/>
      <c r="J157" s="43"/>
      <c r="K157" s="43"/>
      <c r="L157" s="43"/>
      <c r="M157" s="43"/>
      <c r="N157" s="43"/>
      <c r="O157" s="43"/>
      <c r="P157" s="43"/>
      <c r="Q157" s="43"/>
      <c r="R157" s="43"/>
    </row>
    <row r="158" spans="9:18" ht="19.899999999999999" customHeight="1" x14ac:dyDescent="0.25">
      <c r="I158" s="43"/>
      <c r="J158" s="43"/>
      <c r="K158" s="43"/>
      <c r="L158" s="43"/>
      <c r="M158" s="43"/>
      <c r="N158" s="43"/>
      <c r="O158" s="43"/>
      <c r="P158" s="43"/>
      <c r="Q158" s="43"/>
      <c r="R158" s="43"/>
    </row>
    <row r="159" spans="9:18" ht="19.899999999999999" customHeight="1" x14ac:dyDescent="0.25">
      <c r="I159" s="43"/>
      <c r="J159" s="43"/>
      <c r="K159" s="43"/>
      <c r="L159" s="43"/>
      <c r="M159" s="43"/>
      <c r="N159" s="43"/>
      <c r="O159" s="43"/>
      <c r="P159" s="43"/>
      <c r="Q159" s="43"/>
      <c r="R159" s="43"/>
    </row>
    <row r="160" spans="9:18" ht="19.899999999999999" customHeight="1" x14ac:dyDescent="0.25">
      <c r="I160" s="43"/>
      <c r="J160" s="43"/>
      <c r="K160" s="43"/>
      <c r="L160" s="43"/>
      <c r="M160" s="43"/>
      <c r="N160" s="43"/>
      <c r="O160" s="43"/>
      <c r="P160" s="43"/>
      <c r="Q160" s="43"/>
      <c r="R160" s="43"/>
    </row>
    <row r="161" spans="9:18" ht="19.899999999999999" customHeight="1" x14ac:dyDescent="0.25">
      <c r="I161" s="43"/>
      <c r="J161" s="43"/>
      <c r="K161" s="43"/>
      <c r="L161" s="43"/>
      <c r="M161" s="43"/>
      <c r="N161" s="43"/>
      <c r="O161" s="43"/>
      <c r="P161" s="43"/>
      <c r="Q161" s="43"/>
      <c r="R161" s="43"/>
    </row>
    <row r="162" spans="9:18" ht="19.899999999999999" customHeight="1" x14ac:dyDescent="0.25">
      <c r="I162" s="43"/>
      <c r="J162" s="43"/>
      <c r="K162" s="43"/>
      <c r="L162" s="43"/>
      <c r="M162" s="43"/>
      <c r="N162" s="43"/>
      <c r="O162" s="43"/>
      <c r="P162" s="43"/>
      <c r="Q162" s="43"/>
      <c r="R162" s="43"/>
    </row>
    <row r="163" spans="9:18" ht="19.899999999999999" customHeight="1" x14ac:dyDescent="0.25">
      <c r="I163" s="43"/>
      <c r="J163" s="43"/>
      <c r="K163" s="43"/>
      <c r="L163" s="43"/>
      <c r="M163" s="43"/>
      <c r="N163" s="43"/>
      <c r="O163" s="43"/>
      <c r="P163" s="43"/>
      <c r="Q163" s="43"/>
      <c r="R163" s="43"/>
    </row>
    <row r="164" spans="9:18" ht="19.899999999999999" customHeight="1" x14ac:dyDescent="0.25">
      <c r="I164" s="43"/>
      <c r="J164" s="43"/>
      <c r="K164" s="43"/>
      <c r="L164" s="43"/>
      <c r="M164" s="43"/>
      <c r="N164" s="43"/>
      <c r="O164" s="43"/>
      <c r="P164" s="43"/>
      <c r="Q164" s="43"/>
      <c r="R164" s="43"/>
    </row>
    <row r="165" spans="9:18" ht="19.899999999999999" customHeight="1" x14ac:dyDescent="0.25">
      <c r="I165" s="43"/>
      <c r="J165" s="43"/>
      <c r="K165" s="43"/>
      <c r="L165" s="43"/>
      <c r="M165" s="43"/>
      <c r="N165" s="43"/>
      <c r="O165" s="43"/>
      <c r="P165" s="43"/>
      <c r="Q165" s="43"/>
      <c r="R165" s="43"/>
    </row>
    <row r="166" spans="9:18" ht="19.899999999999999" customHeight="1" x14ac:dyDescent="0.25">
      <c r="I166" s="43"/>
      <c r="J166" s="43"/>
      <c r="K166" s="43"/>
      <c r="L166" s="43"/>
      <c r="M166" s="43"/>
      <c r="N166" s="43"/>
      <c r="O166" s="43"/>
      <c r="P166" s="43"/>
      <c r="Q166" s="43"/>
      <c r="R166" s="43"/>
    </row>
    <row r="167" spans="9:18" ht="19.899999999999999" customHeight="1" x14ac:dyDescent="0.25">
      <c r="I167" s="43"/>
      <c r="J167" s="43"/>
      <c r="K167" s="43"/>
      <c r="L167" s="43"/>
      <c r="M167" s="43"/>
      <c r="N167" s="43"/>
      <c r="O167" s="43"/>
      <c r="P167" s="43"/>
      <c r="Q167" s="43"/>
      <c r="R167" s="43"/>
    </row>
    <row r="168" spans="9:18" ht="19.899999999999999" customHeight="1" x14ac:dyDescent="0.25">
      <c r="I168" s="43"/>
      <c r="J168" s="43"/>
      <c r="K168" s="43"/>
      <c r="L168" s="43"/>
      <c r="M168" s="43"/>
      <c r="N168" s="43"/>
      <c r="O168" s="43"/>
      <c r="P168" s="43"/>
      <c r="Q168" s="43"/>
      <c r="R168" s="43"/>
    </row>
    <row r="169" spans="9:18" ht="19.899999999999999" customHeight="1" x14ac:dyDescent="0.25">
      <c r="I169" s="43"/>
      <c r="J169" s="43"/>
      <c r="K169" s="43"/>
      <c r="L169" s="43"/>
      <c r="M169" s="43"/>
      <c r="N169" s="43"/>
      <c r="O169" s="43"/>
      <c r="P169" s="43"/>
      <c r="Q169" s="43"/>
      <c r="R169" s="43"/>
    </row>
    <row r="170" spans="9:18" ht="19.899999999999999" customHeight="1" x14ac:dyDescent="0.25">
      <c r="I170" s="43"/>
      <c r="J170" s="43"/>
      <c r="K170" s="43"/>
      <c r="L170" s="43"/>
      <c r="M170" s="43"/>
      <c r="N170" s="43"/>
      <c r="O170" s="43"/>
      <c r="P170" s="43"/>
      <c r="Q170" s="43"/>
      <c r="R170" s="43"/>
    </row>
    <row r="171" spans="9:18" ht="19.899999999999999" customHeight="1" x14ac:dyDescent="0.25">
      <c r="I171" s="43"/>
      <c r="J171" s="43"/>
      <c r="K171" s="43"/>
      <c r="L171" s="43"/>
      <c r="M171" s="43"/>
      <c r="N171" s="43"/>
      <c r="O171" s="43"/>
      <c r="P171" s="43"/>
      <c r="Q171" s="43"/>
      <c r="R171" s="43"/>
    </row>
    <row r="172" spans="9:18" ht="19.899999999999999" customHeight="1" x14ac:dyDescent="0.25">
      <c r="I172" s="43"/>
      <c r="J172" s="43"/>
      <c r="K172" s="43"/>
      <c r="L172" s="43"/>
      <c r="M172" s="43"/>
      <c r="N172" s="43"/>
      <c r="O172" s="43"/>
      <c r="P172" s="43"/>
      <c r="Q172" s="43"/>
      <c r="R172" s="43"/>
    </row>
    <row r="173" spans="9:18" ht="19.899999999999999" customHeight="1" x14ac:dyDescent="0.25">
      <c r="I173" s="43"/>
      <c r="J173" s="43"/>
      <c r="K173" s="43"/>
      <c r="L173" s="43"/>
      <c r="M173" s="43"/>
      <c r="N173" s="43"/>
      <c r="O173" s="43"/>
      <c r="P173" s="43"/>
      <c r="Q173" s="43"/>
      <c r="R173" s="43"/>
    </row>
    <row r="174" spans="9:18" ht="19.899999999999999" customHeight="1" x14ac:dyDescent="0.25">
      <c r="I174" s="43"/>
      <c r="J174" s="43"/>
      <c r="K174" s="43"/>
      <c r="L174" s="43"/>
      <c r="M174" s="43"/>
      <c r="N174" s="43"/>
      <c r="O174" s="43"/>
      <c r="P174" s="43"/>
      <c r="Q174" s="43"/>
      <c r="R174" s="43"/>
    </row>
    <row r="175" spans="9:18" ht="19.899999999999999" customHeight="1" x14ac:dyDescent="0.25">
      <c r="I175" s="43"/>
      <c r="J175" s="43"/>
      <c r="K175" s="43"/>
      <c r="L175" s="43"/>
      <c r="M175" s="43"/>
      <c r="N175" s="43"/>
      <c r="O175" s="43"/>
      <c r="P175" s="43"/>
      <c r="Q175" s="43"/>
      <c r="R175" s="43"/>
    </row>
    <row r="176" spans="9:18" ht="19.899999999999999" customHeight="1" x14ac:dyDescent="0.25">
      <c r="I176" s="43"/>
      <c r="J176" s="43"/>
      <c r="K176" s="43"/>
      <c r="L176" s="43"/>
      <c r="M176" s="43"/>
      <c r="N176" s="43"/>
      <c r="O176" s="43"/>
      <c r="P176" s="43"/>
      <c r="Q176" s="43"/>
      <c r="R176" s="43"/>
    </row>
    <row r="177" spans="9:18" ht="19.899999999999999" customHeight="1" x14ac:dyDescent="0.25">
      <c r="I177" s="43"/>
      <c r="J177" s="43"/>
      <c r="K177" s="43"/>
      <c r="L177" s="43"/>
      <c r="M177" s="43"/>
      <c r="N177" s="43"/>
      <c r="O177" s="43"/>
      <c r="P177" s="43"/>
      <c r="Q177" s="43"/>
      <c r="R177" s="43"/>
    </row>
    <row r="178" spans="9:18" ht="19.899999999999999" customHeight="1" x14ac:dyDescent="0.25">
      <c r="I178" s="43"/>
      <c r="J178" s="43"/>
      <c r="K178" s="43"/>
      <c r="L178" s="43"/>
      <c r="M178" s="43"/>
      <c r="N178" s="43"/>
      <c r="O178" s="43"/>
      <c r="P178" s="43"/>
      <c r="Q178" s="43"/>
      <c r="R178" s="43"/>
    </row>
    <row r="179" spans="9:18" ht="19.899999999999999" customHeight="1" x14ac:dyDescent="0.25">
      <c r="I179" s="43"/>
      <c r="J179" s="43"/>
      <c r="K179" s="43"/>
      <c r="L179" s="43"/>
      <c r="M179" s="43"/>
      <c r="N179" s="43"/>
      <c r="O179" s="43"/>
      <c r="P179" s="43"/>
      <c r="Q179" s="43"/>
      <c r="R179" s="43"/>
    </row>
    <row r="180" spans="9:18" ht="19.899999999999999" customHeight="1" x14ac:dyDescent="0.25">
      <c r="I180" s="43"/>
      <c r="J180" s="43"/>
      <c r="K180" s="43"/>
      <c r="L180" s="43"/>
      <c r="M180" s="43"/>
      <c r="N180" s="43"/>
      <c r="O180" s="43"/>
      <c r="P180" s="43"/>
      <c r="Q180" s="43"/>
      <c r="R180" s="43"/>
    </row>
    <row r="181" spans="9:18" ht="19.899999999999999" customHeight="1" x14ac:dyDescent="0.25">
      <c r="I181" s="43"/>
      <c r="J181" s="43"/>
      <c r="K181" s="43"/>
      <c r="L181" s="43"/>
      <c r="M181" s="43"/>
      <c r="N181" s="43"/>
      <c r="O181" s="43"/>
      <c r="P181" s="43"/>
      <c r="Q181" s="43"/>
      <c r="R181" s="43"/>
    </row>
    <row r="182" spans="9:18" ht="19.899999999999999" customHeight="1" x14ac:dyDescent="0.25">
      <c r="I182" s="43"/>
      <c r="J182" s="43"/>
      <c r="K182" s="43"/>
      <c r="L182" s="43"/>
      <c r="M182" s="43"/>
      <c r="N182" s="43"/>
      <c r="O182" s="43"/>
      <c r="P182" s="43"/>
      <c r="Q182" s="43"/>
      <c r="R182" s="43"/>
    </row>
    <row r="183" spans="9:18" ht="19.899999999999999" customHeight="1" x14ac:dyDescent="0.25">
      <c r="I183" s="43"/>
      <c r="J183" s="43"/>
      <c r="K183" s="43"/>
      <c r="L183" s="43"/>
      <c r="M183" s="43"/>
      <c r="N183" s="43"/>
      <c r="O183" s="43"/>
      <c r="P183" s="43"/>
      <c r="Q183" s="43"/>
      <c r="R183" s="43"/>
    </row>
    <row r="184" spans="9:18" ht="19.899999999999999" customHeight="1" x14ac:dyDescent="0.25">
      <c r="I184" s="43"/>
      <c r="J184" s="43"/>
      <c r="K184" s="43"/>
      <c r="L184" s="43"/>
      <c r="M184" s="43"/>
      <c r="N184" s="43"/>
      <c r="O184" s="43"/>
      <c r="P184" s="43"/>
      <c r="Q184" s="43"/>
      <c r="R184" s="43"/>
    </row>
    <row r="185" spans="9:18" ht="19.899999999999999" customHeight="1" x14ac:dyDescent="0.25">
      <c r="I185" s="43"/>
      <c r="J185" s="43"/>
      <c r="K185" s="43"/>
      <c r="L185" s="43"/>
      <c r="M185" s="43"/>
      <c r="N185" s="43"/>
      <c r="O185" s="43"/>
      <c r="P185" s="43"/>
      <c r="Q185" s="43"/>
      <c r="R185" s="43"/>
    </row>
    <row r="186" spans="9:18" ht="19.899999999999999" customHeight="1" x14ac:dyDescent="0.25">
      <c r="I186" s="43"/>
      <c r="J186" s="43"/>
      <c r="K186" s="43"/>
      <c r="L186" s="43"/>
      <c r="M186" s="43"/>
      <c r="N186" s="43"/>
      <c r="O186" s="43"/>
      <c r="P186" s="43"/>
      <c r="Q186" s="43"/>
      <c r="R186" s="43"/>
    </row>
    <row r="187" spans="9:18" ht="19.899999999999999" customHeight="1" x14ac:dyDescent="0.25">
      <c r="I187" s="43"/>
      <c r="J187" s="43"/>
      <c r="K187" s="43"/>
      <c r="L187" s="43"/>
      <c r="M187" s="43"/>
      <c r="N187" s="43"/>
      <c r="O187" s="43"/>
      <c r="P187" s="43"/>
      <c r="Q187" s="43"/>
      <c r="R187" s="43"/>
    </row>
    <row r="188" spans="9:18" ht="19.899999999999999" customHeight="1" x14ac:dyDescent="0.25">
      <c r="I188" s="43"/>
      <c r="J188" s="43"/>
      <c r="K188" s="43"/>
      <c r="L188" s="43"/>
      <c r="M188" s="43"/>
      <c r="N188" s="43"/>
      <c r="O188" s="43"/>
      <c r="P188" s="43"/>
      <c r="Q188" s="43"/>
      <c r="R188" s="43"/>
    </row>
    <row r="189" spans="9:18" ht="19.899999999999999" customHeight="1" x14ac:dyDescent="0.25">
      <c r="I189" s="43"/>
      <c r="J189" s="43"/>
      <c r="K189" s="43"/>
      <c r="L189" s="43"/>
      <c r="M189" s="43"/>
      <c r="N189" s="43"/>
      <c r="O189" s="43"/>
      <c r="P189" s="43"/>
      <c r="Q189" s="43"/>
      <c r="R189" s="43"/>
    </row>
    <row r="190" spans="9:18" ht="19.899999999999999" customHeight="1" x14ac:dyDescent="0.25">
      <c r="I190" s="43"/>
      <c r="J190" s="43"/>
      <c r="K190" s="43"/>
      <c r="L190" s="43"/>
      <c r="M190" s="43"/>
      <c r="N190" s="43"/>
      <c r="O190" s="43"/>
      <c r="P190" s="43"/>
      <c r="Q190" s="43"/>
      <c r="R190" s="43"/>
    </row>
    <row r="191" spans="9:18" ht="19.899999999999999" customHeight="1" x14ac:dyDescent="0.25">
      <c r="I191" s="43"/>
      <c r="J191" s="43"/>
      <c r="K191" s="43"/>
      <c r="L191" s="43"/>
      <c r="M191" s="43"/>
      <c r="N191" s="43"/>
      <c r="O191" s="43"/>
      <c r="P191" s="43"/>
      <c r="Q191" s="43"/>
      <c r="R191" s="43"/>
    </row>
    <row r="192" spans="9:18" ht="19.899999999999999" customHeight="1" x14ac:dyDescent="0.25">
      <c r="I192" s="43"/>
      <c r="J192" s="43"/>
      <c r="K192" s="43"/>
      <c r="L192" s="43"/>
      <c r="M192" s="43"/>
      <c r="N192" s="43"/>
      <c r="O192" s="43"/>
      <c r="P192" s="43"/>
      <c r="Q192" s="43"/>
      <c r="R192" s="43"/>
    </row>
    <row r="193" spans="9:18" ht="19.899999999999999" customHeight="1" x14ac:dyDescent="0.25">
      <c r="I193" s="43"/>
      <c r="J193" s="43"/>
      <c r="K193" s="43"/>
      <c r="L193" s="43"/>
      <c r="M193" s="43"/>
      <c r="N193" s="43"/>
      <c r="O193" s="43"/>
      <c r="P193" s="43"/>
      <c r="Q193" s="43"/>
      <c r="R193" s="43"/>
    </row>
    <row r="194" spans="9:18" ht="19.899999999999999" customHeight="1" x14ac:dyDescent="0.25">
      <c r="I194" s="43"/>
      <c r="J194" s="43"/>
      <c r="K194" s="43"/>
      <c r="L194" s="43"/>
      <c r="M194" s="43"/>
      <c r="N194" s="43"/>
      <c r="O194" s="43"/>
      <c r="P194" s="43"/>
      <c r="Q194" s="43"/>
      <c r="R194" s="43"/>
    </row>
    <row r="195" spans="9:18" ht="19.899999999999999" customHeight="1" x14ac:dyDescent="0.25">
      <c r="I195" s="43"/>
      <c r="J195" s="43"/>
      <c r="K195" s="43"/>
      <c r="L195" s="43"/>
      <c r="M195" s="43"/>
      <c r="N195" s="43"/>
      <c r="O195" s="43"/>
      <c r="P195" s="43"/>
      <c r="Q195" s="43"/>
      <c r="R195" s="43"/>
    </row>
    <row r="196" spans="9:18" ht="19.899999999999999" customHeight="1" x14ac:dyDescent="0.25">
      <c r="I196" s="43"/>
      <c r="J196" s="43"/>
      <c r="K196" s="43"/>
      <c r="L196" s="43"/>
      <c r="M196" s="43"/>
      <c r="N196" s="43"/>
      <c r="O196" s="43"/>
      <c r="P196" s="43"/>
      <c r="Q196" s="43"/>
      <c r="R196" s="43"/>
    </row>
    <row r="197" spans="9:18" ht="19.899999999999999" customHeight="1" x14ac:dyDescent="0.25">
      <c r="I197" s="43"/>
      <c r="J197" s="43"/>
      <c r="K197" s="43"/>
      <c r="L197" s="43"/>
      <c r="M197" s="43"/>
      <c r="N197" s="43"/>
      <c r="O197" s="43"/>
      <c r="P197" s="43"/>
      <c r="Q197" s="43"/>
      <c r="R197" s="43"/>
    </row>
    <row r="198" spans="9:18" ht="19.899999999999999" customHeight="1" x14ac:dyDescent="0.25">
      <c r="I198" s="43"/>
      <c r="J198" s="43"/>
      <c r="K198" s="43"/>
      <c r="L198" s="43"/>
      <c r="M198" s="43"/>
      <c r="N198" s="43"/>
      <c r="O198" s="43"/>
      <c r="P198" s="43"/>
      <c r="Q198" s="43"/>
      <c r="R198" s="43"/>
    </row>
    <row r="199" spans="9:18" ht="19.899999999999999" customHeight="1" x14ac:dyDescent="0.25">
      <c r="I199" s="43"/>
      <c r="J199" s="43"/>
      <c r="K199" s="43"/>
      <c r="L199" s="43"/>
      <c r="M199" s="43"/>
      <c r="N199" s="43"/>
      <c r="O199" s="43"/>
      <c r="P199" s="43"/>
      <c r="Q199" s="43"/>
      <c r="R199" s="43"/>
    </row>
    <row r="200" spans="9:18" ht="19.899999999999999" customHeight="1" x14ac:dyDescent="0.25">
      <c r="I200" s="43"/>
      <c r="J200" s="43"/>
      <c r="K200" s="43"/>
      <c r="L200" s="43"/>
      <c r="M200" s="43"/>
      <c r="N200" s="43"/>
      <c r="O200" s="43"/>
      <c r="P200" s="43"/>
      <c r="Q200" s="43"/>
      <c r="R200" s="43"/>
    </row>
    <row r="201" spans="9:18" ht="19.899999999999999" customHeight="1" x14ac:dyDescent="0.25">
      <c r="I201" s="43"/>
      <c r="J201" s="43"/>
      <c r="K201" s="43"/>
      <c r="L201" s="43"/>
      <c r="M201" s="43"/>
      <c r="N201" s="43"/>
      <c r="O201" s="43"/>
      <c r="P201" s="43"/>
      <c r="Q201" s="43"/>
      <c r="R201" s="43"/>
    </row>
    <row r="202" spans="9:18" ht="19.899999999999999" customHeight="1" x14ac:dyDescent="0.25">
      <c r="I202" s="43"/>
      <c r="J202" s="43"/>
      <c r="K202" s="43"/>
      <c r="L202" s="43"/>
      <c r="M202" s="43"/>
      <c r="N202" s="43"/>
      <c r="O202" s="43"/>
      <c r="P202" s="43"/>
      <c r="Q202" s="43"/>
      <c r="R202" s="43"/>
    </row>
    <row r="203" spans="9:18" ht="19.899999999999999" customHeight="1" x14ac:dyDescent="0.25">
      <c r="I203" s="43"/>
      <c r="J203" s="43"/>
      <c r="K203" s="43"/>
      <c r="L203" s="43"/>
      <c r="M203" s="43"/>
      <c r="N203" s="43"/>
      <c r="O203" s="43"/>
      <c r="P203" s="43"/>
      <c r="Q203" s="43"/>
      <c r="R203" s="43"/>
    </row>
    <row r="204" spans="9:18" ht="19.899999999999999" customHeight="1" x14ac:dyDescent="0.25">
      <c r="I204" s="43"/>
      <c r="J204" s="43"/>
      <c r="K204" s="43"/>
      <c r="L204" s="43"/>
      <c r="M204" s="43"/>
      <c r="N204" s="43"/>
      <c r="O204" s="43"/>
      <c r="P204" s="43"/>
      <c r="Q204" s="43"/>
      <c r="R204" s="43"/>
    </row>
    <row r="205" spans="9:18" ht="19.899999999999999" customHeight="1" x14ac:dyDescent="0.25">
      <c r="I205" s="43"/>
      <c r="J205" s="43"/>
      <c r="K205" s="43"/>
      <c r="L205" s="43"/>
      <c r="M205" s="43"/>
      <c r="N205" s="43"/>
      <c r="O205" s="43"/>
      <c r="P205" s="43"/>
      <c r="Q205" s="43"/>
      <c r="R205" s="43"/>
    </row>
    <row r="206" spans="9:18" ht="19.899999999999999" customHeight="1" x14ac:dyDescent="0.25">
      <c r="I206" s="43"/>
      <c r="J206" s="43"/>
      <c r="K206" s="43"/>
      <c r="L206" s="43"/>
      <c r="M206" s="43"/>
      <c r="N206" s="43"/>
      <c r="O206" s="43"/>
      <c r="P206" s="43"/>
      <c r="Q206" s="43"/>
      <c r="R206" s="43"/>
    </row>
    <row r="207" spans="9:18" ht="19.899999999999999" customHeight="1" x14ac:dyDescent="0.25">
      <c r="I207" s="43"/>
      <c r="J207" s="43"/>
      <c r="K207" s="43"/>
      <c r="L207" s="43"/>
      <c r="M207" s="43"/>
      <c r="N207" s="43"/>
      <c r="O207" s="43"/>
      <c r="P207" s="43"/>
      <c r="Q207" s="43"/>
      <c r="R207" s="43"/>
    </row>
    <row r="208" spans="9:18" ht="19.899999999999999" customHeight="1" x14ac:dyDescent="0.25">
      <c r="I208" s="43"/>
      <c r="J208" s="43"/>
      <c r="K208" s="43"/>
      <c r="L208" s="43"/>
      <c r="M208" s="43"/>
      <c r="N208" s="43"/>
      <c r="O208" s="43"/>
      <c r="P208" s="43"/>
      <c r="Q208" s="43"/>
      <c r="R208" s="43"/>
    </row>
    <row r="209" spans="9:18" ht="19.899999999999999" customHeight="1" x14ac:dyDescent="0.25">
      <c r="I209" s="43"/>
      <c r="J209" s="43"/>
      <c r="K209" s="43"/>
      <c r="L209" s="43"/>
      <c r="M209" s="43"/>
      <c r="N209" s="43"/>
      <c r="O209" s="43"/>
      <c r="P209" s="43"/>
      <c r="Q209" s="43"/>
      <c r="R209" s="43"/>
    </row>
    <row r="210" spans="9:18" ht="19.899999999999999" customHeight="1" x14ac:dyDescent="0.25">
      <c r="I210" s="43"/>
      <c r="J210" s="43"/>
      <c r="K210" s="43"/>
      <c r="L210" s="43"/>
      <c r="M210" s="43"/>
      <c r="N210" s="43"/>
      <c r="O210" s="43"/>
      <c r="P210" s="43"/>
      <c r="Q210" s="43"/>
      <c r="R210" s="43"/>
    </row>
    <row r="211" spans="9:18" ht="19.899999999999999" customHeight="1" x14ac:dyDescent="0.25">
      <c r="I211" s="43"/>
      <c r="J211" s="43"/>
      <c r="K211" s="43"/>
      <c r="L211" s="43"/>
      <c r="M211" s="43"/>
      <c r="N211" s="43"/>
      <c r="O211" s="43"/>
      <c r="P211" s="43"/>
      <c r="Q211" s="43"/>
      <c r="R211" s="43"/>
    </row>
    <row r="212" spans="9:18" ht="19.899999999999999" customHeight="1" x14ac:dyDescent="0.25">
      <c r="I212" s="43"/>
      <c r="J212" s="43"/>
      <c r="K212" s="43"/>
      <c r="L212" s="43"/>
      <c r="M212" s="43"/>
      <c r="N212" s="43"/>
      <c r="O212" s="43"/>
      <c r="P212" s="43"/>
      <c r="Q212" s="43"/>
      <c r="R212" s="43"/>
    </row>
    <row r="213" spans="9:18" ht="19.899999999999999" customHeight="1" x14ac:dyDescent="0.25">
      <c r="I213" s="43"/>
      <c r="J213" s="43"/>
      <c r="K213" s="43"/>
      <c r="L213" s="43"/>
      <c r="M213" s="43"/>
      <c r="N213" s="43"/>
      <c r="O213" s="43"/>
      <c r="P213" s="43"/>
      <c r="Q213" s="43"/>
      <c r="R213" s="43"/>
    </row>
    <row r="214" spans="9:18" ht="19.899999999999999" customHeight="1" x14ac:dyDescent="0.25">
      <c r="I214" s="43"/>
      <c r="J214" s="43"/>
      <c r="K214" s="43"/>
      <c r="L214" s="43"/>
      <c r="M214" s="43"/>
      <c r="N214" s="43"/>
      <c r="O214" s="43"/>
      <c r="P214" s="43"/>
      <c r="Q214" s="43"/>
      <c r="R214" s="43"/>
    </row>
    <row r="215" spans="9:18" ht="19.899999999999999" customHeight="1" x14ac:dyDescent="0.25">
      <c r="I215" s="43"/>
      <c r="J215" s="43"/>
      <c r="K215" s="43"/>
      <c r="L215" s="43"/>
      <c r="M215" s="43"/>
      <c r="N215" s="43"/>
      <c r="O215" s="43"/>
      <c r="P215" s="43"/>
      <c r="Q215" s="43"/>
      <c r="R215" s="43"/>
    </row>
    <row r="216" spans="9:18" ht="19.899999999999999" customHeight="1" x14ac:dyDescent="0.25">
      <c r="I216" s="43"/>
      <c r="J216" s="43"/>
      <c r="K216" s="43"/>
      <c r="L216" s="43"/>
      <c r="M216" s="43"/>
      <c r="N216" s="43"/>
      <c r="O216" s="43"/>
      <c r="P216" s="43"/>
      <c r="Q216" s="43"/>
      <c r="R216" s="43"/>
    </row>
    <row r="217" spans="9:18" ht="19.899999999999999" customHeight="1" x14ac:dyDescent="0.25">
      <c r="I217" s="43"/>
      <c r="J217" s="43"/>
      <c r="K217" s="43"/>
      <c r="L217" s="43"/>
      <c r="M217" s="43"/>
      <c r="N217" s="43"/>
      <c r="O217" s="43"/>
      <c r="P217" s="43"/>
      <c r="Q217" s="43"/>
      <c r="R217" s="43"/>
    </row>
    <row r="218" spans="9:18" ht="19.899999999999999" customHeight="1" x14ac:dyDescent="0.25">
      <c r="I218" s="43"/>
      <c r="J218" s="43"/>
      <c r="K218" s="43"/>
      <c r="L218" s="43"/>
      <c r="M218" s="43"/>
      <c r="N218" s="43"/>
      <c r="O218" s="43"/>
      <c r="P218" s="43"/>
      <c r="Q218" s="43"/>
      <c r="R218" s="43"/>
    </row>
  </sheetData>
  <sheetProtection algorithmName="SHA-512" hashValue="XeKC7KD1cnyYlEcvxZPjOQc/zWtcrkzYfxhC6XAAWmL+/rL1MKZcwxTSoIbZ93K4yTFJW+7a7pfEWwaLlJK1Nw==" saltValue="eedH1dG9IP7cSeTkoQ9b+g==" spinCount="100000" sheet="1" objects="1" scenarios="1"/>
  <sortState xmlns:xlrd2="http://schemas.microsoft.com/office/spreadsheetml/2017/richdata2" ref="H23:H29">
    <sortCondition descending="1" ref="H23"/>
  </sortState>
  <mergeCells count="29">
    <mergeCell ref="I29:I30"/>
    <mergeCell ref="J29:J30"/>
    <mergeCell ref="B14:C14"/>
    <mergeCell ref="B15:C15"/>
    <mergeCell ref="D14:E14"/>
    <mergeCell ref="D15:E15"/>
    <mergeCell ref="F1:F15"/>
    <mergeCell ref="B8:C8"/>
    <mergeCell ref="B9:C9"/>
    <mergeCell ref="B6:C6"/>
    <mergeCell ref="D4:E4"/>
    <mergeCell ref="D5:E5"/>
    <mergeCell ref="B11:C11"/>
    <mergeCell ref="L17:M17"/>
    <mergeCell ref="B17:F17"/>
    <mergeCell ref="I17:J17"/>
    <mergeCell ref="B12:C12"/>
    <mergeCell ref="B1:E1"/>
    <mergeCell ref="B10:C10"/>
    <mergeCell ref="B2:C2"/>
    <mergeCell ref="B3:C3"/>
    <mergeCell ref="D2:E2"/>
    <mergeCell ref="D3:E3"/>
    <mergeCell ref="D13:E13"/>
    <mergeCell ref="B13:C13"/>
    <mergeCell ref="B4:C4"/>
    <mergeCell ref="B7:C7"/>
    <mergeCell ref="B5:C5"/>
    <mergeCell ref="D6:E6"/>
  </mergeCells>
  <phoneticPr fontId="13" type="noConversion"/>
  <conditionalFormatting sqref="D14:D15">
    <cfRule type="expression" dxfId="2" priority="1" stopIfTrue="1">
      <formula>LEN($D14)&lt;1</formula>
    </cfRule>
  </conditionalFormatting>
  <conditionalFormatting sqref="D2:E13">
    <cfRule type="expression" dxfId="1" priority="12" stopIfTrue="1">
      <formula>LEN($D2)&lt;1</formula>
    </cfRule>
  </conditionalFormatting>
  <dataValidations count="7">
    <dataValidation type="list" allowBlank="1" showInputMessage="1" showErrorMessage="1" prompt="SADECE emekli olan personel için &quot;EVET&quot; seçilmelidir. Emekli olmayan personel için lütfen seçim yapmayınız." sqref="F19:F38" xr:uid="{00000000-0002-0000-0000-000000000000}">
      <formula1>"EVET"</formula1>
    </dataValidation>
    <dataValidation allowBlank="1" showInputMessage="1" showErrorMessage="1" prompt="gün/ay/yıl olarak tarih girişi yapınız." sqref="D4:D6" xr:uid="{00000000-0002-0000-0000-000001000000}"/>
    <dataValidation type="list" allowBlank="1" showInputMessage="1" showErrorMessage="1" sqref="D12" xr:uid="{00000000-0002-0000-0000-000002000000}">
      <formula1>"1,2,3,4,5"</formula1>
    </dataValidation>
    <dataValidation type="custom" allowBlank="1" showInputMessage="1" showErrorMessage="1" error="Proje Numarasını hatalı girdiniz." prompt="Bu excel dosyası MENTOR ARAYÜZÜ (BİGG+) ÇAĞRISI kapsamında desteklenen projeler için kullanılabilir." sqref="D2:E2" xr:uid="{00000000-0002-0000-0000-000003000000}">
      <formula1>AND(LEFT(ProjeNo,1)="4",LEN(ProjeNo)=7)</formula1>
    </dataValidation>
    <dataValidation type="list" allowBlank="1" showInputMessage="1" showErrorMessage="1" sqref="E19:E38" xr:uid="{00000000-0002-0000-0000-000004000000}">
      <formula1>"Proje Yürütücüsü,Mentor Süreç Yöneticisi"</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D15" xr:uid="{00000000-0002-0000-0000-000005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4" xr:uid="{00000000-0002-0000-0000-000006000000}">
      <formula1>1</formula1>
    </dataValidation>
  </dataValidations>
  <pageMargins left="0.70866141732283472" right="0.70866141732283472" top="0.55118110236220474" bottom="0.55118110236220474" header="0.31496062992125984" footer="0.31496062992125984"/>
  <pageSetup paperSize="9" scale="6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
  <sheetViews>
    <sheetView topLeftCell="B4" zoomScale="80" zoomScaleNormal="8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8" t="s">
        <v>29</v>
      </c>
      <c r="B1" s="308"/>
      <c r="C1" s="308"/>
      <c r="D1" s="308"/>
      <c r="E1" s="308"/>
      <c r="F1" s="308"/>
      <c r="G1" s="308"/>
      <c r="H1" s="308"/>
      <c r="I1" s="308"/>
      <c r="J1" s="308"/>
      <c r="K1" s="308"/>
      <c r="L1" s="308"/>
      <c r="M1" s="72"/>
      <c r="N1" s="149"/>
      <c r="O1" s="150"/>
      <c r="V1" s="91"/>
    </row>
    <row r="2" spans="1:27" x14ac:dyDescent="0.3">
      <c r="A2" s="315" t="str">
        <f>IF(YilDonem&lt;&gt;"",CONCATENATE(YilDonem,". dönem"),"")</f>
        <v/>
      </c>
      <c r="B2" s="315"/>
      <c r="C2" s="315"/>
      <c r="D2" s="315"/>
      <c r="E2" s="315"/>
      <c r="F2" s="315"/>
      <c r="G2" s="315"/>
      <c r="H2" s="315"/>
      <c r="I2" s="315"/>
      <c r="J2" s="315"/>
      <c r="K2" s="315"/>
      <c r="L2" s="315"/>
    </row>
    <row r="3" spans="1:27" ht="16.3" thickBot="1" x14ac:dyDescent="0.35">
      <c r="B3" s="33"/>
      <c r="C3" s="33"/>
      <c r="D3" s="33"/>
      <c r="E3" s="306" t="str">
        <f>IF(YilDonem&lt;&gt;"",CONCATENATE(VLOOKUP(DönBasAy+5,AyTablo,2,0)," ayına aittir."),"")</f>
        <v/>
      </c>
      <c r="F3" s="306"/>
      <c r="G3" s="306"/>
      <c r="H3" s="306"/>
      <c r="I3" s="33"/>
      <c r="J3" s="33"/>
      <c r="K3" s="33"/>
      <c r="L3" s="183" t="s">
        <v>37</v>
      </c>
    </row>
    <row r="4" spans="1:27" ht="31.6" customHeight="1" thickBot="1" x14ac:dyDescent="0.35">
      <c r="A4" s="187" t="s">
        <v>1</v>
      </c>
      <c r="B4" s="309" t="str">
        <f>IF(ProjeNo&gt;0,ProjeNo,"")</f>
        <v/>
      </c>
      <c r="C4" s="310"/>
      <c r="D4" s="310"/>
      <c r="E4" s="310"/>
      <c r="F4" s="310"/>
      <c r="G4" s="310"/>
      <c r="H4" s="310"/>
      <c r="I4" s="310"/>
      <c r="J4" s="310"/>
      <c r="K4" s="310"/>
      <c r="L4" s="311"/>
    </row>
    <row r="5" spans="1:27" ht="31.6" customHeight="1" thickBot="1" x14ac:dyDescent="0.35">
      <c r="A5" s="188" t="s">
        <v>11</v>
      </c>
      <c r="B5" s="312" t="str">
        <f>IF(ProjeAdi&gt;0,ProjeAdi,"")</f>
        <v/>
      </c>
      <c r="C5" s="313"/>
      <c r="D5" s="313"/>
      <c r="E5" s="313"/>
      <c r="F5" s="313"/>
      <c r="G5" s="313"/>
      <c r="H5" s="313"/>
      <c r="I5" s="313"/>
      <c r="J5" s="313"/>
      <c r="K5" s="313"/>
      <c r="L5" s="314"/>
    </row>
    <row r="6" spans="1:27" ht="31.6" customHeight="1" thickBot="1" x14ac:dyDescent="0.3">
      <c r="A6" s="316" t="s">
        <v>7</v>
      </c>
      <c r="B6" s="316" t="s">
        <v>8</v>
      </c>
      <c r="C6" s="316" t="s">
        <v>30</v>
      </c>
      <c r="D6" s="316" t="s">
        <v>109</v>
      </c>
      <c r="E6" s="316" t="s">
        <v>31</v>
      </c>
      <c r="F6" s="316" t="s">
        <v>34</v>
      </c>
      <c r="G6" s="319" t="s">
        <v>32</v>
      </c>
      <c r="H6" s="318" t="s">
        <v>141</v>
      </c>
      <c r="I6" s="319"/>
      <c r="J6" s="319"/>
      <c r="K6" s="320"/>
      <c r="L6" s="316" t="s">
        <v>33</v>
      </c>
      <c r="O6" s="307" t="s">
        <v>38</v>
      </c>
      <c r="P6" s="307"/>
      <c r="Q6" s="307" t="s">
        <v>44</v>
      </c>
      <c r="R6" s="307"/>
      <c r="S6" s="307" t="s">
        <v>45</v>
      </c>
      <c r="T6" s="307"/>
    </row>
    <row r="7" spans="1:27" s="74" customFormat="1" ht="94.45" thickBot="1" x14ac:dyDescent="0.3">
      <c r="A7" s="321"/>
      <c r="B7" s="321"/>
      <c r="C7" s="321"/>
      <c r="D7" s="321"/>
      <c r="E7" s="321"/>
      <c r="F7" s="321"/>
      <c r="G7" s="322"/>
      <c r="H7" s="184" t="s">
        <v>106</v>
      </c>
      <c r="I7" s="184" t="s">
        <v>142</v>
      </c>
      <c r="J7" s="184" t="s">
        <v>159</v>
      </c>
      <c r="K7" s="184" t="s">
        <v>160</v>
      </c>
      <c r="L7" s="317"/>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Bilgileri'!C19&gt;0,'Proje ve Personel Bilgileri'!C19,"")</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Bilgileri'!F19</f>
        <v>0</v>
      </c>
      <c r="O8" s="138">
        <f t="shared" ref="O8:O27" ca="1" si="1">IFERROR(IF(N8="EVET",VLOOKUP(VLOOKUP(DönBasAy+5,YilDönemTablo,4,0),SGKTAVAN,2,0)*0.2475,VLOOKUP(VLOOKUP(DönBasAy+5,YilDönemTablo,4,0),SGKTAVAN,2,0)*0.2075),0)</f>
        <v>0</v>
      </c>
      <c r="P8" s="138">
        <f t="shared" ref="P8:P27" ca="1" si="2">IFERROR(IF(N8="EVET",0,VLOOKUP(VLOOKUP(DönBasAy+5,YilDönemTablo,4,0),SGKTAVAN,2,0)*0.02),0)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Bilgileri'!C20&gt;0,'Proje ve Personel Bilgileri'!C20,"")</f>
        <v/>
      </c>
      <c r="C9" s="37"/>
      <c r="D9" s="38"/>
      <c r="E9" s="38"/>
      <c r="F9" s="38"/>
      <c r="G9" s="38"/>
      <c r="H9" s="38"/>
      <c r="I9" s="38"/>
      <c r="J9" s="38"/>
      <c r="K9" s="38"/>
      <c r="L9" s="139" t="str">
        <f t="shared" ref="L9:L27" si="5">IF(B9&lt;&gt;"",IF(OR(F9&gt;S9,G9&gt;T9),0,D9+E9+F9+G9-H9-I9-J9-K9),"")</f>
        <v/>
      </c>
      <c r="M9" s="137" t="str">
        <f t="shared" ca="1" si="0"/>
        <v/>
      </c>
      <c r="N9" s="196">
        <f>'Proje ve Personel Bilgileri'!F20</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Bilgileri'!C21&gt;0,'Proje ve Personel Bilgileri'!C21,"")</f>
        <v/>
      </c>
      <c r="C10" s="37"/>
      <c r="D10" s="38"/>
      <c r="E10" s="38"/>
      <c r="F10" s="38"/>
      <c r="G10" s="38"/>
      <c r="H10" s="38"/>
      <c r="I10" s="38"/>
      <c r="J10" s="38"/>
      <c r="K10" s="38"/>
      <c r="L10" s="139" t="str">
        <f t="shared" si="5"/>
        <v/>
      </c>
      <c r="M10" s="137" t="str">
        <f t="shared" ca="1" si="0"/>
        <v/>
      </c>
      <c r="N10" s="196">
        <f>'Proje ve Personel Bilgileri'!F21</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Bilgileri'!C22&gt;0,'Proje ve Personel Bilgileri'!C22,"")</f>
        <v/>
      </c>
      <c r="C11" s="37"/>
      <c r="D11" s="38"/>
      <c r="E11" s="38"/>
      <c r="F11" s="38"/>
      <c r="G11" s="38"/>
      <c r="H11" s="38"/>
      <c r="I11" s="38"/>
      <c r="J11" s="38"/>
      <c r="K11" s="38"/>
      <c r="L11" s="139" t="str">
        <f t="shared" si="5"/>
        <v/>
      </c>
      <c r="M11" s="137" t="str">
        <f t="shared" ca="1" si="0"/>
        <v/>
      </c>
      <c r="N11" s="196">
        <f>'Proje ve Personel Bilgileri'!F22</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Bilgileri'!C23&gt;0,'Proje ve Personel Bilgileri'!C23,"")</f>
        <v/>
      </c>
      <c r="C12" s="37"/>
      <c r="D12" s="38"/>
      <c r="E12" s="38"/>
      <c r="F12" s="38"/>
      <c r="G12" s="38"/>
      <c r="H12" s="38"/>
      <c r="I12" s="38"/>
      <c r="J12" s="38"/>
      <c r="K12" s="38"/>
      <c r="L12" s="139" t="str">
        <f t="shared" si="5"/>
        <v/>
      </c>
      <c r="M12" s="137" t="str">
        <f t="shared" ca="1" si="0"/>
        <v/>
      </c>
      <c r="N12" s="196">
        <f>'Proje ve Personel Bilgileri'!F23</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Bilgileri'!C24&gt;0,'Proje ve Personel Bilgileri'!C24,"")</f>
        <v/>
      </c>
      <c r="C13" s="37"/>
      <c r="D13" s="38"/>
      <c r="E13" s="38"/>
      <c r="F13" s="38"/>
      <c r="G13" s="38"/>
      <c r="H13" s="38"/>
      <c r="I13" s="38"/>
      <c r="J13" s="38"/>
      <c r="K13" s="38"/>
      <c r="L13" s="139" t="str">
        <f t="shared" si="5"/>
        <v/>
      </c>
      <c r="M13" s="137" t="str">
        <f t="shared" ca="1" si="0"/>
        <v/>
      </c>
      <c r="N13" s="196">
        <f>'Proje ve Personel Bilgileri'!F24</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Bilgileri'!C25&gt;0,'Proje ve Personel Bilgileri'!C25,"")</f>
        <v/>
      </c>
      <c r="C14" s="37"/>
      <c r="D14" s="38"/>
      <c r="E14" s="38"/>
      <c r="F14" s="38"/>
      <c r="G14" s="38"/>
      <c r="H14" s="38"/>
      <c r="I14" s="38"/>
      <c r="J14" s="38"/>
      <c r="K14" s="38"/>
      <c r="L14" s="139" t="str">
        <f t="shared" si="5"/>
        <v/>
      </c>
      <c r="M14" s="137" t="str">
        <f t="shared" ca="1" si="0"/>
        <v/>
      </c>
      <c r="N14" s="196">
        <f>'Proje ve Personel Bilgileri'!F25</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Bilgileri'!C26&gt;0,'Proje ve Personel Bilgileri'!C26,"")</f>
        <v/>
      </c>
      <c r="C15" s="37"/>
      <c r="D15" s="38"/>
      <c r="E15" s="38"/>
      <c r="F15" s="38"/>
      <c r="G15" s="38"/>
      <c r="H15" s="38"/>
      <c r="I15" s="38"/>
      <c r="J15" s="38"/>
      <c r="K15" s="38"/>
      <c r="L15" s="139" t="str">
        <f t="shared" si="5"/>
        <v/>
      </c>
      <c r="M15" s="137" t="str">
        <f t="shared" ca="1" si="0"/>
        <v/>
      </c>
      <c r="N15" s="196">
        <f>'Proje ve Personel Bilgileri'!F26</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Bilgileri'!C27&gt;0,'Proje ve Personel Bilgileri'!C27,"")</f>
        <v/>
      </c>
      <c r="C16" s="37"/>
      <c r="D16" s="38"/>
      <c r="E16" s="38"/>
      <c r="F16" s="38"/>
      <c r="G16" s="38"/>
      <c r="H16" s="38"/>
      <c r="I16" s="38"/>
      <c r="J16" s="38"/>
      <c r="K16" s="38"/>
      <c r="L16" s="139" t="str">
        <f t="shared" si="5"/>
        <v/>
      </c>
      <c r="M16" s="137" t="str">
        <f t="shared" ca="1" si="0"/>
        <v/>
      </c>
      <c r="N16" s="196">
        <f>'Proje ve Personel Bilgileri'!F27</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Bilgileri'!C28&gt;0,'Proje ve Personel Bilgileri'!C28,"")</f>
        <v/>
      </c>
      <c r="C17" s="37"/>
      <c r="D17" s="38"/>
      <c r="E17" s="38"/>
      <c r="F17" s="38"/>
      <c r="G17" s="38"/>
      <c r="H17" s="38"/>
      <c r="I17" s="38"/>
      <c r="J17" s="38"/>
      <c r="K17" s="38"/>
      <c r="L17" s="139" t="str">
        <f t="shared" si="5"/>
        <v/>
      </c>
      <c r="M17" s="137" t="str">
        <f t="shared" ca="1" si="0"/>
        <v/>
      </c>
      <c r="N17" s="196">
        <f>'Proje ve Personel Bilgileri'!F28</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Bilgileri'!C29&gt;0,'Proje ve Personel Bilgileri'!C29,"")</f>
        <v/>
      </c>
      <c r="C18" s="37"/>
      <c r="D18" s="38"/>
      <c r="E18" s="38"/>
      <c r="F18" s="38"/>
      <c r="G18" s="38"/>
      <c r="H18" s="38"/>
      <c r="I18" s="38"/>
      <c r="J18" s="38"/>
      <c r="K18" s="38"/>
      <c r="L18" s="139" t="str">
        <f t="shared" si="5"/>
        <v/>
      </c>
      <c r="M18" s="137" t="str">
        <f t="shared" ca="1" si="0"/>
        <v/>
      </c>
      <c r="N18" s="196">
        <f>'Proje ve Personel Bilgileri'!F29</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Bilgileri'!C30&gt;0,'Proje ve Personel Bilgileri'!C30,"")</f>
        <v/>
      </c>
      <c r="C19" s="37"/>
      <c r="D19" s="38"/>
      <c r="E19" s="38"/>
      <c r="F19" s="38"/>
      <c r="G19" s="38"/>
      <c r="H19" s="38"/>
      <c r="I19" s="38"/>
      <c r="J19" s="38"/>
      <c r="K19" s="38"/>
      <c r="L19" s="139" t="str">
        <f t="shared" si="5"/>
        <v/>
      </c>
      <c r="M19" s="137" t="str">
        <f t="shared" ca="1" si="0"/>
        <v/>
      </c>
      <c r="N19" s="196">
        <f>'Proje ve Personel Bilgileri'!F30</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Bilgileri'!C31&gt;0,'Proje ve Personel Bilgileri'!C31,"")</f>
        <v/>
      </c>
      <c r="C20" s="37"/>
      <c r="D20" s="38"/>
      <c r="E20" s="38"/>
      <c r="F20" s="38"/>
      <c r="G20" s="38"/>
      <c r="H20" s="38"/>
      <c r="I20" s="38"/>
      <c r="J20" s="38"/>
      <c r="K20" s="38"/>
      <c r="L20" s="139" t="str">
        <f t="shared" si="5"/>
        <v/>
      </c>
      <c r="M20" s="137" t="str">
        <f t="shared" ca="1" si="0"/>
        <v/>
      </c>
      <c r="N20" s="196">
        <f>'Proje ve Personel Bilgileri'!F31</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Bilgileri'!C32&gt;0,'Proje ve Personel Bilgileri'!C32,"")</f>
        <v/>
      </c>
      <c r="C21" s="37"/>
      <c r="D21" s="38"/>
      <c r="E21" s="38"/>
      <c r="F21" s="38"/>
      <c r="G21" s="38"/>
      <c r="H21" s="38"/>
      <c r="I21" s="38"/>
      <c r="J21" s="38"/>
      <c r="K21" s="38"/>
      <c r="L21" s="139" t="str">
        <f t="shared" si="5"/>
        <v/>
      </c>
      <c r="M21" s="137" t="str">
        <f t="shared" ca="1" si="0"/>
        <v/>
      </c>
      <c r="N21" s="196">
        <f>'Proje ve Personel Bilgileri'!F32</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Bilgileri'!C33&gt;0,'Proje ve Personel Bilgileri'!C33,"")</f>
        <v/>
      </c>
      <c r="C22" s="37"/>
      <c r="D22" s="38"/>
      <c r="E22" s="38"/>
      <c r="F22" s="38"/>
      <c r="G22" s="38"/>
      <c r="H22" s="38"/>
      <c r="I22" s="38"/>
      <c r="J22" s="38"/>
      <c r="K22" s="38"/>
      <c r="L22" s="139" t="str">
        <f t="shared" si="5"/>
        <v/>
      </c>
      <c r="M22" s="137" t="str">
        <f t="shared" ca="1" si="0"/>
        <v/>
      </c>
      <c r="N22" s="196">
        <f>'Proje ve Personel Bilgileri'!F33</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Bilgileri'!C34&gt;0,'Proje ve Personel Bilgileri'!C34,"")</f>
        <v/>
      </c>
      <c r="C23" s="37"/>
      <c r="D23" s="38"/>
      <c r="E23" s="38"/>
      <c r="F23" s="38"/>
      <c r="G23" s="38"/>
      <c r="H23" s="38"/>
      <c r="I23" s="38"/>
      <c r="J23" s="38"/>
      <c r="K23" s="38"/>
      <c r="L23" s="139" t="str">
        <f t="shared" si="5"/>
        <v/>
      </c>
      <c r="M23" s="137" t="str">
        <f t="shared" ca="1" si="0"/>
        <v/>
      </c>
      <c r="N23" s="196">
        <f>'Proje ve Personel Bilgileri'!F34</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Bilgileri'!C35&gt;0,'Proje ve Personel Bilgileri'!C35,"")</f>
        <v/>
      </c>
      <c r="C24" s="37"/>
      <c r="D24" s="38"/>
      <c r="E24" s="38"/>
      <c r="F24" s="38"/>
      <c r="G24" s="38"/>
      <c r="H24" s="38"/>
      <c r="I24" s="38"/>
      <c r="J24" s="38"/>
      <c r="K24" s="38"/>
      <c r="L24" s="139" t="str">
        <f t="shared" si="5"/>
        <v/>
      </c>
      <c r="M24" s="137" t="str">
        <f t="shared" ca="1" si="0"/>
        <v/>
      </c>
      <c r="N24" s="196">
        <f>'Proje ve Personel Bilgileri'!F35</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Bilgileri'!C36&gt;0,'Proje ve Personel Bilgileri'!C36,"")</f>
        <v/>
      </c>
      <c r="C25" s="37"/>
      <c r="D25" s="38"/>
      <c r="E25" s="38"/>
      <c r="F25" s="38"/>
      <c r="G25" s="38"/>
      <c r="H25" s="38"/>
      <c r="I25" s="38"/>
      <c r="J25" s="38"/>
      <c r="K25" s="38"/>
      <c r="L25" s="139" t="str">
        <f t="shared" si="5"/>
        <v/>
      </c>
      <c r="M25" s="137" t="str">
        <f t="shared" ca="1" si="0"/>
        <v/>
      </c>
      <c r="N25" s="196">
        <f>'Proje ve Personel Bilgileri'!F36</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Bilgileri'!C37&gt;0,'Proje ve Personel Bilgileri'!C37,"")</f>
        <v/>
      </c>
      <c r="C26" s="37"/>
      <c r="D26" s="38"/>
      <c r="E26" s="38"/>
      <c r="F26" s="38"/>
      <c r="G26" s="38"/>
      <c r="H26" s="38"/>
      <c r="I26" s="38"/>
      <c r="J26" s="38"/>
      <c r="K26" s="38"/>
      <c r="L26" s="139" t="str">
        <f t="shared" si="5"/>
        <v/>
      </c>
      <c r="M26" s="137" t="str">
        <f t="shared" ca="1" si="0"/>
        <v/>
      </c>
      <c r="N26" s="196">
        <f>'Proje ve Personel Bilgileri'!F37</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Bilgileri'!C38&gt;0,'Proje ve Personel Bilgileri'!C38,"")</f>
        <v/>
      </c>
      <c r="C27" s="39"/>
      <c r="D27" s="40"/>
      <c r="E27" s="40"/>
      <c r="F27" s="40"/>
      <c r="G27" s="40"/>
      <c r="H27" s="40"/>
      <c r="I27" s="40"/>
      <c r="J27" s="40"/>
      <c r="K27" s="40"/>
      <c r="L27" s="142" t="str">
        <f t="shared" si="5"/>
        <v/>
      </c>
      <c r="M27" s="137" t="str">
        <f t="shared" ca="1" si="0"/>
        <v/>
      </c>
      <c r="N27" s="196">
        <f>'Proje ve Personel Bilgileri'!F38</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04" t="s">
        <v>42</v>
      </c>
      <c r="B28" s="305"/>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45686</v>
      </c>
      <c r="C31" s="303" t="s">
        <v>40</v>
      </c>
      <c r="D31" s="303"/>
      <c r="E31" s="245" t="str">
        <f>IF(kurulusyetkilisi&gt;0,kurulusyetkilisi,"")</f>
        <v/>
      </c>
      <c r="F31" s="247"/>
      <c r="G31" s="247"/>
      <c r="H31" s="163"/>
      <c r="I31" s="163"/>
      <c r="J31" s="163"/>
    </row>
    <row r="32" spans="1:21" ht="19.7" x14ac:dyDescent="0.35">
      <c r="A32" s="249"/>
      <c r="B32" s="249"/>
      <c r="C32" s="303" t="s">
        <v>41</v>
      </c>
      <c r="D32" s="303"/>
      <c r="E32" s="302"/>
      <c r="F32" s="302"/>
      <c r="G32" s="302"/>
      <c r="H32" s="42"/>
      <c r="I32" s="42"/>
      <c r="J32" s="42"/>
    </row>
  </sheetData>
  <sheetProtection algorithmName="SHA-512" hashValue="vR2d1sPULnAIFM4x0o9frMNeY+fKy5GjXHOcAy6/oS/kcV7mrzsx9nnWtG3wSvEayoG53Pt8OhXwLRyHKDZmjg==" saltValue="oTnt4zhvkgBBUf6pySNwvQ==" spinCount="100000" sheet="1" objects="1" scenarios="1"/>
  <mergeCells count="21">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9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900-000001000000}">
      <formula1>0</formula1>
      <formula2>T8</formula2>
    </dataValidation>
    <dataValidation type="whole" allowBlank="1" showErrorMessage="1" error="Prim Gün Sayısı en fazla 30 olabilir." prompt="_x000a_" sqref="C8:C27" xr:uid="{00000000-0002-0000-09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Z32"/>
  <sheetViews>
    <sheetView zoomScale="80" zoomScaleNormal="80" workbookViewId="0">
      <selection activeCell="A3" sqref="A3:R3"/>
    </sheetView>
  </sheetViews>
  <sheetFormatPr defaultColWidth="8.875" defaultRowHeight="14.3" x14ac:dyDescent="0.25"/>
  <cols>
    <col min="1" max="1" width="8.875" style="112"/>
    <col min="2" max="2" width="34.75" style="112" customWidth="1"/>
    <col min="3" max="3" width="7.75" style="112" customWidth="1"/>
    <col min="4" max="4" width="14.375" style="112" customWidth="1"/>
    <col min="5" max="5" width="7.75" style="112" customWidth="1"/>
    <col min="6" max="6" width="14.375" style="112" customWidth="1"/>
    <col min="7" max="7" width="7.75" style="112" customWidth="1"/>
    <col min="8" max="8" width="14.375" style="112" customWidth="1"/>
    <col min="9" max="9" width="7.75" style="112" customWidth="1"/>
    <col min="10" max="10" width="14.375" style="112" customWidth="1"/>
    <col min="11" max="11" width="7.75" style="112" customWidth="1"/>
    <col min="12" max="12" width="14.375" style="112" customWidth="1"/>
    <col min="13" max="13" width="7.75" style="112" customWidth="1"/>
    <col min="14" max="14" width="14.375" style="112" customWidth="1"/>
    <col min="15" max="15" width="9.75" style="112" bestFit="1" customWidth="1"/>
    <col min="16" max="16" width="15.75" style="112" customWidth="1"/>
    <col min="17" max="17" width="9.75" style="112" customWidth="1"/>
    <col min="18" max="18" width="15.625" style="112" customWidth="1"/>
    <col min="19" max="19" width="8.875" style="112"/>
    <col min="20" max="25" width="0" style="112" hidden="1" customWidth="1"/>
    <col min="26" max="26" width="13.75" style="112" hidden="1" customWidth="1"/>
    <col min="27" max="16384" width="8.875" style="112"/>
  </cols>
  <sheetData>
    <row r="1" spans="1:26" ht="15.8" customHeight="1" x14ac:dyDescent="0.3">
      <c r="A1" s="329" t="s">
        <v>46</v>
      </c>
      <c r="B1" s="329"/>
      <c r="C1" s="329"/>
      <c r="D1" s="329"/>
      <c r="E1" s="329"/>
      <c r="F1" s="329"/>
      <c r="G1" s="329"/>
      <c r="H1" s="329"/>
      <c r="I1" s="329"/>
      <c r="J1" s="329"/>
      <c r="K1" s="329"/>
      <c r="L1" s="329"/>
      <c r="M1" s="329"/>
      <c r="N1" s="329"/>
      <c r="O1" s="329"/>
      <c r="P1" s="329"/>
      <c r="Q1" s="329"/>
      <c r="R1" s="329"/>
    </row>
    <row r="2" spans="1:26" x14ac:dyDescent="0.25">
      <c r="A2" s="336" t="str">
        <f>IF(YilDonem&lt;&gt;"",CONCATENATE(YilDonem,". döneme aittir."),"")</f>
        <v/>
      </c>
      <c r="B2" s="336"/>
      <c r="C2" s="336"/>
      <c r="D2" s="336"/>
      <c r="E2" s="336"/>
      <c r="F2" s="336"/>
      <c r="G2" s="336"/>
      <c r="H2" s="336"/>
      <c r="I2" s="336"/>
      <c r="J2" s="336"/>
      <c r="K2" s="336"/>
      <c r="L2" s="336"/>
      <c r="M2" s="336"/>
      <c r="N2" s="336"/>
      <c r="O2" s="336"/>
      <c r="P2" s="336"/>
      <c r="Q2" s="336"/>
      <c r="R2" s="336"/>
    </row>
    <row r="3" spans="1:26" ht="19.7" thickBot="1" x14ac:dyDescent="0.4">
      <c r="A3" s="337" t="s">
        <v>51</v>
      </c>
      <c r="B3" s="337"/>
      <c r="C3" s="337"/>
      <c r="D3" s="337"/>
      <c r="E3" s="337"/>
      <c r="F3" s="337"/>
      <c r="G3" s="337"/>
      <c r="H3" s="337"/>
      <c r="I3" s="337"/>
      <c r="J3" s="337"/>
      <c r="K3" s="337"/>
      <c r="L3" s="337"/>
      <c r="M3" s="337"/>
      <c r="N3" s="337"/>
      <c r="O3" s="337"/>
      <c r="P3" s="337"/>
      <c r="Q3" s="337"/>
      <c r="R3" s="337"/>
    </row>
    <row r="4" spans="1:26" ht="31.6" customHeight="1" thickBot="1" x14ac:dyDescent="0.3">
      <c r="A4" s="230" t="s">
        <v>1</v>
      </c>
      <c r="B4" s="330" t="str">
        <f>IF(ProjeNo&gt;0,ProjeNo,"")</f>
        <v/>
      </c>
      <c r="C4" s="331"/>
      <c r="D4" s="331"/>
      <c r="E4" s="331"/>
      <c r="F4" s="331"/>
      <c r="G4" s="331"/>
      <c r="H4" s="331"/>
      <c r="I4" s="331"/>
      <c r="J4" s="331"/>
      <c r="K4" s="331"/>
      <c r="L4" s="331"/>
      <c r="M4" s="331"/>
      <c r="N4" s="331"/>
      <c r="O4" s="331"/>
      <c r="P4" s="331"/>
      <c r="Q4" s="331"/>
      <c r="R4" s="332"/>
    </row>
    <row r="5" spans="1:26" ht="31.6" customHeight="1" thickBot="1" x14ac:dyDescent="0.3">
      <c r="A5" s="231" t="s">
        <v>11</v>
      </c>
      <c r="B5" s="333" t="str">
        <f>IF(ProjeAdi&gt;0,ProjeAdi,"")</f>
        <v/>
      </c>
      <c r="C5" s="334"/>
      <c r="D5" s="334"/>
      <c r="E5" s="334"/>
      <c r="F5" s="334"/>
      <c r="G5" s="334"/>
      <c r="H5" s="334"/>
      <c r="I5" s="334"/>
      <c r="J5" s="334"/>
      <c r="K5" s="334"/>
      <c r="L5" s="334"/>
      <c r="M5" s="334"/>
      <c r="N5" s="334"/>
      <c r="O5" s="334"/>
      <c r="P5" s="334"/>
      <c r="Q5" s="334"/>
      <c r="R5" s="335"/>
    </row>
    <row r="6" spans="1:26" ht="75.099999999999994" customHeight="1" thickBot="1" x14ac:dyDescent="0.3">
      <c r="A6" s="323" t="s">
        <v>7</v>
      </c>
      <c r="B6" s="325" t="s">
        <v>52</v>
      </c>
      <c r="C6" s="327" t="str">
        <f>IF(YilDonem&lt;&gt;"",VLOOKUP(DönBasAy,AyTablo,2,0),"")</f>
        <v/>
      </c>
      <c r="D6" s="328"/>
      <c r="E6" s="327" t="str">
        <f>IF(YilDonem&lt;&gt;"",VLOOKUP(DönBasAy+1,AyTablo,2,0),"")</f>
        <v/>
      </c>
      <c r="F6" s="328"/>
      <c r="G6" s="327" t="str">
        <f>IF(YilDonem&lt;&gt;"",VLOOKUP(DönBasAy+2,AyTablo,2,0),"")</f>
        <v/>
      </c>
      <c r="H6" s="328"/>
      <c r="I6" s="327" t="str">
        <f>IF(YilDonem&lt;&gt;"",VLOOKUP(DönBasAy+3,AyTablo,2,0),"")</f>
        <v/>
      </c>
      <c r="J6" s="328"/>
      <c r="K6" s="327" t="str">
        <f>IF(YilDonem&lt;&gt;"",VLOOKUP(DönBasAy+4,AyTablo,2,0),"")</f>
        <v/>
      </c>
      <c r="L6" s="328"/>
      <c r="M6" s="327" t="str">
        <f>IF(YilDonem&lt;&gt;"",VLOOKUP(DönBasAy+5,AyTablo,2,0),"")</f>
        <v/>
      </c>
      <c r="N6" s="328"/>
      <c r="O6" s="325" t="s">
        <v>47</v>
      </c>
      <c r="P6" s="325" t="s">
        <v>48</v>
      </c>
      <c r="Q6" s="325" t="s">
        <v>49</v>
      </c>
      <c r="R6" s="325" t="s">
        <v>110</v>
      </c>
    </row>
    <row r="7" spans="1:26" ht="49.6" customHeight="1" thickBot="1" x14ac:dyDescent="0.3">
      <c r="A7" s="324"/>
      <c r="B7" s="326"/>
      <c r="C7" s="232" t="s">
        <v>30</v>
      </c>
      <c r="D7" s="232" t="s">
        <v>50</v>
      </c>
      <c r="E7" s="232" t="s">
        <v>30</v>
      </c>
      <c r="F7" s="232" t="s">
        <v>50</v>
      </c>
      <c r="G7" s="232" t="s">
        <v>30</v>
      </c>
      <c r="H7" s="232" t="s">
        <v>50</v>
      </c>
      <c r="I7" s="232" t="s">
        <v>30</v>
      </c>
      <c r="J7" s="232" t="s">
        <v>50</v>
      </c>
      <c r="K7" s="232" t="s">
        <v>30</v>
      </c>
      <c r="L7" s="232" t="s">
        <v>50</v>
      </c>
      <c r="M7" s="232" t="s">
        <v>30</v>
      </c>
      <c r="N7" s="232" t="s">
        <v>50</v>
      </c>
      <c r="O7" s="326"/>
      <c r="P7" s="326"/>
      <c r="Q7" s="326"/>
      <c r="R7" s="326"/>
      <c r="T7"/>
      <c r="U7"/>
      <c r="V7"/>
      <c r="W7"/>
      <c r="X7"/>
      <c r="Y7"/>
      <c r="Z7" s="1" t="s">
        <v>85</v>
      </c>
    </row>
    <row r="8" spans="1:26" ht="23.1" customHeight="1" x14ac:dyDescent="0.25">
      <c r="A8" s="207">
        <v>1</v>
      </c>
      <c r="B8" s="113" t="str">
        <f>IF('Proje ve Personel Bilgileri'!C19&gt;0,'Proje ve Personel Bilgileri'!C19,"")</f>
        <v/>
      </c>
      <c r="C8" s="121">
        <f>IF('G011A (1.AY)'!C8&lt;&gt;"",'G011A (1.AY)'!C8,0)</f>
        <v>0</v>
      </c>
      <c r="D8" s="120">
        <f>IF('G011A (1.AY)'!L8&lt;&gt;"",'G011A (1.AY)'!L8,0)</f>
        <v>0</v>
      </c>
      <c r="E8" s="121">
        <f>IF('G011A (2.AY)'!C8&lt;&gt;"",'G011A (2.AY)'!C8,0)</f>
        <v>0</v>
      </c>
      <c r="F8" s="120">
        <f>IF('G011A (2.AY)'!L8&lt;&gt;"",'G011A (2.AY)'!L8,0)</f>
        <v>0</v>
      </c>
      <c r="G8" s="121">
        <f>IF('G011A (3.AY)'!C8&lt;&gt;"",'G011A (3.AY)'!C8,0)</f>
        <v>0</v>
      </c>
      <c r="H8" s="120">
        <f>IF('G011A (3.AY)'!L8&lt;&gt;"",'G011A (3.AY)'!L8,0)</f>
        <v>0</v>
      </c>
      <c r="I8" s="121">
        <f>IF('G011A (4.AY)'!C8&lt;&gt;"",'G011A (4.AY)'!C8,0)</f>
        <v>0</v>
      </c>
      <c r="J8" s="120">
        <f>IF('G011A (4.AY)'!L8&lt;&gt;"",'G011A (4.AY)'!L8,0)</f>
        <v>0</v>
      </c>
      <c r="K8" s="121">
        <f>IF('G011A (5.AY)'!C8&lt;&gt;"",'G011A (5.AY)'!C8,0)</f>
        <v>0</v>
      </c>
      <c r="L8" s="120">
        <f>IF('G011A (5.AY)'!L8&lt;&gt;"",'G011A (5.AY)'!L8,0)</f>
        <v>0</v>
      </c>
      <c r="M8" s="121">
        <f>IF('G011A (6.AY)'!C8&lt;&gt;"",'G011A (6.AY)'!C8,0)</f>
        <v>0</v>
      </c>
      <c r="N8" s="120">
        <f>IF('G011A (6.AY)'!L8&lt;&gt;"",'G011A (6.AY)'!L8,0)</f>
        <v>0</v>
      </c>
      <c r="O8" s="121">
        <f>C8+E8+G8+I8+K8+M8</f>
        <v>0</v>
      </c>
      <c r="P8" s="120">
        <f>D8+F8+H8+J8+L8+N8</f>
        <v>0</v>
      </c>
      <c r="Q8" s="120">
        <f>IF(O8=0,0,O8/30)</f>
        <v>0</v>
      </c>
      <c r="R8" s="122">
        <f>IF(P8=0,0,P8/Q8)</f>
        <v>0</v>
      </c>
      <c r="T8" s="112">
        <f>IF(C8&gt;0,1,0)</f>
        <v>0</v>
      </c>
      <c r="U8" s="112">
        <f>IF(E8&gt;0,1,0)</f>
        <v>0</v>
      </c>
      <c r="V8" s="112">
        <f>IF(G8&gt;0,1,0)</f>
        <v>0</v>
      </c>
      <c r="W8" s="112">
        <f>IF(I8&gt;0,1,0)</f>
        <v>0</v>
      </c>
      <c r="X8" s="112">
        <f>IF(K8&gt;0,1,0)</f>
        <v>0</v>
      </c>
      <c r="Y8" s="112">
        <f>IF(M8&gt;0,1,0)</f>
        <v>0</v>
      </c>
      <c r="Z8" s="112">
        <f>SUM(T8:Y8)</f>
        <v>0</v>
      </c>
    </row>
    <row r="9" spans="1:26" ht="23.1" customHeight="1" x14ac:dyDescent="0.25">
      <c r="A9" s="212">
        <v>2</v>
      </c>
      <c r="B9" s="115" t="str">
        <f>IF('Proje ve Personel Bilgileri'!C20&gt;0,'Proje ve Personel Bilgileri'!C20,"")</f>
        <v/>
      </c>
      <c r="C9" s="130">
        <f>IF('G011A (1.AY)'!C9&lt;&gt;"",'G011A (1.AY)'!C9,0)</f>
        <v>0</v>
      </c>
      <c r="D9" s="131">
        <f>IF('G011A (1.AY)'!L9&lt;&gt;"",'G011A (1.AY)'!L9,0)</f>
        <v>0</v>
      </c>
      <c r="E9" s="124">
        <f>IF('G011A (2.AY)'!C9&lt;&gt;"",'G011A (2.AY)'!C9,0)</f>
        <v>0</v>
      </c>
      <c r="F9" s="123">
        <f>IF('G011A (2.AY)'!L9&lt;&gt;"",'G011A (2.AY)'!L9,0)</f>
        <v>0</v>
      </c>
      <c r="G9" s="124">
        <f>IF('G011A (3.AY)'!C9&lt;&gt;"",'G011A (3.AY)'!C9,0)</f>
        <v>0</v>
      </c>
      <c r="H9" s="123">
        <f>IF('G011A (3.AY)'!L9&lt;&gt;"",'G011A (3.AY)'!L9,0)</f>
        <v>0</v>
      </c>
      <c r="I9" s="124">
        <f>IF('G011A (4.AY)'!C9&lt;&gt;"",'G011A (4.AY)'!C9,0)</f>
        <v>0</v>
      </c>
      <c r="J9" s="123">
        <f>IF('G011A (4.AY)'!L9&lt;&gt;"",'G011A (4.AY)'!L9,0)</f>
        <v>0</v>
      </c>
      <c r="K9" s="124">
        <f>IF('G011A (5.AY)'!C9&lt;&gt;"",'G011A (5.AY)'!C9,0)</f>
        <v>0</v>
      </c>
      <c r="L9" s="123">
        <f>IF('G011A (5.AY)'!L9&lt;&gt;"",'G011A (5.AY)'!L9,0)</f>
        <v>0</v>
      </c>
      <c r="M9" s="124">
        <f>IF('G011A (6.AY)'!C9&lt;&gt;"",'G011A (6.AY)'!C9,0)</f>
        <v>0</v>
      </c>
      <c r="N9" s="123">
        <f>IF('G011A (6.AY)'!L9&lt;&gt;"",'G011A (6.AY)'!L9,0)</f>
        <v>0</v>
      </c>
      <c r="O9" s="130">
        <f t="shared" ref="O9:O27" si="0">C9+E9+G9+I9+K9+M9</f>
        <v>0</v>
      </c>
      <c r="P9" s="131">
        <f t="shared" ref="P9:P27" si="1">D9+F9+H9+J9+L9+N9</f>
        <v>0</v>
      </c>
      <c r="Q9" s="131">
        <f t="shared" ref="Q9:Q27" si="2">IF(O9=0,0,O9/30)</f>
        <v>0</v>
      </c>
      <c r="R9" s="132">
        <f t="shared" ref="R9:R27" si="3">IF(P9=0,0,P9/Q9)</f>
        <v>0</v>
      </c>
      <c r="T9" s="112">
        <f t="shared" ref="T9:T27" si="4">IF(C9&gt;0,1,0)</f>
        <v>0</v>
      </c>
      <c r="U9" s="112">
        <f t="shared" ref="U9:U27" si="5">IF(E9&gt;0,1,0)</f>
        <v>0</v>
      </c>
      <c r="V9" s="112">
        <f t="shared" ref="V9:V27" si="6">IF(G9&gt;0,1,0)</f>
        <v>0</v>
      </c>
      <c r="W9" s="112">
        <f t="shared" ref="W9:W27" si="7">IF(I9&gt;0,1,0)</f>
        <v>0</v>
      </c>
      <c r="X9" s="112">
        <f t="shared" ref="X9:X27" si="8">IF(K9&gt;0,1,0)</f>
        <v>0</v>
      </c>
      <c r="Y9" s="112">
        <f t="shared" ref="Y9:Y27" si="9">IF(M9&gt;0,1,0)</f>
        <v>0</v>
      </c>
      <c r="Z9" s="112">
        <f t="shared" ref="Z9:Z27" si="10">SUM(T9:Y9)</f>
        <v>0</v>
      </c>
    </row>
    <row r="10" spans="1:26" ht="23.1" customHeight="1" x14ac:dyDescent="0.25">
      <c r="A10" s="212">
        <v>3</v>
      </c>
      <c r="B10" s="115" t="str">
        <f>IF('Proje ve Personel Bilgileri'!C21&gt;0,'Proje ve Personel Bilgileri'!C21,"")</f>
        <v/>
      </c>
      <c r="C10" s="130">
        <f>IF('G011A (1.AY)'!C10&lt;&gt;"",'G011A (1.AY)'!C10,0)</f>
        <v>0</v>
      </c>
      <c r="D10" s="131">
        <f>IF('G011A (1.AY)'!L10&lt;&gt;"",'G011A (1.AY)'!L10,0)</f>
        <v>0</v>
      </c>
      <c r="E10" s="124">
        <f>IF('G011A (2.AY)'!C10&lt;&gt;"",'G011A (2.AY)'!C10,0)</f>
        <v>0</v>
      </c>
      <c r="F10" s="123">
        <f>IF('G011A (2.AY)'!L10&lt;&gt;"",'G011A (2.AY)'!L10,0)</f>
        <v>0</v>
      </c>
      <c r="G10" s="124">
        <f>IF('G011A (3.AY)'!C10&lt;&gt;"",'G011A (3.AY)'!C10,0)</f>
        <v>0</v>
      </c>
      <c r="H10" s="123">
        <f>IF('G011A (3.AY)'!L10&lt;&gt;"",'G011A (3.AY)'!L10,0)</f>
        <v>0</v>
      </c>
      <c r="I10" s="124">
        <f>IF('G011A (4.AY)'!C10&lt;&gt;"",'G011A (4.AY)'!C10,0)</f>
        <v>0</v>
      </c>
      <c r="J10" s="123">
        <f>IF('G011A (4.AY)'!L10&lt;&gt;"",'G011A (4.AY)'!L10,0)</f>
        <v>0</v>
      </c>
      <c r="K10" s="124">
        <f>IF('G011A (5.AY)'!C10&lt;&gt;"",'G011A (5.AY)'!C10,0)</f>
        <v>0</v>
      </c>
      <c r="L10" s="123">
        <f>IF('G011A (5.AY)'!L10&lt;&gt;"",'G011A (5.AY)'!L10,0)</f>
        <v>0</v>
      </c>
      <c r="M10" s="124">
        <f>IF('G011A (6.AY)'!C10&lt;&gt;"",'G011A (6.AY)'!C10,0)</f>
        <v>0</v>
      </c>
      <c r="N10" s="123">
        <f>IF('G011A (6.AY)'!L10&lt;&gt;"",'G011A (6.AY)'!L10,0)</f>
        <v>0</v>
      </c>
      <c r="O10" s="130">
        <f t="shared" si="0"/>
        <v>0</v>
      </c>
      <c r="P10" s="131">
        <f t="shared" si="1"/>
        <v>0</v>
      </c>
      <c r="Q10" s="131">
        <f t="shared" si="2"/>
        <v>0</v>
      </c>
      <c r="R10" s="132">
        <f t="shared" si="3"/>
        <v>0</v>
      </c>
      <c r="T10" s="112">
        <f t="shared" si="4"/>
        <v>0</v>
      </c>
      <c r="U10" s="112">
        <f t="shared" si="5"/>
        <v>0</v>
      </c>
      <c r="V10" s="112">
        <f t="shared" si="6"/>
        <v>0</v>
      </c>
      <c r="W10" s="112">
        <f t="shared" si="7"/>
        <v>0</v>
      </c>
      <c r="X10" s="112">
        <f t="shared" si="8"/>
        <v>0</v>
      </c>
      <c r="Y10" s="112">
        <f t="shared" si="9"/>
        <v>0</v>
      </c>
      <c r="Z10" s="112">
        <f t="shared" si="10"/>
        <v>0</v>
      </c>
    </row>
    <row r="11" spans="1:26" ht="23.1" customHeight="1" x14ac:dyDescent="0.25">
      <c r="A11" s="212">
        <v>4</v>
      </c>
      <c r="B11" s="115" t="str">
        <f>IF('Proje ve Personel Bilgileri'!C22&gt;0,'Proje ve Personel Bilgileri'!C22,"")</f>
        <v/>
      </c>
      <c r="C11" s="130">
        <f>IF('G011A (1.AY)'!C11&lt;&gt;"",'G011A (1.AY)'!C11,0)</f>
        <v>0</v>
      </c>
      <c r="D11" s="131">
        <f>IF('G011A (1.AY)'!L11&lt;&gt;"",'G011A (1.AY)'!L11,0)</f>
        <v>0</v>
      </c>
      <c r="E11" s="124">
        <f>IF('G011A (2.AY)'!C11&lt;&gt;"",'G011A (2.AY)'!C11,0)</f>
        <v>0</v>
      </c>
      <c r="F11" s="123">
        <f>IF('G011A (2.AY)'!L11&lt;&gt;"",'G011A (2.AY)'!L11,0)</f>
        <v>0</v>
      </c>
      <c r="G11" s="124">
        <f>IF('G011A (3.AY)'!C11&lt;&gt;"",'G011A (3.AY)'!C11,0)</f>
        <v>0</v>
      </c>
      <c r="H11" s="123">
        <f>IF('G011A (3.AY)'!L11&lt;&gt;"",'G011A (3.AY)'!L11,0)</f>
        <v>0</v>
      </c>
      <c r="I11" s="124">
        <f>IF('G011A (4.AY)'!C11&lt;&gt;"",'G011A (4.AY)'!C11,0)</f>
        <v>0</v>
      </c>
      <c r="J11" s="123">
        <f>IF('G011A (4.AY)'!L11&lt;&gt;"",'G011A (4.AY)'!L11,0)</f>
        <v>0</v>
      </c>
      <c r="K11" s="124">
        <f>IF('G011A (5.AY)'!C11&lt;&gt;"",'G011A (5.AY)'!C11,0)</f>
        <v>0</v>
      </c>
      <c r="L11" s="123">
        <f>IF('G011A (5.AY)'!L11&lt;&gt;"",'G011A (5.AY)'!L11,0)</f>
        <v>0</v>
      </c>
      <c r="M11" s="124">
        <f>IF('G011A (6.AY)'!C11&lt;&gt;"",'G011A (6.AY)'!C11,0)</f>
        <v>0</v>
      </c>
      <c r="N11" s="123">
        <f>IF('G011A (6.AY)'!L11&lt;&gt;"",'G011A (6.AY)'!L11,0)</f>
        <v>0</v>
      </c>
      <c r="O11" s="130">
        <f t="shared" si="0"/>
        <v>0</v>
      </c>
      <c r="P11" s="131">
        <f t="shared" si="1"/>
        <v>0</v>
      </c>
      <c r="Q11" s="131">
        <f t="shared" si="2"/>
        <v>0</v>
      </c>
      <c r="R11" s="132">
        <f t="shared" si="3"/>
        <v>0</v>
      </c>
      <c r="T11" s="112">
        <f t="shared" si="4"/>
        <v>0</v>
      </c>
      <c r="U11" s="112">
        <f t="shared" si="5"/>
        <v>0</v>
      </c>
      <c r="V11" s="112">
        <f t="shared" si="6"/>
        <v>0</v>
      </c>
      <c r="W11" s="112">
        <f t="shared" si="7"/>
        <v>0</v>
      </c>
      <c r="X11" s="112">
        <f t="shared" si="8"/>
        <v>0</v>
      </c>
      <c r="Y11" s="112">
        <f t="shared" si="9"/>
        <v>0</v>
      </c>
      <c r="Z11" s="112">
        <f t="shared" si="10"/>
        <v>0</v>
      </c>
    </row>
    <row r="12" spans="1:26" ht="23.1" customHeight="1" x14ac:dyDescent="0.25">
      <c r="A12" s="212">
        <v>5</v>
      </c>
      <c r="B12" s="115" t="str">
        <f>IF('Proje ve Personel Bilgileri'!C23&gt;0,'Proje ve Personel Bilgileri'!C23,"")</f>
        <v/>
      </c>
      <c r="C12" s="130">
        <f>IF('G011A (1.AY)'!C12&lt;&gt;"",'G011A (1.AY)'!C12,0)</f>
        <v>0</v>
      </c>
      <c r="D12" s="131">
        <f>IF('G011A (1.AY)'!L12&lt;&gt;"",'G011A (1.AY)'!L12,0)</f>
        <v>0</v>
      </c>
      <c r="E12" s="124">
        <f>IF('G011A (2.AY)'!C12&lt;&gt;"",'G011A (2.AY)'!C12,0)</f>
        <v>0</v>
      </c>
      <c r="F12" s="123">
        <f>IF('G011A (2.AY)'!L12&lt;&gt;"",'G011A (2.AY)'!L12,0)</f>
        <v>0</v>
      </c>
      <c r="G12" s="124">
        <f>IF('G011A (3.AY)'!C12&lt;&gt;"",'G011A (3.AY)'!C12,0)</f>
        <v>0</v>
      </c>
      <c r="H12" s="123">
        <f>IF('G011A (3.AY)'!L12&lt;&gt;"",'G011A (3.AY)'!L12,0)</f>
        <v>0</v>
      </c>
      <c r="I12" s="124">
        <f>IF('G011A (4.AY)'!C12&lt;&gt;"",'G011A (4.AY)'!C12,0)</f>
        <v>0</v>
      </c>
      <c r="J12" s="123">
        <f>IF('G011A (4.AY)'!L12&lt;&gt;"",'G011A (4.AY)'!L12,0)</f>
        <v>0</v>
      </c>
      <c r="K12" s="124">
        <f>IF('G011A (5.AY)'!C12&lt;&gt;"",'G011A (5.AY)'!C12,0)</f>
        <v>0</v>
      </c>
      <c r="L12" s="123">
        <f>IF('G011A (5.AY)'!L12&lt;&gt;"",'G011A (5.AY)'!L12,0)</f>
        <v>0</v>
      </c>
      <c r="M12" s="124">
        <f>IF('G011A (6.AY)'!C12&lt;&gt;"",'G011A (6.AY)'!C12,0)</f>
        <v>0</v>
      </c>
      <c r="N12" s="123">
        <f>IF('G011A (6.AY)'!L12&lt;&gt;"",'G011A (6.AY)'!L12,0)</f>
        <v>0</v>
      </c>
      <c r="O12" s="130">
        <f t="shared" si="0"/>
        <v>0</v>
      </c>
      <c r="P12" s="131">
        <f t="shared" si="1"/>
        <v>0</v>
      </c>
      <c r="Q12" s="131">
        <f t="shared" si="2"/>
        <v>0</v>
      </c>
      <c r="R12" s="132">
        <f t="shared" si="3"/>
        <v>0</v>
      </c>
      <c r="T12" s="112">
        <f t="shared" si="4"/>
        <v>0</v>
      </c>
      <c r="U12" s="112">
        <f t="shared" si="5"/>
        <v>0</v>
      </c>
      <c r="V12" s="112">
        <f t="shared" si="6"/>
        <v>0</v>
      </c>
      <c r="W12" s="112">
        <f t="shared" si="7"/>
        <v>0</v>
      </c>
      <c r="X12" s="112">
        <f t="shared" si="8"/>
        <v>0</v>
      </c>
      <c r="Y12" s="112">
        <f t="shared" si="9"/>
        <v>0</v>
      </c>
      <c r="Z12" s="112">
        <f t="shared" si="10"/>
        <v>0</v>
      </c>
    </row>
    <row r="13" spans="1:26" ht="23.1" customHeight="1" x14ac:dyDescent="0.25">
      <c r="A13" s="212">
        <v>6</v>
      </c>
      <c r="B13" s="115" t="str">
        <f>IF('Proje ve Personel Bilgileri'!C24&gt;0,'Proje ve Personel Bilgileri'!C24,"")</f>
        <v/>
      </c>
      <c r="C13" s="130">
        <f>IF('G011A (1.AY)'!C13&lt;&gt;"",'G011A (1.AY)'!C13,0)</f>
        <v>0</v>
      </c>
      <c r="D13" s="131">
        <f>IF('G011A (1.AY)'!L13&lt;&gt;"",'G011A (1.AY)'!L13,0)</f>
        <v>0</v>
      </c>
      <c r="E13" s="124">
        <f>IF('G011A (2.AY)'!C13&lt;&gt;"",'G011A (2.AY)'!C13,0)</f>
        <v>0</v>
      </c>
      <c r="F13" s="123">
        <f>IF('G011A (2.AY)'!L13&lt;&gt;"",'G011A (2.AY)'!L13,0)</f>
        <v>0</v>
      </c>
      <c r="G13" s="124">
        <f>IF('G011A (3.AY)'!C13&lt;&gt;"",'G011A (3.AY)'!C13,0)</f>
        <v>0</v>
      </c>
      <c r="H13" s="123">
        <f>IF('G011A (3.AY)'!L13&lt;&gt;"",'G011A (3.AY)'!L13,0)</f>
        <v>0</v>
      </c>
      <c r="I13" s="124">
        <f>IF('G011A (4.AY)'!C13&lt;&gt;"",'G011A (4.AY)'!C13,0)</f>
        <v>0</v>
      </c>
      <c r="J13" s="123">
        <f>IF('G011A (4.AY)'!L13&lt;&gt;"",'G011A (4.AY)'!L13,0)</f>
        <v>0</v>
      </c>
      <c r="K13" s="124">
        <f>IF('G011A (5.AY)'!C13&lt;&gt;"",'G011A (5.AY)'!C13,0)</f>
        <v>0</v>
      </c>
      <c r="L13" s="123">
        <f>IF('G011A (5.AY)'!L13&lt;&gt;"",'G011A (5.AY)'!L13,0)</f>
        <v>0</v>
      </c>
      <c r="M13" s="124">
        <f>IF('G011A (6.AY)'!C13&lt;&gt;"",'G011A (6.AY)'!C13,0)</f>
        <v>0</v>
      </c>
      <c r="N13" s="123">
        <f>IF('G011A (6.AY)'!L13&lt;&gt;"",'G011A (6.AY)'!L13,0)</f>
        <v>0</v>
      </c>
      <c r="O13" s="130">
        <f t="shared" si="0"/>
        <v>0</v>
      </c>
      <c r="P13" s="131">
        <f t="shared" si="1"/>
        <v>0</v>
      </c>
      <c r="Q13" s="131">
        <f t="shared" si="2"/>
        <v>0</v>
      </c>
      <c r="R13" s="132">
        <f t="shared" si="3"/>
        <v>0</v>
      </c>
      <c r="T13" s="112">
        <f t="shared" si="4"/>
        <v>0</v>
      </c>
      <c r="U13" s="112">
        <f t="shared" si="5"/>
        <v>0</v>
      </c>
      <c r="V13" s="112">
        <f t="shared" si="6"/>
        <v>0</v>
      </c>
      <c r="W13" s="112">
        <f t="shared" si="7"/>
        <v>0</v>
      </c>
      <c r="X13" s="112">
        <f t="shared" si="8"/>
        <v>0</v>
      </c>
      <c r="Y13" s="112">
        <f t="shared" si="9"/>
        <v>0</v>
      </c>
      <c r="Z13" s="112">
        <f t="shared" si="10"/>
        <v>0</v>
      </c>
    </row>
    <row r="14" spans="1:26" ht="23.1" customHeight="1" x14ac:dyDescent="0.25">
      <c r="A14" s="212">
        <v>7</v>
      </c>
      <c r="B14" s="115" t="str">
        <f>IF('Proje ve Personel Bilgileri'!C25&gt;0,'Proje ve Personel Bilgileri'!C25,"")</f>
        <v/>
      </c>
      <c r="C14" s="130">
        <f>IF('G011A (1.AY)'!C14&lt;&gt;"",'G011A (1.AY)'!C14,0)</f>
        <v>0</v>
      </c>
      <c r="D14" s="131">
        <f>IF('G011A (1.AY)'!L14&lt;&gt;"",'G011A (1.AY)'!L14,0)</f>
        <v>0</v>
      </c>
      <c r="E14" s="124">
        <f>IF('G011A (2.AY)'!C14&lt;&gt;"",'G011A (2.AY)'!C14,0)</f>
        <v>0</v>
      </c>
      <c r="F14" s="123">
        <f>IF('G011A (2.AY)'!L14&lt;&gt;"",'G011A (2.AY)'!L14,0)</f>
        <v>0</v>
      </c>
      <c r="G14" s="124">
        <f>IF('G011A (3.AY)'!C14&lt;&gt;"",'G011A (3.AY)'!C14,0)</f>
        <v>0</v>
      </c>
      <c r="H14" s="123">
        <f>IF('G011A (3.AY)'!L14&lt;&gt;"",'G011A (3.AY)'!L14,0)</f>
        <v>0</v>
      </c>
      <c r="I14" s="124">
        <f>IF('G011A (4.AY)'!C14&lt;&gt;"",'G011A (4.AY)'!C14,0)</f>
        <v>0</v>
      </c>
      <c r="J14" s="123">
        <f>IF('G011A (4.AY)'!L14&lt;&gt;"",'G011A (4.AY)'!L14,0)</f>
        <v>0</v>
      </c>
      <c r="K14" s="124">
        <f>IF('G011A (5.AY)'!C14&lt;&gt;"",'G011A (5.AY)'!C14,0)</f>
        <v>0</v>
      </c>
      <c r="L14" s="123">
        <f>IF('G011A (5.AY)'!L14&lt;&gt;"",'G011A (5.AY)'!L14,0)</f>
        <v>0</v>
      </c>
      <c r="M14" s="124">
        <f>IF('G011A (6.AY)'!C14&lt;&gt;"",'G011A (6.AY)'!C14,0)</f>
        <v>0</v>
      </c>
      <c r="N14" s="123">
        <f>IF('G011A (6.AY)'!L14&lt;&gt;"",'G011A (6.AY)'!L14,0)</f>
        <v>0</v>
      </c>
      <c r="O14" s="130">
        <f t="shared" si="0"/>
        <v>0</v>
      </c>
      <c r="P14" s="131">
        <f t="shared" si="1"/>
        <v>0</v>
      </c>
      <c r="Q14" s="131">
        <f t="shared" si="2"/>
        <v>0</v>
      </c>
      <c r="R14" s="132">
        <f t="shared" si="3"/>
        <v>0</v>
      </c>
      <c r="T14" s="112">
        <f t="shared" si="4"/>
        <v>0</v>
      </c>
      <c r="U14" s="112">
        <f t="shared" si="5"/>
        <v>0</v>
      </c>
      <c r="V14" s="112">
        <f t="shared" si="6"/>
        <v>0</v>
      </c>
      <c r="W14" s="112">
        <f t="shared" si="7"/>
        <v>0</v>
      </c>
      <c r="X14" s="112">
        <f t="shared" si="8"/>
        <v>0</v>
      </c>
      <c r="Y14" s="112">
        <f t="shared" si="9"/>
        <v>0</v>
      </c>
      <c r="Z14" s="112">
        <f t="shared" si="10"/>
        <v>0</v>
      </c>
    </row>
    <row r="15" spans="1:26" ht="23.1" customHeight="1" x14ac:dyDescent="0.25">
      <c r="A15" s="212">
        <v>8</v>
      </c>
      <c r="B15" s="115" t="str">
        <f>IF('Proje ve Personel Bilgileri'!C26&gt;0,'Proje ve Personel Bilgileri'!C26,"")</f>
        <v/>
      </c>
      <c r="C15" s="130">
        <f>IF('G011A (1.AY)'!C15&lt;&gt;"",'G011A (1.AY)'!C15,0)</f>
        <v>0</v>
      </c>
      <c r="D15" s="131">
        <f>IF('G011A (1.AY)'!L15&lt;&gt;"",'G011A (1.AY)'!L15,0)</f>
        <v>0</v>
      </c>
      <c r="E15" s="124">
        <f>IF('G011A (2.AY)'!C15&lt;&gt;"",'G011A (2.AY)'!C15,0)</f>
        <v>0</v>
      </c>
      <c r="F15" s="123">
        <f>IF('G011A (2.AY)'!L15&lt;&gt;"",'G011A (2.AY)'!L15,0)</f>
        <v>0</v>
      </c>
      <c r="G15" s="124">
        <f>IF('G011A (3.AY)'!C15&lt;&gt;"",'G011A (3.AY)'!C15,0)</f>
        <v>0</v>
      </c>
      <c r="H15" s="123">
        <f>IF('G011A (3.AY)'!L15&lt;&gt;"",'G011A (3.AY)'!L15,0)</f>
        <v>0</v>
      </c>
      <c r="I15" s="124">
        <f>IF('G011A (4.AY)'!C15&lt;&gt;"",'G011A (4.AY)'!C15,0)</f>
        <v>0</v>
      </c>
      <c r="J15" s="123">
        <f>IF('G011A (4.AY)'!L15&lt;&gt;"",'G011A (4.AY)'!L15,0)</f>
        <v>0</v>
      </c>
      <c r="K15" s="124">
        <f>IF('G011A (5.AY)'!C15&lt;&gt;"",'G011A (5.AY)'!C15,0)</f>
        <v>0</v>
      </c>
      <c r="L15" s="123">
        <f>IF('G011A (5.AY)'!L15&lt;&gt;"",'G011A (5.AY)'!L15,0)</f>
        <v>0</v>
      </c>
      <c r="M15" s="124">
        <f>IF('G011A (6.AY)'!C15&lt;&gt;"",'G011A (6.AY)'!C15,0)</f>
        <v>0</v>
      </c>
      <c r="N15" s="123">
        <f>IF('G011A (6.AY)'!L15&lt;&gt;"",'G011A (6.AY)'!L15,0)</f>
        <v>0</v>
      </c>
      <c r="O15" s="130">
        <f t="shared" si="0"/>
        <v>0</v>
      </c>
      <c r="P15" s="131">
        <f t="shared" si="1"/>
        <v>0</v>
      </c>
      <c r="Q15" s="131">
        <f t="shared" si="2"/>
        <v>0</v>
      </c>
      <c r="R15" s="132">
        <f t="shared" si="3"/>
        <v>0</v>
      </c>
      <c r="T15" s="112">
        <f t="shared" si="4"/>
        <v>0</v>
      </c>
      <c r="U15" s="112">
        <f t="shared" si="5"/>
        <v>0</v>
      </c>
      <c r="V15" s="112">
        <f t="shared" si="6"/>
        <v>0</v>
      </c>
      <c r="W15" s="112">
        <f t="shared" si="7"/>
        <v>0</v>
      </c>
      <c r="X15" s="112">
        <f t="shared" si="8"/>
        <v>0</v>
      </c>
      <c r="Y15" s="112">
        <f t="shared" si="9"/>
        <v>0</v>
      </c>
      <c r="Z15" s="112">
        <f t="shared" si="10"/>
        <v>0</v>
      </c>
    </row>
    <row r="16" spans="1:26" ht="23.1" customHeight="1" x14ac:dyDescent="0.25">
      <c r="A16" s="212">
        <v>9</v>
      </c>
      <c r="B16" s="115" t="str">
        <f>IF('Proje ve Personel Bilgileri'!C27&gt;0,'Proje ve Personel Bilgileri'!C27,"")</f>
        <v/>
      </c>
      <c r="C16" s="130">
        <f>IF('G011A (1.AY)'!C16&lt;&gt;"",'G011A (1.AY)'!C16,0)</f>
        <v>0</v>
      </c>
      <c r="D16" s="131">
        <f>IF('G011A (1.AY)'!L16&lt;&gt;"",'G011A (1.AY)'!L16,0)</f>
        <v>0</v>
      </c>
      <c r="E16" s="124">
        <f>IF('G011A (2.AY)'!C16&lt;&gt;"",'G011A (2.AY)'!C16,0)</f>
        <v>0</v>
      </c>
      <c r="F16" s="123">
        <f>IF('G011A (2.AY)'!L16&lt;&gt;"",'G011A (2.AY)'!L16,0)</f>
        <v>0</v>
      </c>
      <c r="G16" s="124">
        <f>IF('G011A (3.AY)'!C16&lt;&gt;"",'G011A (3.AY)'!C16,0)</f>
        <v>0</v>
      </c>
      <c r="H16" s="123">
        <f>IF('G011A (3.AY)'!L16&lt;&gt;"",'G011A (3.AY)'!L16,0)</f>
        <v>0</v>
      </c>
      <c r="I16" s="124">
        <f>IF('G011A (4.AY)'!C16&lt;&gt;"",'G011A (4.AY)'!C16,0)</f>
        <v>0</v>
      </c>
      <c r="J16" s="123">
        <f>IF('G011A (4.AY)'!L16&lt;&gt;"",'G011A (4.AY)'!L16,0)</f>
        <v>0</v>
      </c>
      <c r="K16" s="124">
        <f>IF('G011A (5.AY)'!C16&lt;&gt;"",'G011A (5.AY)'!C16,0)</f>
        <v>0</v>
      </c>
      <c r="L16" s="123">
        <f>IF('G011A (5.AY)'!L16&lt;&gt;"",'G011A (5.AY)'!L16,0)</f>
        <v>0</v>
      </c>
      <c r="M16" s="124">
        <f>IF('G011A (6.AY)'!C16&lt;&gt;"",'G011A (6.AY)'!C16,0)</f>
        <v>0</v>
      </c>
      <c r="N16" s="123">
        <f>IF('G011A (6.AY)'!L16&lt;&gt;"",'G011A (6.AY)'!L16,0)</f>
        <v>0</v>
      </c>
      <c r="O16" s="130">
        <f t="shared" si="0"/>
        <v>0</v>
      </c>
      <c r="P16" s="131">
        <f t="shared" si="1"/>
        <v>0</v>
      </c>
      <c r="Q16" s="131">
        <f t="shared" si="2"/>
        <v>0</v>
      </c>
      <c r="R16" s="132">
        <f t="shared" si="3"/>
        <v>0</v>
      </c>
      <c r="T16" s="112">
        <f t="shared" si="4"/>
        <v>0</v>
      </c>
      <c r="U16" s="112">
        <f t="shared" si="5"/>
        <v>0</v>
      </c>
      <c r="V16" s="112">
        <f t="shared" si="6"/>
        <v>0</v>
      </c>
      <c r="W16" s="112">
        <f t="shared" si="7"/>
        <v>0</v>
      </c>
      <c r="X16" s="112">
        <f t="shared" si="8"/>
        <v>0</v>
      </c>
      <c r="Y16" s="112">
        <f t="shared" si="9"/>
        <v>0</v>
      </c>
      <c r="Z16" s="112">
        <f t="shared" si="10"/>
        <v>0</v>
      </c>
    </row>
    <row r="17" spans="1:26" ht="23.1" customHeight="1" x14ac:dyDescent="0.25">
      <c r="A17" s="212">
        <v>10</v>
      </c>
      <c r="B17" s="115" t="str">
        <f>IF('Proje ve Personel Bilgileri'!C28&gt;0,'Proje ve Personel Bilgileri'!C28,"")</f>
        <v/>
      </c>
      <c r="C17" s="130">
        <f>IF('G011A (1.AY)'!C17&lt;&gt;"",'G011A (1.AY)'!C17,0)</f>
        <v>0</v>
      </c>
      <c r="D17" s="131">
        <f>IF('G011A (1.AY)'!L17&lt;&gt;"",'G011A (1.AY)'!L17,0)</f>
        <v>0</v>
      </c>
      <c r="E17" s="124">
        <f>IF('G011A (2.AY)'!C17&lt;&gt;"",'G011A (2.AY)'!C17,0)</f>
        <v>0</v>
      </c>
      <c r="F17" s="123">
        <f>IF('G011A (2.AY)'!L17&lt;&gt;"",'G011A (2.AY)'!L17,0)</f>
        <v>0</v>
      </c>
      <c r="G17" s="124">
        <f>IF('G011A (3.AY)'!C17&lt;&gt;"",'G011A (3.AY)'!C17,0)</f>
        <v>0</v>
      </c>
      <c r="H17" s="123">
        <f>IF('G011A (3.AY)'!L17&lt;&gt;"",'G011A (3.AY)'!L17,0)</f>
        <v>0</v>
      </c>
      <c r="I17" s="124">
        <f>IF('G011A (4.AY)'!C17&lt;&gt;"",'G011A (4.AY)'!C17,0)</f>
        <v>0</v>
      </c>
      <c r="J17" s="123">
        <f>IF('G011A (4.AY)'!L17&lt;&gt;"",'G011A (4.AY)'!L17,0)</f>
        <v>0</v>
      </c>
      <c r="K17" s="124">
        <f>IF('G011A (5.AY)'!C17&lt;&gt;"",'G011A (5.AY)'!C17,0)</f>
        <v>0</v>
      </c>
      <c r="L17" s="123">
        <f>IF('G011A (5.AY)'!L17&lt;&gt;"",'G011A (5.AY)'!L17,0)</f>
        <v>0</v>
      </c>
      <c r="M17" s="124">
        <f>IF('G011A (6.AY)'!C17&lt;&gt;"",'G011A (6.AY)'!C17,0)</f>
        <v>0</v>
      </c>
      <c r="N17" s="123">
        <f>IF('G011A (6.AY)'!L17&lt;&gt;"",'G011A (6.AY)'!L17,0)</f>
        <v>0</v>
      </c>
      <c r="O17" s="130">
        <f t="shared" si="0"/>
        <v>0</v>
      </c>
      <c r="P17" s="131">
        <f t="shared" si="1"/>
        <v>0</v>
      </c>
      <c r="Q17" s="131">
        <f t="shared" si="2"/>
        <v>0</v>
      </c>
      <c r="R17" s="132">
        <f t="shared" si="3"/>
        <v>0</v>
      </c>
      <c r="T17" s="112">
        <f t="shared" si="4"/>
        <v>0</v>
      </c>
      <c r="U17" s="112">
        <f t="shared" si="5"/>
        <v>0</v>
      </c>
      <c r="V17" s="112">
        <f t="shared" si="6"/>
        <v>0</v>
      </c>
      <c r="W17" s="112">
        <f t="shared" si="7"/>
        <v>0</v>
      </c>
      <c r="X17" s="112">
        <f t="shared" si="8"/>
        <v>0</v>
      </c>
      <c r="Y17" s="112">
        <f t="shared" si="9"/>
        <v>0</v>
      </c>
      <c r="Z17" s="112">
        <f t="shared" si="10"/>
        <v>0</v>
      </c>
    </row>
    <row r="18" spans="1:26" ht="23.1" customHeight="1" x14ac:dyDescent="0.25">
      <c r="A18" s="212">
        <v>11</v>
      </c>
      <c r="B18" s="115" t="str">
        <f>IF('Proje ve Personel Bilgileri'!C29&gt;0,'Proje ve Personel Bilgileri'!C29,"")</f>
        <v/>
      </c>
      <c r="C18" s="130">
        <f>IF('G011A (1.AY)'!C18&lt;&gt;"",'G011A (1.AY)'!C18,0)</f>
        <v>0</v>
      </c>
      <c r="D18" s="131">
        <f>IF('G011A (1.AY)'!L18&lt;&gt;"",'G011A (1.AY)'!L18,0)</f>
        <v>0</v>
      </c>
      <c r="E18" s="124">
        <f>IF('G011A (2.AY)'!C18&lt;&gt;"",'G011A (2.AY)'!C18,0)</f>
        <v>0</v>
      </c>
      <c r="F18" s="123">
        <f>IF('G011A (2.AY)'!L18&lt;&gt;"",'G011A (2.AY)'!L18,0)</f>
        <v>0</v>
      </c>
      <c r="G18" s="124">
        <f>IF('G011A (3.AY)'!C18&lt;&gt;"",'G011A (3.AY)'!C18,0)</f>
        <v>0</v>
      </c>
      <c r="H18" s="123">
        <f>IF('G011A (3.AY)'!L18&lt;&gt;"",'G011A (3.AY)'!L18,0)</f>
        <v>0</v>
      </c>
      <c r="I18" s="124">
        <f>IF('G011A (4.AY)'!C18&lt;&gt;"",'G011A (4.AY)'!C18,0)</f>
        <v>0</v>
      </c>
      <c r="J18" s="123">
        <f>IF('G011A (4.AY)'!L18&lt;&gt;"",'G011A (4.AY)'!L18,0)</f>
        <v>0</v>
      </c>
      <c r="K18" s="124">
        <f>IF('G011A (5.AY)'!C18&lt;&gt;"",'G011A (5.AY)'!C18,0)</f>
        <v>0</v>
      </c>
      <c r="L18" s="123">
        <f>IF('G011A (5.AY)'!L18&lt;&gt;"",'G011A (5.AY)'!L18,0)</f>
        <v>0</v>
      </c>
      <c r="M18" s="124">
        <f>IF('G011A (6.AY)'!C18&lt;&gt;"",'G011A (6.AY)'!C18,0)</f>
        <v>0</v>
      </c>
      <c r="N18" s="123">
        <f>IF('G011A (6.AY)'!L18&lt;&gt;"",'G011A (6.AY)'!L18,0)</f>
        <v>0</v>
      </c>
      <c r="O18" s="130">
        <f t="shared" si="0"/>
        <v>0</v>
      </c>
      <c r="P18" s="131">
        <f t="shared" si="1"/>
        <v>0</v>
      </c>
      <c r="Q18" s="131">
        <f t="shared" si="2"/>
        <v>0</v>
      </c>
      <c r="R18" s="132">
        <f t="shared" si="3"/>
        <v>0</v>
      </c>
      <c r="T18" s="112">
        <f t="shared" si="4"/>
        <v>0</v>
      </c>
      <c r="U18" s="112">
        <f t="shared" si="5"/>
        <v>0</v>
      </c>
      <c r="V18" s="112">
        <f t="shared" si="6"/>
        <v>0</v>
      </c>
      <c r="W18" s="112">
        <f t="shared" si="7"/>
        <v>0</v>
      </c>
      <c r="X18" s="112">
        <f t="shared" si="8"/>
        <v>0</v>
      </c>
      <c r="Y18" s="112">
        <f t="shared" si="9"/>
        <v>0</v>
      </c>
      <c r="Z18" s="112">
        <f t="shared" si="10"/>
        <v>0</v>
      </c>
    </row>
    <row r="19" spans="1:26" ht="23.1" customHeight="1" x14ac:dyDescent="0.25">
      <c r="A19" s="212">
        <v>12</v>
      </c>
      <c r="B19" s="115" t="str">
        <f>IF('Proje ve Personel Bilgileri'!C30&gt;0,'Proje ve Personel Bilgileri'!C30,"")</f>
        <v/>
      </c>
      <c r="C19" s="130">
        <f>IF('G011A (1.AY)'!C19&lt;&gt;"",'G011A (1.AY)'!C19,0)</f>
        <v>0</v>
      </c>
      <c r="D19" s="131">
        <f>IF('G011A (1.AY)'!L19&lt;&gt;"",'G011A (1.AY)'!L19,0)</f>
        <v>0</v>
      </c>
      <c r="E19" s="124">
        <f>IF('G011A (2.AY)'!C19&lt;&gt;"",'G011A (2.AY)'!C19,0)</f>
        <v>0</v>
      </c>
      <c r="F19" s="123">
        <f>IF('G011A (2.AY)'!L19&lt;&gt;"",'G011A (2.AY)'!L19,0)</f>
        <v>0</v>
      </c>
      <c r="G19" s="124">
        <f>IF('G011A (3.AY)'!C19&lt;&gt;"",'G011A (3.AY)'!C19,0)</f>
        <v>0</v>
      </c>
      <c r="H19" s="123">
        <f>IF('G011A (3.AY)'!L19&lt;&gt;"",'G011A (3.AY)'!L19,0)</f>
        <v>0</v>
      </c>
      <c r="I19" s="124">
        <f>IF('G011A (4.AY)'!C19&lt;&gt;"",'G011A (4.AY)'!C19,0)</f>
        <v>0</v>
      </c>
      <c r="J19" s="123">
        <f>IF('G011A (4.AY)'!L19&lt;&gt;"",'G011A (4.AY)'!L19,0)</f>
        <v>0</v>
      </c>
      <c r="K19" s="124">
        <f>IF('G011A (5.AY)'!C19&lt;&gt;"",'G011A (5.AY)'!C19,0)</f>
        <v>0</v>
      </c>
      <c r="L19" s="123">
        <f>IF('G011A (5.AY)'!L19&lt;&gt;"",'G011A (5.AY)'!L19,0)</f>
        <v>0</v>
      </c>
      <c r="M19" s="124">
        <f>IF('G011A (6.AY)'!C19&lt;&gt;"",'G011A (6.AY)'!C19,0)</f>
        <v>0</v>
      </c>
      <c r="N19" s="123">
        <f>IF('G011A (6.AY)'!L19&lt;&gt;"",'G011A (6.AY)'!L19,0)</f>
        <v>0</v>
      </c>
      <c r="O19" s="130">
        <f t="shared" si="0"/>
        <v>0</v>
      </c>
      <c r="P19" s="131">
        <f t="shared" si="1"/>
        <v>0</v>
      </c>
      <c r="Q19" s="131">
        <f t="shared" si="2"/>
        <v>0</v>
      </c>
      <c r="R19" s="132">
        <f t="shared" si="3"/>
        <v>0</v>
      </c>
      <c r="T19" s="112">
        <f t="shared" si="4"/>
        <v>0</v>
      </c>
      <c r="U19" s="112">
        <f t="shared" si="5"/>
        <v>0</v>
      </c>
      <c r="V19" s="112">
        <f t="shared" si="6"/>
        <v>0</v>
      </c>
      <c r="W19" s="112">
        <f t="shared" si="7"/>
        <v>0</v>
      </c>
      <c r="X19" s="112">
        <f t="shared" si="8"/>
        <v>0</v>
      </c>
      <c r="Y19" s="112">
        <f t="shared" si="9"/>
        <v>0</v>
      </c>
      <c r="Z19" s="112">
        <f t="shared" si="10"/>
        <v>0</v>
      </c>
    </row>
    <row r="20" spans="1:26" ht="23.1" customHeight="1" x14ac:dyDescent="0.25">
      <c r="A20" s="212">
        <v>13</v>
      </c>
      <c r="B20" s="115" t="str">
        <f>IF('Proje ve Personel Bilgileri'!C31&gt;0,'Proje ve Personel Bilgileri'!C31,"")</f>
        <v/>
      </c>
      <c r="C20" s="130">
        <f>IF('G011A (1.AY)'!C20&lt;&gt;"",'G011A (1.AY)'!C20,0)</f>
        <v>0</v>
      </c>
      <c r="D20" s="131">
        <f>IF('G011A (1.AY)'!L20&lt;&gt;"",'G011A (1.AY)'!L20,0)</f>
        <v>0</v>
      </c>
      <c r="E20" s="124">
        <f>IF('G011A (2.AY)'!C20&lt;&gt;"",'G011A (2.AY)'!C20,0)</f>
        <v>0</v>
      </c>
      <c r="F20" s="123">
        <f>IF('G011A (2.AY)'!L20&lt;&gt;"",'G011A (2.AY)'!L20,0)</f>
        <v>0</v>
      </c>
      <c r="G20" s="124">
        <f>IF('G011A (3.AY)'!C20&lt;&gt;"",'G011A (3.AY)'!C20,0)</f>
        <v>0</v>
      </c>
      <c r="H20" s="123">
        <f>IF('G011A (3.AY)'!L20&lt;&gt;"",'G011A (3.AY)'!L20,0)</f>
        <v>0</v>
      </c>
      <c r="I20" s="124">
        <f>IF('G011A (4.AY)'!C20&lt;&gt;"",'G011A (4.AY)'!C20,0)</f>
        <v>0</v>
      </c>
      <c r="J20" s="123">
        <f>IF('G011A (4.AY)'!L20&lt;&gt;"",'G011A (4.AY)'!L20,0)</f>
        <v>0</v>
      </c>
      <c r="K20" s="124">
        <f>IF('G011A (5.AY)'!C20&lt;&gt;"",'G011A (5.AY)'!C20,0)</f>
        <v>0</v>
      </c>
      <c r="L20" s="123">
        <f>IF('G011A (5.AY)'!L20&lt;&gt;"",'G011A (5.AY)'!L20,0)</f>
        <v>0</v>
      </c>
      <c r="M20" s="124">
        <f>IF('G011A (6.AY)'!C20&lt;&gt;"",'G011A (6.AY)'!C20,0)</f>
        <v>0</v>
      </c>
      <c r="N20" s="123">
        <f>IF('G011A (6.AY)'!L20&lt;&gt;"",'G011A (6.AY)'!L20,0)</f>
        <v>0</v>
      </c>
      <c r="O20" s="130">
        <f t="shared" si="0"/>
        <v>0</v>
      </c>
      <c r="P20" s="131">
        <f t="shared" si="1"/>
        <v>0</v>
      </c>
      <c r="Q20" s="131">
        <f t="shared" si="2"/>
        <v>0</v>
      </c>
      <c r="R20" s="132">
        <f t="shared" si="3"/>
        <v>0</v>
      </c>
      <c r="T20" s="112">
        <f t="shared" si="4"/>
        <v>0</v>
      </c>
      <c r="U20" s="112">
        <f t="shared" si="5"/>
        <v>0</v>
      </c>
      <c r="V20" s="112">
        <f t="shared" si="6"/>
        <v>0</v>
      </c>
      <c r="W20" s="112">
        <f t="shared" si="7"/>
        <v>0</v>
      </c>
      <c r="X20" s="112">
        <f t="shared" si="8"/>
        <v>0</v>
      </c>
      <c r="Y20" s="112">
        <f t="shared" si="9"/>
        <v>0</v>
      </c>
      <c r="Z20" s="112">
        <f t="shared" si="10"/>
        <v>0</v>
      </c>
    </row>
    <row r="21" spans="1:26" ht="23.1" customHeight="1" x14ac:dyDescent="0.25">
      <c r="A21" s="212">
        <v>14</v>
      </c>
      <c r="B21" s="115" t="str">
        <f>IF('Proje ve Personel Bilgileri'!C32&gt;0,'Proje ve Personel Bilgileri'!C32,"")</f>
        <v/>
      </c>
      <c r="C21" s="130">
        <f>IF('G011A (1.AY)'!C21&lt;&gt;"",'G011A (1.AY)'!C21,0)</f>
        <v>0</v>
      </c>
      <c r="D21" s="131">
        <f>IF('G011A (1.AY)'!L21&lt;&gt;"",'G011A (1.AY)'!L21,0)</f>
        <v>0</v>
      </c>
      <c r="E21" s="124">
        <f>IF('G011A (2.AY)'!C21&lt;&gt;"",'G011A (2.AY)'!C21,0)</f>
        <v>0</v>
      </c>
      <c r="F21" s="123">
        <f>IF('G011A (2.AY)'!L21&lt;&gt;"",'G011A (2.AY)'!L21,0)</f>
        <v>0</v>
      </c>
      <c r="G21" s="124">
        <f>IF('G011A (3.AY)'!C21&lt;&gt;"",'G011A (3.AY)'!C21,0)</f>
        <v>0</v>
      </c>
      <c r="H21" s="123">
        <f>IF('G011A (3.AY)'!L21&lt;&gt;"",'G011A (3.AY)'!L21,0)</f>
        <v>0</v>
      </c>
      <c r="I21" s="124">
        <f>IF('G011A (4.AY)'!C21&lt;&gt;"",'G011A (4.AY)'!C21,0)</f>
        <v>0</v>
      </c>
      <c r="J21" s="123">
        <f>IF('G011A (4.AY)'!L21&lt;&gt;"",'G011A (4.AY)'!L21,0)</f>
        <v>0</v>
      </c>
      <c r="K21" s="124">
        <f>IF('G011A (5.AY)'!C21&lt;&gt;"",'G011A (5.AY)'!C21,0)</f>
        <v>0</v>
      </c>
      <c r="L21" s="123">
        <f>IF('G011A (5.AY)'!L21&lt;&gt;"",'G011A (5.AY)'!L21,0)</f>
        <v>0</v>
      </c>
      <c r="M21" s="124">
        <f>IF('G011A (6.AY)'!C21&lt;&gt;"",'G011A (6.AY)'!C21,0)</f>
        <v>0</v>
      </c>
      <c r="N21" s="123">
        <f>IF('G011A (6.AY)'!L21&lt;&gt;"",'G011A (6.AY)'!L21,0)</f>
        <v>0</v>
      </c>
      <c r="O21" s="130">
        <f t="shared" si="0"/>
        <v>0</v>
      </c>
      <c r="P21" s="131">
        <f t="shared" si="1"/>
        <v>0</v>
      </c>
      <c r="Q21" s="131">
        <f t="shared" si="2"/>
        <v>0</v>
      </c>
      <c r="R21" s="132">
        <f t="shared" si="3"/>
        <v>0</v>
      </c>
      <c r="T21" s="112">
        <f t="shared" si="4"/>
        <v>0</v>
      </c>
      <c r="U21" s="112">
        <f t="shared" si="5"/>
        <v>0</v>
      </c>
      <c r="V21" s="112">
        <f t="shared" si="6"/>
        <v>0</v>
      </c>
      <c r="W21" s="112">
        <f t="shared" si="7"/>
        <v>0</v>
      </c>
      <c r="X21" s="112">
        <f t="shared" si="8"/>
        <v>0</v>
      </c>
      <c r="Y21" s="112">
        <f t="shared" si="9"/>
        <v>0</v>
      </c>
      <c r="Z21" s="112">
        <f t="shared" si="10"/>
        <v>0</v>
      </c>
    </row>
    <row r="22" spans="1:26" ht="23.1" customHeight="1" x14ac:dyDescent="0.25">
      <c r="A22" s="212">
        <v>15</v>
      </c>
      <c r="B22" s="115" t="str">
        <f>IF('Proje ve Personel Bilgileri'!C33&gt;0,'Proje ve Personel Bilgileri'!C33,"")</f>
        <v/>
      </c>
      <c r="C22" s="130">
        <f>IF('G011A (1.AY)'!C22&lt;&gt;"",'G011A (1.AY)'!C22,0)</f>
        <v>0</v>
      </c>
      <c r="D22" s="131">
        <f>IF('G011A (1.AY)'!L22&lt;&gt;"",'G011A (1.AY)'!L22,0)</f>
        <v>0</v>
      </c>
      <c r="E22" s="124">
        <f>IF('G011A (2.AY)'!C22&lt;&gt;"",'G011A (2.AY)'!C22,0)</f>
        <v>0</v>
      </c>
      <c r="F22" s="123">
        <f>IF('G011A (2.AY)'!L22&lt;&gt;"",'G011A (2.AY)'!L22,0)</f>
        <v>0</v>
      </c>
      <c r="G22" s="124">
        <f>IF('G011A (3.AY)'!C22&lt;&gt;"",'G011A (3.AY)'!C22,0)</f>
        <v>0</v>
      </c>
      <c r="H22" s="123">
        <f>IF('G011A (3.AY)'!L22&lt;&gt;"",'G011A (3.AY)'!L22,0)</f>
        <v>0</v>
      </c>
      <c r="I22" s="124">
        <f>IF('G011A (4.AY)'!C22&lt;&gt;"",'G011A (4.AY)'!C22,0)</f>
        <v>0</v>
      </c>
      <c r="J22" s="123">
        <f>IF('G011A (4.AY)'!L22&lt;&gt;"",'G011A (4.AY)'!L22,0)</f>
        <v>0</v>
      </c>
      <c r="K22" s="124">
        <f>IF('G011A (5.AY)'!C22&lt;&gt;"",'G011A (5.AY)'!C22,0)</f>
        <v>0</v>
      </c>
      <c r="L22" s="123">
        <f>IF('G011A (5.AY)'!L22&lt;&gt;"",'G011A (5.AY)'!L22,0)</f>
        <v>0</v>
      </c>
      <c r="M22" s="124">
        <f>IF('G011A (6.AY)'!C22&lt;&gt;"",'G011A (6.AY)'!C22,0)</f>
        <v>0</v>
      </c>
      <c r="N22" s="123">
        <f>IF('G011A (6.AY)'!L22&lt;&gt;"",'G011A (6.AY)'!L22,0)</f>
        <v>0</v>
      </c>
      <c r="O22" s="130">
        <f t="shared" si="0"/>
        <v>0</v>
      </c>
      <c r="P22" s="131">
        <f t="shared" si="1"/>
        <v>0</v>
      </c>
      <c r="Q22" s="131">
        <f t="shared" si="2"/>
        <v>0</v>
      </c>
      <c r="R22" s="132">
        <f t="shared" si="3"/>
        <v>0</v>
      </c>
      <c r="T22" s="112">
        <f t="shared" si="4"/>
        <v>0</v>
      </c>
      <c r="U22" s="112">
        <f t="shared" si="5"/>
        <v>0</v>
      </c>
      <c r="V22" s="112">
        <f t="shared" si="6"/>
        <v>0</v>
      </c>
      <c r="W22" s="112">
        <f t="shared" si="7"/>
        <v>0</v>
      </c>
      <c r="X22" s="112">
        <f t="shared" si="8"/>
        <v>0</v>
      </c>
      <c r="Y22" s="112">
        <f t="shared" si="9"/>
        <v>0</v>
      </c>
      <c r="Z22" s="112">
        <f t="shared" si="10"/>
        <v>0</v>
      </c>
    </row>
    <row r="23" spans="1:26" ht="23.1" customHeight="1" x14ac:dyDescent="0.25">
      <c r="A23" s="212">
        <v>16</v>
      </c>
      <c r="B23" s="115" t="str">
        <f>IF('Proje ve Personel Bilgileri'!C34&gt;0,'Proje ve Personel Bilgileri'!C34,"")</f>
        <v/>
      </c>
      <c r="C23" s="130">
        <f>IF('G011A (1.AY)'!C23&lt;&gt;"",'G011A (1.AY)'!C23,0)</f>
        <v>0</v>
      </c>
      <c r="D23" s="131">
        <f>IF('G011A (1.AY)'!L23&lt;&gt;"",'G011A (1.AY)'!L23,0)</f>
        <v>0</v>
      </c>
      <c r="E23" s="124">
        <f>IF('G011A (2.AY)'!C23&lt;&gt;"",'G011A (2.AY)'!C23,0)</f>
        <v>0</v>
      </c>
      <c r="F23" s="123">
        <f>IF('G011A (2.AY)'!L23&lt;&gt;"",'G011A (2.AY)'!L23,0)</f>
        <v>0</v>
      </c>
      <c r="G23" s="124">
        <f>IF('G011A (3.AY)'!C23&lt;&gt;"",'G011A (3.AY)'!C23,0)</f>
        <v>0</v>
      </c>
      <c r="H23" s="123">
        <f>IF('G011A (3.AY)'!L23&lt;&gt;"",'G011A (3.AY)'!L23,0)</f>
        <v>0</v>
      </c>
      <c r="I23" s="124">
        <f>IF('G011A (4.AY)'!C23&lt;&gt;"",'G011A (4.AY)'!C23,0)</f>
        <v>0</v>
      </c>
      <c r="J23" s="123">
        <f>IF('G011A (4.AY)'!L23&lt;&gt;"",'G011A (4.AY)'!L23,0)</f>
        <v>0</v>
      </c>
      <c r="K23" s="124">
        <f>IF('G011A (5.AY)'!C23&lt;&gt;"",'G011A (5.AY)'!C23,0)</f>
        <v>0</v>
      </c>
      <c r="L23" s="123">
        <f>IF('G011A (5.AY)'!L23&lt;&gt;"",'G011A (5.AY)'!L23,0)</f>
        <v>0</v>
      </c>
      <c r="M23" s="124">
        <f>IF('G011A (6.AY)'!C23&lt;&gt;"",'G011A (6.AY)'!C23,0)</f>
        <v>0</v>
      </c>
      <c r="N23" s="123">
        <f>IF('G011A (6.AY)'!L23&lt;&gt;"",'G011A (6.AY)'!L23,0)</f>
        <v>0</v>
      </c>
      <c r="O23" s="130">
        <f t="shared" si="0"/>
        <v>0</v>
      </c>
      <c r="P23" s="131">
        <f t="shared" si="1"/>
        <v>0</v>
      </c>
      <c r="Q23" s="131">
        <f t="shared" si="2"/>
        <v>0</v>
      </c>
      <c r="R23" s="132">
        <f t="shared" si="3"/>
        <v>0</v>
      </c>
      <c r="T23" s="112">
        <f t="shared" si="4"/>
        <v>0</v>
      </c>
      <c r="U23" s="112">
        <f t="shared" si="5"/>
        <v>0</v>
      </c>
      <c r="V23" s="112">
        <f t="shared" si="6"/>
        <v>0</v>
      </c>
      <c r="W23" s="112">
        <f t="shared" si="7"/>
        <v>0</v>
      </c>
      <c r="X23" s="112">
        <f t="shared" si="8"/>
        <v>0</v>
      </c>
      <c r="Y23" s="112">
        <f t="shared" si="9"/>
        <v>0</v>
      </c>
      <c r="Z23" s="112">
        <f t="shared" si="10"/>
        <v>0</v>
      </c>
    </row>
    <row r="24" spans="1:26" ht="23.1" customHeight="1" x14ac:dyDescent="0.25">
      <c r="A24" s="212">
        <v>17</v>
      </c>
      <c r="B24" s="115" t="str">
        <f>IF('Proje ve Personel Bilgileri'!C35&gt;0,'Proje ve Personel Bilgileri'!C35,"")</f>
        <v/>
      </c>
      <c r="C24" s="130">
        <f>IF('G011A (1.AY)'!C24&lt;&gt;"",'G011A (1.AY)'!C24,0)</f>
        <v>0</v>
      </c>
      <c r="D24" s="131">
        <f>IF('G011A (1.AY)'!L24&lt;&gt;"",'G011A (1.AY)'!L24,0)</f>
        <v>0</v>
      </c>
      <c r="E24" s="124">
        <f>IF('G011A (2.AY)'!C24&lt;&gt;"",'G011A (2.AY)'!C24,0)</f>
        <v>0</v>
      </c>
      <c r="F24" s="123">
        <f>IF('G011A (2.AY)'!L24&lt;&gt;"",'G011A (2.AY)'!L24,0)</f>
        <v>0</v>
      </c>
      <c r="G24" s="124">
        <f>IF('G011A (3.AY)'!C24&lt;&gt;"",'G011A (3.AY)'!C24,0)</f>
        <v>0</v>
      </c>
      <c r="H24" s="123">
        <f>IF('G011A (3.AY)'!L24&lt;&gt;"",'G011A (3.AY)'!L24,0)</f>
        <v>0</v>
      </c>
      <c r="I24" s="124">
        <f>IF('G011A (4.AY)'!C24&lt;&gt;"",'G011A (4.AY)'!C24,0)</f>
        <v>0</v>
      </c>
      <c r="J24" s="123">
        <f>IF('G011A (4.AY)'!L24&lt;&gt;"",'G011A (4.AY)'!L24,0)</f>
        <v>0</v>
      </c>
      <c r="K24" s="124">
        <f>IF('G011A (5.AY)'!C24&lt;&gt;"",'G011A (5.AY)'!C24,0)</f>
        <v>0</v>
      </c>
      <c r="L24" s="123">
        <f>IF('G011A (5.AY)'!L24&lt;&gt;"",'G011A (5.AY)'!L24,0)</f>
        <v>0</v>
      </c>
      <c r="M24" s="124">
        <f>IF('G011A (6.AY)'!C24&lt;&gt;"",'G011A (6.AY)'!C24,0)</f>
        <v>0</v>
      </c>
      <c r="N24" s="123">
        <f>IF('G011A (6.AY)'!L24&lt;&gt;"",'G011A (6.AY)'!L24,0)</f>
        <v>0</v>
      </c>
      <c r="O24" s="130">
        <f t="shared" si="0"/>
        <v>0</v>
      </c>
      <c r="P24" s="131">
        <f t="shared" si="1"/>
        <v>0</v>
      </c>
      <c r="Q24" s="131">
        <f t="shared" si="2"/>
        <v>0</v>
      </c>
      <c r="R24" s="132">
        <f t="shared" si="3"/>
        <v>0</v>
      </c>
      <c r="T24" s="112">
        <f t="shared" si="4"/>
        <v>0</v>
      </c>
      <c r="U24" s="112">
        <f t="shared" si="5"/>
        <v>0</v>
      </c>
      <c r="V24" s="112">
        <f t="shared" si="6"/>
        <v>0</v>
      </c>
      <c r="W24" s="112">
        <f t="shared" si="7"/>
        <v>0</v>
      </c>
      <c r="X24" s="112">
        <f t="shared" si="8"/>
        <v>0</v>
      </c>
      <c r="Y24" s="112">
        <f t="shared" si="9"/>
        <v>0</v>
      </c>
      <c r="Z24" s="112">
        <f t="shared" si="10"/>
        <v>0</v>
      </c>
    </row>
    <row r="25" spans="1:26" ht="23.1" customHeight="1" x14ac:dyDescent="0.25">
      <c r="A25" s="212">
        <v>18</v>
      </c>
      <c r="B25" s="115" t="str">
        <f>IF('Proje ve Personel Bilgileri'!C36&gt;0,'Proje ve Personel Bilgileri'!C36,"")</f>
        <v/>
      </c>
      <c r="C25" s="130">
        <f>IF('G011A (1.AY)'!C25&lt;&gt;"",'G011A (1.AY)'!C25,0)</f>
        <v>0</v>
      </c>
      <c r="D25" s="131">
        <f>IF('G011A (1.AY)'!L25&lt;&gt;"",'G011A (1.AY)'!L25,0)</f>
        <v>0</v>
      </c>
      <c r="E25" s="124">
        <f>IF('G011A (2.AY)'!C25&lt;&gt;"",'G011A (2.AY)'!C25,0)</f>
        <v>0</v>
      </c>
      <c r="F25" s="123">
        <f>IF('G011A (2.AY)'!L25&lt;&gt;"",'G011A (2.AY)'!L25,0)</f>
        <v>0</v>
      </c>
      <c r="G25" s="124">
        <f>IF('G011A (3.AY)'!C25&lt;&gt;"",'G011A (3.AY)'!C25,0)</f>
        <v>0</v>
      </c>
      <c r="H25" s="123">
        <f>IF('G011A (3.AY)'!L25&lt;&gt;"",'G011A (3.AY)'!L25,0)</f>
        <v>0</v>
      </c>
      <c r="I25" s="124">
        <f>IF('G011A (4.AY)'!C25&lt;&gt;"",'G011A (4.AY)'!C25,0)</f>
        <v>0</v>
      </c>
      <c r="J25" s="123">
        <f>IF('G011A (4.AY)'!L25&lt;&gt;"",'G011A (4.AY)'!L25,0)</f>
        <v>0</v>
      </c>
      <c r="K25" s="124">
        <f>IF('G011A (5.AY)'!C25&lt;&gt;"",'G011A (5.AY)'!C25,0)</f>
        <v>0</v>
      </c>
      <c r="L25" s="123">
        <f>IF('G011A (5.AY)'!L25&lt;&gt;"",'G011A (5.AY)'!L25,0)</f>
        <v>0</v>
      </c>
      <c r="M25" s="124">
        <f>IF('G011A (6.AY)'!C25&lt;&gt;"",'G011A (6.AY)'!C25,0)</f>
        <v>0</v>
      </c>
      <c r="N25" s="123">
        <f>IF('G011A (6.AY)'!L25&lt;&gt;"",'G011A (6.AY)'!L25,0)</f>
        <v>0</v>
      </c>
      <c r="O25" s="130">
        <f t="shared" si="0"/>
        <v>0</v>
      </c>
      <c r="P25" s="131">
        <f t="shared" si="1"/>
        <v>0</v>
      </c>
      <c r="Q25" s="131">
        <f t="shared" si="2"/>
        <v>0</v>
      </c>
      <c r="R25" s="132">
        <f t="shared" si="3"/>
        <v>0</v>
      </c>
      <c r="T25" s="112">
        <f t="shared" si="4"/>
        <v>0</v>
      </c>
      <c r="U25" s="112">
        <f t="shared" si="5"/>
        <v>0</v>
      </c>
      <c r="V25" s="112">
        <f t="shared" si="6"/>
        <v>0</v>
      </c>
      <c r="W25" s="112">
        <f t="shared" si="7"/>
        <v>0</v>
      </c>
      <c r="X25" s="112">
        <f t="shared" si="8"/>
        <v>0</v>
      </c>
      <c r="Y25" s="112">
        <f t="shared" si="9"/>
        <v>0</v>
      </c>
      <c r="Z25" s="112">
        <f t="shared" si="10"/>
        <v>0</v>
      </c>
    </row>
    <row r="26" spans="1:26" ht="23.1" customHeight="1" x14ac:dyDescent="0.25">
      <c r="A26" s="212">
        <v>19</v>
      </c>
      <c r="B26" s="115" t="str">
        <f>IF('Proje ve Personel Bilgileri'!C37&gt;0,'Proje ve Personel Bilgileri'!C37,"")</f>
        <v/>
      </c>
      <c r="C26" s="130">
        <f>IF('G011A (1.AY)'!C26&lt;&gt;"",'G011A (1.AY)'!C26,0)</f>
        <v>0</v>
      </c>
      <c r="D26" s="131">
        <f>IF('G011A (1.AY)'!L26&lt;&gt;"",'G011A (1.AY)'!L26,0)</f>
        <v>0</v>
      </c>
      <c r="E26" s="124">
        <f>IF('G011A (2.AY)'!C26&lt;&gt;"",'G011A (2.AY)'!C26,0)</f>
        <v>0</v>
      </c>
      <c r="F26" s="123">
        <f>IF('G011A (2.AY)'!L26&lt;&gt;"",'G011A (2.AY)'!L26,0)</f>
        <v>0</v>
      </c>
      <c r="G26" s="124">
        <f>IF('G011A (3.AY)'!C26&lt;&gt;"",'G011A (3.AY)'!C26,0)</f>
        <v>0</v>
      </c>
      <c r="H26" s="123">
        <f>IF('G011A (3.AY)'!L26&lt;&gt;"",'G011A (3.AY)'!L26,0)</f>
        <v>0</v>
      </c>
      <c r="I26" s="124">
        <f>IF('G011A (4.AY)'!C26&lt;&gt;"",'G011A (4.AY)'!C26,0)</f>
        <v>0</v>
      </c>
      <c r="J26" s="123">
        <f>IF('G011A (4.AY)'!L26&lt;&gt;"",'G011A (4.AY)'!L26,0)</f>
        <v>0</v>
      </c>
      <c r="K26" s="124">
        <f>IF('G011A (5.AY)'!C26&lt;&gt;"",'G011A (5.AY)'!C26,0)</f>
        <v>0</v>
      </c>
      <c r="L26" s="123">
        <f>IF('G011A (5.AY)'!L26&lt;&gt;"",'G011A (5.AY)'!L26,0)</f>
        <v>0</v>
      </c>
      <c r="M26" s="124">
        <f>IF('G011A (6.AY)'!C26&lt;&gt;"",'G011A (6.AY)'!C26,0)</f>
        <v>0</v>
      </c>
      <c r="N26" s="123">
        <f>IF('G011A (6.AY)'!L26&lt;&gt;"",'G011A (6.AY)'!L26,0)</f>
        <v>0</v>
      </c>
      <c r="O26" s="130">
        <f t="shared" si="0"/>
        <v>0</v>
      </c>
      <c r="P26" s="131">
        <f t="shared" si="1"/>
        <v>0</v>
      </c>
      <c r="Q26" s="131">
        <f t="shared" si="2"/>
        <v>0</v>
      </c>
      <c r="R26" s="132">
        <f t="shared" si="3"/>
        <v>0</v>
      </c>
      <c r="T26" s="112">
        <f t="shared" si="4"/>
        <v>0</v>
      </c>
      <c r="U26" s="112">
        <f t="shared" si="5"/>
        <v>0</v>
      </c>
      <c r="V26" s="112">
        <f t="shared" si="6"/>
        <v>0</v>
      </c>
      <c r="W26" s="112">
        <f t="shared" si="7"/>
        <v>0</v>
      </c>
      <c r="X26" s="112">
        <f t="shared" si="8"/>
        <v>0</v>
      </c>
      <c r="Y26" s="112">
        <f t="shared" si="9"/>
        <v>0</v>
      </c>
      <c r="Z26" s="112">
        <f t="shared" si="10"/>
        <v>0</v>
      </c>
    </row>
    <row r="27" spans="1:26" ht="23.1" customHeight="1" thickBot="1" x14ac:dyDescent="0.3">
      <c r="A27" s="216">
        <v>20</v>
      </c>
      <c r="B27" s="117" t="str">
        <f>IF('Proje ve Personel Bilgileri'!C38&gt;0,'Proje ve Personel Bilgileri'!C38,"")</f>
        <v/>
      </c>
      <c r="C27" s="133">
        <f>IF('G011A (1.AY)'!C27&lt;&gt;"",'G011A (1.AY)'!C27,0)</f>
        <v>0</v>
      </c>
      <c r="D27" s="134">
        <f>IF('G011A (1.AY)'!L27&lt;&gt;"",'G011A (1.AY)'!L27,0)</f>
        <v>0</v>
      </c>
      <c r="E27" s="128">
        <f>IF('G011A (2.AY)'!C27&lt;&gt;"",'G011A (2.AY)'!C27,0)</f>
        <v>0</v>
      </c>
      <c r="F27" s="127">
        <f>IF('G011A (2.AY)'!L27&lt;&gt;"",'G011A (2.AY)'!L27,0)</f>
        <v>0</v>
      </c>
      <c r="G27" s="128">
        <f>IF('G011A (3.AY)'!C27&lt;&gt;"",'G011A (3.AY)'!C27,0)</f>
        <v>0</v>
      </c>
      <c r="H27" s="127">
        <f>IF('G011A (3.AY)'!L27&lt;&gt;"",'G011A (3.AY)'!L27,0)</f>
        <v>0</v>
      </c>
      <c r="I27" s="128">
        <f>IF('G011A (4.AY)'!C27&lt;&gt;"",'G011A (4.AY)'!C27,0)</f>
        <v>0</v>
      </c>
      <c r="J27" s="127">
        <f>IF('G011A (4.AY)'!L27&lt;&gt;"",'G011A (4.AY)'!L27,0)</f>
        <v>0</v>
      </c>
      <c r="K27" s="128">
        <f>IF('G011A (5.AY)'!C27&lt;&gt;"",'G011A (5.AY)'!C27,0)</f>
        <v>0</v>
      </c>
      <c r="L27" s="127">
        <f>IF('G011A (5.AY)'!L27&lt;&gt;"",'G011A (5.AY)'!L27,0)</f>
        <v>0</v>
      </c>
      <c r="M27" s="128">
        <f>IF('G011A (6.AY)'!C27&lt;&gt;"",'G011A (6.AY)'!C27,0)</f>
        <v>0</v>
      </c>
      <c r="N27" s="127">
        <f>IF('G011A (6.AY)'!L27&lt;&gt;"",'G011A (6.AY)'!L27,0)</f>
        <v>0</v>
      </c>
      <c r="O27" s="133">
        <f t="shared" si="0"/>
        <v>0</v>
      </c>
      <c r="P27" s="134">
        <f t="shared" si="1"/>
        <v>0</v>
      </c>
      <c r="Q27" s="134">
        <f t="shared" si="2"/>
        <v>0</v>
      </c>
      <c r="R27" s="135">
        <f t="shared" si="3"/>
        <v>0</v>
      </c>
      <c r="T27" s="112">
        <f t="shared" si="4"/>
        <v>0</v>
      </c>
      <c r="U27" s="112">
        <f t="shared" si="5"/>
        <v>0</v>
      </c>
      <c r="V27" s="112">
        <f t="shared" si="6"/>
        <v>0</v>
      </c>
      <c r="W27" s="112">
        <f t="shared" si="7"/>
        <v>0</v>
      </c>
      <c r="X27" s="112">
        <f t="shared" si="8"/>
        <v>0</v>
      </c>
      <c r="Y27" s="112">
        <f t="shared" si="9"/>
        <v>0</v>
      </c>
      <c r="Z27" s="112">
        <f t="shared" si="10"/>
        <v>0</v>
      </c>
    </row>
    <row r="28" spans="1:26" x14ac:dyDescent="0.25">
      <c r="B28" s="233"/>
      <c r="C28" s="233"/>
      <c r="D28" s="233"/>
      <c r="E28" s="233"/>
      <c r="F28" s="233"/>
      <c r="G28" s="233"/>
      <c r="H28" s="233"/>
      <c r="I28" s="233"/>
      <c r="J28" s="234"/>
      <c r="L28" s="101"/>
      <c r="M28" s="101"/>
      <c r="N28" s="101"/>
      <c r="O28" s="101"/>
      <c r="P28" s="101"/>
      <c r="Q28" s="101"/>
    </row>
    <row r="29" spans="1:26" x14ac:dyDescent="0.25">
      <c r="A29" s="233" t="s">
        <v>115</v>
      </c>
      <c r="B29" s="233"/>
      <c r="C29" s="233"/>
      <c r="D29" s="233"/>
      <c r="E29" s="233"/>
      <c r="F29" s="233"/>
      <c r="G29" s="233"/>
      <c r="H29" s="233"/>
      <c r="I29" s="233"/>
      <c r="J29" s="234"/>
      <c r="L29" s="101"/>
      <c r="M29" s="101"/>
      <c r="N29" s="101"/>
      <c r="O29" s="101"/>
      <c r="P29" s="101"/>
      <c r="Q29" s="101"/>
    </row>
    <row r="30" spans="1:26" x14ac:dyDescent="0.25">
      <c r="C30" s="101"/>
      <c r="J30" s="234"/>
      <c r="L30" s="101"/>
      <c r="M30" s="101"/>
      <c r="N30" s="101"/>
      <c r="O30" s="101"/>
    </row>
    <row r="31" spans="1:26" ht="21.1" x14ac:dyDescent="0.35">
      <c r="A31" s="247" t="s">
        <v>39</v>
      </c>
      <c r="B31" s="248">
        <f ca="1">IF(imzatarihi&gt;0,imzatarihi,"")</f>
        <v>45686</v>
      </c>
      <c r="C31" s="303" t="s">
        <v>40</v>
      </c>
      <c r="D31" s="303"/>
      <c r="E31" s="245" t="str">
        <f>IF(kurulusyetkilisi&gt;0,kurulusyetkilisi,"")</f>
        <v/>
      </c>
      <c r="F31" s="247"/>
      <c r="G31" s="247"/>
      <c r="H31" s="163"/>
      <c r="I31" s="163"/>
      <c r="J31" s="32"/>
      <c r="K31" s="32"/>
      <c r="L31" s="101"/>
      <c r="M31" s="101"/>
      <c r="N31" s="101"/>
      <c r="O31" s="101"/>
    </row>
    <row r="32" spans="1:26" ht="19.7" x14ac:dyDescent="0.35">
      <c r="A32" s="249"/>
      <c r="B32" s="249"/>
      <c r="C32" s="303" t="s">
        <v>41</v>
      </c>
      <c r="D32" s="303"/>
      <c r="E32" s="302"/>
      <c r="F32" s="302"/>
      <c r="G32" s="302"/>
      <c r="H32" s="42"/>
      <c r="I32" s="42"/>
      <c r="J32" s="32"/>
      <c r="K32" s="32"/>
      <c r="L32" s="101"/>
      <c r="M32" s="101"/>
      <c r="N32" s="101"/>
      <c r="O32" s="101"/>
    </row>
  </sheetData>
  <sheetProtection algorithmName="SHA-512" hashValue="4A4B0zQEupbM08W2O8BV+5207QCd2PQjZ/SyzKMXaprQPxrbkKCzfwrAyJ/R6jb1FnnIDeHenSsqwEjiy2HoCA==" saltValue="8m/AY0jwZL8zhUFdOoRLig==" spinCount="100000" sheet="1" objects="1" scenarios="1"/>
  <mergeCells count="20">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s>
  <pageMargins left="0.70866141732283472" right="0.70866141732283472" top="0.78740157480314965" bottom="0.78740157480314965" header="0.31496062992125984" footer="0.31496062992125984"/>
  <pageSetup paperSize="9" scale="57" fitToHeight="1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R34"/>
  <sheetViews>
    <sheetView zoomScale="90" zoomScaleNormal="90" workbookViewId="0">
      <selection activeCell="F9" sqref="F9"/>
    </sheetView>
  </sheetViews>
  <sheetFormatPr defaultColWidth="8.875" defaultRowHeight="14.3" x14ac:dyDescent="0.25"/>
  <cols>
    <col min="1" max="1" width="10.125" customWidth="1"/>
    <col min="2" max="2" width="33" customWidth="1"/>
    <col min="3" max="3" width="15.625" customWidth="1"/>
    <col min="4" max="5" width="4.75" hidden="1" customWidth="1"/>
    <col min="6" max="8" width="4.75" customWidth="1"/>
    <col min="9" max="9" width="12.75" customWidth="1"/>
    <col min="10" max="10" width="15.125" customWidth="1"/>
    <col min="11" max="11" width="13.75" customWidth="1"/>
    <col min="12" max="12" width="7.375" customWidth="1"/>
    <col min="13" max="13" width="17" customWidth="1"/>
    <col min="14" max="14" width="17.375" customWidth="1"/>
    <col min="15" max="15" width="15.75" customWidth="1"/>
    <col min="16" max="16" width="11.125" style="10" bestFit="1" customWidth="1"/>
    <col min="17" max="18" width="8.875" style="11" customWidth="1"/>
  </cols>
  <sheetData>
    <row r="1" spans="1:18" ht="16.3" x14ac:dyDescent="0.3">
      <c r="A1" s="338" t="s">
        <v>53</v>
      </c>
      <c r="B1" s="338"/>
      <c r="C1" s="338"/>
      <c r="D1" s="338"/>
      <c r="E1" s="338"/>
      <c r="F1" s="338"/>
      <c r="G1" s="338"/>
      <c r="H1" s="338"/>
      <c r="I1" s="338"/>
      <c r="J1" s="338"/>
      <c r="K1" s="338"/>
      <c r="L1" s="338"/>
      <c r="M1" s="338"/>
      <c r="N1" s="338"/>
      <c r="O1" s="338"/>
      <c r="R1" s="85"/>
    </row>
    <row r="2" spans="1:18" x14ac:dyDescent="0.25">
      <c r="A2" s="336" t="str">
        <f>IF(YilDonem&lt;&gt;"",CONCATENATE(YilDonem,". döneme aittir."),"")</f>
        <v/>
      </c>
      <c r="B2" s="336"/>
      <c r="C2" s="336"/>
      <c r="D2" s="336"/>
      <c r="E2" s="336"/>
      <c r="F2" s="336"/>
      <c r="G2" s="336"/>
      <c r="H2" s="336"/>
      <c r="I2" s="336"/>
      <c r="J2" s="336"/>
      <c r="K2" s="336"/>
      <c r="L2" s="336"/>
      <c r="M2" s="336"/>
      <c r="N2" s="336"/>
      <c r="O2" s="336"/>
    </row>
    <row r="3" spans="1:18" ht="19.7" thickBot="1" x14ac:dyDescent="0.4">
      <c r="A3" s="356" t="s">
        <v>72</v>
      </c>
      <c r="B3" s="356"/>
      <c r="C3" s="356"/>
      <c r="D3" s="356"/>
      <c r="E3" s="356"/>
      <c r="F3" s="356"/>
      <c r="G3" s="356"/>
      <c r="H3" s="356"/>
      <c r="I3" s="356"/>
      <c r="J3" s="356"/>
      <c r="K3" s="356"/>
      <c r="L3" s="356"/>
      <c r="M3" s="356"/>
      <c r="N3" s="356"/>
      <c r="O3" s="356"/>
    </row>
    <row r="4" spans="1:18" ht="31.6" customHeight="1" thickBot="1" x14ac:dyDescent="0.3">
      <c r="A4" s="341" t="s">
        <v>1</v>
      </c>
      <c r="B4" s="343"/>
      <c r="C4" s="330" t="str">
        <f>IF(ProjeNo&gt;0,ProjeNo,"")</f>
        <v/>
      </c>
      <c r="D4" s="331"/>
      <c r="E4" s="331"/>
      <c r="F4" s="331"/>
      <c r="G4" s="331"/>
      <c r="H4" s="331"/>
      <c r="I4" s="331"/>
      <c r="J4" s="331"/>
      <c r="K4" s="331"/>
      <c r="L4" s="331"/>
      <c r="M4" s="331"/>
      <c r="N4" s="331"/>
      <c r="O4" s="332"/>
    </row>
    <row r="5" spans="1:18" ht="42.8" customHeight="1" thickBot="1" x14ac:dyDescent="0.3">
      <c r="A5" s="344" t="s">
        <v>11</v>
      </c>
      <c r="B5" s="345"/>
      <c r="C5" s="346" t="str">
        <f>IF(ProjeAdi&gt;0,ProjeAdi,"")</f>
        <v/>
      </c>
      <c r="D5" s="347"/>
      <c r="E5" s="347"/>
      <c r="F5" s="347"/>
      <c r="G5" s="347"/>
      <c r="H5" s="347"/>
      <c r="I5" s="347"/>
      <c r="J5" s="347"/>
      <c r="K5" s="347"/>
      <c r="L5" s="347"/>
      <c r="M5" s="347"/>
      <c r="N5" s="347"/>
      <c r="O5" s="348"/>
    </row>
    <row r="6" spans="1:18" ht="31.6" customHeight="1" thickBot="1" x14ac:dyDescent="0.3">
      <c r="A6" s="341" t="s">
        <v>2</v>
      </c>
      <c r="B6" s="342"/>
      <c r="C6" s="349" t="str">
        <f>IF(BasvuruTarihi&lt;&gt;"",BasvuruTarihi,"")</f>
        <v/>
      </c>
      <c r="D6" s="350"/>
      <c r="E6" s="350"/>
      <c r="F6" s="350"/>
      <c r="G6" s="350"/>
      <c r="H6" s="350"/>
      <c r="I6" s="350"/>
      <c r="J6" s="350"/>
      <c r="K6" s="350"/>
      <c r="L6" s="350"/>
      <c r="M6" s="350"/>
      <c r="N6" s="350"/>
      <c r="O6" s="351"/>
    </row>
    <row r="7" spans="1:18" ht="14.95" customHeight="1" thickBot="1" x14ac:dyDescent="0.3">
      <c r="A7" s="357" t="s">
        <v>7</v>
      </c>
      <c r="B7" s="357" t="s">
        <v>8</v>
      </c>
      <c r="C7" s="339" t="s">
        <v>116</v>
      </c>
      <c r="D7" s="359" t="s">
        <v>54</v>
      </c>
      <c r="E7" s="359"/>
      <c r="F7" s="359"/>
      <c r="G7" s="359"/>
      <c r="H7" s="359"/>
      <c r="I7" s="352" t="s">
        <v>60</v>
      </c>
      <c r="J7" s="339" t="s">
        <v>71</v>
      </c>
      <c r="K7" s="339" t="s">
        <v>67</v>
      </c>
      <c r="L7" s="339" t="s">
        <v>68</v>
      </c>
      <c r="M7" s="339" t="s">
        <v>69</v>
      </c>
      <c r="N7" s="339" t="s">
        <v>70</v>
      </c>
      <c r="O7" s="339" t="s">
        <v>61</v>
      </c>
    </row>
    <row r="8" spans="1:18" ht="88.5" customHeight="1" thickBot="1" x14ac:dyDescent="0.3">
      <c r="A8" s="358"/>
      <c r="B8" s="358"/>
      <c r="C8" s="340"/>
      <c r="D8" s="63" t="s">
        <v>55</v>
      </c>
      <c r="E8" s="63" t="s">
        <v>56</v>
      </c>
      <c r="F8" s="63" t="s">
        <v>57</v>
      </c>
      <c r="G8" s="63" t="s">
        <v>58</v>
      </c>
      <c r="H8" s="63" t="s">
        <v>59</v>
      </c>
      <c r="I8" s="353"/>
      <c r="J8" s="340"/>
      <c r="K8" s="340"/>
      <c r="L8" s="354"/>
      <c r="M8" s="340"/>
      <c r="N8" s="340"/>
      <c r="O8" s="340"/>
    </row>
    <row r="9" spans="1:18" ht="18" customHeight="1" x14ac:dyDescent="0.25">
      <c r="A9" s="64">
        <v>1</v>
      </c>
      <c r="B9" s="113" t="str">
        <f>IF('Proje ve Personel Bilgileri'!C19&gt;0,'Proje ve Personel Bilgileri'!C19,"")</f>
        <v/>
      </c>
      <c r="C9" s="114" t="str">
        <f>IF('Proje ve Personel Bilgileri'!C19&gt;0,'Proje ve Personel Bilgileri'!D19,"")</f>
        <v/>
      </c>
      <c r="D9" s="65"/>
      <c r="E9" s="65"/>
      <c r="F9" s="65"/>
      <c r="G9" s="65"/>
      <c r="H9" s="65"/>
      <c r="I9" s="66"/>
      <c r="J9" s="119" t="str">
        <f t="shared" ref="J9" si="0">IF(AND(BasvuruTarihi&gt;0,I9&gt;0),DAYS360(I9,BasvuruTarihi)/30,"")</f>
        <v/>
      </c>
      <c r="K9" s="120" t="str">
        <f>IF('Proje ve Personel Bilgileri'!C19&gt;0,AUcret,"")</f>
        <v/>
      </c>
      <c r="L9" s="121" t="str">
        <f t="shared" ref="L9:L28" si="1">IF(LEN(B9)&gt;0,IF(PKodu=1601,IF(D9="X",0,IF(E9="X",0,IF(F9="X",IF(AND(I9&gt;0,J9&gt;=48),10,6),IF(G9="X",IF(AND(I9&gt;0,J9&gt;=48),10,6),IF(H9="X",12,0)))))),"")</f>
        <v/>
      </c>
      <c r="M9" s="120" t="str">
        <f>IF(LEN(B9)&gt;0,K9*L9,"")</f>
        <v/>
      </c>
      <c r="N9" s="120" t="str">
        <f>IF(LEN(B9)&gt;0,G011B!R8,"")</f>
        <v/>
      </c>
      <c r="O9" s="122" t="str">
        <f>IF(LEN(B9)&gt;0,MIN(M9,N9),"")</f>
        <v/>
      </c>
      <c r="Q9" s="49"/>
    </row>
    <row r="10" spans="1:18" ht="18" customHeight="1" x14ac:dyDescent="0.25">
      <c r="A10" s="67">
        <v>2</v>
      </c>
      <c r="B10" s="115" t="str">
        <f>IF('Proje ve Personel Bilgileri'!C20&gt;0,'Proje ve Personel Bilgileri'!C20,"")</f>
        <v/>
      </c>
      <c r="C10" s="116" t="str">
        <f>IF('Proje ve Personel Bilgileri'!C20&gt;0,'Proje ve Personel Bilgileri'!D20,"")</f>
        <v/>
      </c>
      <c r="D10" s="157"/>
      <c r="E10" s="157"/>
      <c r="F10" s="157"/>
      <c r="G10" s="157"/>
      <c r="H10" s="157"/>
      <c r="I10" s="68"/>
      <c r="J10" s="96" t="str">
        <f t="shared" ref="J10:J28" si="2">IF(AND(BasvuruTarihi&gt;0,I10&gt;0),DAYS360(I10,BasvuruTarihi)/30,"")</f>
        <v/>
      </c>
      <c r="K10" s="123" t="str">
        <f>IF('Proje ve Personel Bilgileri'!C20&gt;0,AUcret,"")</f>
        <v/>
      </c>
      <c r="L10" s="124" t="str">
        <f t="shared" si="1"/>
        <v/>
      </c>
      <c r="M10" s="123" t="str">
        <f t="shared" ref="M10:M28" si="3">IF(LEN(B10)&gt;0,K10*L10,"")</f>
        <v/>
      </c>
      <c r="N10" s="123" t="str">
        <f>IF(LEN(B10)&gt;0,G011B!R9,"")</f>
        <v/>
      </c>
      <c r="O10" s="125" t="str">
        <f t="shared" ref="O10:O28" si="4">IF(LEN(B10)&gt;0,MIN(M10,N10),"")</f>
        <v/>
      </c>
      <c r="Q10" s="49"/>
    </row>
    <row r="11" spans="1:18" ht="18" customHeight="1" x14ac:dyDescent="0.25">
      <c r="A11" s="67">
        <v>3</v>
      </c>
      <c r="B11" s="115" t="str">
        <f>IF('Proje ve Personel Bilgileri'!C21&gt;0,'Proje ve Personel Bilgileri'!C21,"")</f>
        <v/>
      </c>
      <c r="C11" s="116" t="str">
        <f>IF('Proje ve Personel Bilgileri'!C21&gt;0,'Proje ve Personel Bilgileri'!D21,"")</f>
        <v/>
      </c>
      <c r="D11" s="157"/>
      <c r="E11" s="157"/>
      <c r="F11" s="157"/>
      <c r="G11" s="157"/>
      <c r="H11" s="157"/>
      <c r="I11" s="68"/>
      <c r="J11" s="96" t="str">
        <f t="shared" si="2"/>
        <v/>
      </c>
      <c r="K11" s="123" t="str">
        <f>IF('Proje ve Personel Bilgileri'!C21&gt;0,AUcret,"")</f>
        <v/>
      </c>
      <c r="L11" s="124" t="str">
        <f t="shared" si="1"/>
        <v/>
      </c>
      <c r="M11" s="123" t="str">
        <f t="shared" si="3"/>
        <v/>
      </c>
      <c r="N11" s="123" t="str">
        <f>IF(LEN(B11)&gt;0,G011B!R10,"")</f>
        <v/>
      </c>
      <c r="O11" s="125" t="str">
        <f t="shared" si="4"/>
        <v/>
      </c>
      <c r="Q11" s="49"/>
    </row>
    <row r="12" spans="1:18" ht="18" customHeight="1" x14ac:dyDescent="0.25">
      <c r="A12" s="67">
        <v>4</v>
      </c>
      <c r="B12" s="115" t="str">
        <f>IF('Proje ve Personel Bilgileri'!C22&gt;0,'Proje ve Personel Bilgileri'!C22,"")</f>
        <v/>
      </c>
      <c r="C12" s="116" t="str">
        <f>IF('Proje ve Personel Bilgileri'!C22&gt;0,'Proje ve Personel Bilgileri'!D22,"")</f>
        <v/>
      </c>
      <c r="D12" s="157"/>
      <c r="E12" s="157"/>
      <c r="F12" s="157"/>
      <c r="G12" s="157"/>
      <c r="H12" s="157"/>
      <c r="I12" s="68"/>
      <c r="J12" s="96" t="str">
        <f t="shared" si="2"/>
        <v/>
      </c>
      <c r="K12" s="123" t="str">
        <f>IF('Proje ve Personel Bilgileri'!C22&gt;0,AUcret,"")</f>
        <v/>
      </c>
      <c r="L12" s="124" t="str">
        <f t="shared" si="1"/>
        <v/>
      </c>
      <c r="M12" s="123" t="str">
        <f t="shared" si="3"/>
        <v/>
      </c>
      <c r="N12" s="123" t="str">
        <f>IF(LEN(B12)&gt;0,G011B!R11,"")</f>
        <v/>
      </c>
      <c r="O12" s="125" t="str">
        <f t="shared" si="4"/>
        <v/>
      </c>
      <c r="Q12" s="49"/>
    </row>
    <row r="13" spans="1:18" ht="18" customHeight="1" x14ac:dyDescent="0.25">
      <c r="A13" s="67">
        <v>5</v>
      </c>
      <c r="B13" s="115" t="str">
        <f>IF('Proje ve Personel Bilgileri'!C23&gt;0,'Proje ve Personel Bilgileri'!C23,"")</f>
        <v/>
      </c>
      <c r="C13" s="116" t="str">
        <f>IF('Proje ve Personel Bilgileri'!C23&gt;0,'Proje ve Personel Bilgileri'!D23,"")</f>
        <v/>
      </c>
      <c r="D13" s="157"/>
      <c r="E13" s="157"/>
      <c r="F13" s="157"/>
      <c r="G13" s="157"/>
      <c r="H13" s="157"/>
      <c r="I13" s="68"/>
      <c r="J13" s="96" t="str">
        <f t="shared" si="2"/>
        <v/>
      </c>
      <c r="K13" s="123" t="str">
        <f>IF('Proje ve Personel Bilgileri'!C23&gt;0,AUcret,"")</f>
        <v/>
      </c>
      <c r="L13" s="124" t="str">
        <f t="shared" si="1"/>
        <v/>
      </c>
      <c r="M13" s="123" t="str">
        <f t="shared" si="3"/>
        <v/>
      </c>
      <c r="N13" s="123" t="str">
        <f>IF(LEN(B13)&gt;0,G011B!R12,"")</f>
        <v/>
      </c>
      <c r="O13" s="125" t="str">
        <f t="shared" si="4"/>
        <v/>
      </c>
      <c r="Q13" s="49"/>
    </row>
    <row r="14" spans="1:18" ht="18" customHeight="1" x14ac:dyDescent="0.25">
      <c r="A14" s="67">
        <v>6</v>
      </c>
      <c r="B14" s="115" t="str">
        <f>IF('Proje ve Personel Bilgileri'!C24&gt;0,'Proje ve Personel Bilgileri'!C24,"")</f>
        <v/>
      </c>
      <c r="C14" s="116" t="str">
        <f>IF('Proje ve Personel Bilgileri'!C24&gt;0,'Proje ve Personel Bilgileri'!D24,"")</f>
        <v/>
      </c>
      <c r="D14" s="157"/>
      <c r="E14" s="157"/>
      <c r="F14" s="157"/>
      <c r="G14" s="157"/>
      <c r="H14" s="157"/>
      <c r="I14" s="68"/>
      <c r="J14" s="96" t="str">
        <f t="shared" si="2"/>
        <v/>
      </c>
      <c r="K14" s="123" t="str">
        <f>IF('Proje ve Personel Bilgileri'!C24&gt;0,AUcret,"")</f>
        <v/>
      </c>
      <c r="L14" s="124" t="str">
        <f t="shared" si="1"/>
        <v/>
      </c>
      <c r="M14" s="123" t="str">
        <f t="shared" si="3"/>
        <v/>
      </c>
      <c r="N14" s="123" t="str">
        <f>IF(LEN(B14)&gt;0,G011B!R13,"")</f>
        <v/>
      </c>
      <c r="O14" s="125" t="str">
        <f t="shared" si="4"/>
        <v/>
      </c>
      <c r="Q14" s="49"/>
    </row>
    <row r="15" spans="1:18" ht="18" customHeight="1" x14ac:dyDescent="0.25">
      <c r="A15" s="67">
        <v>7</v>
      </c>
      <c r="B15" s="115" t="str">
        <f>IF('Proje ve Personel Bilgileri'!C25&gt;0,'Proje ve Personel Bilgileri'!C25,"")</f>
        <v/>
      </c>
      <c r="C15" s="116" t="str">
        <f>IF('Proje ve Personel Bilgileri'!C25&gt;0,'Proje ve Personel Bilgileri'!D25,"")</f>
        <v/>
      </c>
      <c r="D15" s="157"/>
      <c r="E15" s="157"/>
      <c r="F15" s="157"/>
      <c r="G15" s="157"/>
      <c r="H15" s="157"/>
      <c r="I15" s="68"/>
      <c r="J15" s="96" t="str">
        <f t="shared" si="2"/>
        <v/>
      </c>
      <c r="K15" s="123" t="str">
        <f>IF('Proje ve Personel Bilgileri'!C25&gt;0,AUcret,"")</f>
        <v/>
      </c>
      <c r="L15" s="124" t="str">
        <f t="shared" si="1"/>
        <v/>
      </c>
      <c r="M15" s="123" t="str">
        <f t="shared" si="3"/>
        <v/>
      </c>
      <c r="N15" s="123" t="str">
        <f>IF(LEN(B15)&gt;0,G011B!R14,"")</f>
        <v/>
      </c>
      <c r="O15" s="125" t="str">
        <f t="shared" si="4"/>
        <v/>
      </c>
      <c r="Q15" s="49"/>
    </row>
    <row r="16" spans="1:18" ht="18" customHeight="1" x14ac:dyDescent="0.25">
      <c r="A16" s="67">
        <v>8</v>
      </c>
      <c r="B16" s="115" t="str">
        <f>IF('Proje ve Personel Bilgileri'!C26&gt;0,'Proje ve Personel Bilgileri'!C26,"")</f>
        <v/>
      </c>
      <c r="C16" s="116" t="str">
        <f>IF('Proje ve Personel Bilgileri'!C26&gt;0,'Proje ve Personel Bilgileri'!D26,"")</f>
        <v/>
      </c>
      <c r="D16" s="157"/>
      <c r="E16" s="157"/>
      <c r="F16" s="157"/>
      <c r="G16" s="157"/>
      <c r="H16" s="157"/>
      <c r="I16" s="68"/>
      <c r="J16" s="96" t="str">
        <f t="shared" si="2"/>
        <v/>
      </c>
      <c r="K16" s="123" t="str">
        <f>IF('Proje ve Personel Bilgileri'!C26&gt;0,AUcret,"")</f>
        <v/>
      </c>
      <c r="L16" s="124" t="str">
        <f t="shared" si="1"/>
        <v/>
      </c>
      <c r="M16" s="123" t="str">
        <f t="shared" si="3"/>
        <v/>
      </c>
      <c r="N16" s="123" t="str">
        <f>IF(LEN(B16)&gt;0,G011B!R15,"")</f>
        <v/>
      </c>
      <c r="O16" s="125" t="str">
        <f t="shared" si="4"/>
        <v/>
      </c>
      <c r="Q16" s="49"/>
    </row>
    <row r="17" spans="1:17" ht="18" customHeight="1" x14ac:dyDescent="0.25">
      <c r="A17" s="67">
        <v>9</v>
      </c>
      <c r="B17" s="115" t="str">
        <f>IF('Proje ve Personel Bilgileri'!C27&gt;0,'Proje ve Personel Bilgileri'!C27,"")</f>
        <v/>
      </c>
      <c r="C17" s="116" t="str">
        <f>IF('Proje ve Personel Bilgileri'!C27&gt;0,'Proje ve Personel Bilgileri'!D27,"")</f>
        <v/>
      </c>
      <c r="D17" s="157"/>
      <c r="E17" s="157"/>
      <c r="F17" s="157"/>
      <c r="G17" s="157"/>
      <c r="H17" s="157"/>
      <c r="I17" s="68"/>
      <c r="J17" s="96" t="str">
        <f t="shared" si="2"/>
        <v/>
      </c>
      <c r="K17" s="123" t="str">
        <f>IF('Proje ve Personel Bilgileri'!C27&gt;0,AUcret,"")</f>
        <v/>
      </c>
      <c r="L17" s="124" t="str">
        <f t="shared" si="1"/>
        <v/>
      </c>
      <c r="M17" s="123" t="str">
        <f t="shared" si="3"/>
        <v/>
      </c>
      <c r="N17" s="123" t="str">
        <f>IF(LEN(B17)&gt;0,G011B!R16,"")</f>
        <v/>
      </c>
      <c r="O17" s="125" t="str">
        <f t="shared" si="4"/>
        <v/>
      </c>
      <c r="Q17" s="49"/>
    </row>
    <row r="18" spans="1:17" ht="18" customHeight="1" x14ac:dyDescent="0.25">
      <c r="A18" s="67">
        <v>10</v>
      </c>
      <c r="B18" s="115" t="str">
        <f>IF('Proje ve Personel Bilgileri'!C28&gt;0,'Proje ve Personel Bilgileri'!C28,"")</f>
        <v/>
      </c>
      <c r="C18" s="116" t="str">
        <f>IF('Proje ve Personel Bilgileri'!C28&gt;0,'Proje ve Personel Bilgileri'!D28,"")</f>
        <v/>
      </c>
      <c r="D18" s="157"/>
      <c r="E18" s="157"/>
      <c r="F18" s="157"/>
      <c r="G18" s="157"/>
      <c r="H18" s="157"/>
      <c r="I18" s="68"/>
      <c r="J18" s="96" t="str">
        <f t="shared" si="2"/>
        <v/>
      </c>
      <c r="K18" s="123" t="str">
        <f>IF('Proje ve Personel Bilgileri'!C28&gt;0,AUcret,"")</f>
        <v/>
      </c>
      <c r="L18" s="124" t="str">
        <f t="shared" si="1"/>
        <v/>
      </c>
      <c r="M18" s="123" t="str">
        <f t="shared" si="3"/>
        <v/>
      </c>
      <c r="N18" s="123" t="str">
        <f>IF(LEN(B18)&gt;0,G011B!R17,"")</f>
        <v/>
      </c>
      <c r="O18" s="125" t="str">
        <f t="shared" si="4"/>
        <v/>
      </c>
      <c r="Q18" s="49"/>
    </row>
    <row r="19" spans="1:17" ht="18" customHeight="1" x14ac:dyDescent="0.25">
      <c r="A19" s="67">
        <v>11</v>
      </c>
      <c r="B19" s="115" t="str">
        <f>IF('Proje ve Personel Bilgileri'!C29&gt;0,'Proje ve Personel Bilgileri'!C29,"")</f>
        <v/>
      </c>
      <c r="C19" s="116" t="str">
        <f>IF('Proje ve Personel Bilgileri'!C29&gt;0,'Proje ve Personel Bilgileri'!D29,"")</f>
        <v/>
      </c>
      <c r="D19" s="157"/>
      <c r="E19" s="157"/>
      <c r="F19" s="157"/>
      <c r="G19" s="157"/>
      <c r="H19" s="157"/>
      <c r="I19" s="68"/>
      <c r="J19" s="96" t="str">
        <f t="shared" si="2"/>
        <v/>
      </c>
      <c r="K19" s="123" t="str">
        <f>IF('Proje ve Personel Bilgileri'!C29&gt;0,AUcret,"")</f>
        <v/>
      </c>
      <c r="L19" s="124" t="str">
        <f t="shared" si="1"/>
        <v/>
      </c>
      <c r="M19" s="123" t="str">
        <f t="shared" si="3"/>
        <v/>
      </c>
      <c r="N19" s="123" t="str">
        <f>IF(LEN(B19)&gt;0,G011B!R18,"")</f>
        <v/>
      </c>
      <c r="O19" s="125" t="str">
        <f t="shared" si="4"/>
        <v/>
      </c>
      <c r="Q19" s="49"/>
    </row>
    <row r="20" spans="1:17" ht="18" customHeight="1" x14ac:dyDescent="0.25">
      <c r="A20" s="67">
        <v>12</v>
      </c>
      <c r="B20" s="115" t="str">
        <f>IF('Proje ve Personel Bilgileri'!C30&gt;0,'Proje ve Personel Bilgileri'!C30,"")</f>
        <v/>
      </c>
      <c r="C20" s="116" t="str">
        <f>IF('Proje ve Personel Bilgileri'!C30&gt;0,'Proje ve Personel Bilgileri'!D30,"")</f>
        <v/>
      </c>
      <c r="D20" s="157"/>
      <c r="E20" s="157"/>
      <c r="F20" s="157"/>
      <c r="G20" s="157"/>
      <c r="H20" s="157"/>
      <c r="I20" s="68"/>
      <c r="J20" s="96" t="str">
        <f t="shared" si="2"/>
        <v/>
      </c>
      <c r="K20" s="123" t="str">
        <f>IF('Proje ve Personel Bilgileri'!C30&gt;0,AUcret,"")</f>
        <v/>
      </c>
      <c r="L20" s="124" t="str">
        <f t="shared" si="1"/>
        <v/>
      </c>
      <c r="M20" s="123" t="str">
        <f t="shared" si="3"/>
        <v/>
      </c>
      <c r="N20" s="123" t="str">
        <f>IF(LEN(B20)&gt;0,G011B!R19,"")</f>
        <v/>
      </c>
      <c r="O20" s="125" t="str">
        <f t="shared" si="4"/>
        <v/>
      </c>
      <c r="Q20" s="49"/>
    </row>
    <row r="21" spans="1:17" ht="18" customHeight="1" x14ac:dyDescent="0.25">
      <c r="A21" s="67">
        <v>13</v>
      </c>
      <c r="B21" s="115" t="str">
        <f>IF('Proje ve Personel Bilgileri'!C31&gt;0,'Proje ve Personel Bilgileri'!C31,"")</f>
        <v/>
      </c>
      <c r="C21" s="116" t="str">
        <f>IF('Proje ve Personel Bilgileri'!C31&gt;0,'Proje ve Personel Bilgileri'!D31,"")</f>
        <v/>
      </c>
      <c r="D21" s="157"/>
      <c r="E21" s="157"/>
      <c r="F21" s="157"/>
      <c r="G21" s="157"/>
      <c r="H21" s="157"/>
      <c r="I21" s="68"/>
      <c r="J21" s="96" t="str">
        <f t="shared" si="2"/>
        <v/>
      </c>
      <c r="K21" s="123" t="str">
        <f>IF('Proje ve Personel Bilgileri'!C31&gt;0,AUcret,"")</f>
        <v/>
      </c>
      <c r="L21" s="124" t="str">
        <f t="shared" si="1"/>
        <v/>
      </c>
      <c r="M21" s="123" t="str">
        <f t="shared" si="3"/>
        <v/>
      </c>
      <c r="N21" s="123" t="str">
        <f>IF(LEN(B21)&gt;0,G011B!R20,"")</f>
        <v/>
      </c>
      <c r="O21" s="125" t="str">
        <f t="shared" si="4"/>
        <v/>
      </c>
      <c r="Q21" s="49"/>
    </row>
    <row r="22" spans="1:17" ht="18" customHeight="1" x14ac:dyDescent="0.25">
      <c r="A22" s="67">
        <v>14</v>
      </c>
      <c r="B22" s="115" t="str">
        <f>IF('Proje ve Personel Bilgileri'!C32&gt;0,'Proje ve Personel Bilgileri'!C32,"")</f>
        <v/>
      </c>
      <c r="C22" s="116" t="str">
        <f>IF('Proje ve Personel Bilgileri'!C32&gt;0,'Proje ve Personel Bilgileri'!D32,"")</f>
        <v/>
      </c>
      <c r="D22" s="157"/>
      <c r="E22" s="157"/>
      <c r="F22" s="157"/>
      <c r="G22" s="157"/>
      <c r="H22" s="157"/>
      <c r="I22" s="68"/>
      <c r="J22" s="96" t="str">
        <f t="shared" si="2"/>
        <v/>
      </c>
      <c r="K22" s="123" t="str">
        <f>IF('Proje ve Personel Bilgileri'!C32&gt;0,AUcret,"")</f>
        <v/>
      </c>
      <c r="L22" s="124" t="str">
        <f t="shared" si="1"/>
        <v/>
      </c>
      <c r="M22" s="123" t="str">
        <f t="shared" si="3"/>
        <v/>
      </c>
      <c r="N22" s="123" t="str">
        <f>IF(LEN(B22)&gt;0,G011B!R21,"")</f>
        <v/>
      </c>
      <c r="O22" s="125" t="str">
        <f t="shared" si="4"/>
        <v/>
      </c>
      <c r="Q22" s="49"/>
    </row>
    <row r="23" spans="1:17" ht="18" customHeight="1" x14ac:dyDescent="0.25">
      <c r="A23" s="67">
        <v>15</v>
      </c>
      <c r="B23" s="115" t="str">
        <f>IF('Proje ve Personel Bilgileri'!C33&gt;0,'Proje ve Personel Bilgileri'!C33,"")</f>
        <v/>
      </c>
      <c r="C23" s="116" t="str">
        <f>IF('Proje ve Personel Bilgileri'!C33&gt;0,'Proje ve Personel Bilgileri'!D33,"")</f>
        <v/>
      </c>
      <c r="D23" s="157"/>
      <c r="E23" s="157"/>
      <c r="F23" s="157"/>
      <c r="G23" s="157"/>
      <c r="H23" s="157"/>
      <c r="I23" s="68"/>
      <c r="J23" s="96" t="str">
        <f t="shared" si="2"/>
        <v/>
      </c>
      <c r="K23" s="123" t="str">
        <f>IF('Proje ve Personel Bilgileri'!C33&gt;0,AUcret,"")</f>
        <v/>
      </c>
      <c r="L23" s="124" t="str">
        <f t="shared" si="1"/>
        <v/>
      </c>
      <c r="M23" s="123" t="str">
        <f t="shared" si="3"/>
        <v/>
      </c>
      <c r="N23" s="123" t="str">
        <f>IF(LEN(B23)&gt;0,G011B!R22,"")</f>
        <v/>
      </c>
      <c r="O23" s="125" t="str">
        <f t="shared" si="4"/>
        <v/>
      </c>
      <c r="Q23" s="49"/>
    </row>
    <row r="24" spans="1:17" ht="18" customHeight="1" x14ac:dyDescent="0.25">
      <c r="A24" s="67">
        <v>16</v>
      </c>
      <c r="B24" s="115" t="str">
        <f>IF('Proje ve Personel Bilgileri'!C34&gt;0,'Proje ve Personel Bilgileri'!C34,"")</f>
        <v/>
      </c>
      <c r="C24" s="116" t="str">
        <f>IF('Proje ve Personel Bilgileri'!C34&gt;0,'Proje ve Personel Bilgileri'!D34,"")</f>
        <v/>
      </c>
      <c r="D24" s="157"/>
      <c r="E24" s="157"/>
      <c r="F24" s="157"/>
      <c r="G24" s="157"/>
      <c r="H24" s="157"/>
      <c r="I24" s="68"/>
      <c r="J24" s="96" t="str">
        <f t="shared" si="2"/>
        <v/>
      </c>
      <c r="K24" s="123" t="str">
        <f>IF('Proje ve Personel Bilgileri'!C34&gt;0,AUcret,"")</f>
        <v/>
      </c>
      <c r="L24" s="124" t="str">
        <f t="shared" si="1"/>
        <v/>
      </c>
      <c r="M24" s="123" t="str">
        <f t="shared" si="3"/>
        <v/>
      </c>
      <c r="N24" s="123" t="str">
        <f>IF(LEN(B24)&gt;0,G011B!R23,"")</f>
        <v/>
      </c>
      <c r="O24" s="125" t="str">
        <f t="shared" si="4"/>
        <v/>
      </c>
      <c r="Q24" s="49"/>
    </row>
    <row r="25" spans="1:17" ht="18" customHeight="1" x14ac:dyDescent="0.25">
      <c r="A25" s="67">
        <v>17</v>
      </c>
      <c r="B25" s="115" t="str">
        <f>IF('Proje ve Personel Bilgileri'!C35&gt;0,'Proje ve Personel Bilgileri'!C35,"")</f>
        <v/>
      </c>
      <c r="C25" s="116" t="str">
        <f>IF('Proje ve Personel Bilgileri'!C35&gt;0,'Proje ve Personel Bilgileri'!D35,"")</f>
        <v/>
      </c>
      <c r="D25" s="157"/>
      <c r="E25" s="157"/>
      <c r="F25" s="157"/>
      <c r="G25" s="157"/>
      <c r="H25" s="157"/>
      <c r="I25" s="68"/>
      <c r="J25" s="96" t="str">
        <f t="shared" si="2"/>
        <v/>
      </c>
      <c r="K25" s="123" t="str">
        <f>IF('Proje ve Personel Bilgileri'!C35&gt;0,AUcret,"")</f>
        <v/>
      </c>
      <c r="L25" s="124" t="str">
        <f t="shared" si="1"/>
        <v/>
      </c>
      <c r="M25" s="123" t="str">
        <f t="shared" si="3"/>
        <v/>
      </c>
      <c r="N25" s="123" t="str">
        <f>IF(LEN(B25)&gt;0,G011B!R24,"")</f>
        <v/>
      </c>
      <c r="O25" s="125" t="str">
        <f t="shared" si="4"/>
        <v/>
      </c>
      <c r="Q25" s="49"/>
    </row>
    <row r="26" spans="1:17" ht="18" customHeight="1" x14ac:dyDescent="0.25">
      <c r="A26" s="67">
        <v>18</v>
      </c>
      <c r="B26" s="115" t="str">
        <f>IF('Proje ve Personel Bilgileri'!C36&gt;0,'Proje ve Personel Bilgileri'!C36,"")</f>
        <v/>
      </c>
      <c r="C26" s="116" t="str">
        <f>IF('Proje ve Personel Bilgileri'!C36&gt;0,'Proje ve Personel Bilgileri'!D36,"")</f>
        <v/>
      </c>
      <c r="D26" s="157"/>
      <c r="E26" s="157"/>
      <c r="F26" s="157"/>
      <c r="G26" s="157"/>
      <c r="H26" s="157"/>
      <c r="I26" s="68"/>
      <c r="J26" s="96" t="str">
        <f t="shared" si="2"/>
        <v/>
      </c>
      <c r="K26" s="123" t="str">
        <f>IF('Proje ve Personel Bilgileri'!C36&gt;0,AUcret,"")</f>
        <v/>
      </c>
      <c r="L26" s="124" t="str">
        <f t="shared" si="1"/>
        <v/>
      </c>
      <c r="M26" s="123" t="str">
        <f t="shared" si="3"/>
        <v/>
      </c>
      <c r="N26" s="123" t="str">
        <f>IF(LEN(B26)&gt;0,G011B!R25,"")</f>
        <v/>
      </c>
      <c r="O26" s="125" t="str">
        <f t="shared" si="4"/>
        <v/>
      </c>
      <c r="Q26" s="49"/>
    </row>
    <row r="27" spans="1:17" ht="18" customHeight="1" x14ac:dyDescent="0.25">
      <c r="A27" s="67">
        <v>19</v>
      </c>
      <c r="B27" s="115" t="str">
        <f>IF('Proje ve Personel Bilgileri'!C37&gt;0,'Proje ve Personel Bilgileri'!C37,"")</f>
        <v/>
      </c>
      <c r="C27" s="116" t="str">
        <f>IF('Proje ve Personel Bilgileri'!C37&gt;0,'Proje ve Personel Bilgileri'!D37,"")</f>
        <v/>
      </c>
      <c r="D27" s="157"/>
      <c r="E27" s="157"/>
      <c r="F27" s="157"/>
      <c r="G27" s="157"/>
      <c r="H27" s="157"/>
      <c r="I27" s="68"/>
      <c r="J27" s="96" t="str">
        <f t="shared" si="2"/>
        <v/>
      </c>
      <c r="K27" s="123" t="str">
        <f>IF('Proje ve Personel Bilgileri'!C37&gt;0,AUcret,"")</f>
        <v/>
      </c>
      <c r="L27" s="124" t="str">
        <f t="shared" si="1"/>
        <v/>
      </c>
      <c r="M27" s="123" t="str">
        <f t="shared" si="3"/>
        <v/>
      </c>
      <c r="N27" s="123" t="str">
        <f>IF(LEN(B27)&gt;0,G011B!R26,"")</f>
        <v/>
      </c>
      <c r="O27" s="125" t="str">
        <f t="shared" si="4"/>
        <v/>
      </c>
      <c r="Q27" s="49"/>
    </row>
    <row r="28" spans="1:17" ht="18" customHeight="1" thickBot="1" x14ac:dyDescent="0.3">
      <c r="A28" s="69">
        <v>20</v>
      </c>
      <c r="B28" s="117" t="str">
        <f>IF('Proje ve Personel Bilgileri'!C38&gt;0,'Proje ve Personel Bilgileri'!C38,"")</f>
        <v/>
      </c>
      <c r="C28" s="118" t="str">
        <f>IF('Proje ve Personel Bilgileri'!C38&gt;0,'Proje ve Personel Bilgileri'!D38,"")</f>
        <v/>
      </c>
      <c r="D28" s="70"/>
      <c r="E28" s="70"/>
      <c r="F28" s="70"/>
      <c r="G28" s="70"/>
      <c r="H28" s="70"/>
      <c r="I28" s="71"/>
      <c r="J28" s="126" t="str">
        <f t="shared" si="2"/>
        <v/>
      </c>
      <c r="K28" s="127" t="str">
        <f>IF('Proje ve Personel Bilgileri'!C38&gt;0,AUcret,"")</f>
        <v/>
      </c>
      <c r="L28" s="128" t="str">
        <f t="shared" si="1"/>
        <v/>
      </c>
      <c r="M28" s="127" t="str">
        <f t="shared" si="3"/>
        <v/>
      </c>
      <c r="N28" s="127" t="str">
        <f>IF(LEN(B28)&gt;0,G011B!R27,"")</f>
        <v/>
      </c>
      <c r="O28" s="129" t="str">
        <f t="shared" si="4"/>
        <v/>
      </c>
    </row>
    <row r="29" spans="1:17" x14ac:dyDescent="0.25">
      <c r="A29" t="s">
        <v>64</v>
      </c>
      <c r="Q29" s="49"/>
    </row>
    <row r="30" spans="1:17" x14ac:dyDescent="0.25">
      <c r="A30" t="s">
        <v>66</v>
      </c>
      <c r="Q30" s="49"/>
    </row>
    <row r="31" spans="1:17" x14ac:dyDescent="0.25">
      <c r="A31" t="s">
        <v>65</v>
      </c>
      <c r="Q31" s="49"/>
    </row>
    <row r="33" spans="1:14" ht="21.1" x14ac:dyDescent="0.35">
      <c r="A33" s="247" t="s">
        <v>39</v>
      </c>
      <c r="B33" s="248">
        <f ca="1">IF(imzatarihi&gt;0,imzatarihi,"")</f>
        <v>45686</v>
      </c>
      <c r="C33" s="355" t="s">
        <v>40</v>
      </c>
      <c r="D33" s="355"/>
      <c r="E33" s="247"/>
      <c r="F33" s="245" t="str">
        <f>IF(kurulusyetkilisi&gt;0,kurulusyetkilisi,"")</f>
        <v/>
      </c>
      <c r="G33" s="247"/>
      <c r="H33" s="163"/>
      <c r="I33" s="163"/>
      <c r="J33" s="32"/>
      <c r="K33" s="32"/>
      <c r="L33" s="56"/>
      <c r="M33" s="56"/>
      <c r="N33" s="56"/>
    </row>
    <row r="34" spans="1:14" ht="19.7" x14ac:dyDescent="0.35">
      <c r="A34" s="249"/>
      <c r="B34" s="249"/>
      <c r="C34" s="355" t="s">
        <v>41</v>
      </c>
      <c r="D34" s="355"/>
      <c r="E34" s="302"/>
      <c r="F34" s="302"/>
      <c r="G34" s="302"/>
      <c r="H34" s="42"/>
      <c r="I34" s="42"/>
      <c r="J34" s="32"/>
      <c r="K34" s="32"/>
      <c r="L34" s="56"/>
      <c r="M34" s="56"/>
      <c r="N34" s="56"/>
    </row>
  </sheetData>
  <sheetProtection algorithmName="SHA-512" hashValue="14CYfmjfgBGEAAB+yr0cFOmor49plKZWa4p9VBaMPjxZYTo+FBWoPZEIZTbmt4vNBRZ35hdZ8qftOzVDCwuyEQ==" saltValue="45v2IhfzeWAL9hm0lO06uQ==" spinCount="100000" sheet="1" objects="1" scenarios="1"/>
  <mergeCells count="23">
    <mergeCell ref="C33:D33"/>
    <mergeCell ref="C34:D34"/>
    <mergeCell ref="E34:G34"/>
    <mergeCell ref="A3:O3"/>
    <mergeCell ref="N7:N8"/>
    <mergeCell ref="A7:A8"/>
    <mergeCell ref="B7:B8"/>
    <mergeCell ref="C7:C8"/>
    <mergeCell ref="D7:H7"/>
    <mergeCell ref="A1:O1"/>
    <mergeCell ref="O7:O8"/>
    <mergeCell ref="A6:B6"/>
    <mergeCell ref="A4:B4"/>
    <mergeCell ref="A5:B5"/>
    <mergeCell ref="C4:O4"/>
    <mergeCell ref="C5:O5"/>
    <mergeCell ref="C6:O6"/>
    <mergeCell ref="I7:I8"/>
    <mergeCell ref="J7:J8"/>
    <mergeCell ref="A2:O2"/>
    <mergeCell ref="K7:K8"/>
    <mergeCell ref="L7:L8"/>
    <mergeCell ref="M7:M8"/>
  </mergeCells>
  <dataValidations count="1">
    <dataValidation type="list" allowBlank="1" showInputMessage="1" showErrorMessage="1" prompt="Mezuniyet durumuna göre X seçiniz._x000a_" sqref="D9:H28" xr:uid="{00000000-0002-0000-0B00-000000000000}">
      <formula1>"X"</formula1>
    </dataValidation>
  </dataValidations>
  <pageMargins left="0.7" right="0.7" top="0.75" bottom="0.75" header="0.3" footer="0.3"/>
  <pageSetup paperSize="9" scale="69" orientation="landscape"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zoomScale="90" zoomScaleNormal="90" zoomScaleSheetLayoutView="40" workbookViewId="0">
      <selection activeCell="B8" sqref="B8"/>
    </sheetView>
  </sheetViews>
  <sheetFormatPr defaultColWidth="8.875" defaultRowHeight="14.3" x14ac:dyDescent="0.25"/>
  <cols>
    <col min="1" max="1" width="8.25" customWidth="1"/>
    <col min="2" max="2" width="33" customWidth="1"/>
    <col min="3" max="3" width="20.75" bestFit="1" customWidth="1"/>
    <col min="4" max="4" width="39.875" customWidth="1"/>
    <col min="5" max="6" width="10.75" customWidth="1"/>
    <col min="7" max="9" width="16.75" customWidth="1"/>
    <col min="10" max="10" width="12.125" hidden="1" customWidth="1"/>
    <col min="11" max="11" width="14.375" hidden="1" customWidth="1"/>
    <col min="12" max="12" width="11.125" hidden="1" customWidth="1"/>
    <col min="13" max="13" width="90.75" customWidth="1"/>
    <col min="14" max="15" width="4.25" hidden="1" customWidth="1"/>
    <col min="16" max="16" width="8.875" hidden="1" customWidth="1"/>
  </cols>
  <sheetData>
    <row r="1" spans="1:16" ht="16.3" x14ac:dyDescent="0.3">
      <c r="A1" s="338" t="s">
        <v>73</v>
      </c>
      <c r="B1" s="338"/>
      <c r="C1" s="338"/>
      <c r="D1" s="338"/>
      <c r="E1" s="338"/>
      <c r="F1" s="338"/>
      <c r="G1" s="338"/>
      <c r="H1" s="338"/>
      <c r="I1" s="338"/>
      <c r="J1" s="43"/>
      <c r="K1" s="43"/>
      <c r="L1" s="43"/>
      <c r="M1" s="43"/>
      <c r="N1" s="43"/>
      <c r="O1" s="43"/>
      <c r="P1" s="85" t="str">
        <f>CONCATENATE("A1:I",SUM(N:N)*33)</f>
        <v>A1:I33</v>
      </c>
    </row>
    <row r="2" spans="1:16" x14ac:dyDescent="0.25">
      <c r="A2" s="336" t="str">
        <f>IF(YilDonem&lt;&gt;"",CONCATENATE(YilDonem,". döneme aittir."),"")</f>
        <v/>
      </c>
      <c r="B2" s="336"/>
      <c r="C2" s="336"/>
      <c r="D2" s="336"/>
      <c r="E2" s="336"/>
      <c r="F2" s="336"/>
      <c r="G2" s="336"/>
      <c r="H2" s="336"/>
      <c r="I2" s="336"/>
      <c r="J2" s="43"/>
      <c r="K2" s="43"/>
      <c r="L2" s="43"/>
      <c r="M2" s="43"/>
      <c r="N2" s="43"/>
      <c r="O2" s="43"/>
      <c r="P2" s="43"/>
    </row>
    <row r="3" spans="1:16" ht="19.7" thickBot="1" x14ac:dyDescent="0.4">
      <c r="A3" s="372" t="s">
        <v>82</v>
      </c>
      <c r="B3" s="372"/>
      <c r="C3" s="372"/>
      <c r="D3" s="372"/>
      <c r="E3" s="372"/>
      <c r="F3" s="372"/>
      <c r="G3" s="372"/>
      <c r="H3" s="372"/>
      <c r="I3" s="372"/>
      <c r="J3" s="43"/>
      <c r="K3" s="43"/>
      <c r="L3" s="43"/>
      <c r="M3" s="43"/>
      <c r="N3" s="43"/>
      <c r="O3" s="43"/>
      <c r="P3" s="43"/>
    </row>
    <row r="4" spans="1:16" ht="19.55" customHeight="1" thickBot="1" x14ac:dyDescent="0.3">
      <c r="A4" s="341" t="s">
        <v>1</v>
      </c>
      <c r="B4" s="343"/>
      <c r="C4" s="330" t="str">
        <f>IF(ProjeNo&gt;0,ProjeNo,"")</f>
        <v/>
      </c>
      <c r="D4" s="331"/>
      <c r="E4" s="331"/>
      <c r="F4" s="331"/>
      <c r="G4" s="331"/>
      <c r="H4" s="331"/>
      <c r="I4" s="332"/>
      <c r="J4" s="43"/>
      <c r="K4" s="43"/>
      <c r="L4" s="43"/>
      <c r="M4" s="43"/>
      <c r="N4" s="43"/>
      <c r="O4" s="43"/>
      <c r="P4" s="43"/>
    </row>
    <row r="5" spans="1:16" ht="29.25" customHeight="1" thickBot="1" x14ac:dyDescent="0.3">
      <c r="A5" s="371" t="s">
        <v>11</v>
      </c>
      <c r="B5" s="342"/>
      <c r="C5" s="346" t="str">
        <f>IF(ProjeAdi&gt;0,ProjeAdi,"")</f>
        <v/>
      </c>
      <c r="D5" s="347"/>
      <c r="E5" s="347"/>
      <c r="F5" s="347"/>
      <c r="G5" s="347"/>
      <c r="H5" s="347"/>
      <c r="I5" s="348"/>
      <c r="J5" s="43"/>
      <c r="K5" s="43"/>
      <c r="L5" s="43"/>
      <c r="M5" s="43"/>
      <c r="N5" s="43"/>
      <c r="O5" s="43"/>
      <c r="P5" s="43"/>
    </row>
    <row r="6" spans="1:16" ht="19.55" customHeight="1" thickBot="1" x14ac:dyDescent="0.3">
      <c r="A6" s="341" t="s">
        <v>74</v>
      </c>
      <c r="B6" s="343"/>
      <c r="C6" s="9"/>
      <c r="D6" s="369"/>
      <c r="E6" s="369"/>
      <c r="F6" s="369"/>
      <c r="G6" s="369"/>
      <c r="H6" s="369"/>
      <c r="I6" s="370"/>
      <c r="J6" s="43"/>
      <c r="K6" s="43"/>
      <c r="L6" s="43"/>
      <c r="M6" s="43"/>
      <c r="N6" s="43"/>
      <c r="O6" s="43"/>
      <c r="P6" s="43"/>
    </row>
    <row r="7" spans="1:16" s="2" customFormat="1" ht="29.25" thickBot="1" x14ac:dyDescent="0.3">
      <c r="A7" s="176" t="s">
        <v>7</v>
      </c>
      <c r="B7" s="176" t="s">
        <v>8</v>
      </c>
      <c r="C7" s="176" t="s">
        <v>63</v>
      </c>
      <c r="D7" s="176" t="s">
        <v>119</v>
      </c>
      <c r="E7" s="176" t="s">
        <v>75</v>
      </c>
      <c r="F7" s="176" t="s">
        <v>76</v>
      </c>
      <c r="G7" s="176" t="s">
        <v>77</v>
      </c>
      <c r="H7" s="176" t="s">
        <v>78</v>
      </c>
      <c r="I7" s="176" t="s">
        <v>79</v>
      </c>
      <c r="J7" s="177" t="s">
        <v>83</v>
      </c>
      <c r="K7" s="178" t="s">
        <v>84</v>
      </c>
      <c r="L7" s="178" t="s">
        <v>76</v>
      </c>
      <c r="M7" s="169"/>
      <c r="N7" s="169"/>
      <c r="O7" s="169"/>
      <c r="P7" s="169"/>
    </row>
    <row r="8" spans="1:16" ht="20.05" customHeight="1" x14ac:dyDescent="0.25">
      <c r="A8" s="179">
        <v>1</v>
      </c>
      <c r="B8" s="53"/>
      <c r="C8" s="170"/>
      <c r="D8" s="171"/>
      <c r="E8" s="54"/>
      <c r="F8" s="55"/>
      <c r="G8" s="105" t="str">
        <f>IF(AND(B8&lt;&gt;"",L8&gt;=F8),E8*F8,"")</f>
        <v/>
      </c>
      <c r="H8" s="102" t="str">
        <f>IF(B8&lt;&gt;"",VLOOKUP(B8,G011CTablo,14,0),"")</f>
        <v/>
      </c>
      <c r="I8" s="109" t="str">
        <f>IF(AND(B8&lt;&gt;"",J8&gt;=K8,L8&gt;0),G8*H8,"")</f>
        <v/>
      </c>
      <c r="J8" s="100" t="str">
        <f>IF(B8&gt;0,ROUNDUP(VLOOKUP(B8,G011B!$B:$R,16,0),1),"")</f>
        <v/>
      </c>
      <c r="K8" s="100" t="str">
        <f>IF(B8&gt;0,SUMIF($B:$B,B8,$G:$G),"")</f>
        <v/>
      </c>
      <c r="L8" s="101" t="str">
        <f>IF(B8&lt;&gt;"",VLOOKUP(B8,G011B!$B:$Z,25,0),"")</f>
        <v/>
      </c>
      <c r="M8" s="160" t="str">
        <f>IF(J8&gt;=K8,"","Personelin bütün iş paketlerindeki Toplam Adam Ay değeri "&amp;K8&amp;" olup, bu değer, G011B formunda beyan edilen Çalışılan Toplam Ay değerini geçemez. Maliyeti hesaplamak için Adam/Ay Oranı veya Çalışılan Ay değerini düzeltiniz. ")</f>
        <v/>
      </c>
      <c r="N8" s="43"/>
      <c r="O8" s="43"/>
      <c r="P8" s="43"/>
    </row>
    <row r="9" spans="1:16" ht="20.05" customHeight="1" x14ac:dyDescent="0.25">
      <c r="A9" s="180">
        <v>2</v>
      </c>
      <c r="B9" s="57"/>
      <c r="C9" s="172"/>
      <c r="D9" s="173"/>
      <c r="E9" s="58"/>
      <c r="F9" s="59"/>
      <c r="G9" s="106" t="str">
        <f t="shared" ref="G9:G27" si="0">IF(AND(B9&lt;&gt;"",L9&gt;=F9),E9*F9,"")</f>
        <v/>
      </c>
      <c r="H9" s="103" t="str">
        <f t="shared" ref="H9:H27" si="1">IF(B9&lt;&gt;"",VLOOKUP(B9,G011CTablo,14,0),"")</f>
        <v/>
      </c>
      <c r="I9" s="110" t="str">
        <f t="shared" ref="I9:I27" si="2">IF(AND(B9&lt;&gt;"",J9&gt;=K9,L9&gt;0),G9*H9,"")</f>
        <v/>
      </c>
      <c r="J9" s="100" t="str">
        <f>IF(B9&gt;0,ROUNDUP(VLOOKUP(B9,G011B!$B:$R,16,0),1),"")</f>
        <v/>
      </c>
      <c r="K9" s="100" t="str">
        <f t="shared" ref="K9:K27" si="3">IF(B9&gt;0,SUMIF($B:$B,B9,$G:$G),"")</f>
        <v/>
      </c>
      <c r="L9" s="101" t="str">
        <f>IF(B9&lt;&gt;"",VLOOKUP(B9,G011B!$B:$Z,25,0),"")</f>
        <v/>
      </c>
      <c r="M9" s="160" t="str">
        <f>IF(J9&gt;=K9,"","Personelin bütün iş paketlerindeki Toplam Adam Ay değeri "&amp;K9&amp;" olup, bu değer, G011B formunda beyan edilen Çalışılan Toplam Ay değerini geçemez. Maliyeti hesaplamak için Adam/Ay Oranı veya Çalışılan Ay değerini düzeltiniz. ")</f>
        <v/>
      </c>
      <c r="N9" s="43"/>
      <c r="O9" s="43"/>
      <c r="P9" s="43"/>
    </row>
    <row r="10" spans="1:16" ht="20.05" customHeight="1" x14ac:dyDescent="0.25">
      <c r="A10" s="180">
        <v>3</v>
      </c>
      <c r="B10" s="57"/>
      <c r="C10" s="172"/>
      <c r="D10" s="173"/>
      <c r="E10" s="58"/>
      <c r="F10" s="59"/>
      <c r="G10" s="106" t="str">
        <f t="shared" si="0"/>
        <v/>
      </c>
      <c r="H10" s="103" t="str">
        <f t="shared" si="1"/>
        <v/>
      </c>
      <c r="I10" s="110" t="str">
        <f t="shared" si="2"/>
        <v/>
      </c>
      <c r="J10" s="100" t="str">
        <f>IF(B10&gt;0,ROUNDUP(VLOOKUP(B10,G011B!$B:$R,16,0),1),"")</f>
        <v/>
      </c>
      <c r="K10" s="100" t="str">
        <f t="shared" si="3"/>
        <v/>
      </c>
      <c r="L10" s="101" t="str">
        <f>IF(B10&lt;&gt;"",VLOOKUP(B10,G011B!$B:$Z,25,0),"")</f>
        <v/>
      </c>
      <c r="M10" s="160" t="str">
        <f t="shared" ref="M10:M27" si="4">IF(J10&gt;=K10,"","Personelin bütün iş paketlerindeki Toplam Adam Ay değeri "&amp;K10&amp;" olup, bu değer, G011B formunda beyan edilen Çalışılan Toplam Ay değerini geçemez. Maliyeti hesaplamak için Adam/Ay Oranı veya Çalışılan Ay değerini düzeltiniz. ")</f>
        <v/>
      </c>
      <c r="N10" s="43"/>
      <c r="O10" s="43"/>
      <c r="P10" s="43"/>
    </row>
    <row r="11" spans="1:16" ht="20.05" customHeight="1" x14ac:dyDescent="0.25">
      <c r="A11" s="180">
        <v>4</v>
      </c>
      <c r="B11" s="57"/>
      <c r="C11" s="172"/>
      <c r="D11" s="173"/>
      <c r="E11" s="58"/>
      <c r="F11" s="59"/>
      <c r="G11" s="106" t="str">
        <f t="shared" si="0"/>
        <v/>
      </c>
      <c r="H11" s="103" t="str">
        <f t="shared" si="1"/>
        <v/>
      </c>
      <c r="I11" s="110" t="str">
        <f t="shared" si="2"/>
        <v/>
      </c>
      <c r="J11" s="100" t="str">
        <f>IF(B11&gt;0,ROUNDUP(VLOOKUP(B11,G011B!$B:$R,16,0),1),"")</f>
        <v/>
      </c>
      <c r="K11" s="100" t="str">
        <f t="shared" si="3"/>
        <v/>
      </c>
      <c r="L11" s="101" t="str">
        <f>IF(B11&lt;&gt;"",VLOOKUP(B11,G011B!$B:$Z,25,0),"")</f>
        <v/>
      </c>
      <c r="M11" s="160" t="str">
        <f t="shared" si="4"/>
        <v/>
      </c>
      <c r="N11" s="43"/>
      <c r="O11" s="43"/>
      <c r="P11" s="43"/>
    </row>
    <row r="12" spans="1:16" ht="20.05" customHeight="1" x14ac:dyDescent="0.25">
      <c r="A12" s="180">
        <v>5</v>
      </c>
      <c r="B12" s="57"/>
      <c r="C12" s="172"/>
      <c r="D12" s="173"/>
      <c r="E12" s="58"/>
      <c r="F12" s="59"/>
      <c r="G12" s="106" t="str">
        <f t="shared" si="0"/>
        <v/>
      </c>
      <c r="H12" s="103" t="str">
        <f t="shared" si="1"/>
        <v/>
      </c>
      <c r="I12" s="110" t="str">
        <f t="shared" si="2"/>
        <v/>
      </c>
      <c r="J12" s="100" t="str">
        <f>IF(B12&gt;0,ROUNDUP(VLOOKUP(B12,G011B!$B:$R,16,0),1),"")</f>
        <v/>
      </c>
      <c r="K12" s="100" t="str">
        <f t="shared" si="3"/>
        <v/>
      </c>
      <c r="L12" s="101" t="str">
        <f>IF(B12&lt;&gt;"",VLOOKUP(B12,G011B!$B:$Z,25,0),"")</f>
        <v/>
      </c>
      <c r="M12" s="160" t="str">
        <f t="shared" si="4"/>
        <v/>
      </c>
      <c r="N12" s="43"/>
      <c r="O12" s="43"/>
      <c r="P12" s="43"/>
    </row>
    <row r="13" spans="1:16" ht="20.05" customHeight="1" x14ac:dyDescent="0.25">
      <c r="A13" s="180">
        <v>6</v>
      </c>
      <c r="B13" s="57"/>
      <c r="C13" s="172"/>
      <c r="D13" s="173"/>
      <c r="E13" s="58"/>
      <c r="F13" s="59"/>
      <c r="G13" s="106" t="str">
        <f t="shared" si="0"/>
        <v/>
      </c>
      <c r="H13" s="103" t="str">
        <f t="shared" si="1"/>
        <v/>
      </c>
      <c r="I13" s="110" t="str">
        <f t="shared" si="2"/>
        <v/>
      </c>
      <c r="J13" s="100" t="str">
        <f>IF(B13&gt;0,ROUNDUP(VLOOKUP(B13,G011B!$B:$R,16,0),1),"")</f>
        <v/>
      </c>
      <c r="K13" s="100" t="str">
        <f t="shared" si="3"/>
        <v/>
      </c>
      <c r="L13" s="101" t="str">
        <f>IF(B13&lt;&gt;"",VLOOKUP(B13,G011B!$B:$Z,25,0),"")</f>
        <v/>
      </c>
      <c r="M13" s="160" t="str">
        <f t="shared" si="4"/>
        <v/>
      </c>
      <c r="N13" s="43"/>
      <c r="O13" s="43"/>
      <c r="P13" s="43"/>
    </row>
    <row r="14" spans="1:16" ht="20.05" customHeight="1" x14ac:dyDescent="0.25">
      <c r="A14" s="180">
        <v>7</v>
      </c>
      <c r="B14" s="57"/>
      <c r="C14" s="172"/>
      <c r="D14" s="173"/>
      <c r="E14" s="58"/>
      <c r="F14" s="59"/>
      <c r="G14" s="106" t="str">
        <f t="shared" si="0"/>
        <v/>
      </c>
      <c r="H14" s="103" t="str">
        <f t="shared" si="1"/>
        <v/>
      </c>
      <c r="I14" s="110" t="str">
        <f t="shared" si="2"/>
        <v/>
      </c>
      <c r="J14" s="100" t="str">
        <f>IF(B14&gt;0,ROUNDUP(VLOOKUP(B14,G011B!$B:$R,16,0),1),"")</f>
        <v/>
      </c>
      <c r="K14" s="100" t="str">
        <f t="shared" si="3"/>
        <v/>
      </c>
      <c r="L14" s="101" t="str">
        <f>IF(B14&lt;&gt;"",VLOOKUP(B14,G011B!$B:$Z,25,0),"")</f>
        <v/>
      </c>
      <c r="M14" s="160" t="str">
        <f t="shared" si="4"/>
        <v/>
      </c>
      <c r="N14" s="43"/>
      <c r="O14" s="43"/>
      <c r="P14" s="43"/>
    </row>
    <row r="15" spans="1:16" ht="20.05" customHeight="1" x14ac:dyDescent="0.25">
      <c r="A15" s="180">
        <v>8</v>
      </c>
      <c r="B15" s="57"/>
      <c r="C15" s="172"/>
      <c r="D15" s="173"/>
      <c r="E15" s="58"/>
      <c r="F15" s="59"/>
      <c r="G15" s="106" t="str">
        <f t="shared" si="0"/>
        <v/>
      </c>
      <c r="H15" s="103" t="str">
        <f t="shared" si="1"/>
        <v/>
      </c>
      <c r="I15" s="110" t="str">
        <f t="shared" si="2"/>
        <v/>
      </c>
      <c r="J15" s="100" t="str">
        <f>IF(B15&gt;0,ROUNDUP(VLOOKUP(B15,G011B!$B:$R,16,0),1),"")</f>
        <v/>
      </c>
      <c r="K15" s="100" t="str">
        <f t="shared" si="3"/>
        <v/>
      </c>
      <c r="L15" s="101" t="str">
        <f>IF(B15&lt;&gt;"",VLOOKUP(B15,G011B!$B:$Z,25,0),"")</f>
        <v/>
      </c>
      <c r="M15" s="160" t="str">
        <f t="shared" si="4"/>
        <v/>
      </c>
      <c r="N15" s="43"/>
      <c r="O15" s="43"/>
      <c r="P15" s="43"/>
    </row>
    <row r="16" spans="1:16" ht="20.05" customHeight="1" x14ac:dyDescent="0.25">
      <c r="A16" s="180">
        <v>9</v>
      </c>
      <c r="B16" s="57"/>
      <c r="C16" s="172"/>
      <c r="D16" s="173"/>
      <c r="E16" s="58"/>
      <c r="F16" s="59"/>
      <c r="G16" s="106" t="str">
        <f t="shared" si="0"/>
        <v/>
      </c>
      <c r="H16" s="103" t="str">
        <f t="shared" si="1"/>
        <v/>
      </c>
      <c r="I16" s="110" t="str">
        <f t="shared" si="2"/>
        <v/>
      </c>
      <c r="J16" s="100" t="str">
        <f>IF(B16&gt;0,ROUNDUP(VLOOKUP(B16,G011B!$B:$R,16,0),1),"")</f>
        <v/>
      </c>
      <c r="K16" s="100" t="str">
        <f t="shared" si="3"/>
        <v/>
      </c>
      <c r="L16" s="101" t="str">
        <f>IF(B16&lt;&gt;"",VLOOKUP(B16,G011B!$B:$Z,25,0),"")</f>
        <v/>
      </c>
      <c r="M16" s="160" t="str">
        <f t="shared" si="4"/>
        <v/>
      </c>
      <c r="N16" s="43"/>
      <c r="O16" s="43"/>
      <c r="P16" s="43"/>
    </row>
    <row r="17" spans="1:16" ht="20.05" customHeight="1" x14ac:dyDescent="0.25">
      <c r="A17" s="180">
        <v>10</v>
      </c>
      <c r="B17" s="57"/>
      <c r="C17" s="172"/>
      <c r="D17" s="173"/>
      <c r="E17" s="58"/>
      <c r="F17" s="59"/>
      <c r="G17" s="106" t="str">
        <f t="shared" si="0"/>
        <v/>
      </c>
      <c r="H17" s="103" t="str">
        <f t="shared" si="1"/>
        <v/>
      </c>
      <c r="I17" s="110" t="str">
        <f t="shared" si="2"/>
        <v/>
      </c>
      <c r="J17" s="100" t="str">
        <f>IF(B17&gt;0,ROUNDUP(VLOOKUP(B17,G011B!$B:$R,16,0),1),"")</f>
        <v/>
      </c>
      <c r="K17" s="100" t="str">
        <f t="shared" si="3"/>
        <v/>
      </c>
      <c r="L17" s="101" t="str">
        <f>IF(B17&lt;&gt;"",VLOOKUP(B17,G011B!$B:$Z,25,0),"")</f>
        <v/>
      </c>
      <c r="M17" s="160" t="str">
        <f t="shared" si="4"/>
        <v/>
      </c>
      <c r="N17" s="43"/>
      <c r="O17" s="43"/>
      <c r="P17" s="43"/>
    </row>
    <row r="18" spans="1:16" ht="20.05" customHeight="1" x14ac:dyDescent="0.25">
      <c r="A18" s="180">
        <v>11</v>
      </c>
      <c r="B18" s="57"/>
      <c r="C18" s="172"/>
      <c r="D18" s="173"/>
      <c r="E18" s="58"/>
      <c r="F18" s="59"/>
      <c r="G18" s="106" t="str">
        <f t="shared" si="0"/>
        <v/>
      </c>
      <c r="H18" s="103" t="str">
        <f t="shared" si="1"/>
        <v/>
      </c>
      <c r="I18" s="110" t="str">
        <f t="shared" si="2"/>
        <v/>
      </c>
      <c r="J18" s="100" t="str">
        <f>IF(B18&gt;0,ROUNDUP(VLOOKUP(B18,G011B!$B:$R,16,0),1),"")</f>
        <v/>
      </c>
      <c r="K18" s="100" t="str">
        <f t="shared" si="3"/>
        <v/>
      </c>
      <c r="L18" s="101" t="str">
        <f>IF(B18&lt;&gt;"",VLOOKUP(B18,G011B!$B:$Z,25,0),"")</f>
        <v/>
      </c>
      <c r="M18" s="160" t="str">
        <f t="shared" si="4"/>
        <v/>
      </c>
      <c r="N18" s="43"/>
      <c r="O18" s="43"/>
      <c r="P18" s="43"/>
    </row>
    <row r="19" spans="1:16" ht="20.05" customHeight="1" x14ac:dyDescent="0.25">
      <c r="A19" s="180">
        <v>12</v>
      </c>
      <c r="B19" s="57"/>
      <c r="C19" s="172"/>
      <c r="D19" s="173"/>
      <c r="E19" s="58"/>
      <c r="F19" s="59"/>
      <c r="G19" s="106" t="str">
        <f t="shared" si="0"/>
        <v/>
      </c>
      <c r="H19" s="103" t="str">
        <f t="shared" si="1"/>
        <v/>
      </c>
      <c r="I19" s="110" t="str">
        <f t="shared" si="2"/>
        <v/>
      </c>
      <c r="J19" s="100" t="str">
        <f>IF(B19&gt;0,ROUNDUP(VLOOKUP(B19,G011B!$B:$R,16,0),1),"")</f>
        <v/>
      </c>
      <c r="K19" s="100" t="str">
        <f t="shared" si="3"/>
        <v/>
      </c>
      <c r="L19" s="101" t="str">
        <f>IF(B19&lt;&gt;"",VLOOKUP(B19,G011B!$B:$Z,25,0),"")</f>
        <v/>
      </c>
      <c r="M19" s="160" t="str">
        <f t="shared" si="4"/>
        <v/>
      </c>
      <c r="N19" s="43"/>
      <c r="O19" s="43"/>
      <c r="P19" s="43"/>
    </row>
    <row r="20" spans="1:16" ht="20.05" customHeight="1" x14ac:dyDescent="0.25">
      <c r="A20" s="180">
        <v>13</v>
      </c>
      <c r="B20" s="57"/>
      <c r="C20" s="172"/>
      <c r="D20" s="173"/>
      <c r="E20" s="58"/>
      <c r="F20" s="59"/>
      <c r="G20" s="106" t="str">
        <f t="shared" si="0"/>
        <v/>
      </c>
      <c r="H20" s="103" t="str">
        <f t="shared" si="1"/>
        <v/>
      </c>
      <c r="I20" s="110" t="str">
        <f t="shared" si="2"/>
        <v/>
      </c>
      <c r="J20" s="100" t="str">
        <f>IF(B20&gt;0,ROUNDUP(VLOOKUP(B20,G011B!$B:$R,16,0),1),"")</f>
        <v/>
      </c>
      <c r="K20" s="100" t="str">
        <f t="shared" si="3"/>
        <v/>
      </c>
      <c r="L20" s="101" t="str">
        <f>IF(B20&lt;&gt;"",VLOOKUP(B20,G011B!$B:$Z,25,0),"")</f>
        <v/>
      </c>
      <c r="M20" s="160" t="str">
        <f>IF(J20&gt;=K20,"","Personelin bütün iş paketlerindeki Toplam Adam Ay değeri "&amp;K20&amp;" olup, bu değer, G011B formunda beyan edilen Çalışılan Toplam Ay değerini geçemez. Maliyeti hesaplamak için Adam/Ay Oranı veya Çalışılan Ay değerini düzeltiniz. ")</f>
        <v/>
      </c>
      <c r="N20" s="43"/>
      <c r="O20" s="43"/>
      <c r="P20" s="43"/>
    </row>
    <row r="21" spans="1:16" ht="20.05" customHeight="1" x14ac:dyDescent="0.25">
      <c r="A21" s="180">
        <v>14</v>
      </c>
      <c r="B21" s="57"/>
      <c r="C21" s="172"/>
      <c r="D21" s="173"/>
      <c r="E21" s="58"/>
      <c r="F21" s="59"/>
      <c r="G21" s="106" t="str">
        <f t="shared" si="0"/>
        <v/>
      </c>
      <c r="H21" s="103" t="str">
        <f t="shared" si="1"/>
        <v/>
      </c>
      <c r="I21" s="110" t="str">
        <f t="shared" si="2"/>
        <v/>
      </c>
      <c r="J21" s="100" t="str">
        <f>IF(B21&gt;0,ROUNDUP(VLOOKUP(B21,G011B!$B:$R,16,0),1),"")</f>
        <v/>
      </c>
      <c r="K21" s="100" t="str">
        <f t="shared" si="3"/>
        <v/>
      </c>
      <c r="L21" s="101" t="str">
        <f>IF(B21&lt;&gt;"",VLOOKUP(B21,G011B!$B:$Z,25,0),"")</f>
        <v/>
      </c>
      <c r="M21" s="160" t="str">
        <f t="shared" si="4"/>
        <v/>
      </c>
      <c r="N21" s="43"/>
      <c r="O21" s="43"/>
      <c r="P21" s="43"/>
    </row>
    <row r="22" spans="1:16" ht="20.05" customHeight="1" x14ac:dyDescent="0.25">
      <c r="A22" s="180">
        <v>15</v>
      </c>
      <c r="B22" s="57"/>
      <c r="C22" s="172"/>
      <c r="D22" s="173"/>
      <c r="E22" s="58"/>
      <c r="F22" s="59"/>
      <c r="G22" s="106" t="str">
        <f t="shared" si="0"/>
        <v/>
      </c>
      <c r="H22" s="103" t="str">
        <f t="shared" si="1"/>
        <v/>
      </c>
      <c r="I22" s="110" t="str">
        <f t="shared" si="2"/>
        <v/>
      </c>
      <c r="J22" s="100" t="str">
        <f>IF(B22&gt;0,ROUNDUP(VLOOKUP(B22,G011B!$B:$R,16,0),1),"")</f>
        <v/>
      </c>
      <c r="K22" s="100" t="str">
        <f t="shared" si="3"/>
        <v/>
      </c>
      <c r="L22" s="101" t="str">
        <f>IF(B22&lt;&gt;"",VLOOKUP(B22,G011B!$B:$Z,25,0),"")</f>
        <v/>
      </c>
      <c r="M22" s="160" t="str">
        <f t="shared" si="4"/>
        <v/>
      </c>
      <c r="N22" s="43"/>
      <c r="O22" s="43"/>
      <c r="P22" s="43"/>
    </row>
    <row r="23" spans="1:16" ht="20.05" customHeight="1" x14ac:dyDescent="0.25">
      <c r="A23" s="180">
        <v>16</v>
      </c>
      <c r="B23" s="57"/>
      <c r="C23" s="172"/>
      <c r="D23" s="173"/>
      <c r="E23" s="58"/>
      <c r="F23" s="59"/>
      <c r="G23" s="106" t="str">
        <f t="shared" si="0"/>
        <v/>
      </c>
      <c r="H23" s="103" t="str">
        <f t="shared" si="1"/>
        <v/>
      </c>
      <c r="I23" s="110" t="str">
        <f t="shared" si="2"/>
        <v/>
      </c>
      <c r="J23" s="100" t="str">
        <f>IF(B23&gt;0,ROUNDUP(VLOOKUP(B23,G011B!$B:$R,16,0),1),"")</f>
        <v/>
      </c>
      <c r="K23" s="100" t="str">
        <f t="shared" si="3"/>
        <v/>
      </c>
      <c r="L23" s="101" t="str">
        <f>IF(B23&lt;&gt;"",VLOOKUP(B23,G011B!$B:$Z,25,0),"")</f>
        <v/>
      </c>
      <c r="M23" s="160" t="str">
        <f t="shared" si="4"/>
        <v/>
      </c>
      <c r="N23" s="43"/>
      <c r="O23" s="43"/>
      <c r="P23" s="43"/>
    </row>
    <row r="24" spans="1:16" ht="20.05" customHeight="1" x14ac:dyDescent="0.25">
      <c r="A24" s="180">
        <v>17</v>
      </c>
      <c r="B24" s="57"/>
      <c r="C24" s="172"/>
      <c r="D24" s="173"/>
      <c r="E24" s="58"/>
      <c r="F24" s="59"/>
      <c r="G24" s="106" t="str">
        <f t="shared" si="0"/>
        <v/>
      </c>
      <c r="H24" s="103" t="str">
        <f t="shared" si="1"/>
        <v/>
      </c>
      <c r="I24" s="110" t="str">
        <f t="shared" si="2"/>
        <v/>
      </c>
      <c r="J24" s="100" t="str">
        <f>IF(B24&gt;0,ROUNDUP(VLOOKUP(B24,G011B!$B:$R,16,0),1),"")</f>
        <v/>
      </c>
      <c r="K24" s="100" t="str">
        <f t="shared" si="3"/>
        <v/>
      </c>
      <c r="L24" s="101" t="str">
        <f>IF(B24&lt;&gt;"",VLOOKUP(B24,G011B!$B:$Z,25,0),"")</f>
        <v/>
      </c>
      <c r="M24" s="160" t="str">
        <f t="shared" si="4"/>
        <v/>
      </c>
      <c r="N24" s="43"/>
      <c r="O24" s="43"/>
      <c r="P24" s="43"/>
    </row>
    <row r="25" spans="1:16" ht="20.05" customHeight="1" x14ac:dyDescent="0.25">
      <c r="A25" s="180">
        <v>18</v>
      </c>
      <c r="B25" s="57"/>
      <c r="C25" s="172"/>
      <c r="D25" s="173"/>
      <c r="E25" s="58"/>
      <c r="F25" s="59"/>
      <c r="G25" s="106" t="str">
        <f t="shared" si="0"/>
        <v/>
      </c>
      <c r="H25" s="103" t="str">
        <f t="shared" si="1"/>
        <v/>
      </c>
      <c r="I25" s="110" t="str">
        <f t="shared" si="2"/>
        <v/>
      </c>
      <c r="J25" s="100" t="str">
        <f>IF(B25&gt;0,ROUNDUP(VLOOKUP(B25,G011B!$B:$R,16,0),1),"")</f>
        <v/>
      </c>
      <c r="K25" s="100" t="str">
        <f t="shared" si="3"/>
        <v/>
      </c>
      <c r="L25" s="101" t="str">
        <f>IF(B25&lt;&gt;"",VLOOKUP(B25,G011B!$B:$Z,25,0),"")</f>
        <v/>
      </c>
      <c r="M25" s="160" t="str">
        <f t="shared" si="4"/>
        <v/>
      </c>
      <c r="N25" s="43"/>
      <c r="O25" s="43"/>
      <c r="P25" s="43"/>
    </row>
    <row r="26" spans="1:16" ht="20.05" customHeight="1" x14ac:dyDescent="0.25">
      <c r="A26" s="180">
        <v>19</v>
      </c>
      <c r="B26" s="57"/>
      <c r="C26" s="172"/>
      <c r="D26" s="173"/>
      <c r="E26" s="58"/>
      <c r="F26" s="59"/>
      <c r="G26" s="106" t="str">
        <f t="shared" si="0"/>
        <v/>
      </c>
      <c r="H26" s="103" t="str">
        <f t="shared" si="1"/>
        <v/>
      </c>
      <c r="I26" s="110" t="str">
        <f t="shared" si="2"/>
        <v/>
      </c>
      <c r="J26" s="100" t="str">
        <f>IF(B26&gt;0,ROUNDUP(VLOOKUP(B26,G011B!$B:$R,16,0),1),"")</f>
        <v/>
      </c>
      <c r="K26" s="100" t="str">
        <f t="shared" si="3"/>
        <v/>
      </c>
      <c r="L26" s="101" t="str">
        <f>IF(B26&lt;&gt;"",VLOOKUP(B26,G011B!$B:$Z,25,0),"")</f>
        <v/>
      </c>
      <c r="M26" s="160" t="str">
        <f t="shared" si="4"/>
        <v/>
      </c>
      <c r="N26" s="43"/>
      <c r="O26" s="43"/>
      <c r="P26" s="43"/>
    </row>
    <row r="27" spans="1:16" ht="20.05" customHeight="1" thickBot="1" x14ac:dyDescent="0.3">
      <c r="A27" s="181">
        <v>20</v>
      </c>
      <c r="B27" s="60"/>
      <c r="C27" s="174"/>
      <c r="D27" s="175"/>
      <c r="E27" s="61"/>
      <c r="F27" s="62"/>
      <c r="G27" s="107" t="str">
        <f t="shared" si="0"/>
        <v/>
      </c>
      <c r="H27" s="104" t="str">
        <f t="shared" si="1"/>
        <v/>
      </c>
      <c r="I27" s="111" t="str">
        <f t="shared" si="2"/>
        <v/>
      </c>
      <c r="J27" s="100" t="str">
        <f>IF(B27&gt;0,ROUNDUP(VLOOKUP(B27,G011B!$B:$R,16,0),1),"")</f>
        <v/>
      </c>
      <c r="K27" s="100" t="str">
        <f t="shared" si="3"/>
        <v/>
      </c>
      <c r="L27" s="101" t="str">
        <f>IF(B27&lt;&gt;"",VLOOKUP(B27,G011B!$B:$Z,25,0),"")</f>
        <v/>
      </c>
      <c r="M27" s="160" t="str">
        <f t="shared" si="4"/>
        <v/>
      </c>
      <c r="N27" s="43"/>
      <c r="O27" s="43"/>
      <c r="P27" s="43"/>
    </row>
    <row r="28" spans="1:16" ht="20.05" customHeight="1" thickBot="1" x14ac:dyDescent="0.4">
      <c r="A28" s="360" t="s">
        <v>42</v>
      </c>
      <c r="B28" s="361"/>
      <c r="C28" s="361"/>
      <c r="D28" s="361"/>
      <c r="E28" s="361"/>
      <c r="F28" s="362"/>
      <c r="G28" s="108">
        <f>SUM(G8:G27)</f>
        <v>0</v>
      </c>
      <c r="H28" s="202"/>
      <c r="I28" s="93">
        <f>SUM(I8:I27)</f>
        <v>0</v>
      </c>
      <c r="J28" s="43"/>
      <c r="K28" s="43"/>
      <c r="L28" s="43"/>
      <c r="M28" s="43"/>
      <c r="N28">
        <v>1</v>
      </c>
      <c r="O28" s="43"/>
      <c r="P28" s="43"/>
    </row>
    <row r="29" spans="1:16" ht="20.05" customHeight="1" thickBot="1" x14ac:dyDescent="0.35">
      <c r="A29" s="363" t="s">
        <v>80</v>
      </c>
      <c r="B29" s="364"/>
      <c r="C29" s="364"/>
      <c r="D29" s="365"/>
      <c r="E29" s="86">
        <f>SUM(G:G)/2</f>
        <v>0</v>
      </c>
      <c r="F29" s="366"/>
      <c r="G29" s="367"/>
      <c r="H29" s="368"/>
      <c r="I29" s="92">
        <f>I28</f>
        <v>0</v>
      </c>
      <c r="J29" s="43"/>
      <c r="K29" s="43"/>
      <c r="L29" s="43"/>
      <c r="M29" s="43"/>
      <c r="N29" s="43"/>
      <c r="O29" s="43"/>
      <c r="P29" s="43"/>
    </row>
    <row r="30" spans="1:16" x14ac:dyDescent="0.25">
      <c r="A30" s="182" t="s">
        <v>118</v>
      </c>
      <c r="B30" s="43"/>
      <c r="C30" s="43"/>
      <c r="D30" s="43"/>
      <c r="E30" s="43"/>
      <c r="F30" s="43"/>
      <c r="G30" s="43"/>
      <c r="H30" s="43"/>
      <c r="I30" s="43"/>
      <c r="J30" s="43"/>
      <c r="K30" s="43"/>
      <c r="L30" s="43"/>
      <c r="M30" s="43"/>
      <c r="N30" s="43"/>
      <c r="O30" s="43"/>
      <c r="P30" s="43"/>
    </row>
    <row r="31" spans="1:16" x14ac:dyDescent="0.25">
      <c r="A31" s="43"/>
      <c r="B31" s="43"/>
      <c r="C31" s="43"/>
      <c r="D31" s="43"/>
      <c r="E31" s="43"/>
      <c r="F31" s="43"/>
      <c r="G31" s="43"/>
      <c r="H31" s="43"/>
      <c r="I31" s="43"/>
      <c r="J31" s="43"/>
      <c r="K31" s="43"/>
      <c r="L31" s="43"/>
      <c r="M31" s="43"/>
      <c r="N31" s="43"/>
      <c r="O31" s="43"/>
      <c r="P31" s="43"/>
    </row>
    <row r="32" spans="1:16" ht="21.1" x14ac:dyDescent="0.35">
      <c r="A32" s="247" t="s">
        <v>39</v>
      </c>
      <c r="B32" s="248">
        <f ca="1">IF(imzatarihi&gt;0,imzatarihi,"")</f>
        <v>45686</v>
      </c>
      <c r="C32" s="251" t="s">
        <v>40</v>
      </c>
      <c r="D32" s="245" t="str">
        <f>IF(kurulusyetkilisi&gt;0,kurulusyetkilisi,"")</f>
        <v/>
      </c>
      <c r="F32" s="247"/>
      <c r="G32" s="247"/>
      <c r="H32" s="163"/>
      <c r="I32" s="163"/>
      <c r="J32" s="32"/>
      <c r="K32" s="32"/>
      <c r="L32" s="73"/>
      <c r="M32" s="5"/>
      <c r="N32" s="73"/>
      <c r="O32" s="73"/>
      <c r="P32" s="43"/>
    </row>
    <row r="33" spans="1:16" ht="19.7" x14ac:dyDescent="0.35">
      <c r="A33" s="249"/>
      <c r="B33" s="249"/>
      <c r="C33" s="251" t="s">
        <v>41</v>
      </c>
      <c r="D33" s="247"/>
      <c r="E33" s="302"/>
      <c r="F33" s="302"/>
      <c r="G33" s="302"/>
      <c r="H33" s="42"/>
      <c r="I33" s="42"/>
      <c r="J33" s="32"/>
      <c r="K33" s="32"/>
      <c r="L33" s="73"/>
      <c r="M33" s="5"/>
      <c r="N33" s="73"/>
      <c r="O33" s="73"/>
      <c r="P33" s="43"/>
    </row>
    <row r="34" spans="1:16" ht="16.3" x14ac:dyDescent="0.3">
      <c r="A34" s="338" t="s">
        <v>73</v>
      </c>
      <c r="B34" s="338"/>
      <c r="C34" s="338"/>
      <c r="D34" s="338"/>
      <c r="E34" s="338"/>
      <c r="F34" s="338"/>
      <c r="G34" s="338"/>
      <c r="H34" s="338"/>
      <c r="I34" s="338"/>
      <c r="J34" s="43"/>
      <c r="K34" s="43"/>
      <c r="L34" s="43"/>
      <c r="M34" s="43"/>
      <c r="N34" s="43"/>
      <c r="O34" s="43"/>
      <c r="P34" s="43"/>
    </row>
    <row r="35" spans="1:16" x14ac:dyDescent="0.25">
      <c r="A35" s="336" t="str">
        <f>IF(YilDonem&lt;&gt;"",CONCATENATE(YilDonem,". döneme aittir."),"")</f>
        <v/>
      </c>
      <c r="B35" s="336"/>
      <c r="C35" s="336"/>
      <c r="D35" s="336"/>
      <c r="E35" s="336"/>
      <c r="F35" s="336"/>
      <c r="G35" s="336"/>
      <c r="H35" s="336"/>
      <c r="I35" s="336"/>
      <c r="J35" s="43"/>
      <c r="K35" s="43"/>
      <c r="L35" s="43"/>
      <c r="M35" s="43"/>
      <c r="N35" s="43"/>
      <c r="O35" s="43"/>
      <c r="P35" s="43"/>
    </row>
    <row r="36" spans="1:16" ht="19.7" thickBot="1" x14ac:dyDescent="0.4">
      <c r="A36" s="372" t="s">
        <v>82</v>
      </c>
      <c r="B36" s="372"/>
      <c r="C36" s="372"/>
      <c r="D36" s="372"/>
      <c r="E36" s="372"/>
      <c r="F36" s="372"/>
      <c r="G36" s="372"/>
      <c r="H36" s="372"/>
      <c r="I36" s="372"/>
      <c r="J36" s="43"/>
      <c r="K36" s="43"/>
      <c r="L36" s="43"/>
      <c r="M36" s="43"/>
      <c r="N36" s="43"/>
      <c r="O36" s="43"/>
      <c r="P36" s="43"/>
    </row>
    <row r="37" spans="1:16" ht="19.55" customHeight="1" thickBot="1" x14ac:dyDescent="0.3">
      <c r="A37" s="341" t="s">
        <v>1</v>
      </c>
      <c r="B37" s="343"/>
      <c r="C37" s="330" t="str">
        <f>IF(ProjeNo&gt;0,ProjeNo,"")</f>
        <v/>
      </c>
      <c r="D37" s="331"/>
      <c r="E37" s="331"/>
      <c r="F37" s="331"/>
      <c r="G37" s="331"/>
      <c r="H37" s="331"/>
      <c r="I37" s="332"/>
      <c r="J37" s="43"/>
      <c r="K37" s="43"/>
      <c r="L37" s="43"/>
      <c r="M37" s="43"/>
      <c r="N37" s="43"/>
      <c r="O37" s="43"/>
      <c r="P37" s="43"/>
    </row>
    <row r="38" spans="1:16" ht="29.25" customHeight="1" thickBot="1" x14ac:dyDescent="0.3">
      <c r="A38" s="371" t="s">
        <v>11</v>
      </c>
      <c r="B38" s="342"/>
      <c r="C38" s="346" t="str">
        <f>IF(ProjeAdi&gt;0,ProjeAdi,"")</f>
        <v/>
      </c>
      <c r="D38" s="347"/>
      <c r="E38" s="347"/>
      <c r="F38" s="347"/>
      <c r="G38" s="347"/>
      <c r="H38" s="347"/>
      <c r="I38" s="348"/>
      <c r="J38" s="43"/>
      <c r="K38" s="43"/>
      <c r="L38" s="43"/>
      <c r="M38" s="43"/>
      <c r="N38" s="43"/>
      <c r="O38" s="43"/>
      <c r="P38" s="43"/>
    </row>
    <row r="39" spans="1:16" ht="19.55" customHeight="1" thickBot="1" x14ac:dyDescent="0.3">
      <c r="A39" s="341" t="s">
        <v>74</v>
      </c>
      <c r="B39" s="343"/>
      <c r="C39" s="9"/>
      <c r="D39" s="369"/>
      <c r="E39" s="369"/>
      <c r="F39" s="369"/>
      <c r="G39" s="369"/>
      <c r="H39" s="369"/>
      <c r="I39" s="370"/>
      <c r="J39" s="43"/>
      <c r="K39" s="43"/>
      <c r="L39" s="43"/>
      <c r="M39" s="43"/>
      <c r="N39" s="43"/>
      <c r="O39" s="43"/>
      <c r="P39" s="43"/>
    </row>
    <row r="40" spans="1:16" s="2" customFormat="1" ht="29.25" thickBot="1" x14ac:dyDescent="0.3">
      <c r="A40" s="176" t="s">
        <v>7</v>
      </c>
      <c r="B40" s="176" t="s">
        <v>8</v>
      </c>
      <c r="C40" s="176" t="s">
        <v>63</v>
      </c>
      <c r="D40" s="176" t="s">
        <v>119</v>
      </c>
      <c r="E40" s="176" t="s">
        <v>75</v>
      </c>
      <c r="F40" s="176" t="s">
        <v>76</v>
      </c>
      <c r="G40" s="176" t="s">
        <v>77</v>
      </c>
      <c r="H40" s="176" t="s">
        <v>78</v>
      </c>
      <c r="I40" s="176" t="s">
        <v>79</v>
      </c>
      <c r="J40" s="177" t="s">
        <v>83</v>
      </c>
      <c r="K40" s="178" t="s">
        <v>84</v>
      </c>
      <c r="L40" s="178" t="s">
        <v>76</v>
      </c>
      <c r="M40" s="169"/>
      <c r="N40" s="169"/>
      <c r="O40" s="169"/>
      <c r="P40" s="169"/>
    </row>
    <row r="41" spans="1:16" ht="20.05" customHeight="1" x14ac:dyDescent="0.25">
      <c r="A41" s="179">
        <v>21</v>
      </c>
      <c r="B41" s="53"/>
      <c r="C41" s="170"/>
      <c r="D41" s="171"/>
      <c r="E41" s="54"/>
      <c r="F41" s="55"/>
      <c r="G41" s="105" t="str">
        <f>IF(AND(B41&lt;&gt;"",L41&gt;=F41),E41*F41,"")</f>
        <v/>
      </c>
      <c r="H41" s="102" t="str">
        <f t="shared" ref="H41:H60" si="5">IF(B41&lt;&gt;"",VLOOKUP(B41,G011CTablo,14,0),"")</f>
        <v/>
      </c>
      <c r="I41" s="109" t="str">
        <f>IF(AND(B41&lt;&gt;"",J41&gt;=K41,L41&gt;0),G41*H41,"")</f>
        <v/>
      </c>
      <c r="J41" s="100" t="str">
        <f>IF(B41&gt;0,ROUNDUP(VLOOKUP(B41,G011B!$B:$R,16,0),1),"")</f>
        <v/>
      </c>
      <c r="K41" s="100" t="str">
        <f>IF(B41&gt;0,SUMIF($B:$B,B41,$G:$G),"")</f>
        <v/>
      </c>
      <c r="L41" s="101" t="str">
        <f>IF(B41&lt;&gt;"",VLOOKUP(B41,G011B!$B:$Z,25,0),"")</f>
        <v/>
      </c>
      <c r="M41" s="160" t="str">
        <f t="shared" ref="M41:M60" si="6">IF(J41&gt;=K41,"","Personelin bütün iş paketlerindeki Toplam Adam Ay değeri "&amp;K41&amp;" olup, bu değer, G011B formunda beyan edilen Çalışılan Toplam Ay değerini geçemez. Maliyeti hesaplamak için Adam/Ay Oranı veya Çalışılan Ay değerini düzeltiniz. ")</f>
        <v/>
      </c>
      <c r="N41" s="43"/>
      <c r="O41" s="43"/>
      <c r="P41" s="43"/>
    </row>
    <row r="42" spans="1:16" ht="20.05" customHeight="1" x14ac:dyDescent="0.25">
      <c r="A42" s="180">
        <v>22</v>
      </c>
      <c r="B42" s="57"/>
      <c r="C42" s="172"/>
      <c r="D42" s="173"/>
      <c r="E42" s="58"/>
      <c r="F42" s="59"/>
      <c r="G42" s="106" t="str">
        <f t="shared" ref="G42:G60" si="7">IF(AND(B42&lt;&gt;"",L42&gt;=F42),E42*F42,"")</f>
        <v/>
      </c>
      <c r="H42" s="103" t="str">
        <f t="shared" si="5"/>
        <v/>
      </c>
      <c r="I42" s="110" t="str">
        <f t="shared" ref="I42:I60" si="8">IF(AND(B42&lt;&gt;"",J42&gt;=K42,L42&gt;0),G42*H42,"")</f>
        <v/>
      </c>
      <c r="J42" s="100" t="str">
        <f>IF(B42&gt;0,ROUNDUP(VLOOKUP(B42,G011B!$B:$R,16,0),1),"")</f>
        <v/>
      </c>
      <c r="K42" s="100" t="str">
        <f t="shared" ref="K42:K60" si="9">IF(B42&gt;0,SUMIF($B:$B,B42,$G:$G),"")</f>
        <v/>
      </c>
      <c r="L42" s="101" t="str">
        <f>IF(B42&lt;&gt;"",VLOOKUP(B42,G011B!$B:$Z,25,0),"")</f>
        <v/>
      </c>
      <c r="M42" s="160" t="str">
        <f t="shared" si="6"/>
        <v/>
      </c>
      <c r="N42" s="43"/>
      <c r="O42" s="43"/>
      <c r="P42" s="43"/>
    </row>
    <row r="43" spans="1:16" ht="20.05" customHeight="1" x14ac:dyDescent="0.25">
      <c r="A43" s="180">
        <v>23</v>
      </c>
      <c r="B43" s="57"/>
      <c r="C43" s="172"/>
      <c r="D43" s="173"/>
      <c r="E43" s="58"/>
      <c r="F43" s="59"/>
      <c r="G43" s="106" t="str">
        <f t="shared" si="7"/>
        <v/>
      </c>
      <c r="H43" s="103" t="str">
        <f t="shared" si="5"/>
        <v/>
      </c>
      <c r="I43" s="110" t="str">
        <f t="shared" si="8"/>
        <v/>
      </c>
      <c r="J43" s="100" t="str">
        <f>IF(B43&gt;0,ROUNDUP(VLOOKUP(B43,G011B!$B:$R,16,0),1),"")</f>
        <v/>
      </c>
      <c r="K43" s="100" t="str">
        <f t="shared" si="9"/>
        <v/>
      </c>
      <c r="L43" s="101" t="str">
        <f>IF(B43&lt;&gt;"",VLOOKUP(B43,G011B!$B:$Z,25,0),"")</f>
        <v/>
      </c>
      <c r="M43" s="160" t="str">
        <f t="shared" si="6"/>
        <v/>
      </c>
      <c r="N43" s="43"/>
      <c r="O43" s="43"/>
      <c r="P43" s="43"/>
    </row>
    <row r="44" spans="1:16" ht="20.05" customHeight="1" x14ac:dyDescent="0.25">
      <c r="A44" s="180">
        <v>24</v>
      </c>
      <c r="B44" s="57"/>
      <c r="C44" s="172"/>
      <c r="D44" s="173"/>
      <c r="E44" s="58"/>
      <c r="F44" s="59"/>
      <c r="G44" s="106" t="str">
        <f t="shared" si="7"/>
        <v/>
      </c>
      <c r="H44" s="103" t="str">
        <f t="shared" si="5"/>
        <v/>
      </c>
      <c r="I44" s="110" t="str">
        <f t="shared" si="8"/>
        <v/>
      </c>
      <c r="J44" s="100" t="str">
        <f>IF(B44&gt;0,ROUNDUP(VLOOKUP(B44,G011B!$B:$R,16,0),1),"")</f>
        <v/>
      </c>
      <c r="K44" s="100" t="str">
        <f t="shared" si="9"/>
        <v/>
      </c>
      <c r="L44" s="101" t="str">
        <f>IF(B44&lt;&gt;"",VLOOKUP(B44,G011B!$B:$Z,25,0),"")</f>
        <v/>
      </c>
      <c r="M44" s="160" t="str">
        <f t="shared" si="6"/>
        <v/>
      </c>
      <c r="N44" s="43"/>
      <c r="O44" s="43"/>
      <c r="P44" s="43"/>
    </row>
    <row r="45" spans="1:16" ht="20.05" customHeight="1" x14ac:dyDescent="0.25">
      <c r="A45" s="180">
        <v>25</v>
      </c>
      <c r="B45" s="57"/>
      <c r="C45" s="172"/>
      <c r="D45" s="173"/>
      <c r="E45" s="58"/>
      <c r="F45" s="59"/>
      <c r="G45" s="106" t="str">
        <f t="shared" si="7"/>
        <v/>
      </c>
      <c r="H45" s="103" t="str">
        <f t="shared" si="5"/>
        <v/>
      </c>
      <c r="I45" s="110" t="str">
        <f t="shared" si="8"/>
        <v/>
      </c>
      <c r="J45" s="100" t="str">
        <f>IF(B45&gt;0,ROUNDUP(VLOOKUP(B45,G011B!$B:$R,16,0),1),"")</f>
        <v/>
      </c>
      <c r="K45" s="100" t="str">
        <f t="shared" si="9"/>
        <v/>
      </c>
      <c r="L45" s="101" t="str">
        <f>IF(B45&lt;&gt;"",VLOOKUP(B45,G011B!$B:$Z,25,0),"")</f>
        <v/>
      </c>
      <c r="M45" s="160" t="str">
        <f t="shared" si="6"/>
        <v/>
      </c>
      <c r="N45" s="43"/>
      <c r="O45" s="43"/>
      <c r="P45" s="43"/>
    </row>
    <row r="46" spans="1:16" ht="20.05" customHeight="1" x14ac:dyDescent="0.25">
      <c r="A46" s="180">
        <v>26</v>
      </c>
      <c r="B46" s="57"/>
      <c r="C46" s="172"/>
      <c r="D46" s="173"/>
      <c r="E46" s="58"/>
      <c r="F46" s="59"/>
      <c r="G46" s="106" t="str">
        <f t="shared" si="7"/>
        <v/>
      </c>
      <c r="H46" s="103" t="str">
        <f t="shared" si="5"/>
        <v/>
      </c>
      <c r="I46" s="110" t="str">
        <f t="shared" si="8"/>
        <v/>
      </c>
      <c r="J46" s="100" t="str">
        <f>IF(B46&gt;0,ROUNDUP(VLOOKUP(B46,G011B!$B:$R,16,0),1),"")</f>
        <v/>
      </c>
      <c r="K46" s="100" t="str">
        <f t="shared" si="9"/>
        <v/>
      </c>
      <c r="L46" s="101" t="str">
        <f>IF(B46&lt;&gt;"",VLOOKUP(B46,G011B!$B:$Z,25,0),"")</f>
        <v/>
      </c>
      <c r="M46" s="160" t="str">
        <f t="shared" si="6"/>
        <v/>
      </c>
      <c r="N46" s="43"/>
      <c r="O46" s="43"/>
      <c r="P46" s="43"/>
    </row>
    <row r="47" spans="1:16" ht="20.05" customHeight="1" x14ac:dyDescent="0.25">
      <c r="A47" s="180">
        <v>27</v>
      </c>
      <c r="B47" s="57"/>
      <c r="C47" s="172"/>
      <c r="D47" s="173"/>
      <c r="E47" s="58"/>
      <c r="F47" s="59"/>
      <c r="G47" s="106" t="str">
        <f t="shared" si="7"/>
        <v/>
      </c>
      <c r="H47" s="103" t="str">
        <f t="shared" si="5"/>
        <v/>
      </c>
      <c r="I47" s="110" t="str">
        <f t="shared" si="8"/>
        <v/>
      </c>
      <c r="J47" s="100" t="str">
        <f>IF(B47&gt;0,ROUNDUP(VLOOKUP(B47,G011B!$B:$R,16,0),1),"")</f>
        <v/>
      </c>
      <c r="K47" s="100" t="str">
        <f t="shared" si="9"/>
        <v/>
      </c>
      <c r="L47" s="101" t="str">
        <f>IF(B47&lt;&gt;"",VLOOKUP(B47,G011B!$B:$Z,25,0),"")</f>
        <v/>
      </c>
      <c r="M47" s="160" t="str">
        <f t="shared" si="6"/>
        <v/>
      </c>
      <c r="N47" s="43"/>
      <c r="O47" s="43"/>
      <c r="P47" s="43"/>
    </row>
    <row r="48" spans="1:16" ht="20.05" customHeight="1" x14ac:dyDescent="0.25">
      <c r="A48" s="180">
        <v>28</v>
      </c>
      <c r="B48" s="57"/>
      <c r="C48" s="172"/>
      <c r="D48" s="173"/>
      <c r="E48" s="58"/>
      <c r="F48" s="59"/>
      <c r="G48" s="106" t="str">
        <f t="shared" si="7"/>
        <v/>
      </c>
      <c r="H48" s="103" t="str">
        <f t="shared" si="5"/>
        <v/>
      </c>
      <c r="I48" s="110" t="str">
        <f t="shared" si="8"/>
        <v/>
      </c>
      <c r="J48" s="100" t="str">
        <f>IF(B48&gt;0,ROUNDUP(VLOOKUP(B48,G011B!$B:$R,16,0),1),"")</f>
        <v/>
      </c>
      <c r="K48" s="100" t="str">
        <f t="shared" si="9"/>
        <v/>
      </c>
      <c r="L48" s="101" t="str">
        <f>IF(B48&lt;&gt;"",VLOOKUP(B48,G011B!$B:$Z,25,0),"")</f>
        <v/>
      </c>
      <c r="M48" s="160" t="str">
        <f t="shared" si="6"/>
        <v/>
      </c>
      <c r="N48" s="43"/>
      <c r="O48" s="43"/>
      <c r="P48" s="43"/>
    </row>
    <row r="49" spans="1:16" ht="20.05" customHeight="1" x14ac:dyDescent="0.25">
      <c r="A49" s="180">
        <v>29</v>
      </c>
      <c r="B49" s="57"/>
      <c r="C49" s="172"/>
      <c r="D49" s="173"/>
      <c r="E49" s="58"/>
      <c r="F49" s="59"/>
      <c r="G49" s="106" t="str">
        <f t="shared" si="7"/>
        <v/>
      </c>
      <c r="H49" s="103" t="str">
        <f t="shared" si="5"/>
        <v/>
      </c>
      <c r="I49" s="110" t="str">
        <f t="shared" si="8"/>
        <v/>
      </c>
      <c r="J49" s="100" t="str">
        <f>IF(B49&gt;0,ROUNDUP(VLOOKUP(B49,G011B!$B:$R,16,0),1),"")</f>
        <v/>
      </c>
      <c r="K49" s="100" t="str">
        <f t="shared" si="9"/>
        <v/>
      </c>
      <c r="L49" s="101" t="str">
        <f>IF(B49&lt;&gt;"",VLOOKUP(B49,G011B!$B:$Z,25,0),"")</f>
        <v/>
      </c>
      <c r="M49" s="160" t="str">
        <f t="shared" si="6"/>
        <v/>
      </c>
      <c r="N49" s="43"/>
      <c r="O49" s="43"/>
      <c r="P49" s="43"/>
    </row>
    <row r="50" spans="1:16" ht="20.05" customHeight="1" x14ac:dyDescent="0.25">
      <c r="A50" s="180">
        <v>30</v>
      </c>
      <c r="B50" s="57"/>
      <c r="C50" s="172"/>
      <c r="D50" s="173"/>
      <c r="E50" s="58"/>
      <c r="F50" s="59"/>
      <c r="G50" s="106" t="str">
        <f t="shared" si="7"/>
        <v/>
      </c>
      <c r="H50" s="103" t="str">
        <f t="shared" si="5"/>
        <v/>
      </c>
      <c r="I50" s="110" t="str">
        <f t="shared" si="8"/>
        <v/>
      </c>
      <c r="J50" s="100" t="str">
        <f>IF(B50&gt;0,ROUNDUP(VLOOKUP(B50,G011B!$B:$R,16,0),1),"")</f>
        <v/>
      </c>
      <c r="K50" s="100" t="str">
        <f t="shared" si="9"/>
        <v/>
      </c>
      <c r="L50" s="101" t="str">
        <f>IF(B50&lt;&gt;"",VLOOKUP(B50,G011B!$B:$Z,25,0),"")</f>
        <v/>
      </c>
      <c r="M50" s="160" t="str">
        <f t="shared" si="6"/>
        <v/>
      </c>
      <c r="N50" s="43"/>
      <c r="O50" s="43"/>
      <c r="P50" s="43"/>
    </row>
    <row r="51" spans="1:16" ht="20.05" customHeight="1" x14ac:dyDescent="0.25">
      <c r="A51" s="180">
        <v>31</v>
      </c>
      <c r="B51" s="57"/>
      <c r="C51" s="172"/>
      <c r="D51" s="173"/>
      <c r="E51" s="58"/>
      <c r="F51" s="59"/>
      <c r="G51" s="106" t="str">
        <f t="shared" si="7"/>
        <v/>
      </c>
      <c r="H51" s="103" t="str">
        <f t="shared" si="5"/>
        <v/>
      </c>
      <c r="I51" s="110" t="str">
        <f t="shared" si="8"/>
        <v/>
      </c>
      <c r="J51" s="100" t="str">
        <f>IF(B51&gt;0,ROUNDUP(VLOOKUP(B51,G011B!$B:$R,16,0),1),"")</f>
        <v/>
      </c>
      <c r="K51" s="100" t="str">
        <f t="shared" si="9"/>
        <v/>
      </c>
      <c r="L51" s="101" t="str">
        <f>IF(B51&lt;&gt;"",VLOOKUP(B51,G011B!$B:$Z,25,0),"")</f>
        <v/>
      </c>
      <c r="M51" s="160" t="str">
        <f t="shared" si="6"/>
        <v/>
      </c>
      <c r="N51" s="43"/>
      <c r="O51" s="43"/>
      <c r="P51" s="43"/>
    </row>
    <row r="52" spans="1:16" ht="20.05" customHeight="1" x14ac:dyDescent="0.25">
      <c r="A52" s="180">
        <v>32</v>
      </c>
      <c r="B52" s="57"/>
      <c r="C52" s="172"/>
      <c r="D52" s="173"/>
      <c r="E52" s="58"/>
      <c r="F52" s="59"/>
      <c r="G52" s="106" t="str">
        <f t="shared" si="7"/>
        <v/>
      </c>
      <c r="H52" s="103" t="str">
        <f t="shared" si="5"/>
        <v/>
      </c>
      <c r="I52" s="110" t="str">
        <f t="shared" si="8"/>
        <v/>
      </c>
      <c r="J52" s="100" t="str">
        <f>IF(B52&gt;0,ROUNDUP(VLOOKUP(B52,G011B!$B:$R,16,0),1),"")</f>
        <v/>
      </c>
      <c r="K52" s="100" t="str">
        <f t="shared" si="9"/>
        <v/>
      </c>
      <c r="L52" s="101" t="str">
        <f>IF(B52&lt;&gt;"",VLOOKUP(B52,G011B!$B:$Z,25,0),"")</f>
        <v/>
      </c>
      <c r="M52" s="160" t="str">
        <f t="shared" si="6"/>
        <v/>
      </c>
      <c r="N52" s="43"/>
      <c r="O52" s="43"/>
      <c r="P52" s="43"/>
    </row>
    <row r="53" spans="1:16" ht="20.05" customHeight="1" x14ac:dyDescent="0.25">
      <c r="A53" s="180">
        <v>33</v>
      </c>
      <c r="B53" s="57"/>
      <c r="C53" s="172"/>
      <c r="D53" s="173"/>
      <c r="E53" s="58"/>
      <c r="F53" s="59"/>
      <c r="G53" s="106" t="str">
        <f t="shared" si="7"/>
        <v/>
      </c>
      <c r="H53" s="103" t="str">
        <f t="shared" si="5"/>
        <v/>
      </c>
      <c r="I53" s="110" t="str">
        <f t="shared" si="8"/>
        <v/>
      </c>
      <c r="J53" s="100" t="str">
        <f>IF(B53&gt;0,ROUNDUP(VLOOKUP(B53,G011B!$B:$R,16,0),1),"")</f>
        <v/>
      </c>
      <c r="K53" s="100" t="str">
        <f t="shared" si="9"/>
        <v/>
      </c>
      <c r="L53" s="101" t="str">
        <f>IF(B53&lt;&gt;"",VLOOKUP(B53,G011B!$B:$Z,25,0),"")</f>
        <v/>
      </c>
      <c r="M53" s="160" t="str">
        <f t="shared" si="6"/>
        <v/>
      </c>
      <c r="N53" s="43"/>
      <c r="O53" s="43"/>
      <c r="P53" s="43"/>
    </row>
    <row r="54" spans="1:16" ht="20.05" customHeight="1" x14ac:dyDescent="0.25">
      <c r="A54" s="180">
        <v>34</v>
      </c>
      <c r="B54" s="57"/>
      <c r="C54" s="172"/>
      <c r="D54" s="173"/>
      <c r="E54" s="58"/>
      <c r="F54" s="59"/>
      <c r="G54" s="106" t="str">
        <f t="shared" si="7"/>
        <v/>
      </c>
      <c r="H54" s="103" t="str">
        <f t="shared" si="5"/>
        <v/>
      </c>
      <c r="I54" s="110" t="str">
        <f t="shared" si="8"/>
        <v/>
      </c>
      <c r="J54" s="100" t="str">
        <f>IF(B54&gt;0,ROUNDUP(VLOOKUP(B54,G011B!$B:$R,16,0),1),"")</f>
        <v/>
      </c>
      <c r="K54" s="100" t="str">
        <f t="shared" si="9"/>
        <v/>
      </c>
      <c r="L54" s="101" t="str">
        <f>IF(B54&lt;&gt;"",VLOOKUP(B54,G011B!$B:$Z,25,0),"")</f>
        <v/>
      </c>
      <c r="M54" s="160" t="str">
        <f t="shared" si="6"/>
        <v/>
      </c>
      <c r="N54" s="43"/>
      <c r="O54" s="43"/>
      <c r="P54" s="43"/>
    </row>
    <row r="55" spans="1:16" ht="20.05" customHeight="1" x14ac:dyDescent="0.25">
      <c r="A55" s="180">
        <v>35</v>
      </c>
      <c r="B55" s="57"/>
      <c r="C55" s="172"/>
      <c r="D55" s="173"/>
      <c r="E55" s="58"/>
      <c r="F55" s="59"/>
      <c r="G55" s="106" t="str">
        <f t="shared" si="7"/>
        <v/>
      </c>
      <c r="H55" s="103" t="str">
        <f t="shared" si="5"/>
        <v/>
      </c>
      <c r="I55" s="110" t="str">
        <f t="shared" si="8"/>
        <v/>
      </c>
      <c r="J55" s="100" t="str">
        <f>IF(B55&gt;0,ROUNDUP(VLOOKUP(B55,G011B!$B:$R,16,0),1),"")</f>
        <v/>
      </c>
      <c r="K55" s="100" t="str">
        <f t="shared" si="9"/>
        <v/>
      </c>
      <c r="L55" s="101" t="str">
        <f>IF(B55&lt;&gt;"",VLOOKUP(B55,G011B!$B:$Z,25,0),"")</f>
        <v/>
      </c>
      <c r="M55" s="160" t="str">
        <f t="shared" si="6"/>
        <v/>
      </c>
      <c r="N55" s="43"/>
      <c r="O55" s="43"/>
      <c r="P55" s="43"/>
    </row>
    <row r="56" spans="1:16" ht="20.05" customHeight="1" x14ac:dyDescent="0.25">
      <c r="A56" s="180">
        <v>36</v>
      </c>
      <c r="B56" s="57"/>
      <c r="C56" s="172"/>
      <c r="D56" s="173"/>
      <c r="E56" s="58"/>
      <c r="F56" s="59"/>
      <c r="G56" s="106" t="str">
        <f t="shared" si="7"/>
        <v/>
      </c>
      <c r="H56" s="103" t="str">
        <f t="shared" si="5"/>
        <v/>
      </c>
      <c r="I56" s="110" t="str">
        <f t="shared" si="8"/>
        <v/>
      </c>
      <c r="J56" s="100" t="str">
        <f>IF(B56&gt;0,ROUNDUP(VLOOKUP(B56,G011B!$B:$R,16,0),1),"")</f>
        <v/>
      </c>
      <c r="K56" s="100" t="str">
        <f t="shared" si="9"/>
        <v/>
      </c>
      <c r="L56" s="101" t="str">
        <f>IF(B56&lt;&gt;"",VLOOKUP(B56,G011B!$B:$Z,25,0),"")</f>
        <v/>
      </c>
      <c r="M56" s="160" t="str">
        <f t="shared" si="6"/>
        <v/>
      </c>
      <c r="N56" s="43"/>
      <c r="O56" s="43"/>
      <c r="P56" s="43"/>
    </row>
    <row r="57" spans="1:16" ht="20.05" customHeight="1" x14ac:dyDescent="0.25">
      <c r="A57" s="180">
        <v>37</v>
      </c>
      <c r="B57" s="57"/>
      <c r="C57" s="172"/>
      <c r="D57" s="173"/>
      <c r="E57" s="58"/>
      <c r="F57" s="59"/>
      <c r="G57" s="106" t="str">
        <f t="shared" si="7"/>
        <v/>
      </c>
      <c r="H57" s="103" t="str">
        <f t="shared" si="5"/>
        <v/>
      </c>
      <c r="I57" s="110" t="str">
        <f t="shared" si="8"/>
        <v/>
      </c>
      <c r="J57" s="100" t="str">
        <f>IF(B57&gt;0,ROUNDUP(VLOOKUP(B57,G011B!$B:$R,16,0),1),"")</f>
        <v/>
      </c>
      <c r="K57" s="100" t="str">
        <f t="shared" si="9"/>
        <v/>
      </c>
      <c r="L57" s="101" t="str">
        <f>IF(B57&lt;&gt;"",VLOOKUP(B57,G011B!$B:$Z,25,0),"")</f>
        <v/>
      </c>
      <c r="M57" s="160" t="str">
        <f t="shared" si="6"/>
        <v/>
      </c>
      <c r="N57" s="43"/>
      <c r="O57" s="43"/>
      <c r="P57" s="43"/>
    </row>
    <row r="58" spans="1:16" ht="20.05" customHeight="1" x14ac:dyDescent="0.25">
      <c r="A58" s="180">
        <v>38</v>
      </c>
      <c r="B58" s="57"/>
      <c r="C58" s="172"/>
      <c r="D58" s="173"/>
      <c r="E58" s="58"/>
      <c r="F58" s="59"/>
      <c r="G58" s="106" t="str">
        <f t="shared" si="7"/>
        <v/>
      </c>
      <c r="H58" s="103" t="str">
        <f t="shared" si="5"/>
        <v/>
      </c>
      <c r="I58" s="110" t="str">
        <f t="shared" si="8"/>
        <v/>
      </c>
      <c r="J58" s="100" t="str">
        <f>IF(B58&gt;0,ROUNDUP(VLOOKUP(B58,G011B!$B:$R,16,0),1),"")</f>
        <v/>
      </c>
      <c r="K58" s="100" t="str">
        <f t="shared" si="9"/>
        <v/>
      </c>
      <c r="L58" s="101" t="str">
        <f>IF(B58&lt;&gt;"",VLOOKUP(B58,G011B!$B:$Z,25,0),"")</f>
        <v/>
      </c>
      <c r="M58" s="160" t="str">
        <f t="shared" si="6"/>
        <v/>
      </c>
      <c r="N58" s="43"/>
      <c r="O58" s="43"/>
      <c r="P58" s="43"/>
    </row>
    <row r="59" spans="1:16" ht="20.05" customHeight="1" x14ac:dyDescent="0.25">
      <c r="A59" s="180">
        <v>39</v>
      </c>
      <c r="B59" s="57"/>
      <c r="C59" s="172"/>
      <c r="D59" s="173"/>
      <c r="E59" s="58"/>
      <c r="F59" s="59"/>
      <c r="G59" s="106" t="str">
        <f t="shared" si="7"/>
        <v/>
      </c>
      <c r="H59" s="103" t="str">
        <f t="shared" si="5"/>
        <v/>
      </c>
      <c r="I59" s="110" t="str">
        <f t="shared" si="8"/>
        <v/>
      </c>
      <c r="J59" s="100" t="str">
        <f>IF(B59&gt;0,ROUNDUP(VLOOKUP(B59,G011B!$B:$R,16,0),1),"")</f>
        <v/>
      </c>
      <c r="K59" s="100" t="str">
        <f t="shared" si="9"/>
        <v/>
      </c>
      <c r="L59" s="101" t="str">
        <f>IF(B59&lt;&gt;"",VLOOKUP(B59,G011B!$B:$Z,25,0),"")</f>
        <v/>
      </c>
      <c r="M59" s="160" t="str">
        <f t="shared" si="6"/>
        <v/>
      </c>
      <c r="N59" s="43"/>
      <c r="O59" s="43"/>
      <c r="P59" s="43"/>
    </row>
    <row r="60" spans="1:16" ht="20.05" customHeight="1" thickBot="1" x14ac:dyDescent="0.3">
      <c r="A60" s="181">
        <v>40</v>
      </c>
      <c r="B60" s="60"/>
      <c r="C60" s="174"/>
      <c r="D60" s="175"/>
      <c r="E60" s="61"/>
      <c r="F60" s="62"/>
      <c r="G60" s="107" t="str">
        <f t="shared" si="7"/>
        <v/>
      </c>
      <c r="H60" s="104" t="str">
        <f t="shared" si="5"/>
        <v/>
      </c>
      <c r="I60" s="111" t="str">
        <f t="shared" si="8"/>
        <v/>
      </c>
      <c r="J60" s="100" t="str">
        <f>IF(B60&gt;0,ROUNDUP(VLOOKUP(B60,G011B!$B:$R,16,0),1),"")</f>
        <v/>
      </c>
      <c r="K60" s="100" t="str">
        <f t="shared" si="9"/>
        <v/>
      </c>
      <c r="L60" s="101" t="str">
        <f>IF(B60&lt;&gt;"",VLOOKUP(B60,G011B!$B:$Z,25,0),"")</f>
        <v/>
      </c>
      <c r="M60" s="160" t="str">
        <f t="shared" si="6"/>
        <v/>
      </c>
      <c r="N60" s="43"/>
      <c r="O60" s="43"/>
      <c r="P60" s="43"/>
    </row>
    <row r="61" spans="1:16" ht="20.05" customHeight="1" thickBot="1" x14ac:dyDescent="0.4">
      <c r="A61" s="360" t="s">
        <v>42</v>
      </c>
      <c r="B61" s="361"/>
      <c r="C61" s="361"/>
      <c r="D61" s="361"/>
      <c r="E61" s="361"/>
      <c r="F61" s="362"/>
      <c r="G61" s="108">
        <f>SUM(G41:G60)</f>
        <v>0</v>
      </c>
      <c r="H61" s="202"/>
      <c r="I61" s="93">
        <f>IF(C39=C6,SUM(I41:I60)+I28,SUM(I41:I60))</f>
        <v>0</v>
      </c>
      <c r="J61" s="43"/>
      <c r="K61" s="43"/>
      <c r="L61" s="43"/>
      <c r="M61" s="43"/>
      <c r="N61" s="112">
        <f>IF(COUNTA(B41:B60)&gt;0,1,0)</f>
        <v>0</v>
      </c>
      <c r="O61" s="43"/>
      <c r="P61" s="43"/>
    </row>
    <row r="62" spans="1:16" ht="20.05" customHeight="1" thickBot="1" x14ac:dyDescent="0.35">
      <c r="A62" s="363" t="s">
        <v>80</v>
      </c>
      <c r="B62" s="364"/>
      <c r="C62" s="364"/>
      <c r="D62" s="365"/>
      <c r="E62" s="86">
        <f>SUM(G:G)/2</f>
        <v>0</v>
      </c>
      <c r="F62" s="366"/>
      <c r="G62" s="367"/>
      <c r="H62" s="368"/>
      <c r="I62" s="92">
        <f>SUM(I41:I60)+I29</f>
        <v>0</v>
      </c>
      <c r="J62" s="43"/>
      <c r="K62" s="43"/>
      <c r="L62" s="43"/>
      <c r="M62" s="43"/>
      <c r="N62" s="43"/>
      <c r="O62" s="43"/>
      <c r="P62" s="43"/>
    </row>
    <row r="63" spans="1:16" x14ac:dyDescent="0.25">
      <c r="A63" s="182" t="s">
        <v>118</v>
      </c>
      <c r="B63" s="43"/>
      <c r="C63" s="43"/>
      <c r="D63" s="43"/>
      <c r="E63" s="43"/>
      <c r="F63" s="43"/>
      <c r="G63" s="43"/>
      <c r="H63" s="43"/>
      <c r="I63" s="43"/>
      <c r="J63" s="43"/>
      <c r="K63" s="43"/>
      <c r="L63" s="43"/>
      <c r="M63" s="43"/>
      <c r="N63" s="43"/>
      <c r="O63" s="43"/>
      <c r="P63" s="43"/>
    </row>
    <row r="64" spans="1:16" x14ac:dyDescent="0.25">
      <c r="A64" s="43"/>
      <c r="B64" s="43"/>
      <c r="C64" s="43"/>
      <c r="D64" s="43"/>
      <c r="E64" s="43"/>
      <c r="F64" s="43"/>
      <c r="G64" s="43"/>
      <c r="H64" s="43"/>
      <c r="I64" s="43"/>
      <c r="J64" s="43"/>
      <c r="K64" s="43"/>
      <c r="L64" s="43"/>
      <c r="M64" s="43"/>
      <c r="N64" s="43"/>
      <c r="O64" s="43"/>
      <c r="P64" s="43"/>
    </row>
    <row r="65" spans="1:16" ht="21.1" x14ac:dyDescent="0.35">
      <c r="A65" s="247" t="s">
        <v>39</v>
      </c>
      <c r="B65" s="248">
        <f ca="1">IF(imzatarihi&gt;0,imzatarihi,"")</f>
        <v>45686</v>
      </c>
      <c r="C65" s="251" t="s">
        <v>40</v>
      </c>
      <c r="D65" s="245" t="str">
        <f>IF(kurulusyetkilisi&gt;0,kurulusyetkilisi,"")</f>
        <v/>
      </c>
      <c r="F65" s="247"/>
      <c r="G65" s="247"/>
      <c r="H65" s="163"/>
      <c r="I65" s="163"/>
      <c r="J65" s="43"/>
      <c r="K65" s="73"/>
      <c r="L65" s="73"/>
      <c r="M65" s="5"/>
      <c r="N65" s="73"/>
      <c r="O65" s="73"/>
      <c r="P65" s="43"/>
    </row>
    <row r="66" spans="1:16" ht="19.7" x14ac:dyDescent="0.35">
      <c r="A66" s="249"/>
      <c r="B66" s="249"/>
      <c r="C66" s="251" t="s">
        <v>41</v>
      </c>
      <c r="D66" s="247"/>
      <c r="E66" s="302"/>
      <c r="F66" s="302"/>
      <c r="G66" s="302"/>
      <c r="H66" s="42"/>
      <c r="I66" s="42"/>
      <c r="J66" s="43"/>
      <c r="K66" s="73"/>
      <c r="L66" s="73"/>
      <c r="M66" s="5"/>
      <c r="N66" s="73"/>
      <c r="O66" s="73"/>
      <c r="P66" s="43"/>
    </row>
    <row r="67" spans="1:16" ht="16.3" x14ac:dyDescent="0.3">
      <c r="A67" s="338" t="s">
        <v>73</v>
      </c>
      <c r="B67" s="338"/>
      <c r="C67" s="338"/>
      <c r="D67" s="338"/>
      <c r="E67" s="338"/>
      <c r="F67" s="338"/>
      <c r="G67" s="338"/>
      <c r="H67" s="338"/>
      <c r="I67" s="338"/>
      <c r="J67" s="43"/>
      <c r="K67" s="43"/>
      <c r="L67" s="43"/>
      <c r="M67" s="43"/>
      <c r="N67" s="43"/>
      <c r="O67" s="43"/>
      <c r="P67" s="43"/>
    </row>
    <row r="68" spans="1:16" x14ac:dyDescent="0.25">
      <c r="A68" s="336" t="str">
        <f>IF(YilDonem&lt;&gt;"",CONCATENATE(YilDonem,". döneme aittir."),"")</f>
        <v/>
      </c>
      <c r="B68" s="336"/>
      <c r="C68" s="336"/>
      <c r="D68" s="336"/>
      <c r="E68" s="336"/>
      <c r="F68" s="336"/>
      <c r="G68" s="336"/>
      <c r="H68" s="336"/>
      <c r="I68" s="336"/>
      <c r="J68" s="43"/>
      <c r="K68" s="43"/>
      <c r="L68" s="43"/>
      <c r="M68" s="43"/>
      <c r="N68" s="43"/>
      <c r="O68" s="43"/>
      <c r="P68" s="43"/>
    </row>
    <row r="69" spans="1:16" ht="19.7" thickBot="1" x14ac:dyDescent="0.4">
      <c r="A69" s="372" t="s">
        <v>82</v>
      </c>
      <c r="B69" s="372"/>
      <c r="C69" s="372"/>
      <c r="D69" s="372"/>
      <c r="E69" s="372"/>
      <c r="F69" s="372"/>
      <c r="G69" s="372"/>
      <c r="H69" s="372"/>
      <c r="I69" s="372"/>
      <c r="J69" s="43"/>
      <c r="K69" s="43"/>
      <c r="L69" s="43"/>
      <c r="M69" s="43"/>
      <c r="N69" s="43"/>
      <c r="O69" s="43"/>
      <c r="P69" s="43"/>
    </row>
    <row r="70" spans="1:16" ht="19.55" customHeight="1" thickBot="1" x14ac:dyDescent="0.3">
      <c r="A70" s="341" t="s">
        <v>1</v>
      </c>
      <c r="B70" s="343"/>
      <c r="C70" s="330" t="str">
        <f>IF(ProjeNo&gt;0,ProjeNo,"")</f>
        <v/>
      </c>
      <c r="D70" s="331"/>
      <c r="E70" s="331"/>
      <c r="F70" s="331"/>
      <c r="G70" s="331"/>
      <c r="H70" s="331"/>
      <c r="I70" s="332"/>
      <c r="J70" s="43"/>
      <c r="K70" s="43"/>
      <c r="L70" s="43"/>
      <c r="M70" s="43"/>
      <c r="N70" s="43"/>
      <c r="O70" s="43"/>
      <c r="P70" s="43"/>
    </row>
    <row r="71" spans="1:16" ht="29.25" customHeight="1" thickBot="1" x14ac:dyDescent="0.3">
      <c r="A71" s="371" t="s">
        <v>11</v>
      </c>
      <c r="B71" s="342"/>
      <c r="C71" s="346" t="str">
        <f>IF(ProjeAdi&gt;0,ProjeAdi,"")</f>
        <v/>
      </c>
      <c r="D71" s="347"/>
      <c r="E71" s="347"/>
      <c r="F71" s="347"/>
      <c r="G71" s="347"/>
      <c r="H71" s="347"/>
      <c r="I71" s="348"/>
      <c r="J71" s="43"/>
      <c r="K71" s="43"/>
      <c r="L71" s="43"/>
      <c r="M71" s="43"/>
      <c r="N71" s="43"/>
      <c r="O71" s="43"/>
      <c r="P71" s="43"/>
    </row>
    <row r="72" spans="1:16" ht="19.55" customHeight="1" thickBot="1" x14ac:dyDescent="0.3">
      <c r="A72" s="341" t="s">
        <v>74</v>
      </c>
      <c r="B72" s="343"/>
      <c r="C72" s="9"/>
      <c r="D72" s="369"/>
      <c r="E72" s="369"/>
      <c r="F72" s="369"/>
      <c r="G72" s="369"/>
      <c r="H72" s="369"/>
      <c r="I72" s="370"/>
      <c r="J72" s="43"/>
      <c r="K72" s="43"/>
      <c r="L72" s="43"/>
      <c r="M72" s="43"/>
      <c r="N72" s="43"/>
      <c r="O72" s="43"/>
      <c r="P72" s="43"/>
    </row>
    <row r="73" spans="1:16" s="2" customFormat="1" ht="29.25" thickBot="1" x14ac:dyDescent="0.3">
      <c r="A73" s="176" t="s">
        <v>7</v>
      </c>
      <c r="B73" s="176" t="s">
        <v>8</v>
      </c>
      <c r="C73" s="176" t="s">
        <v>63</v>
      </c>
      <c r="D73" s="176" t="s">
        <v>119</v>
      </c>
      <c r="E73" s="176" t="s">
        <v>75</v>
      </c>
      <c r="F73" s="176" t="s">
        <v>76</v>
      </c>
      <c r="G73" s="176" t="s">
        <v>77</v>
      </c>
      <c r="H73" s="176" t="s">
        <v>78</v>
      </c>
      <c r="I73" s="176" t="s">
        <v>79</v>
      </c>
      <c r="J73" s="177" t="s">
        <v>83</v>
      </c>
      <c r="K73" s="178" t="s">
        <v>84</v>
      </c>
      <c r="L73" s="178" t="s">
        <v>76</v>
      </c>
      <c r="M73" s="169"/>
      <c r="N73" s="169"/>
      <c r="O73" s="169"/>
      <c r="P73" s="169"/>
    </row>
    <row r="74" spans="1:16" ht="20.05" customHeight="1" x14ac:dyDescent="0.25">
      <c r="A74" s="179">
        <v>41</v>
      </c>
      <c r="B74" s="53"/>
      <c r="C74" s="170"/>
      <c r="D74" s="171"/>
      <c r="E74" s="54"/>
      <c r="F74" s="55"/>
      <c r="G74" s="105" t="str">
        <f>IF(AND(B74&lt;&gt;"",L74&gt;=F74),E74*F74,"")</f>
        <v/>
      </c>
      <c r="H74" s="102" t="str">
        <f t="shared" ref="H74:H93" si="10">IF(B74&lt;&gt;"",VLOOKUP(B74,G011CTablo,14,0),"")</f>
        <v/>
      </c>
      <c r="I74" s="109" t="str">
        <f>IF(AND(B74&lt;&gt;"",J74&gt;=K74,L74&gt;0),G74*H74,"")</f>
        <v/>
      </c>
      <c r="J74" s="100" t="str">
        <f>IF(B74&gt;0,ROUNDUP(VLOOKUP(B74,G011B!$B:$R,16,0),1),"")</f>
        <v/>
      </c>
      <c r="K74" s="100" t="str">
        <f>IF(B74&gt;0,SUMIF($B:$B,B74,$G:$G),"")</f>
        <v/>
      </c>
      <c r="L74" s="101" t="str">
        <f>IF(B74&lt;&gt;"",VLOOKUP(B74,G011B!$B:$Z,25,0),"")</f>
        <v/>
      </c>
      <c r="M74" s="160" t="str">
        <f t="shared" ref="M74:M93" si="11">IF(J74&gt;=K74,"","Personelin bütün iş paketlerindeki Toplam Adam Ay değeri "&amp;K74&amp;" olup, bu değer, G011B formunda beyan edilen Çalışılan Toplam Ay değerini geçemez. Maliyeti hesaplamak için Adam/Ay Oranı veya Çalışılan Ay değerini düzeltiniz. ")</f>
        <v/>
      </c>
      <c r="N74" s="43"/>
      <c r="O74" s="43"/>
      <c r="P74" s="43"/>
    </row>
    <row r="75" spans="1:16" ht="20.05" customHeight="1" x14ac:dyDescent="0.25">
      <c r="A75" s="180">
        <v>42</v>
      </c>
      <c r="B75" s="57"/>
      <c r="C75" s="96" t="str">
        <f t="shared" ref="C75:C93" si="12">IF(B75&lt;&gt;"",VLOOKUP(B75,PersonelTablo,2,0),"")</f>
        <v/>
      </c>
      <c r="D75" s="97" t="str">
        <f t="shared" ref="D75:D93" si="13">IF(B75&lt;&gt;"",VLOOKUP(B75,PersonelTablo,3,0),"")</f>
        <v/>
      </c>
      <c r="E75" s="58"/>
      <c r="F75" s="59"/>
      <c r="G75" s="106" t="str">
        <f t="shared" ref="G75:G93" si="14">IF(AND(B75&lt;&gt;"",L75&gt;=F75),E75*F75,"")</f>
        <v/>
      </c>
      <c r="H75" s="103" t="str">
        <f t="shared" si="10"/>
        <v/>
      </c>
      <c r="I75" s="110" t="str">
        <f t="shared" ref="I75:I93" si="15">IF(AND(B75&lt;&gt;"",J75&gt;=K75,L75&gt;0),G75*H75,"")</f>
        <v/>
      </c>
      <c r="J75" s="100" t="str">
        <f>IF(B75&gt;0,ROUNDUP(VLOOKUP(B75,G011B!$B:$R,16,0),1),"")</f>
        <v/>
      </c>
      <c r="K75" s="100" t="str">
        <f t="shared" ref="K75:K93" si="16">IF(B75&gt;0,SUMIF($B:$B,B75,$G:$G),"")</f>
        <v/>
      </c>
      <c r="L75" s="101" t="str">
        <f>IF(B75&lt;&gt;"",VLOOKUP(B75,G011B!$B:$Z,25,0),"")</f>
        <v/>
      </c>
      <c r="M75" s="160" t="str">
        <f t="shared" si="11"/>
        <v/>
      </c>
      <c r="N75" s="43"/>
      <c r="O75" s="43"/>
      <c r="P75" s="43"/>
    </row>
    <row r="76" spans="1:16" ht="20.05" customHeight="1" x14ac:dyDescent="0.25">
      <c r="A76" s="180">
        <v>43</v>
      </c>
      <c r="B76" s="57"/>
      <c r="C76" s="96" t="str">
        <f t="shared" si="12"/>
        <v/>
      </c>
      <c r="D76" s="97" t="str">
        <f t="shared" si="13"/>
        <v/>
      </c>
      <c r="E76" s="58"/>
      <c r="F76" s="59"/>
      <c r="G76" s="106" t="str">
        <f t="shared" si="14"/>
        <v/>
      </c>
      <c r="H76" s="103" t="str">
        <f t="shared" si="10"/>
        <v/>
      </c>
      <c r="I76" s="110" t="str">
        <f t="shared" si="15"/>
        <v/>
      </c>
      <c r="J76" s="100" t="str">
        <f>IF(B76&gt;0,ROUNDUP(VLOOKUP(B76,G011B!$B:$R,16,0),1),"")</f>
        <v/>
      </c>
      <c r="K76" s="100" t="str">
        <f t="shared" si="16"/>
        <v/>
      </c>
      <c r="L76" s="101" t="str">
        <f>IF(B76&lt;&gt;"",VLOOKUP(B76,G011B!$B:$Z,25,0),"")</f>
        <v/>
      </c>
      <c r="M76" s="160" t="str">
        <f t="shared" si="11"/>
        <v/>
      </c>
      <c r="N76" s="43"/>
      <c r="O76" s="43"/>
      <c r="P76" s="43"/>
    </row>
    <row r="77" spans="1:16" ht="20.05" customHeight="1" x14ac:dyDescent="0.25">
      <c r="A77" s="180">
        <v>44</v>
      </c>
      <c r="B77" s="57"/>
      <c r="C77" s="96" t="str">
        <f t="shared" si="12"/>
        <v/>
      </c>
      <c r="D77" s="97" t="str">
        <f t="shared" si="13"/>
        <v/>
      </c>
      <c r="E77" s="58"/>
      <c r="F77" s="59"/>
      <c r="G77" s="106" t="str">
        <f t="shared" si="14"/>
        <v/>
      </c>
      <c r="H77" s="103" t="str">
        <f t="shared" si="10"/>
        <v/>
      </c>
      <c r="I77" s="110" t="str">
        <f t="shared" si="15"/>
        <v/>
      </c>
      <c r="J77" s="100" t="str">
        <f>IF(B77&gt;0,ROUNDUP(VLOOKUP(B77,G011B!$B:$R,16,0),1),"")</f>
        <v/>
      </c>
      <c r="K77" s="100" t="str">
        <f t="shared" si="16"/>
        <v/>
      </c>
      <c r="L77" s="101" t="str">
        <f>IF(B77&lt;&gt;"",VLOOKUP(B77,G011B!$B:$Z,25,0),"")</f>
        <v/>
      </c>
      <c r="M77" s="160" t="str">
        <f t="shared" si="11"/>
        <v/>
      </c>
      <c r="N77" s="43"/>
      <c r="O77" s="43"/>
      <c r="P77" s="43"/>
    </row>
    <row r="78" spans="1:16" ht="20.05" customHeight="1" x14ac:dyDescent="0.25">
      <c r="A78" s="180">
        <v>45</v>
      </c>
      <c r="B78" s="57"/>
      <c r="C78" s="96" t="str">
        <f t="shared" si="12"/>
        <v/>
      </c>
      <c r="D78" s="97" t="str">
        <f t="shared" si="13"/>
        <v/>
      </c>
      <c r="E78" s="58"/>
      <c r="F78" s="59"/>
      <c r="G78" s="106" t="str">
        <f t="shared" si="14"/>
        <v/>
      </c>
      <c r="H78" s="103" t="str">
        <f t="shared" si="10"/>
        <v/>
      </c>
      <c r="I78" s="110" t="str">
        <f t="shared" si="15"/>
        <v/>
      </c>
      <c r="J78" s="100" t="str">
        <f>IF(B78&gt;0,ROUNDUP(VLOOKUP(B78,G011B!$B:$R,16,0),1),"")</f>
        <v/>
      </c>
      <c r="K78" s="100" t="str">
        <f t="shared" si="16"/>
        <v/>
      </c>
      <c r="L78" s="101" t="str">
        <f>IF(B78&lt;&gt;"",VLOOKUP(B78,G011B!$B:$Z,25,0),"")</f>
        <v/>
      </c>
      <c r="M78" s="160" t="str">
        <f t="shared" si="11"/>
        <v/>
      </c>
      <c r="N78" s="43"/>
      <c r="O78" s="43"/>
      <c r="P78" s="43"/>
    </row>
    <row r="79" spans="1:16" ht="20.05" customHeight="1" x14ac:dyDescent="0.25">
      <c r="A79" s="180">
        <v>46</v>
      </c>
      <c r="B79" s="57"/>
      <c r="C79" s="96" t="str">
        <f t="shared" si="12"/>
        <v/>
      </c>
      <c r="D79" s="97" t="str">
        <f t="shared" si="13"/>
        <v/>
      </c>
      <c r="E79" s="58"/>
      <c r="F79" s="59"/>
      <c r="G79" s="106" t="str">
        <f t="shared" si="14"/>
        <v/>
      </c>
      <c r="H79" s="103" t="str">
        <f t="shared" si="10"/>
        <v/>
      </c>
      <c r="I79" s="110" t="str">
        <f t="shared" si="15"/>
        <v/>
      </c>
      <c r="J79" s="100" t="str">
        <f>IF(B79&gt;0,ROUNDUP(VLOOKUP(B79,G011B!$B:$R,16,0),1),"")</f>
        <v/>
      </c>
      <c r="K79" s="100" t="str">
        <f t="shared" si="16"/>
        <v/>
      </c>
      <c r="L79" s="101" t="str">
        <f>IF(B79&lt;&gt;"",VLOOKUP(B79,G011B!$B:$Z,25,0),"")</f>
        <v/>
      </c>
      <c r="M79" s="160" t="str">
        <f t="shared" si="11"/>
        <v/>
      </c>
      <c r="N79" s="43"/>
      <c r="O79" s="43"/>
      <c r="P79" s="43"/>
    </row>
    <row r="80" spans="1:16" ht="20.05" customHeight="1" x14ac:dyDescent="0.25">
      <c r="A80" s="180">
        <v>47</v>
      </c>
      <c r="B80" s="57"/>
      <c r="C80" s="96" t="str">
        <f t="shared" si="12"/>
        <v/>
      </c>
      <c r="D80" s="97" t="str">
        <f t="shared" si="13"/>
        <v/>
      </c>
      <c r="E80" s="58"/>
      <c r="F80" s="59"/>
      <c r="G80" s="106" t="str">
        <f t="shared" si="14"/>
        <v/>
      </c>
      <c r="H80" s="103" t="str">
        <f t="shared" si="10"/>
        <v/>
      </c>
      <c r="I80" s="110" t="str">
        <f t="shared" si="15"/>
        <v/>
      </c>
      <c r="J80" s="100" t="str">
        <f>IF(B80&gt;0,ROUNDUP(VLOOKUP(B80,G011B!$B:$R,16,0),1),"")</f>
        <v/>
      </c>
      <c r="K80" s="100" t="str">
        <f t="shared" si="16"/>
        <v/>
      </c>
      <c r="L80" s="101" t="str">
        <f>IF(B80&lt;&gt;"",VLOOKUP(B80,G011B!$B:$Z,25,0),"")</f>
        <v/>
      </c>
      <c r="M80" s="160" t="str">
        <f t="shared" si="11"/>
        <v/>
      </c>
      <c r="N80" s="43"/>
      <c r="O80" s="43"/>
      <c r="P80" s="43"/>
    </row>
    <row r="81" spans="1:16" ht="20.05" customHeight="1" x14ac:dyDescent="0.25">
      <c r="A81" s="180">
        <v>48</v>
      </c>
      <c r="B81" s="57"/>
      <c r="C81" s="96" t="str">
        <f t="shared" si="12"/>
        <v/>
      </c>
      <c r="D81" s="97" t="str">
        <f t="shared" si="13"/>
        <v/>
      </c>
      <c r="E81" s="58"/>
      <c r="F81" s="59"/>
      <c r="G81" s="106" t="str">
        <f t="shared" si="14"/>
        <v/>
      </c>
      <c r="H81" s="103" t="str">
        <f t="shared" si="10"/>
        <v/>
      </c>
      <c r="I81" s="110" t="str">
        <f t="shared" si="15"/>
        <v/>
      </c>
      <c r="J81" s="100" t="str">
        <f>IF(B81&gt;0,ROUNDUP(VLOOKUP(B81,G011B!$B:$R,16,0),1),"")</f>
        <v/>
      </c>
      <c r="K81" s="100" t="str">
        <f t="shared" si="16"/>
        <v/>
      </c>
      <c r="L81" s="101" t="str">
        <f>IF(B81&lt;&gt;"",VLOOKUP(B81,G011B!$B:$Z,25,0),"")</f>
        <v/>
      </c>
      <c r="M81" s="160" t="str">
        <f t="shared" si="11"/>
        <v/>
      </c>
      <c r="N81" s="43"/>
      <c r="O81" s="43"/>
      <c r="P81" s="43"/>
    </row>
    <row r="82" spans="1:16" ht="20.05" customHeight="1" x14ac:dyDescent="0.25">
      <c r="A82" s="180">
        <v>49</v>
      </c>
      <c r="B82" s="57"/>
      <c r="C82" s="96" t="str">
        <f t="shared" si="12"/>
        <v/>
      </c>
      <c r="D82" s="97" t="str">
        <f t="shared" si="13"/>
        <v/>
      </c>
      <c r="E82" s="58"/>
      <c r="F82" s="59"/>
      <c r="G82" s="106" t="str">
        <f t="shared" si="14"/>
        <v/>
      </c>
      <c r="H82" s="103" t="str">
        <f t="shared" si="10"/>
        <v/>
      </c>
      <c r="I82" s="110" t="str">
        <f t="shared" si="15"/>
        <v/>
      </c>
      <c r="J82" s="100" t="str">
        <f>IF(B82&gt;0,ROUNDUP(VLOOKUP(B82,G011B!$B:$R,16,0),1),"")</f>
        <v/>
      </c>
      <c r="K82" s="100" t="str">
        <f t="shared" si="16"/>
        <v/>
      </c>
      <c r="L82" s="101" t="str">
        <f>IF(B82&lt;&gt;"",VLOOKUP(B82,G011B!$B:$Z,25,0),"")</f>
        <v/>
      </c>
      <c r="M82" s="160" t="str">
        <f t="shared" si="11"/>
        <v/>
      </c>
      <c r="N82" s="43"/>
      <c r="O82" s="43"/>
      <c r="P82" s="43"/>
    </row>
    <row r="83" spans="1:16" ht="20.05" customHeight="1" x14ac:dyDescent="0.25">
      <c r="A83" s="180">
        <v>50</v>
      </c>
      <c r="B83" s="57"/>
      <c r="C83" s="96" t="str">
        <f t="shared" si="12"/>
        <v/>
      </c>
      <c r="D83" s="97" t="str">
        <f t="shared" si="13"/>
        <v/>
      </c>
      <c r="E83" s="58"/>
      <c r="F83" s="59"/>
      <c r="G83" s="106" t="str">
        <f t="shared" si="14"/>
        <v/>
      </c>
      <c r="H83" s="103" t="str">
        <f t="shared" si="10"/>
        <v/>
      </c>
      <c r="I83" s="110" t="str">
        <f t="shared" si="15"/>
        <v/>
      </c>
      <c r="J83" s="100" t="str">
        <f>IF(B83&gt;0,ROUNDUP(VLOOKUP(B83,G011B!$B:$R,16,0),1),"")</f>
        <v/>
      </c>
      <c r="K83" s="100" t="str">
        <f t="shared" si="16"/>
        <v/>
      </c>
      <c r="L83" s="101" t="str">
        <f>IF(B83&lt;&gt;"",VLOOKUP(B83,G011B!$B:$Z,25,0),"")</f>
        <v/>
      </c>
      <c r="M83" s="160" t="str">
        <f t="shared" si="11"/>
        <v/>
      </c>
      <c r="N83" s="43"/>
      <c r="O83" s="43"/>
      <c r="P83" s="43"/>
    </row>
    <row r="84" spans="1:16" ht="20.05" customHeight="1" x14ac:dyDescent="0.25">
      <c r="A84" s="180">
        <v>51</v>
      </c>
      <c r="B84" s="57"/>
      <c r="C84" s="96" t="str">
        <f t="shared" si="12"/>
        <v/>
      </c>
      <c r="D84" s="97" t="str">
        <f t="shared" si="13"/>
        <v/>
      </c>
      <c r="E84" s="58"/>
      <c r="F84" s="59"/>
      <c r="G84" s="106" t="str">
        <f t="shared" si="14"/>
        <v/>
      </c>
      <c r="H84" s="103" t="str">
        <f t="shared" si="10"/>
        <v/>
      </c>
      <c r="I84" s="110" t="str">
        <f t="shared" si="15"/>
        <v/>
      </c>
      <c r="J84" s="100" t="str">
        <f>IF(B84&gt;0,ROUNDUP(VLOOKUP(B84,G011B!$B:$R,16,0),1),"")</f>
        <v/>
      </c>
      <c r="K84" s="100" t="str">
        <f t="shared" si="16"/>
        <v/>
      </c>
      <c r="L84" s="101" t="str">
        <f>IF(B84&lt;&gt;"",VLOOKUP(B84,G011B!$B:$Z,25,0),"")</f>
        <v/>
      </c>
      <c r="M84" s="160" t="str">
        <f t="shared" si="11"/>
        <v/>
      </c>
      <c r="N84" s="43"/>
      <c r="O84" s="43"/>
      <c r="P84" s="43"/>
    </row>
    <row r="85" spans="1:16" ht="20.05" customHeight="1" x14ac:dyDescent="0.25">
      <c r="A85" s="180">
        <v>52</v>
      </c>
      <c r="B85" s="57"/>
      <c r="C85" s="96" t="str">
        <f t="shared" si="12"/>
        <v/>
      </c>
      <c r="D85" s="97" t="str">
        <f t="shared" si="13"/>
        <v/>
      </c>
      <c r="E85" s="58"/>
      <c r="F85" s="59"/>
      <c r="G85" s="106" t="str">
        <f t="shared" si="14"/>
        <v/>
      </c>
      <c r="H85" s="103" t="str">
        <f t="shared" si="10"/>
        <v/>
      </c>
      <c r="I85" s="110" t="str">
        <f t="shared" si="15"/>
        <v/>
      </c>
      <c r="J85" s="100" t="str">
        <f>IF(B85&gt;0,ROUNDUP(VLOOKUP(B85,G011B!$B:$R,16,0),1),"")</f>
        <v/>
      </c>
      <c r="K85" s="100" t="str">
        <f t="shared" si="16"/>
        <v/>
      </c>
      <c r="L85" s="101" t="str">
        <f>IF(B85&lt;&gt;"",VLOOKUP(B85,G011B!$B:$Z,25,0),"")</f>
        <v/>
      </c>
      <c r="M85" s="160" t="str">
        <f t="shared" si="11"/>
        <v/>
      </c>
      <c r="N85" s="43"/>
      <c r="O85" s="43"/>
      <c r="P85" s="43"/>
    </row>
    <row r="86" spans="1:16" ht="20.05" customHeight="1" x14ac:dyDescent="0.25">
      <c r="A86" s="180">
        <v>53</v>
      </c>
      <c r="B86" s="57"/>
      <c r="C86" s="96" t="str">
        <f t="shared" si="12"/>
        <v/>
      </c>
      <c r="D86" s="97" t="str">
        <f t="shared" si="13"/>
        <v/>
      </c>
      <c r="E86" s="58"/>
      <c r="F86" s="59"/>
      <c r="G86" s="106" t="str">
        <f t="shared" si="14"/>
        <v/>
      </c>
      <c r="H86" s="103" t="str">
        <f t="shared" si="10"/>
        <v/>
      </c>
      <c r="I86" s="110" t="str">
        <f t="shared" si="15"/>
        <v/>
      </c>
      <c r="J86" s="100" t="str">
        <f>IF(B86&gt;0,ROUNDUP(VLOOKUP(B86,G011B!$B:$R,16,0),1),"")</f>
        <v/>
      </c>
      <c r="K86" s="100" t="str">
        <f t="shared" si="16"/>
        <v/>
      </c>
      <c r="L86" s="101" t="str">
        <f>IF(B86&lt;&gt;"",VLOOKUP(B86,G011B!$B:$Z,25,0),"")</f>
        <v/>
      </c>
      <c r="M86" s="160" t="str">
        <f t="shared" si="11"/>
        <v/>
      </c>
      <c r="N86" s="43"/>
      <c r="O86" s="43"/>
      <c r="P86" s="43"/>
    </row>
    <row r="87" spans="1:16" ht="20.05" customHeight="1" x14ac:dyDescent="0.25">
      <c r="A87" s="180">
        <v>54</v>
      </c>
      <c r="B87" s="57"/>
      <c r="C87" s="96" t="str">
        <f t="shared" si="12"/>
        <v/>
      </c>
      <c r="D87" s="97" t="str">
        <f t="shared" si="13"/>
        <v/>
      </c>
      <c r="E87" s="58"/>
      <c r="F87" s="59"/>
      <c r="G87" s="106" t="str">
        <f t="shared" si="14"/>
        <v/>
      </c>
      <c r="H87" s="103" t="str">
        <f t="shared" si="10"/>
        <v/>
      </c>
      <c r="I87" s="110" t="str">
        <f t="shared" si="15"/>
        <v/>
      </c>
      <c r="J87" s="100" t="str">
        <f>IF(B87&gt;0,ROUNDUP(VLOOKUP(B87,G011B!$B:$R,16,0),1),"")</f>
        <v/>
      </c>
      <c r="K87" s="100" t="str">
        <f t="shared" si="16"/>
        <v/>
      </c>
      <c r="L87" s="101" t="str">
        <f>IF(B87&lt;&gt;"",VLOOKUP(B87,G011B!$B:$Z,25,0),"")</f>
        <v/>
      </c>
      <c r="M87" s="160" t="str">
        <f t="shared" si="11"/>
        <v/>
      </c>
      <c r="N87" s="43"/>
      <c r="O87" s="43"/>
      <c r="P87" s="43"/>
    </row>
    <row r="88" spans="1:16" ht="20.05" customHeight="1" x14ac:dyDescent="0.25">
      <c r="A88" s="180">
        <v>55</v>
      </c>
      <c r="B88" s="57"/>
      <c r="C88" s="96" t="str">
        <f t="shared" si="12"/>
        <v/>
      </c>
      <c r="D88" s="97" t="str">
        <f t="shared" si="13"/>
        <v/>
      </c>
      <c r="E88" s="58"/>
      <c r="F88" s="59"/>
      <c r="G88" s="106" t="str">
        <f t="shared" si="14"/>
        <v/>
      </c>
      <c r="H88" s="103" t="str">
        <f t="shared" si="10"/>
        <v/>
      </c>
      <c r="I88" s="110" t="str">
        <f t="shared" si="15"/>
        <v/>
      </c>
      <c r="J88" s="100" t="str">
        <f>IF(B88&gt;0,ROUNDUP(VLOOKUP(B88,G011B!$B:$R,16,0),1),"")</f>
        <v/>
      </c>
      <c r="K88" s="100" t="str">
        <f t="shared" si="16"/>
        <v/>
      </c>
      <c r="L88" s="101" t="str">
        <f>IF(B88&lt;&gt;"",VLOOKUP(B88,G011B!$B:$Z,25,0),"")</f>
        <v/>
      </c>
      <c r="M88" s="160" t="str">
        <f t="shared" si="11"/>
        <v/>
      </c>
      <c r="N88" s="43"/>
      <c r="O88" s="43"/>
      <c r="P88" s="43"/>
    </row>
    <row r="89" spans="1:16" ht="20.05" customHeight="1" x14ac:dyDescent="0.25">
      <c r="A89" s="180">
        <v>56</v>
      </c>
      <c r="B89" s="57"/>
      <c r="C89" s="96" t="str">
        <f t="shared" si="12"/>
        <v/>
      </c>
      <c r="D89" s="97" t="str">
        <f t="shared" si="13"/>
        <v/>
      </c>
      <c r="E89" s="58"/>
      <c r="F89" s="59"/>
      <c r="G89" s="106" t="str">
        <f t="shared" si="14"/>
        <v/>
      </c>
      <c r="H89" s="103" t="str">
        <f t="shared" si="10"/>
        <v/>
      </c>
      <c r="I89" s="110" t="str">
        <f t="shared" si="15"/>
        <v/>
      </c>
      <c r="J89" s="100" t="str">
        <f>IF(B89&gt;0,ROUNDUP(VLOOKUP(B89,G011B!$B:$R,16,0),1),"")</f>
        <v/>
      </c>
      <c r="K89" s="100" t="str">
        <f t="shared" si="16"/>
        <v/>
      </c>
      <c r="L89" s="101" t="str">
        <f>IF(B89&lt;&gt;"",VLOOKUP(B89,G011B!$B:$Z,25,0),"")</f>
        <v/>
      </c>
      <c r="M89" s="160" t="str">
        <f t="shared" si="11"/>
        <v/>
      </c>
      <c r="N89" s="43"/>
      <c r="O89" s="43"/>
      <c r="P89" s="43"/>
    </row>
    <row r="90" spans="1:16" ht="20.05" customHeight="1" x14ac:dyDescent="0.25">
      <c r="A90" s="180">
        <v>57</v>
      </c>
      <c r="B90" s="57"/>
      <c r="C90" s="96" t="str">
        <f t="shared" si="12"/>
        <v/>
      </c>
      <c r="D90" s="97" t="str">
        <f t="shared" si="13"/>
        <v/>
      </c>
      <c r="E90" s="58"/>
      <c r="F90" s="59"/>
      <c r="G90" s="106" t="str">
        <f t="shared" si="14"/>
        <v/>
      </c>
      <c r="H90" s="103" t="str">
        <f t="shared" si="10"/>
        <v/>
      </c>
      <c r="I90" s="110" t="str">
        <f t="shared" si="15"/>
        <v/>
      </c>
      <c r="J90" s="100" t="str">
        <f>IF(B90&gt;0,ROUNDUP(VLOOKUP(B90,G011B!$B:$R,16,0),1),"")</f>
        <v/>
      </c>
      <c r="K90" s="100" t="str">
        <f t="shared" si="16"/>
        <v/>
      </c>
      <c r="L90" s="101" t="str">
        <f>IF(B90&lt;&gt;"",VLOOKUP(B90,G011B!$B:$Z,25,0),"")</f>
        <v/>
      </c>
      <c r="M90" s="160" t="str">
        <f t="shared" si="11"/>
        <v/>
      </c>
      <c r="N90" s="43"/>
      <c r="O90" s="43"/>
      <c r="P90" s="43"/>
    </row>
    <row r="91" spans="1:16" ht="20.05" customHeight="1" x14ac:dyDescent="0.25">
      <c r="A91" s="180">
        <v>58</v>
      </c>
      <c r="B91" s="57"/>
      <c r="C91" s="96" t="str">
        <f t="shared" si="12"/>
        <v/>
      </c>
      <c r="D91" s="97" t="str">
        <f t="shared" si="13"/>
        <v/>
      </c>
      <c r="E91" s="58"/>
      <c r="F91" s="59"/>
      <c r="G91" s="106" t="str">
        <f t="shared" si="14"/>
        <v/>
      </c>
      <c r="H91" s="103" t="str">
        <f t="shared" si="10"/>
        <v/>
      </c>
      <c r="I91" s="110" t="str">
        <f t="shared" si="15"/>
        <v/>
      </c>
      <c r="J91" s="100" t="str">
        <f>IF(B91&gt;0,ROUNDUP(VLOOKUP(B91,G011B!$B:$R,16,0),1),"")</f>
        <v/>
      </c>
      <c r="K91" s="100" t="str">
        <f t="shared" si="16"/>
        <v/>
      </c>
      <c r="L91" s="101" t="str">
        <f>IF(B91&lt;&gt;"",VLOOKUP(B91,G011B!$B:$Z,25,0),"")</f>
        <v/>
      </c>
      <c r="M91" s="160" t="str">
        <f t="shared" si="11"/>
        <v/>
      </c>
      <c r="N91" s="43"/>
      <c r="O91" s="43"/>
      <c r="P91" s="43"/>
    </row>
    <row r="92" spans="1:16" ht="20.05" customHeight="1" x14ac:dyDescent="0.25">
      <c r="A92" s="180">
        <v>59</v>
      </c>
      <c r="B92" s="57"/>
      <c r="C92" s="96" t="str">
        <f t="shared" si="12"/>
        <v/>
      </c>
      <c r="D92" s="97" t="str">
        <f t="shared" si="13"/>
        <v/>
      </c>
      <c r="E92" s="58"/>
      <c r="F92" s="59"/>
      <c r="G92" s="106" t="str">
        <f t="shared" si="14"/>
        <v/>
      </c>
      <c r="H92" s="103" t="str">
        <f t="shared" si="10"/>
        <v/>
      </c>
      <c r="I92" s="110" t="str">
        <f t="shared" si="15"/>
        <v/>
      </c>
      <c r="J92" s="100" t="str">
        <f>IF(B92&gt;0,ROUNDUP(VLOOKUP(B92,G011B!$B:$R,16,0),1),"")</f>
        <v/>
      </c>
      <c r="K92" s="100" t="str">
        <f t="shared" si="16"/>
        <v/>
      </c>
      <c r="L92" s="101" t="str">
        <f>IF(B92&lt;&gt;"",VLOOKUP(B92,G011B!$B:$Z,25,0),"")</f>
        <v/>
      </c>
      <c r="M92" s="160" t="str">
        <f t="shared" si="11"/>
        <v/>
      </c>
      <c r="N92" s="43"/>
      <c r="O92" s="43"/>
      <c r="P92" s="43"/>
    </row>
    <row r="93" spans="1:16" ht="20.05" customHeight="1" thickBot="1" x14ac:dyDescent="0.3">
      <c r="A93" s="181">
        <v>60</v>
      </c>
      <c r="B93" s="60"/>
      <c r="C93" s="98" t="str">
        <f t="shared" si="12"/>
        <v/>
      </c>
      <c r="D93" s="99" t="str">
        <f t="shared" si="13"/>
        <v/>
      </c>
      <c r="E93" s="61"/>
      <c r="F93" s="62"/>
      <c r="G93" s="107" t="str">
        <f t="shared" si="14"/>
        <v/>
      </c>
      <c r="H93" s="104" t="str">
        <f t="shared" si="10"/>
        <v/>
      </c>
      <c r="I93" s="111" t="str">
        <f t="shared" si="15"/>
        <v/>
      </c>
      <c r="J93" s="100" t="str">
        <f>IF(B93&gt;0,ROUNDUP(VLOOKUP(B93,G011B!$B:$R,16,0),1),"")</f>
        <v/>
      </c>
      <c r="K93" s="100" t="str">
        <f t="shared" si="16"/>
        <v/>
      </c>
      <c r="L93" s="101" t="str">
        <f>IF(B93&lt;&gt;"",VLOOKUP(B93,G011B!$B:$Z,25,0),"")</f>
        <v/>
      </c>
      <c r="M93" s="160" t="str">
        <f t="shared" si="11"/>
        <v/>
      </c>
      <c r="N93" s="43"/>
      <c r="O93" s="43"/>
      <c r="P93" s="43"/>
    </row>
    <row r="94" spans="1:16" ht="20.05" customHeight="1" thickBot="1" x14ac:dyDescent="0.4">
      <c r="A94" s="360" t="s">
        <v>42</v>
      </c>
      <c r="B94" s="361"/>
      <c r="C94" s="361"/>
      <c r="D94" s="361"/>
      <c r="E94" s="361"/>
      <c r="F94" s="362"/>
      <c r="G94" s="108">
        <f>SUM(G74:G93)</f>
        <v>0</v>
      </c>
      <c r="H94" s="202"/>
      <c r="I94" s="93">
        <f>IF(C72=C39,SUM(I74:I93)+I61,SUM(I74:I93))</f>
        <v>0</v>
      </c>
      <c r="J94" s="43"/>
      <c r="K94" s="43"/>
      <c r="L94" s="43"/>
      <c r="M94" s="43"/>
      <c r="N94" s="112">
        <f>IF(COUNTA(B74:B93)&gt;0,1,0)</f>
        <v>0</v>
      </c>
      <c r="O94" s="43"/>
      <c r="P94" s="43"/>
    </row>
    <row r="95" spans="1:16" ht="20.05" customHeight="1" thickBot="1" x14ac:dyDescent="0.35">
      <c r="A95" s="363" t="s">
        <v>80</v>
      </c>
      <c r="B95" s="364"/>
      <c r="C95" s="364"/>
      <c r="D95" s="365"/>
      <c r="E95" s="86">
        <f>SUM(G:G)/2</f>
        <v>0</v>
      </c>
      <c r="F95" s="366"/>
      <c r="G95" s="367"/>
      <c r="H95" s="368"/>
      <c r="I95" s="92">
        <f>SUM(I74:I93)+I62</f>
        <v>0</v>
      </c>
      <c r="J95" s="43"/>
      <c r="K95" s="43"/>
      <c r="L95" s="43"/>
      <c r="M95" s="43"/>
      <c r="N95" s="43"/>
      <c r="O95" s="43"/>
      <c r="P95" s="43"/>
    </row>
    <row r="96" spans="1:16" x14ac:dyDescent="0.25">
      <c r="A96" s="182" t="s">
        <v>118</v>
      </c>
      <c r="B96" s="43"/>
      <c r="C96" s="43"/>
      <c r="D96" s="43"/>
      <c r="E96" s="43"/>
      <c r="F96" s="43"/>
      <c r="G96" s="43"/>
      <c r="H96" s="43"/>
      <c r="I96" s="43"/>
      <c r="J96" s="43"/>
      <c r="K96" s="43"/>
      <c r="L96" s="43"/>
      <c r="M96" s="43"/>
      <c r="N96" s="43"/>
      <c r="O96" s="43"/>
      <c r="P96" s="43"/>
    </row>
    <row r="97" spans="1:16" x14ac:dyDescent="0.25">
      <c r="A97" s="43"/>
      <c r="B97" s="43"/>
      <c r="C97" s="43"/>
      <c r="D97" s="43"/>
      <c r="E97" s="43"/>
      <c r="F97" s="43"/>
      <c r="G97" s="43"/>
      <c r="H97" s="43"/>
      <c r="I97" s="43"/>
      <c r="J97" s="43"/>
      <c r="K97" s="43"/>
      <c r="L97" s="43"/>
      <c r="M97" s="43"/>
      <c r="N97" s="43"/>
      <c r="O97" s="43"/>
      <c r="P97" s="43"/>
    </row>
    <row r="98" spans="1:16" ht="21.1" x14ac:dyDescent="0.35">
      <c r="A98" s="247" t="s">
        <v>39</v>
      </c>
      <c r="B98" s="248">
        <f ca="1">IF(imzatarihi&gt;0,imzatarihi,"")</f>
        <v>45686</v>
      </c>
      <c r="C98" s="251" t="s">
        <v>40</v>
      </c>
      <c r="D98" s="245" t="str">
        <f>IF(kurulusyetkilisi&gt;0,kurulusyetkilisi,"")</f>
        <v/>
      </c>
      <c r="F98" s="247"/>
      <c r="G98" s="247"/>
      <c r="H98" s="163"/>
      <c r="I98" s="163"/>
      <c r="J98" s="43"/>
      <c r="K98" s="73"/>
      <c r="L98" s="73"/>
      <c r="M98" s="5"/>
      <c r="N98" s="73"/>
      <c r="O98" s="73"/>
      <c r="P98" s="43"/>
    </row>
    <row r="99" spans="1:16" ht="19.7" x14ac:dyDescent="0.35">
      <c r="A99" s="249"/>
      <c r="B99" s="249"/>
      <c r="C99" s="251" t="s">
        <v>41</v>
      </c>
      <c r="D99" s="247"/>
      <c r="E99" s="302"/>
      <c r="F99" s="302"/>
      <c r="G99" s="302"/>
      <c r="H99" s="42"/>
      <c r="I99" s="42"/>
      <c r="J99" s="43"/>
      <c r="K99" s="73"/>
      <c r="L99" s="73"/>
      <c r="M99" s="5"/>
      <c r="N99" s="73"/>
      <c r="O99" s="73"/>
      <c r="P99" s="43"/>
    </row>
    <row r="100" spans="1:16" ht="16.3" x14ac:dyDescent="0.3">
      <c r="A100" s="338" t="s">
        <v>73</v>
      </c>
      <c r="B100" s="338"/>
      <c r="C100" s="338"/>
      <c r="D100" s="338"/>
      <c r="E100" s="338"/>
      <c r="F100" s="338"/>
      <c r="G100" s="338"/>
      <c r="H100" s="338"/>
      <c r="I100" s="338"/>
      <c r="J100" s="43"/>
      <c r="K100" s="43"/>
      <c r="L100" s="43"/>
      <c r="M100" s="43"/>
      <c r="N100" s="43"/>
      <c r="O100" s="43"/>
      <c r="P100" s="43"/>
    </row>
    <row r="101" spans="1:16" x14ac:dyDescent="0.25">
      <c r="A101" s="336" t="str">
        <f>IF(YilDonem&lt;&gt;"",CONCATENATE(YilDonem,". döneme aittir."),"")</f>
        <v/>
      </c>
      <c r="B101" s="336"/>
      <c r="C101" s="336"/>
      <c r="D101" s="336"/>
      <c r="E101" s="336"/>
      <c r="F101" s="336"/>
      <c r="G101" s="336"/>
      <c r="H101" s="336"/>
      <c r="I101" s="336"/>
      <c r="J101" s="43"/>
      <c r="K101" s="43"/>
      <c r="L101" s="43"/>
      <c r="M101" s="43"/>
      <c r="N101" s="43"/>
      <c r="O101" s="43"/>
      <c r="P101" s="43"/>
    </row>
    <row r="102" spans="1:16" ht="19.7" thickBot="1" x14ac:dyDescent="0.4">
      <c r="A102" s="372" t="s">
        <v>82</v>
      </c>
      <c r="B102" s="372"/>
      <c r="C102" s="372"/>
      <c r="D102" s="372"/>
      <c r="E102" s="372"/>
      <c r="F102" s="372"/>
      <c r="G102" s="372"/>
      <c r="H102" s="372"/>
      <c r="I102" s="372"/>
      <c r="J102" s="43"/>
      <c r="K102" s="43"/>
      <c r="L102" s="43"/>
      <c r="M102" s="43"/>
      <c r="N102" s="43"/>
      <c r="O102" s="43"/>
      <c r="P102" s="43"/>
    </row>
    <row r="103" spans="1:16" ht="19.55" customHeight="1" thickBot="1" x14ac:dyDescent="0.3">
      <c r="A103" s="341" t="s">
        <v>1</v>
      </c>
      <c r="B103" s="343"/>
      <c r="C103" s="330" t="str">
        <f>IF(ProjeNo&gt;0,ProjeNo,"")</f>
        <v/>
      </c>
      <c r="D103" s="331"/>
      <c r="E103" s="331"/>
      <c r="F103" s="331"/>
      <c r="G103" s="331"/>
      <c r="H103" s="331"/>
      <c r="I103" s="332"/>
      <c r="J103" s="43"/>
      <c r="K103" s="43"/>
      <c r="L103" s="43"/>
      <c r="M103" s="43"/>
      <c r="N103" s="43"/>
      <c r="O103" s="43"/>
      <c r="P103" s="43"/>
    </row>
    <row r="104" spans="1:16" ht="29.25" customHeight="1" thickBot="1" x14ac:dyDescent="0.3">
      <c r="A104" s="371" t="s">
        <v>11</v>
      </c>
      <c r="B104" s="342"/>
      <c r="C104" s="346" t="str">
        <f>IF(ProjeAdi&gt;0,ProjeAdi,"")</f>
        <v/>
      </c>
      <c r="D104" s="347"/>
      <c r="E104" s="347"/>
      <c r="F104" s="347"/>
      <c r="G104" s="347"/>
      <c r="H104" s="347"/>
      <c r="I104" s="348"/>
      <c r="J104" s="43"/>
      <c r="K104" s="43"/>
      <c r="L104" s="43"/>
      <c r="M104" s="43"/>
      <c r="N104" s="43"/>
      <c r="O104" s="43"/>
      <c r="P104" s="43"/>
    </row>
    <row r="105" spans="1:16" ht="19.55" customHeight="1" thickBot="1" x14ac:dyDescent="0.3">
      <c r="A105" s="341" t="s">
        <v>74</v>
      </c>
      <c r="B105" s="343"/>
      <c r="C105" s="9"/>
      <c r="D105" s="369"/>
      <c r="E105" s="369"/>
      <c r="F105" s="369"/>
      <c r="G105" s="369"/>
      <c r="H105" s="369"/>
      <c r="I105" s="370"/>
      <c r="J105" s="43"/>
      <c r="K105" s="43"/>
      <c r="L105" s="43"/>
      <c r="M105" s="43"/>
      <c r="N105" s="43"/>
      <c r="O105" s="43"/>
      <c r="P105" s="43"/>
    </row>
    <row r="106" spans="1:16" s="2" customFormat="1" ht="29.25" thickBot="1" x14ac:dyDescent="0.3">
      <c r="A106" s="176" t="s">
        <v>7</v>
      </c>
      <c r="B106" s="176" t="s">
        <v>8</v>
      </c>
      <c r="C106" s="176" t="s">
        <v>63</v>
      </c>
      <c r="D106" s="176" t="s">
        <v>119</v>
      </c>
      <c r="E106" s="176" t="s">
        <v>75</v>
      </c>
      <c r="F106" s="176" t="s">
        <v>76</v>
      </c>
      <c r="G106" s="176" t="s">
        <v>77</v>
      </c>
      <c r="H106" s="176" t="s">
        <v>78</v>
      </c>
      <c r="I106" s="176" t="s">
        <v>79</v>
      </c>
      <c r="J106" s="177" t="s">
        <v>83</v>
      </c>
      <c r="K106" s="178" t="s">
        <v>84</v>
      </c>
      <c r="L106" s="178" t="s">
        <v>76</v>
      </c>
      <c r="M106" s="169"/>
      <c r="N106" s="169"/>
      <c r="O106" s="169"/>
      <c r="P106" s="169"/>
    </row>
    <row r="107" spans="1:16" ht="20.05" customHeight="1" x14ac:dyDescent="0.25">
      <c r="A107" s="179">
        <v>61</v>
      </c>
      <c r="B107" s="53"/>
      <c r="C107" s="94" t="str">
        <f t="shared" ref="C107:C126" si="17">IF(B107&lt;&gt;"",VLOOKUP(B107,PersonelTablo,2,0),"")</f>
        <v/>
      </c>
      <c r="D107" s="95" t="str">
        <f t="shared" ref="D107:D126" si="18">IF(B107&lt;&gt;"",VLOOKUP(B107,PersonelTablo,3,0),"")</f>
        <v/>
      </c>
      <c r="E107" s="54"/>
      <c r="F107" s="55"/>
      <c r="G107" s="105" t="str">
        <f>IF(AND(B107&lt;&gt;"",L107&gt;=F107),E107*F107,"")</f>
        <v/>
      </c>
      <c r="H107" s="102" t="str">
        <f t="shared" ref="H107:H126" si="19">IF(B107&lt;&gt;"",VLOOKUP(B107,G011CTablo,14,0),"")</f>
        <v/>
      </c>
      <c r="I107" s="109" t="str">
        <f>IF(AND(B107&lt;&gt;"",J107&gt;=K107,L107&gt;0),G107*H107,"")</f>
        <v/>
      </c>
      <c r="J107" s="100" t="str">
        <f>IF(B107&gt;0,ROUNDUP(VLOOKUP(B107,G011B!$B:$R,16,0),1),"")</f>
        <v/>
      </c>
      <c r="K107" s="100" t="str">
        <f>IF(B107&gt;0,SUMIF($B:$B,B107,$G:$G),"")</f>
        <v/>
      </c>
      <c r="L107" s="101" t="str">
        <f>IF(B107&lt;&gt;"",VLOOKUP(B107,G011B!$B:$Z,25,0),"")</f>
        <v/>
      </c>
      <c r="M107" s="160" t="str">
        <f t="shared" ref="M107:M126" si="20">IF(J107&gt;=K107,"","Personelin bütün iş paketlerindeki Toplam Adam Ay değeri "&amp;K107&amp;" olup, bu değer, G011B formunda beyan edilen Çalışılan Toplam Ay değerini geçemez. Maliyeti hesaplamak için Adam/Ay Oranı veya Çalışılan Ay değerini düzeltiniz. ")</f>
        <v/>
      </c>
      <c r="N107" s="43"/>
      <c r="O107" s="43"/>
      <c r="P107" s="43"/>
    </row>
    <row r="108" spans="1:16" ht="20.05" customHeight="1" x14ac:dyDescent="0.25">
      <c r="A108" s="180">
        <v>62</v>
      </c>
      <c r="B108" s="57"/>
      <c r="C108" s="96" t="str">
        <f t="shared" si="17"/>
        <v/>
      </c>
      <c r="D108" s="97" t="str">
        <f t="shared" si="18"/>
        <v/>
      </c>
      <c r="E108" s="58"/>
      <c r="F108" s="59"/>
      <c r="G108" s="106" t="str">
        <f t="shared" ref="G108:G126" si="21">IF(AND(B108&lt;&gt;"",L108&gt;=F108),E108*F108,"")</f>
        <v/>
      </c>
      <c r="H108" s="103" t="str">
        <f t="shared" si="19"/>
        <v/>
      </c>
      <c r="I108" s="110" t="str">
        <f t="shared" ref="I108:I126" si="22">IF(AND(B108&lt;&gt;"",J108&gt;=K108,L108&gt;0),G108*H108,"")</f>
        <v/>
      </c>
      <c r="J108" s="100" t="str">
        <f>IF(B108&gt;0,ROUNDUP(VLOOKUP(B108,G011B!$B:$R,16,0),1),"")</f>
        <v/>
      </c>
      <c r="K108" s="100" t="str">
        <f t="shared" ref="K108:K126" si="23">IF(B108&gt;0,SUMIF($B:$B,B108,$G:$G),"")</f>
        <v/>
      </c>
      <c r="L108" s="101" t="str">
        <f>IF(B108&lt;&gt;"",VLOOKUP(B108,G011B!$B:$Z,25,0),"")</f>
        <v/>
      </c>
      <c r="M108" s="160" t="str">
        <f t="shared" si="20"/>
        <v/>
      </c>
      <c r="N108" s="43"/>
      <c r="O108" s="43"/>
      <c r="P108" s="43"/>
    </row>
    <row r="109" spans="1:16" ht="20.05" customHeight="1" x14ac:dyDescent="0.25">
      <c r="A109" s="180">
        <v>63</v>
      </c>
      <c r="B109" s="57"/>
      <c r="C109" s="96" t="str">
        <f t="shared" si="17"/>
        <v/>
      </c>
      <c r="D109" s="97" t="str">
        <f t="shared" si="18"/>
        <v/>
      </c>
      <c r="E109" s="58"/>
      <c r="F109" s="59"/>
      <c r="G109" s="106" t="str">
        <f t="shared" si="21"/>
        <v/>
      </c>
      <c r="H109" s="103" t="str">
        <f t="shared" si="19"/>
        <v/>
      </c>
      <c r="I109" s="110" t="str">
        <f t="shared" si="22"/>
        <v/>
      </c>
      <c r="J109" s="100" t="str">
        <f>IF(B109&gt;0,ROUNDUP(VLOOKUP(B109,G011B!$B:$R,16,0),1),"")</f>
        <v/>
      </c>
      <c r="K109" s="100" t="str">
        <f t="shared" si="23"/>
        <v/>
      </c>
      <c r="L109" s="101" t="str">
        <f>IF(B109&lt;&gt;"",VLOOKUP(B109,G011B!$B:$Z,25,0),"")</f>
        <v/>
      </c>
      <c r="M109" s="160" t="str">
        <f t="shared" si="20"/>
        <v/>
      </c>
      <c r="N109" s="43"/>
      <c r="O109" s="43"/>
      <c r="P109" s="43"/>
    </row>
    <row r="110" spans="1:16" ht="20.05" customHeight="1" x14ac:dyDescent="0.25">
      <c r="A110" s="180">
        <v>64</v>
      </c>
      <c r="B110" s="57"/>
      <c r="C110" s="96" t="str">
        <f t="shared" si="17"/>
        <v/>
      </c>
      <c r="D110" s="97" t="str">
        <f t="shared" si="18"/>
        <v/>
      </c>
      <c r="E110" s="58"/>
      <c r="F110" s="59"/>
      <c r="G110" s="106" t="str">
        <f t="shared" si="21"/>
        <v/>
      </c>
      <c r="H110" s="103" t="str">
        <f t="shared" si="19"/>
        <v/>
      </c>
      <c r="I110" s="110" t="str">
        <f t="shared" si="22"/>
        <v/>
      </c>
      <c r="J110" s="100" t="str">
        <f>IF(B110&gt;0,ROUNDUP(VLOOKUP(B110,G011B!$B:$R,16,0),1),"")</f>
        <v/>
      </c>
      <c r="K110" s="100" t="str">
        <f t="shared" si="23"/>
        <v/>
      </c>
      <c r="L110" s="101" t="str">
        <f>IF(B110&lt;&gt;"",VLOOKUP(B110,G011B!$B:$Z,25,0),"")</f>
        <v/>
      </c>
      <c r="M110" s="160" t="str">
        <f t="shared" si="20"/>
        <v/>
      </c>
      <c r="N110" s="43"/>
      <c r="O110" s="43"/>
      <c r="P110" s="43"/>
    </row>
    <row r="111" spans="1:16" ht="20.05" customHeight="1" x14ac:dyDescent="0.25">
      <c r="A111" s="180">
        <v>65</v>
      </c>
      <c r="B111" s="57"/>
      <c r="C111" s="96" t="str">
        <f t="shared" si="17"/>
        <v/>
      </c>
      <c r="D111" s="97" t="str">
        <f t="shared" si="18"/>
        <v/>
      </c>
      <c r="E111" s="58"/>
      <c r="F111" s="59"/>
      <c r="G111" s="106" t="str">
        <f t="shared" si="21"/>
        <v/>
      </c>
      <c r="H111" s="103" t="str">
        <f t="shared" si="19"/>
        <v/>
      </c>
      <c r="I111" s="110" t="str">
        <f t="shared" si="22"/>
        <v/>
      </c>
      <c r="J111" s="100" t="str">
        <f>IF(B111&gt;0,ROUNDUP(VLOOKUP(B111,G011B!$B:$R,16,0),1),"")</f>
        <v/>
      </c>
      <c r="K111" s="100" t="str">
        <f t="shared" si="23"/>
        <v/>
      </c>
      <c r="L111" s="101" t="str">
        <f>IF(B111&lt;&gt;"",VLOOKUP(B111,G011B!$B:$Z,25,0),"")</f>
        <v/>
      </c>
      <c r="M111" s="160" t="str">
        <f t="shared" si="20"/>
        <v/>
      </c>
      <c r="N111" s="43"/>
      <c r="O111" s="43"/>
      <c r="P111" s="43"/>
    </row>
    <row r="112" spans="1:16" ht="20.05" customHeight="1" x14ac:dyDescent="0.25">
      <c r="A112" s="180">
        <v>66</v>
      </c>
      <c r="B112" s="57"/>
      <c r="C112" s="96" t="str">
        <f t="shared" si="17"/>
        <v/>
      </c>
      <c r="D112" s="97" t="str">
        <f t="shared" si="18"/>
        <v/>
      </c>
      <c r="E112" s="58"/>
      <c r="F112" s="59"/>
      <c r="G112" s="106" t="str">
        <f t="shared" si="21"/>
        <v/>
      </c>
      <c r="H112" s="103" t="str">
        <f t="shared" si="19"/>
        <v/>
      </c>
      <c r="I112" s="110" t="str">
        <f t="shared" si="22"/>
        <v/>
      </c>
      <c r="J112" s="100" t="str">
        <f>IF(B112&gt;0,ROUNDUP(VLOOKUP(B112,G011B!$B:$R,16,0),1),"")</f>
        <v/>
      </c>
      <c r="K112" s="100" t="str">
        <f t="shared" si="23"/>
        <v/>
      </c>
      <c r="L112" s="101" t="str">
        <f>IF(B112&lt;&gt;"",VLOOKUP(B112,G011B!$B:$Z,25,0),"")</f>
        <v/>
      </c>
      <c r="M112" s="160" t="str">
        <f t="shared" si="20"/>
        <v/>
      </c>
      <c r="N112" s="43"/>
      <c r="O112" s="43"/>
      <c r="P112" s="43"/>
    </row>
    <row r="113" spans="1:16" ht="20.05" customHeight="1" x14ac:dyDescent="0.25">
      <c r="A113" s="180">
        <v>67</v>
      </c>
      <c r="B113" s="57"/>
      <c r="C113" s="96" t="str">
        <f t="shared" si="17"/>
        <v/>
      </c>
      <c r="D113" s="97" t="str">
        <f t="shared" si="18"/>
        <v/>
      </c>
      <c r="E113" s="58"/>
      <c r="F113" s="59"/>
      <c r="G113" s="106" t="str">
        <f t="shared" si="21"/>
        <v/>
      </c>
      <c r="H113" s="103" t="str">
        <f t="shared" si="19"/>
        <v/>
      </c>
      <c r="I113" s="110" t="str">
        <f t="shared" si="22"/>
        <v/>
      </c>
      <c r="J113" s="100" t="str">
        <f>IF(B113&gt;0,ROUNDUP(VLOOKUP(B113,G011B!$B:$R,16,0),1),"")</f>
        <v/>
      </c>
      <c r="K113" s="100" t="str">
        <f t="shared" si="23"/>
        <v/>
      </c>
      <c r="L113" s="101" t="str">
        <f>IF(B113&lt;&gt;"",VLOOKUP(B113,G011B!$B:$Z,25,0),"")</f>
        <v/>
      </c>
      <c r="M113" s="160" t="str">
        <f t="shared" si="20"/>
        <v/>
      </c>
      <c r="N113" s="43"/>
      <c r="O113" s="43"/>
      <c r="P113" s="43"/>
    </row>
    <row r="114" spans="1:16" ht="20.05" customHeight="1" x14ac:dyDescent="0.25">
      <c r="A114" s="180">
        <v>68</v>
      </c>
      <c r="B114" s="57"/>
      <c r="C114" s="96" t="str">
        <f t="shared" si="17"/>
        <v/>
      </c>
      <c r="D114" s="97" t="str">
        <f t="shared" si="18"/>
        <v/>
      </c>
      <c r="E114" s="58"/>
      <c r="F114" s="59"/>
      <c r="G114" s="106" t="str">
        <f t="shared" si="21"/>
        <v/>
      </c>
      <c r="H114" s="103" t="str">
        <f t="shared" si="19"/>
        <v/>
      </c>
      <c r="I114" s="110" t="str">
        <f t="shared" si="22"/>
        <v/>
      </c>
      <c r="J114" s="100" t="str">
        <f>IF(B114&gt;0,ROUNDUP(VLOOKUP(B114,G011B!$B:$R,16,0),1),"")</f>
        <v/>
      </c>
      <c r="K114" s="100" t="str">
        <f t="shared" si="23"/>
        <v/>
      </c>
      <c r="L114" s="101" t="str">
        <f>IF(B114&lt;&gt;"",VLOOKUP(B114,G011B!$B:$Z,25,0),"")</f>
        <v/>
      </c>
      <c r="M114" s="160" t="str">
        <f t="shared" si="20"/>
        <v/>
      </c>
      <c r="N114" s="43"/>
      <c r="O114" s="43"/>
      <c r="P114" s="43"/>
    </row>
    <row r="115" spans="1:16" ht="20.05" customHeight="1" x14ac:dyDescent="0.25">
      <c r="A115" s="180">
        <v>69</v>
      </c>
      <c r="B115" s="57"/>
      <c r="C115" s="96" t="str">
        <f t="shared" si="17"/>
        <v/>
      </c>
      <c r="D115" s="97" t="str">
        <f t="shared" si="18"/>
        <v/>
      </c>
      <c r="E115" s="58"/>
      <c r="F115" s="59"/>
      <c r="G115" s="106" t="str">
        <f t="shared" si="21"/>
        <v/>
      </c>
      <c r="H115" s="103" t="str">
        <f t="shared" si="19"/>
        <v/>
      </c>
      <c r="I115" s="110" t="str">
        <f t="shared" si="22"/>
        <v/>
      </c>
      <c r="J115" s="100" t="str">
        <f>IF(B115&gt;0,ROUNDUP(VLOOKUP(B115,G011B!$B:$R,16,0),1),"")</f>
        <v/>
      </c>
      <c r="K115" s="100" t="str">
        <f t="shared" si="23"/>
        <v/>
      </c>
      <c r="L115" s="101" t="str">
        <f>IF(B115&lt;&gt;"",VLOOKUP(B115,G011B!$B:$Z,25,0),"")</f>
        <v/>
      </c>
      <c r="M115" s="160" t="str">
        <f t="shared" si="20"/>
        <v/>
      </c>
      <c r="N115" s="43"/>
      <c r="O115" s="43"/>
      <c r="P115" s="43"/>
    </row>
    <row r="116" spans="1:16" ht="20.05" customHeight="1" x14ac:dyDescent="0.25">
      <c r="A116" s="180">
        <v>70</v>
      </c>
      <c r="B116" s="57"/>
      <c r="C116" s="96" t="str">
        <f t="shared" si="17"/>
        <v/>
      </c>
      <c r="D116" s="97" t="str">
        <f t="shared" si="18"/>
        <v/>
      </c>
      <c r="E116" s="58"/>
      <c r="F116" s="59"/>
      <c r="G116" s="106" t="str">
        <f t="shared" si="21"/>
        <v/>
      </c>
      <c r="H116" s="103" t="str">
        <f t="shared" si="19"/>
        <v/>
      </c>
      <c r="I116" s="110" t="str">
        <f t="shared" si="22"/>
        <v/>
      </c>
      <c r="J116" s="100" t="str">
        <f>IF(B116&gt;0,ROUNDUP(VLOOKUP(B116,G011B!$B:$R,16,0),1),"")</f>
        <v/>
      </c>
      <c r="K116" s="100" t="str">
        <f t="shared" si="23"/>
        <v/>
      </c>
      <c r="L116" s="101" t="str">
        <f>IF(B116&lt;&gt;"",VLOOKUP(B116,G011B!$B:$Z,25,0),"")</f>
        <v/>
      </c>
      <c r="M116" s="160" t="str">
        <f t="shared" si="20"/>
        <v/>
      </c>
      <c r="N116" s="43"/>
      <c r="O116" s="43"/>
      <c r="P116" s="43"/>
    </row>
    <row r="117" spans="1:16" ht="20.05" customHeight="1" x14ac:dyDescent="0.25">
      <c r="A117" s="180">
        <v>71</v>
      </c>
      <c r="B117" s="57"/>
      <c r="C117" s="96" t="str">
        <f t="shared" si="17"/>
        <v/>
      </c>
      <c r="D117" s="97" t="str">
        <f t="shared" si="18"/>
        <v/>
      </c>
      <c r="E117" s="58"/>
      <c r="F117" s="59"/>
      <c r="G117" s="106" t="str">
        <f t="shared" si="21"/>
        <v/>
      </c>
      <c r="H117" s="103" t="str">
        <f t="shared" si="19"/>
        <v/>
      </c>
      <c r="I117" s="110" t="str">
        <f t="shared" si="22"/>
        <v/>
      </c>
      <c r="J117" s="100" t="str">
        <f>IF(B117&gt;0,ROUNDUP(VLOOKUP(B117,G011B!$B:$R,16,0),1),"")</f>
        <v/>
      </c>
      <c r="K117" s="100" t="str">
        <f t="shared" si="23"/>
        <v/>
      </c>
      <c r="L117" s="101" t="str">
        <f>IF(B117&lt;&gt;"",VLOOKUP(B117,G011B!$B:$Z,25,0),"")</f>
        <v/>
      </c>
      <c r="M117" s="160" t="str">
        <f t="shared" si="20"/>
        <v/>
      </c>
      <c r="N117" s="43"/>
      <c r="O117" s="43"/>
      <c r="P117" s="43"/>
    </row>
    <row r="118" spans="1:16" ht="20.05" customHeight="1" x14ac:dyDescent="0.25">
      <c r="A118" s="180">
        <v>72</v>
      </c>
      <c r="B118" s="57"/>
      <c r="C118" s="96" t="str">
        <f t="shared" si="17"/>
        <v/>
      </c>
      <c r="D118" s="97" t="str">
        <f t="shared" si="18"/>
        <v/>
      </c>
      <c r="E118" s="58"/>
      <c r="F118" s="59"/>
      <c r="G118" s="106" t="str">
        <f t="shared" si="21"/>
        <v/>
      </c>
      <c r="H118" s="103" t="str">
        <f t="shared" si="19"/>
        <v/>
      </c>
      <c r="I118" s="110" t="str">
        <f t="shared" si="22"/>
        <v/>
      </c>
      <c r="J118" s="100" t="str">
        <f>IF(B118&gt;0,ROUNDUP(VLOOKUP(B118,G011B!$B:$R,16,0),1),"")</f>
        <v/>
      </c>
      <c r="K118" s="100" t="str">
        <f t="shared" si="23"/>
        <v/>
      </c>
      <c r="L118" s="101" t="str">
        <f>IF(B118&lt;&gt;"",VLOOKUP(B118,G011B!$B:$Z,25,0),"")</f>
        <v/>
      </c>
      <c r="M118" s="160" t="str">
        <f t="shared" si="20"/>
        <v/>
      </c>
      <c r="N118" s="43"/>
      <c r="O118" s="43"/>
      <c r="P118" s="43"/>
    </row>
    <row r="119" spans="1:16" ht="20.05" customHeight="1" x14ac:dyDescent="0.25">
      <c r="A119" s="180">
        <v>73</v>
      </c>
      <c r="B119" s="57"/>
      <c r="C119" s="96" t="str">
        <f t="shared" si="17"/>
        <v/>
      </c>
      <c r="D119" s="97" t="str">
        <f t="shared" si="18"/>
        <v/>
      </c>
      <c r="E119" s="58"/>
      <c r="F119" s="59"/>
      <c r="G119" s="106" t="str">
        <f t="shared" si="21"/>
        <v/>
      </c>
      <c r="H119" s="103" t="str">
        <f t="shared" si="19"/>
        <v/>
      </c>
      <c r="I119" s="110" t="str">
        <f t="shared" si="22"/>
        <v/>
      </c>
      <c r="J119" s="100" t="str">
        <f>IF(B119&gt;0,ROUNDUP(VLOOKUP(B119,G011B!$B:$R,16,0),1),"")</f>
        <v/>
      </c>
      <c r="K119" s="100" t="str">
        <f t="shared" si="23"/>
        <v/>
      </c>
      <c r="L119" s="101" t="str">
        <f>IF(B119&lt;&gt;"",VLOOKUP(B119,G011B!$B:$Z,25,0),"")</f>
        <v/>
      </c>
      <c r="M119" s="160" t="str">
        <f t="shared" si="20"/>
        <v/>
      </c>
      <c r="N119" s="43"/>
      <c r="O119" s="43"/>
      <c r="P119" s="43"/>
    </row>
    <row r="120" spans="1:16" ht="20.05" customHeight="1" x14ac:dyDescent="0.25">
      <c r="A120" s="180">
        <v>74</v>
      </c>
      <c r="B120" s="57"/>
      <c r="C120" s="96" t="str">
        <f t="shared" si="17"/>
        <v/>
      </c>
      <c r="D120" s="97" t="str">
        <f t="shared" si="18"/>
        <v/>
      </c>
      <c r="E120" s="58"/>
      <c r="F120" s="59"/>
      <c r="G120" s="106" t="str">
        <f t="shared" si="21"/>
        <v/>
      </c>
      <c r="H120" s="103" t="str">
        <f t="shared" si="19"/>
        <v/>
      </c>
      <c r="I120" s="110" t="str">
        <f t="shared" si="22"/>
        <v/>
      </c>
      <c r="J120" s="100" t="str">
        <f>IF(B120&gt;0,ROUNDUP(VLOOKUP(B120,G011B!$B:$R,16,0),1),"")</f>
        <v/>
      </c>
      <c r="K120" s="100" t="str">
        <f t="shared" si="23"/>
        <v/>
      </c>
      <c r="L120" s="101" t="str">
        <f>IF(B120&lt;&gt;"",VLOOKUP(B120,G011B!$B:$Z,25,0),"")</f>
        <v/>
      </c>
      <c r="M120" s="160" t="str">
        <f t="shared" si="20"/>
        <v/>
      </c>
      <c r="N120" s="43"/>
      <c r="O120" s="43"/>
      <c r="P120" s="43"/>
    </row>
    <row r="121" spans="1:16" ht="20.05" customHeight="1" x14ac:dyDescent="0.25">
      <c r="A121" s="180">
        <v>75</v>
      </c>
      <c r="B121" s="57"/>
      <c r="C121" s="96" t="str">
        <f t="shared" si="17"/>
        <v/>
      </c>
      <c r="D121" s="97" t="str">
        <f t="shared" si="18"/>
        <v/>
      </c>
      <c r="E121" s="58"/>
      <c r="F121" s="59"/>
      <c r="G121" s="106" t="str">
        <f t="shared" si="21"/>
        <v/>
      </c>
      <c r="H121" s="103" t="str">
        <f t="shared" si="19"/>
        <v/>
      </c>
      <c r="I121" s="110" t="str">
        <f t="shared" si="22"/>
        <v/>
      </c>
      <c r="J121" s="100" t="str">
        <f>IF(B121&gt;0,ROUNDUP(VLOOKUP(B121,G011B!$B:$R,16,0),1),"")</f>
        <v/>
      </c>
      <c r="K121" s="100" t="str">
        <f t="shared" si="23"/>
        <v/>
      </c>
      <c r="L121" s="101" t="str">
        <f>IF(B121&lt;&gt;"",VLOOKUP(B121,G011B!$B:$Z,25,0),"")</f>
        <v/>
      </c>
      <c r="M121" s="160" t="str">
        <f t="shared" si="20"/>
        <v/>
      </c>
      <c r="N121" s="43"/>
      <c r="O121" s="43"/>
      <c r="P121" s="43"/>
    </row>
    <row r="122" spans="1:16" ht="20.05" customHeight="1" x14ac:dyDescent="0.25">
      <c r="A122" s="180">
        <v>76</v>
      </c>
      <c r="B122" s="57"/>
      <c r="C122" s="96" t="str">
        <f t="shared" si="17"/>
        <v/>
      </c>
      <c r="D122" s="97" t="str">
        <f t="shared" si="18"/>
        <v/>
      </c>
      <c r="E122" s="58"/>
      <c r="F122" s="59"/>
      <c r="G122" s="106" t="str">
        <f t="shared" si="21"/>
        <v/>
      </c>
      <c r="H122" s="103" t="str">
        <f t="shared" si="19"/>
        <v/>
      </c>
      <c r="I122" s="110" t="str">
        <f t="shared" si="22"/>
        <v/>
      </c>
      <c r="J122" s="100" t="str">
        <f>IF(B122&gt;0,ROUNDUP(VLOOKUP(B122,G011B!$B:$R,16,0),1),"")</f>
        <v/>
      </c>
      <c r="K122" s="100" t="str">
        <f t="shared" si="23"/>
        <v/>
      </c>
      <c r="L122" s="101" t="str">
        <f>IF(B122&lt;&gt;"",VLOOKUP(B122,G011B!$B:$Z,25,0),"")</f>
        <v/>
      </c>
      <c r="M122" s="160" t="str">
        <f t="shared" si="20"/>
        <v/>
      </c>
      <c r="N122" s="43"/>
      <c r="O122" s="43"/>
      <c r="P122" s="43"/>
    </row>
    <row r="123" spans="1:16" ht="20.05" customHeight="1" x14ac:dyDescent="0.25">
      <c r="A123" s="180">
        <v>77</v>
      </c>
      <c r="B123" s="57"/>
      <c r="C123" s="96" t="str">
        <f t="shared" si="17"/>
        <v/>
      </c>
      <c r="D123" s="97" t="str">
        <f t="shared" si="18"/>
        <v/>
      </c>
      <c r="E123" s="58"/>
      <c r="F123" s="59"/>
      <c r="G123" s="106" t="str">
        <f t="shared" si="21"/>
        <v/>
      </c>
      <c r="H123" s="103" t="str">
        <f t="shared" si="19"/>
        <v/>
      </c>
      <c r="I123" s="110" t="str">
        <f t="shared" si="22"/>
        <v/>
      </c>
      <c r="J123" s="100" t="str">
        <f>IF(B123&gt;0,ROUNDUP(VLOOKUP(B123,G011B!$B:$R,16,0),1),"")</f>
        <v/>
      </c>
      <c r="K123" s="100" t="str">
        <f t="shared" si="23"/>
        <v/>
      </c>
      <c r="L123" s="101" t="str">
        <f>IF(B123&lt;&gt;"",VLOOKUP(B123,G011B!$B:$Z,25,0),"")</f>
        <v/>
      </c>
      <c r="M123" s="160" t="str">
        <f t="shared" si="20"/>
        <v/>
      </c>
      <c r="N123" s="43"/>
      <c r="O123" s="43"/>
      <c r="P123" s="43"/>
    </row>
    <row r="124" spans="1:16" ht="20.05" customHeight="1" x14ac:dyDescent="0.25">
      <c r="A124" s="180">
        <v>78</v>
      </c>
      <c r="B124" s="57"/>
      <c r="C124" s="96" t="str">
        <f t="shared" si="17"/>
        <v/>
      </c>
      <c r="D124" s="97" t="str">
        <f t="shared" si="18"/>
        <v/>
      </c>
      <c r="E124" s="58"/>
      <c r="F124" s="59"/>
      <c r="G124" s="106" t="str">
        <f t="shared" si="21"/>
        <v/>
      </c>
      <c r="H124" s="103" t="str">
        <f t="shared" si="19"/>
        <v/>
      </c>
      <c r="I124" s="110" t="str">
        <f t="shared" si="22"/>
        <v/>
      </c>
      <c r="J124" s="100" t="str">
        <f>IF(B124&gt;0,ROUNDUP(VLOOKUP(B124,G011B!$B:$R,16,0),1),"")</f>
        <v/>
      </c>
      <c r="K124" s="100" t="str">
        <f t="shared" si="23"/>
        <v/>
      </c>
      <c r="L124" s="101" t="str">
        <f>IF(B124&lt;&gt;"",VLOOKUP(B124,G011B!$B:$Z,25,0),"")</f>
        <v/>
      </c>
      <c r="M124" s="160" t="str">
        <f t="shared" si="20"/>
        <v/>
      </c>
      <c r="N124" s="43"/>
      <c r="O124" s="43"/>
      <c r="P124" s="43"/>
    </row>
    <row r="125" spans="1:16" ht="20.05" customHeight="1" x14ac:dyDescent="0.25">
      <c r="A125" s="180">
        <v>79</v>
      </c>
      <c r="B125" s="57"/>
      <c r="C125" s="96" t="str">
        <f t="shared" si="17"/>
        <v/>
      </c>
      <c r="D125" s="97" t="str">
        <f t="shared" si="18"/>
        <v/>
      </c>
      <c r="E125" s="58"/>
      <c r="F125" s="59"/>
      <c r="G125" s="106" t="str">
        <f t="shared" si="21"/>
        <v/>
      </c>
      <c r="H125" s="103" t="str">
        <f t="shared" si="19"/>
        <v/>
      </c>
      <c r="I125" s="110" t="str">
        <f t="shared" si="22"/>
        <v/>
      </c>
      <c r="J125" s="100" t="str">
        <f>IF(B125&gt;0,ROUNDUP(VLOOKUP(B125,G011B!$B:$R,16,0),1),"")</f>
        <v/>
      </c>
      <c r="K125" s="100" t="str">
        <f t="shared" si="23"/>
        <v/>
      </c>
      <c r="L125" s="101" t="str">
        <f>IF(B125&lt;&gt;"",VLOOKUP(B125,G011B!$B:$Z,25,0),"")</f>
        <v/>
      </c>
      <c r="M125" s="160" t="str">
        <f t="shared" si="20"/>
        <v/>
      </c>
      <c r="N125" s="43"/>
      <c r="O125" s="43"/>
      <c r="P125" s="43"/>
    </row>
    <row r="126" spans="1:16" ht="20.05" customHeight="1" thickBot="1" x14ac:dyDescent="0.3">
      <c r="A126" s="181">
        <v>80</v>
      </c>
      <c r="B126" s="60"/>
      <c r="C126" s="98" t="str">
        <f t="shared" si="17"/>
        <v/>
      </c>
      <c r="D126" s="99" t="str">
        <f t="shared" si="18"/>
        <v/>
      </c>
      <c r="E126" s="61"/>
      <c r="F126" s="62"/>
      <c r="G126" s="107" t="str">
        <f t="shared" si="21"/>
        <v/>
      </c>
      <c r="H126" s="104" t="str">
        <f t="shared" si="19"/>
        <v/>
      </c>
      <c r="I126" s="111" t="str">
        <f t="shared" si="22"/>
        <v/>
      </c>
      <c r="J126" s="100" t="str">
        <f>IF(B126&gt;0,ROUNDUP(VLOOKUP(B126,G011B!$B:$R,16,0),1),"")</f>
        <v/>
      </c>
      <c r="K126" s="100" t="str">
        <f t="shared" si="23"/>
        <v/>
      </c>
      <c r="L126" s="101" t="str">
        <f>IF(B126&lt;&gt;"",VLOOKUP(B126,G011B!$B:$Z,25,0),"")</f>
        <v/>
      </c>
      <c r="M126" s="160" t="str">
        <f t="shared" si="20"/>
        <v/>
      </c>
      <c r="N126" s="43"/>
      <c r="O126" s="43"/>
      <c r="P126" s="43"/>
    </row>
    <row r="127" spans="1:16" ht="20.05" customHeight="1" thickBot="1" x14ac:dyDescent="0.4">
      <c r="A127" s="360" t="s">
        <v>42</v>
      </c>
      <c r="B127" s="361"/>
      <c r="C127" s="361"/>
      <c r="D127" s="361"/>
      <c r="E127" s="361"/>
      <c r="F127" s="362"/>
      <c r="G127" s="108">
        <f>SUM(G107:G126)</f>
        <v>0</v>
      </c>
      <c r="H127" s="202"/>
      <c r="I127" s="93">
        <f>IF(C105=C72,SUM(I107:I126)+I94,SUM(I107:I126))</f>
        <v>0</v>
      </c>
      <c r="J127" s="43"/>
      <c r="K127" s="43"/>
      <c r="L127" s="43"/>
      <c r="M127" s="43"/>
      <c r="N127" s="112">
        <f>IF(COUNTA(B107:B126)&gt;0,1,0)</f>
        <v>0</v>
      </c>
      <c r="O127" s="43"/>
      <c r="P127" s="43"/>
    </row>
    <row r="128" spans="1:16" ht="20.05" customHeight="1" thickBot="1" x14ac:dyDescent="0.35">
      <c r="A128" s="363" t="s">
        <v>80</v>
      </c>
      <c r="B128" s="364"/>
      <c r="C128" s="364"/>
      <c r="D128" s="365"/>
      <c r="E128" s="86">
        <f>SUM(G:G)/2</f>
        <v>0</v>
      </c>
      <c r="F128" s="366"/>
      <c r="G128" s="367"/>
      <c r="H128" s="368"/>
      <c r="I128" s="92">
        <f>SUM(I107:I126)+I95</f>
        <v>0</v>
      </c>
      <c r="J128" s="43"/>
      <c r="K128" s="43"/>
      <c r="L128" s="43"/>
      <c r="M128" s="43"/>
      <c r="N128" s="43"/>
      <c r="O128" s="43"/>
      <c r="P128" s="43"/>
    </row>
    <row r="129" spans="1:16" x14ac:dyDescent="0.25">
      <c r="A129" s="182" t="s">
        <v>118</v>
      </c>
      <c r="B129" s="43"/>
      <c r="C129" s="43"/>
      <c r="D129" s="43"/>
      <c r="E129" s="43"/>
      <c r="F129" s="43"/>
      <c r="G129" s="43"/>
      <c r="H129" s="43"/>
      <c r="I129" s="43"/>
      <c r="J129" s="43"/>
      <c r="K129" s="43"/>
      <c r="L129" s="43"/>
      <c r="M129" s="43"/>
      <c r="N129" s="43"/>
      <c r="O129" s="43"/>
      <c r="P129" s="43"/>
    </row>
    <row r="130" spans="1:16" x14ac:dyDescent="0.25">
      <c r="A130" s="43"/>
      <c r="B130" s="43"/>
      <c r="C130" s="43"/>
      <c r="D130" s="43"/>
      <c r="E130" s="43"/>
      <c r="F130" s="43"/>
      <c r="G130" s="43"/>
      <c r="H130" s="43"/>
      <c r="I130" s="43"/>
      <c r="J130" s="43"/>
      <c r="K130" s="43"/>
      <c r="L130" s="43"/>
      <c r="M130" s="43"/>
      <c r="N130" s="43"/>
      <c r="O130" s="43"/>
      <c r="P130" s="43"/>
    </row>
    <row r="131" spans="1:16" ht="21.1" x14ac:dyDescent="0.35">
      <c r="A131" s="247" t="s">
        <v>39</v>
      </c>
      <c r="B131" s="248">
        <f ca="1">IF(imzatarihi&gt;0,imzatarihi,"")</f>
        <v>45686</v>
      </c>
      <c r="C131" s="251" t="s">
        <v>40</v>
      </c>
      <c r="D131" s="245" t="str">
        <f>IF(kurulusyetkilisi&gt;0,kurulusyetkilisi,"")</f>
        <v/>
      </c>
      <c r="F131" s="247"/>
      <c r="G131" s="247"/>
      <c r="H131" s="163"/>
      <c r="I131" s="163"/>
      <c r="J131" s="43"/>
      <c r="K131" s="73"/>
      <c r="L131" s="73"/>
      <c r="M131" s="5"/>
      <c r="N131" s="73"/>
      <c r="O131" s="73"/>
      <c r="P131" s="43"/>
    </row>
    <row r="132" spans="1:16" ht="19.7" x14ac:dyDescent="0.35">
      <c r="A132" s="249"/>
      <c r="B132" s="249"/>
      <c r="C132" s="251" t="s">
        <v>41</v>
      </c>
      <c r="D132" s="247"/>
      <c r="E132" s="302"/>
      <c r="F132" s="302"/>
      <c r="G132" s="302"/>
      <c r="H132" s="42"/>
      <c r="I132" s="42"/>
      <c r="J132" s="43"/>
      <c r="K132" s="73"/>
      <c r="L132" s="73"/>
      <c r="M132" s="5"/>
      <c r="N132" s="73"/>
      <c r="O132" s="73"/>
      <c r="P132" s="43"/>
    </row>
    <row r="133" spans="1:16" ht="16.3" x14ac:dyDescent="0.3">
      <c r="A133" s="338" t="s">
        <v>73</v>
      </c>
      <c r="B133" s="338"/>
      <c r="C133" s="338"/>
      <c r="D133" s="338"/>
      <c r="E133" s="338"/>
      <c r="F133" s="338"/>
      <c r="G133" s="338"/>
      <c r="H133" s="338"/>
      <c r="I133" s="338"/>
      <c r="J133" s="43"/>
      <c r="K133" s="43"/>
      <c r="L133" s="43"/>
      <c r="M133" s="43"/>
      <c r="N133" s="43"/>
      <c r="O133" s="43"/>
      <c r="P133" s="43"/>
    </row>
    <row r="134" spans="1:16" x14ac:dyDescent="0.25">
      <c r="A134" s="336" t="str">
        <f>IF(YilDonem&lt;&gt;"",CONCATENATE(YilDonem,". döneme aittir."),"")</f>
        <v/>
      </c>
      <c r="B134" s="336"/>
      <c r="C134" s="336"/>
      <c r="D134" s="336"/>
      <c r="E134" s="336"/>
      <c r="F134" s="336"/>
      <c r="G134" s="336"/>
      <c r="H134" s="336"/>
      <c r="I134" s="336"/>
      <c r="J134" s="43"/>
      <c r="K134" s="43"/>
      <c r="L134" s="43"/>
      <c r="M134" s="43"/>
      <c r="N134" s="43"/>
      <c r="O134" s="43"/>
      <c r="P134" s="43"/>
    </row>
    <row r="135" spans="1:16" ht="19.7" thickBot="1" x14ac:dyDescent="0.4">
      <c r="A135" s="372" t="s">
        <v>82</v>
      </c>
      <c r="B135" s="372"/>
      <c r="C135" s="372"/>
      <c r="D135" s="372"/>
      <c r="E135" s="372"/>
      <c r="F135" s="372"/>
      <c r="G135" s="372"/>
      <c r="H135" s="372"/>
      <c r="I135" s="372"/>
      <c r="J135" s="43"/>
      <c r="K135" s="43"/>
      <c r="L135" s="43"/>
      <c r="M135" s="43"/>
      <c r="N135" s="43"/>
      <c r="O135" s="43"/>
      <c r="P135" s="43"/>
    </row>
    <row r="136" spans="1:16" ht="19.55" customHeight="1" thickBot="1" x14ac:dyDescent="0.3">
      <c r="A136" s="341" t="s">
        <v>1</v>
      </c>
      <c r="B136" s="343"/>
      <c r="C136" s="330" t="str">
        <f>IF(ProjeNo&gt;0,ProjeNo,"")</f>
        <v/>
      </c>
      <c r="D136" s="331"/>
      <c r="E136" s="331"/>
      <c r="F136" s="331"/>
      <c r="G136" s="331"/>
      <c r="H136" s="331"/>
      <c r="I136" s="332"/>
      <c r="J136" s="43"/>
      <c r="K136" s="43"/>
      <c r="L136" s="43"/>
      <c r="M136" s="43"/>
      <c r="N136" s="43"/>
      <c r="O136" s="43"/>
      <c r="P136" s="43"/>
    </row>
    <row r="137" spans="1:16" ht="29.25" customHeight="1" thickBot="1" x14ac:dyDescent="0.3">
      <c r="A137" s="371" t="s">
        <v>11</v>
      </c>
      <c r="B137" s="342"/>
      <c r="C137" s="346" t="str">
        <f>IF(ProjeAdi&gt;0,ProjeAdi,"")</f>
        <v/>
      </c>
      <c r="D137" s="347"/>
      <c r="E137" s="347"/>
      <c r="F137" s="347"/>
      <c r="G137" s="347"/>
      <c r="H137" s="347"/>
      <c r="I137" s="348"/>
      <c r="J137" s="43"/>
      <c r="K137" s="43"/>
      <c r="L137" s="43"/>
      <c r="M137" s="43"/>
      <c r="N137" s="43"/>
      <c r="O137" s="43"/>
      <c r="P137" s="43"/>
    </row>
    <row r="138" spans="1:16" ht="19.55" customHeight="1" thickBot="1" x14ac:dyDescent="0.3">
      <c r="A138" s="341" t="s">
        <v>74</v>
      </c>
      <c r="B138" s="343"/>
      <c r="C138" s="9"/>
      <c r="D138" s="369"/>
      <c r="E138" s="369"/>
      <c r="F138" s="369"/>
      <c r="G138" s="369"/>
      <c r="H138" s="369"/>
      <c r="I138" s="370"/>
      <c r="J138" s="43"/>
      <c r="K138" s="43"/>
      <c r="L138" s="43"/>
      <c r="M138" s="43"/>
      <c r="N138" s="43"/>
      <c r="O138" s="43"/>
      <c r="P138" s="43"/>
    </row>
    <row r="139" spans="1:16" s="2" customFormat="1" ht="29.25" thickBot="1" x14ac:dyDescent="0.3">
      <c r="A139" s="176" t="s">
        <v>7</v>
      </c>
      <c r="B139" s="176" t="s">
        <v>8</v>
      </c>
      <c r="C139" s="176" t="s">
        <v>63</v>
      </c>
      <c r="D139" s="176" t="s">
        <v>119</v>
      </c>
      <c r="E139" s="176" t="s">
        <v>75</v>
      </c>
      <c r="F139" s="176" t="s">
        <v>76</v>
      </c>
      <c r="G139" s="176" t="s">
        <v>77</v>
      </c>
      <c r="H139" s="176" t="s">
        <v>78</v>
      </c>
      <c r="I139" s="176" t="s">
        <v>79</v>
      </c>
      <c r="J139" s="177" t="s">
        <v>83</v>
      </c>
      <c r="K139" s="178" t="s">
        <v>84</v>
      </c>
      <c r="L139" s="178" t="s">
        <v>76</v>
      </c>
      <c r="M139" s="169"/>
      <c r="N139" s="169"/>
      <c r="O139" s="169"/>
      <c r="P139" s="169"/>
    </row>
    <row r="140" spans="1:16" ht="20.05" customHeight="1" x14ac:dyDescent="0.25">
      <c r="A140" s="179">
        <v>81</v>
      </c>
      <c r="B140" s="53"/>
      <c r="C140" s="94" t="str">
        <f t="shared" ref="C140:C159" si="24">IF(B140&lt;&gt;"",VLOOKUP(B140,PersonelTablo,2,0),"")</f>
        <v/>
      </c>
      <c r="D140" s="95" t="str">
        <f t="shared" ref="D140:D159" si="25">IF(B140&lt;&gt;"",VLOOKUP(B140,PersonelTablo,3,0),"")</f>
        <v/>
      </c>
      <c r="E140" s="54"/>
      <c r="F140" s="55"/>
      <c r="G140" s="105" t="str">
        <f>IF(AND(B140&lt;&gt;"",L140&gt;=F140),E140*F140,"")</f>
        <v/>
      </c>
      <c r="H140" s="102" t="str">
        <f t="shared" ref="H140:H159" si="26">IF(B140&lt;&gt;"",VLOOKUP(B140,G011CTablo,14,0),"")</f>
        <v/>
      </c>
      <c r="I140" s="109" t="str">
        <f>IF(AND(B140&lt;&gt;"",J140&gt;=K140,L140&gt;0),G140*H140,"")</f>
        <v/>
      </c>
      <c r="J140" s="100" t="str">
        <f>IF(B140&gt;0,ROUNDUP(VLOOKUP(B140,G011B!$B:$R,16,0),1),"")</f>
        <v/>
      </c>
      <c r="K140" s="100" t="str">
        <f>IF(B140&gt;0,SUMIF($B:$B,B140,$G:$G),"")</f>
        <v/>
      </c>
      <c r="L140" s="101" t="str">
        <f>IF(B140&lt;&gt;"",VLOOKUP(B140,G011B!$B:$Z,25,0),"")</f>
        <v/>
      </c>
      <c r="M140" s="160" t="str">
        <f t="shared" ref="M140:M159" si="27">IF(J140&gt;=K140,"","Personelin bütün iş paketlerindeki Toplam Adam Ay değeri "&amp;K140&amp;" olup, bu değer, G011B formunda beyan edilen Çalışılan Toplam Ay değerini geçemez. Maliyeti hesaplamak için Adam/Ay Oranı veya Çalışılan Ay değerini düzeltiniz. ")</f>
        <v/>
      </c>
      <c r="N140" s="43"/>
      <c r="O140" s="43"/>
      <c r="P140" s="43"/>
    </row>
    <row r="141" spans="1:16" ht="20.05" customHeight="1" x14ac:dyDescent="0.25">
      <c r="A141" s="180">
        <v>82</v>
      </c>
      <c r="B141" s="57"/>
      <c r="C141" s="96" t="str">
        <f t="shared" si="24"/>
        <v/>
      </c>
      <c r="D141" s="97" t="str">
        <f t="shared" si="25"/>
        <v/>
      </c>
      <c r="E141" s="58"/>
      <c r="F141" s="59"/>
      <c r="G141" s="106" t="str">
        <f t="shared" ref="G141:G159" si="28">IF(AND(B141&lt;&gt;"",L141&gt;=F141),E141*F141,"")</f>
        <v/>
      </c>
      <c r="H141" s="103" t="str">
        <f t="shared" si="26"/>
        <v/>
      </c>
      <c r="I141" s="110" t="str">
        <f t="shared" ref="I141:I159" si="29">IF(AND(B141&lt;&gt;"",J141&gt;=K141,L141&gt;0),G141*H141,"")</f>
        <v/>
      </c>
      <c r="J141" s="100" t="str">
        <f>IF(B141&gt;0,ROUNDUP(VLOOKUP(B141,G011B!$B:$R,16,0),1),"")</f>
        <v/>
      </c>
      <c r="K141" s="100" t="str">
        <f t="shared" ref="K141:K159" si="30">IF(B141&gt;0,SUMIF($B:$B,B141,$G:$G),"")</f>
        <v/>
      </c>
      <c r="L141" s="101" t="str">
        <f>IF(B141&lt;&gt;"",VLOOKUP(B141,G011B!$B:$Z,25,0),"")</f>
        <v/>
      </c>
      <c r="M141" s="160" t="str">
        <f t="shared" si="27"/>
        <v/>
      </c>
      <c r="N141" s="43"/>
      <c r="O141" s="43"/>
      <c r="P141" s="43"/>
    </row>
    <row r="142" spans="1:16" ht="20.05" customHeight="1" x14ac:dyDescent="0.25">
      <c r="A142" s="180">
        <v>83</v>
      </c>
      <c r="B142" s="57"/>
      <c r="C142" s="96" t="str">
        <f t="shared" si="24"/>
        <v/>
      </c>
      <c r="D142" s="97" t="str">
        <f t="shared" si="25"/>
        <v/>
      </c>
      <c r="E142" s="58"/>
      <c r="F142" s="59"/>
      <c r="G142" s="106" t="str">
        <f t="shared" si="28"/>
        <v/>
      </c>
      <c r="H142" s="103" t="str">
        <f t="shared" si="26"/>
        <v/>
      </c>
      <c r="I142" s="110" t="str">
        <f t="shared" si="29"/>
        <v/>
      </c>
      <c r="J142" s="100" t="str">
        <f>IF(B142&gt;0,ROUNDUP(VLOOKUP(B142,G011B!$B:$R,16,0),1),"")</f>
        <v/>
      </c>
      <c r="K142" s="100" t="str">
        <f t="shared" si="30"/>
        <v/>
      </c>
      <c r="L142" s="101" t="str">
        <f>IF(B142&lt;&gt;"",VLOOKUP(B142,G011B!$B:$Z,25,0),"")</f>
        <v/>
      </c>
      <c r="M142" s="160" t="str">
        <f t="shared" si="27"/>
        <v/>
      </c>
      <c r="N142" s="43"/>
      <c r="O142" s="43"/>
      <c r="P142" s="43"/>
    </row>
    <row r="143" spans="1:16" ht="20.05" customHeight="1" x14ac:dyDescent="0.25">
      <c r="A143" s="180">
        <v>84</v>
      </c>
      <c r="B143" s="57"/>
      <c r="C143" s="96" t="str">
        <f t="shared" si="24"/>
        <v/>
      </c>
      <c r="D143" s="97" t="str">
        <f t="shared" si="25"/>
        <v/>
      </c>
      <c r="E143" s="58"/>
      <c r="F143" s="59"/>
      <c r="G143" s="106" t="str">
        <f t="shared" si="28"/>
        <v/>
      </c>
      <c r="H143" s="103" t="str">
        <f t="shared" si="26"/>
        <v/>
      </c>
      <c r="I143" s="110" t="str">
        <f t="shared" si="29"/>
        <v/>
      </c>
      <c r="J143" s="100" t="str">
        <f>IF(B143&gt;0,ROUNDUP(VLOOKUP(B143,G011B!$B:$R,16,0),1),"")</f>
        <v/>
      </c>
      <c r="K143" s="100" t="str">
        <f t="shared" si="30"/>
        <v/>
      </c>
      <c r="L143" s="101" t="str">
        <f>IF(B143&lt;&gt;"",VLOOKUP(B143,G011B!$B:$Z,25,0),"")</f>
        <v/>
      </c>
      <c r="M143" s="160" t="str">
        <f t="shared" si="27"/>
        <v/>
      </c>
      <c r="N143" s="43"/>
      <c r="O143" s="43"/>
      <c r="P143" s="43"/>
    </row>
    <row r="144" spans="1:16" ht="20.05" customHeight="1" x14ac:dyDescent="0.25">
      <c r="A144" s="180">
        <v>85</v>
      </c>
      <c r="B144" s="57"/>
      <c r="C144" s="96" t="str">
        <f t="shared" si="24"/>
        <v/>
      </c>
      <c r="D144" s="97" t="str">
        <f t="shared" si="25"/>
        <v/>
      </c>
      <c r="E144" s="58"/>
      <c r="F144" s="59"/>
      <c r="G144" s="106" t="str">
        <f t="shared" si="28"/>
        <v/>
      </c>
      <c r="H144" s="103" t="str">
        <f t="shared" si="26"/>
        <v/>
      </c>
      <c r="I144" s="110" t="str">
        <f t="shared" si="29"/>
        <v/>
      </c>
      <c r="J144" s="100" t="str">
        <f>IF(B144&gt;0,ROUNDUP(VLOOKUP(B144,G011B!$B:$R,16,0),1),"")</f>
        <v/>
      </c>
      <c r="K144" s="100" t="str">
        <f t="shared" si="30"/>
        <v/>
      </c>
      <c r="L144" s="101" t="str">
        <f>IF(B144&lt;&gt;"",VLOOKUP(B144,G011B!$B:$Z,25,0),"")</f>
        <v/>
      </c>
      <c r="M144" s="160" t="str">
        <f t="shared" si="27"/>
        <v/>
      </c>
      <c r="N144" s="43"/>
      <c r="O144" s="43"/>
      <c r="P144" s="43"/>
    </row>
    <row r="145" spans="1:16" ht="20.05" customHeight="1" x14ac:dyDescent="0.25">
      <c r="A145" s="180">
        <v>86</v>
      </c>
      <c r="B145" s="57"/>
      <c r="C145" s="96" t="str">
        <f t="shared" si="24"/>
        <v/>
      </c>
      <c r="D145" s="97" t="str">
        <f t="shared" si="25"/>
        <v/>
      </c>
      <c r="E145" s="58"/>
      <c r="F145" s="59"/>
      <c r="G145" s="106" t="str">
        <f t="shared" si="28"/>
        <v/>
      </c>
      <c r="H145" s="103" t="str">
        <f t="shared" si="26"/>
        <v/>
      </c>
      <c r="I145" s="110" t="str">
        <f t="shared" si="29"/>
        <v/>
      </c>
      <c r="J145" s="100" t="str">
        <f>IF(B145&gt;0,ROUNDUP(VLOOKUP(B145,G011B!$B:$R,16,0),1),"")</f>
        <v/>
      </c>
      <c r="K145" s="100" t="str">
        <f t="shared" si="30"/>
        <v/>
      </c>
      <c r="L145" s="101" t="str">
        <f>IF(B145&lt;&gt;"",VLOOKUP(B145,G011B!$B:$Z,25,0),"")</f>
        <v/>
      </c>
      <c r="M145" s="160" t="str">
        <f t="shared" si="27"/>
        <v/>
      </c>
      <c r="N145" s="43"/>
      <c r="O145" s="43"/>
      <c r="P145" s="43"/>
    </row>
    <row r="146" spans="1:16" ht="20.05" customHeight="1" x14ac:dyDescent="0.25">
      <c r="A146" s="180">
        <v>87</v>
      </c>
      <c r="B146" s="57"/>
      <c r="C146" s="96" t="str">
        <f t="shared" si="24"/>
        <v/>
      </c>
      <c r="D146" s="97" t="str">
        <f t="shared" si="25"/>
        <v/>
      </c>
      <c r="E146" s="58"/>
      <c r="F146" s="59"/>
      <c r="G146" s="106" t="str">
        <f t="shared" si="28"/>
        <v/>
      </c>
      <c r="H146" s="103" t="str">
        <f t="shared" si="26"/>
        <v/>
      </c>
      <c r="I146" s="110" t="str">
        <f t="shared" si="29"/>
        <v/>
      </c>
      <c r="J146" s="100" t="str">
        <f>IF(B146&gt;0,ROUNDUP(VLOOKUP(B146,G011B!$B:$R,16,0),1),"")</f>
        <v/>
      </c>
      <c r="K146" s="100" t="str">
        <f t="shared" si="30"/>
        <v/>
      </c>
      <c r="L146" s="101" t="str">
        <f>IF(B146&lt;&gt;"",VLOOKUP(B146,G011B!$B:$Z,25,0),"")</f>
        <v/>
      </c>
      <c r="M146" s="160" t="str">
        <f t="shared" si="27"/>
        <v/>
      </c>
      <c r="N146" s="43"/>
      <c r="O146" s="43"/>
      <c r="P146" s="43"/>
    </row>
    <row r="147" spans="1:16" ht="20.05" customHeight="1" x14ac:dyDescent="0.25">
      <c r="A147" s="180">
        <v>88</v>
      </c>
      <c r="B147" s="57"/>
      <c r="C147" s="96" t="str">
        <f t="shared" si="24"/>
        <v/>
      </c>
      <c r="D147" s="97" t="str">
        <f t="shared" si="25"/>
        <v/>
      </c>
      <c r="E147" s="58"/>
      <c r="F147" s="59"/>
      <c r="G147" s="106" t="str">
        <f t="shared" si="28"/>
        <v/>
      </c>
      <c r="H147" s="103" t="str">
        <f t="shared" si="26"/>
        <v/>
      </c>
      <c r="I147" s="110" t="str">
        <f t="shared" si="29"/>
        <v/>
      </c>
      <c r="J147" s="100" t="str">
        <f>IF(B147&gt;0,ROUNDUP(VLOOKUP(B147,G011B!$B:$R,16,0),1),"")</f>
        <v/>
      </c>
      <c r="K147" s="100" t="str">
        <f t="shared" si="30"/>
        <v/>
      </c>
      <c r="L147" s="101" t="str">
        <f>IF(B147&lt;&gt;"",VLOOKUP(B147,G011B!$B:$Z,25,0),"")</f>
        <v/>
      </c>
      <c r="M147" s="160" t="str">
        <f t="shared" si="27"/>
        <v/>
      </c>
      <c r="N147" s="43"/>
      <c r="O147" s="43"/>
      <c r="P147" s="43"/>
    </row>
    <row r="148" spans="1:16" ht="20.05" customHeight="1" x14ac:dyDescent="0.25">
      <c r="A148" s="180">
        <v>89</v>
      </c>
      <c r="B148" s="57"/>
      <c r="C148" s="96" t="str">
        <f t="shared" si="24"/>
        <v/>
      </c>
      <c r="D148" s="97" t="str">
        <f t="shared" si="25"/>
        <v/>
      </c>
      <c r="E148" s="58"/>
      <c r="F148" s="59"/>
      <c r="G148" s="106" t="str">
        <f t="shared" si="28"/>
        <v/>
      </c>
      <c r="H148" s="103" t="str">
        <f t="shared" si="26"/>
        <v/>
      </c>
      <c r="I148" s="110" t="str">
        <f t="shared" si="29"/>
        <v/>
      </c>
      <c r="J148" s="100" t="str">
        <f>IF(B148&gt;0,ROUNDUP(VLOOKUP(B148,G011B!$B:$R,16,0),1),"")</f>
        <v/>
      </c>
      <c r="K148" s="100" t="str">
        <f t="shared" si="30"/>
        <v/>
      </c>
      <c r="L148" s="101" t="str">
        <f>IF(B148&lt;&gt;"",VLOOKUP(B148,G011B!$B:$Z,25,0),"")</f>
        <v/>
      </c>
      <c r="M148" s="160" t="str">
        <f t="shared" si="27"/>
        <v/>
      </c>
      <c r="N148" s="43"/>
      <c r="O148" s="43"/>
      <c r="P148" s="43"/>
    </row>
    <row r="149" spans="1:16" ht="20.05" customHeight="1" x14ac:dyDescent="0.25">
      <c r="A149" s="180">
        <v>90</v>
      </c>
      <c r="B149" s="57"/>
      <c r="C149" s="96" t="str">
        <f t="shared" si="24"/>
        <v/>
      </c>
      <c r="D149" s="97" t="str">
        <f t="shared" si="25"/>
        <v/>
      </c>
      <c r="E149" s="58"/>
      <c r="F149" s="59"/>
      <c r="G149" s="106" t="str">
        <f t="shared" si="28"/>
        <v/>
      </c>
      <c r="H149" s="103" t="str">
        <f t="shared" si="26"/>
        <v/>
      </c>
      <c r="I149" s="110" t="str">
        <f t="shared" si="29"/>
        <v/>
      </c>
      <c r="J149" s="100" t="str">
        <f>IF(B149&gt;0,ROUNDUP(VLOOKUP(B149,G011B!$B:$R,16,0),1),"")</f>
        <v/>
      </c>
      <c r="K149" s="100" t="str">
        <f t="shared" si="30"/>
        <v/>
      </c>
      <c r="L149" s="101" t="str">
        <f>IF(B149&lt;&gt;"",VLOOKUP(B149,G011B!$B:$Z,25,0),"")</f>
        <v/>
      </c>
      <c r="M149" s="160" t="str">
        <f t="shared" si="27"/>
        <v/>
      </c>
      <c r="N149" s="43"/>
      <c r="O149" s="43"/>
      <c r="P149" s="43"/>
    </row>
    <row r="150" spans="1:16" ht="20.05" customHeight="1" x14ac:dyDescent="0.25">
      <c r="A150" s="180">
        <v>91</v>
      </c>
      <c r="B150" s="57"/>
      <c r="C150" s="96" t="str">
        <f t="shared" si="24"/>
        <v/>
      </c>
      <c r="D150" s="97" t="str">
        <f t="shared" si="25"/>
        <v/>
      </c>
      <c r="E150" s="58"/>
      <c r="F150" s="59"/>
      <c r="G150" s="106" t="str">
        <f t="shared" si="28"/>
        <v/>
      </c>
      <c r="H150" s="103" t="str">
        <f t="shared" si="26"/>
        <v/>
      </c>
      <c r="I150" s="110" t="str">
        <f t="shared" si="29"/>
        <v/>
      </c>
      <c r="J150" s="100" t="str">
        <f>IF(B150&gt;0,ROUNDUP(VLOOKUP(B150,G011B!$B:$R,16,0),1),"")</f>
        <v/>
      </c>
      <c r="K150" s="100" t="str">
        <f t="shared" si="30"/>
        <v/>
      </c>
      <c r="L150" s="101" t="str">
        <f>IF(B150&lt;&gt;"",VLOOKUP(B150,G011B!$B:$Z,25,0),"")</f>
        <v/>
      </c>
      <c r="M150" s="160" t="str">
        <f t="shared" si="27"/>
        <v/>
      </c>
      <c r="N150" s="43"/>
      <c r="O150" s="43"/>
      <c r="P150" s="43"/>
    </row>
    <row r="151" spans="1:16" ht="20.05" customHeight="1" x14ac:dyDescent="0.25">
      <c r="A151" s="180">
        <v>92</v>
      </c>
      <c r="B151" s="57"/>
      <c r="C151" s="96" t="str">
        <f t="shared" si="24"/>
        <v/>
      </c>
      <c r="D151" s="97" t="str">
        <f t="shared" si="25"/>
        <v/>
      </c>
      <c r="E151" s="58"/>
      <c r="F151" s="59"/>
      <c r="G151" s="106" t="str">
        <f t="shared" si="28"/>
        <v/>
      </c>
      <c r="H151" s="103" t="str">
        <f t="shared" si="26"/>
        <v/>
      </c>
      <c r="I151" s="110" t="str">
        <f t="shared" si="29"/>
        <v/>
      </c>
      <c r="J151" s="100" t="str">
        <f>IF(B151&gt;0,ROUNDUP(VLOOKUP(B151,G011B!$B:$R,16,0),1),"")</f>
        <v/>
      </c>
      <c r="K151" s="100" t="str">
        <f t="shared" si="30"/>
        <v/>
      </c>
      <c r="L151" s="101" t="str">
        <f>IF(B151&lt;&gt;"",VLOOKUP(B151,G011B!$B:$Z,25,0),"")</f>
        <v/>
      </c>
      <c r="M151" s="160" t="str">
        <f t="shared" si="27"/>
        <v/>
      </c>
      <c r="N151" s="43"/>
      <c r="O151" s="43"/>
      <c r="P151" s="43"/>
    </row>
    <row r="152" spans="1:16" ht="20.05" customHeight="1" x14ac:dyDescent="0.25">
      <c r="A152" s="180">
        <v>93</v>
      </c>
      <c r="B152" s="57"/>
      <c r="C152" s="96" t="str">
        <f t="shared" si="24"/>
        <v/>
      </c>
      <c r="D152" s="97" t="str">
        <f t="shared" si="25"/>
        <v/>
      </c>
      <c r="E152" s="58"/>
      <c r="F152" s="59"/>
      <c r="G152" s="106" t="str">
        <f t="shared" si="28"/>
        <v/>
      </c>
      <c r="H152" s="103" t="str">
        <f t="shared" si="26"/>
        <v/>
      </c>
      <c r="I152" s="110" t="str">
        <f t="shared" si="29"/>
        <v/>
      </c>
      <c r="J152" s="100" t="str">
        <f>IF(B152&gt;0,ROUNDUP(VLOOKUP(B152,G011B!$B:$R,16,0),1),"")</f>
        <v/>
      </c>
      <c r="K152" s="100" t="str">
        <f t="shared" si="30"/>
        <v/>
      </c>
      <c r="L152" s="101" t="str">
        <f>IF(B152&lt;&gt;"",VLOOKUP(B152,G011B!$B:$Z,25,0),"")</f>
        <v/>
      </c>
      <c r="M152" s="160" t="str">
        <f t="shared" si="27"/>
        <v/>
      </c>
      <c r="N152" s="43"/>
      <c r="O152" s="43"/>
      <c r="P152" s="43"/>
    </row>
    <row r="153" spans="1:16" ht="20.05" customHeight="1" x14ac:dyDescent="0.25">
      <c r="A153" s="180">
        <v>94</v>
      </c>
      <c r="B153" s="57"/>
      <c r="C153" s="96" t="str">
        <f t="shared" si="24"/>
        <v/>
      </c>
      <c r="D153" s="97" t="str">
        <f t="shared" si="25"/>
        <v/>
      </c>
      <c r="E153" s="58"/>
      <c r="F153" s="59"/>
      <c r="G153" s="106" t="str">
        <f t="shared" si="28"/>
        <v/>
      </c>
      <c r="H153" s="103" t="str">
        <f t="shared" si="26"/>
        <v/>
      </c>
      <c r="I153" s="110" t="str">
        <f t="shared" si="29"/>
        <v/>
      </c>
      <c r="J153" s="100" t="str">
        <f>IF(B153&gt;0,ROUNDUP(VLOOKUP(B153,G011B!$B:$R,16,0),1),"")</f>
        <v/>
      </c>
      <c r="K153" s="100" t="str">
        <f t="shared" si="30"/>
        <v/>
      </c>
      <c r="L153" s="101" t="str">
        <f>IF(B153&lt;&gt;"",VLOOKUP(B153,G011B!$B:$Z,25,0),"")</f>
        <v/>
      </c>
      <c r="M153" s="160" t="str">
        <f t="shared" si="27"/>
        <v/>
      </c>
      <c r="N153" s="43"/>
      <c r="O153" s="43"/>
      <c r="P153" s="43"/>
    </row>
    <row r="154" spans="1:16" ht="20.05" customHeight="1" x14ac:dyDescent="0.25">
      <c r="A154" s="180">
        <v>95</v>
      </c>
      <c r="B154" s="57"/>
      <c r="C154" s="96" t="str">
        <f t="shared" si="24"/>
        <v/>
      </c>
      <c r="D154" s="97" t="str">
        <f t="shared" si="25"/>
        <v/>
      </c>
      <c r="E154" s="58"/>
      <c r="F154" s="59"/>
      <c r="G154" s="106" t="str">
        <f t="shared" si="28"/>
        <v/>
      </c>
      <c r="H154" s="103" t="str">
        <f t="shared" si="26"/>
        <v/>
      </c>
      <c r="I154" s="110" t="str">
        <f t="shared" si="29"/>
        <v/>
      </c>
      <c r="J154" s="100" t="str">
        <f>IF(B154&gt;0,ROUNDUP(VLOOKUP(B154,G011B!$B:$R,16,0),1),"")</f>
        <v/>
      </c>
      <c r="K154" s="100" t="str">
        <f t="shared" si="30"/>
        <v/>
      </c>
      <c r="L154" s="101" t="str">
        <f>IF(B154&lt;&gt;"",VLOOKUP(B154,G011B!$B:$Z,25,0),"")</f>
        <v/>
      </c>
      <c r="M154" s="160" t="str">
        <f t="shared" si="27"/>
        <v/>
      </c>
      <c r="N154" s="43"/>
      <c r="O154" s="43"/>
      <c r="P154" s="43"/>
    </row>
    <row r="155" spans="1:16" ht="20.05" customHeight="1" x14ac:dyDescent="0.25">
      <c r="A155" s="180">
        <v>96</v>
      </c>
      <c r="B155" s="57"/>
      <c r="C155" s="96" t="str">
        <f t="shared" si="24"/>
        <v/>
      </c>
      <c r="D155" s="97" t="str">
        <f t="shared" si="25"/>
        <v/>
      </c>
      <c r="E155" s="58"/>
      <c r="F155" s="59"/>
      <c r="G155" s="106" t="str">
        <f t="shared" si="28"/>
        <v/>
      </c>
      <c r="H155" s="103" t="str">
        <f t="shared" si="26"/>
        <v/>
      </c>
      <c r="I155" s="110" t="str">
        <f t="shared" si="29"/>
        <v/>
      </c>
      <c r="J155" s="100" t="str">
        <f>IF(B155&gt;0,ROUNDUP(VLOOKUP(B155,G011B!$B:$R,16,0),1),"")</f>
        <v/>
      </c>
      <c r="K155" s="100" t="str">
        <f t="shared" si="30"/>
        <v/>
      </c>
      <c r="L155" s="101" t="str">
        <f>IF(B155&lt;&gt;"",VLOOKUP(B155,G011B!$B:$Z,25,0),"")</f>
        <v/>
      </c>
      <c r="M155" s="160" t="str">
        <f t="shared" si="27"/>
        <v/>
      </c>
      <c r="N155" s="43"/>
      <c r="O155" s="43"/>
      <c r="P155" s="43"/>
    </row>
    <row r="156" spans="1:16" ht="20.05" customHeight="1" x14ac:dyDescent="0.25">
      <c r="A156" s="180">
        <v>97</v>
      </c>
      <c r="B156" s="57"/>
      <c r="C156" s="96" t="str">
        <f t="shared" si="24"/>
        <v/>
      </c>
      <c r="D156" s="97" t="str">
        <f t="shared" si="25"/>
        <v/>
      </c>
      <c r="E156" s="58"/>
      <c r="F156" s="59"/>
      <c r="G156" s="106" t="str">
        <f t="shared" si="28"/>
        <v/>
      </c>
      <c r="H156" s="103" t="str">
        <f t="shared" si="26"/>
        <v/>
      </c>
      <c r="I156" s="110" t="str">
        <f t="shared" si="29"/>
        <v/>
      </c>
      <c r="J156" s="100" t="str">
        <f>IF(B156&gt;0,ROUNDUP(VLOOKUP(B156,G011B!$B:$R,16,0),1),"")</f>
        <v/>
      </c>
      <c r="K156" s="100" t="str">
        <f t="shared" si="30"/>
        <v/>
      </c>
      <c r="L156" s="101" t="str">
        <f>IF(B156&lt;&gt;"",VLOOKUP(B156,G011B!$B:$Z,25,0),"")</f>
        <v/>
      </c>
      <c r="M156" s="160" t="str">
        <f t="shared" si="27"/>
        <v/>
      </c>
      <c r="N156" s="43"/>
      <c r="O156" s="43"/>
      <c r="P156" s="43"/>
    </row>
    <row r="157" spans="1:16" ht="20.05" customHeight="1" x14ac:dyDescent="0.25">
      <c r="A157" s="180">
        <v>98</v>
      </c>
      <c r="B157" s="57"/>
      <c r="C157" s="96" t="str">
        <f t="shared" si="24"/>
        <v/>
      </c>
      <c r="D157" s="97" t="str">
        <f t="shared" si="25"/>
        <v/>
      </c>
      <c r="E157" s="58"/>
      <c r="F157" s="59"/>
      <c r="G157" s="106" t="str">
        <f t="shared" si="28"/>
        <v/>
      </c>
      <c r="H157" s="103" t="str">
        <f t="shared" si="26"/>
        <v/>
      </c>
      <c r="I157" s="110" t="str">
        <f t="shared" si="29"/>
        <v/>
      </c>
      <c r="J157" s="100" t="str">
        <f>IF(B157&gt;0,ROUNDUP(VLOOKUP(B157,G011B!$B:$R,16,0),1),"")</f>
        <v/>
      </c>
      <c r="K157" s="100" t="str">
        <f t="shared" si="30"/>
        <v/>
      </c>
      <c r="L157" s="101" t="str">
        <f>IF(B157&lt;&gt;"",VLOOKUP(B157,G011B!$B:$Z,25,0),"")</f>
        <v/>
      </c>
      <c r="M157" s="160" t="str">
        <f t="shared" si="27"/>
        <v/>
      </c>
      <c r="N157" s="43"/>
      <c r="O157" s="43"/>
      <c r="P157" s="43"/>
    </row>
    <row r="158" spans="1:16" ht="20.05" customHeight="1" x14ac:dyDescent="0.25">
      <c r="A158" s="180">
        <v>99</v>
      </c>
      <c r="B158" s="57"/>
      <c r="C158" s="96" t="str">
        <f t="shared" si="24"/>
        <v/>
      </c>
      <c r="D158" s="97" t="str">
        <f t="shared" si="25"/>
        <v/>
      </c>
      <c r="E158" s="58"/>
      <c r="F158" s="59"/>
      <c r="G158" s="106" t="str">
        <f t="shared" si="28"/>
        <v/>
      </c>
      <c r="H158" s="103" t="str">
        <f t="shared" si="26"/>
        <v/>
      </c>
      <c r="I158" s="110" t="str">
        <f t="shared" si="29"/>
        <v/>
      </c>
      <c r="J158" s="100" t="str">
        <f>IF(B158&gt;0,ROUNDUP(VLOOKUP(B158,G011B!$B:$R,16,0),1),"")</f>
        <v/>
      </c>
      <c r="K158" s="100" t="str">
        <f t="shared" si="30"/>
        <v/>
      </c>
      <c r="L158" s="101" t="str">
        <f>IF(B158&lt;&gt;"",VLOOKUP(B158,G011B!$B:$Z,25,0),"")</f>
        <v/>
      </c>
      <c r="M158" s="160" t="str">
        <f t="shared" si="27"/>
        <v/>
      </c>
      <c r="N158" s="43"/>
      <c r="O158" s="43"/>
      <c r="P158" s="43"/>
    </row>
    <row r="159" spans="1:16" ht="20.05" customHeight="1" thickBot="1" x14ac:dyDescent="0.3">
      <c r="A159" s="181">
        <v>100</v>
      </c>
      <c r="B159" s="60"/>
      <c r="C159" s="98" t="str">
        <f t="shared" si="24"/>
        <v/>
      </c>
      <c r="D159" s="99" t="str">
        <f t="shared" si="25"/>
        <v/>
      </c>
      <c r="E159" s="61"/>
      <c r="F159" s="62"/>
      <c r="G159" s="107" t="str">
        <f t="shared" si="28"/>
        <v/>
      </c>
      <c r="H159" s="104" t="str">
        <f t="shared" si="26"/>
        <v/>
      </c>
      <c r="I159" s="111" t="str">
        <f t="shared" si="29"/>
        <v/>
      </c>
      <c r="J159" s="100" t="str">
        <f>IF(B159&gt;0,ROUNDUP(VLOOKUP(B159,G011B!$B:$R,16,0),1),"")</f>
        <v/>
      </c>
      <c r="K159" s="100" t="str">
        <f t="shared" si="30"/>
        <v/>
      </c>
      <c r="L159" s="101" t="str">
        <f>IF(B159&lt;&gt;"",VLOOKUP(B159,G011B!$B:$Z,25,0),"")</f>
        <v/>
      </c>
      <c r="M159" s="160" t="str">
        <f t="shared" si="27"/>
        <v/>
      </c>
      <c r="N159" s="43"/>
      <c r="O159" s="43"/>
      <c r="P159" s="43"/>
    </row>
    <row r="160" spans="1:16" ht="20.05" customHeight="1" thickBot="1" x14ac:dyDescent="0.4">
      <c r="A160" s="360" t="s">
        <v>42</v>
      </c>
      <c r="B160" s="361"/>
      <c r="C160" s="361"/>
      <c r="D160" s="361"/>
      <c r="E160" s="361"/>
      <c r="F160" s="362"/>
      <c r="G160" s="108">
        <f>SUM(G140:G159)</f>
        <v>0</v>
      </c>
      <c r="H160" s="202"/>
      <c r="I160" s="93">
        <f>IF(C138=C105,SUM(I140:I159)+I127,SUM(I140:I159))</f>
        <v>0</v>
      </c>
      <c r="J160" s="43"/>
      <c r="K160" s="43"/>
      <c r="L160" s="43"/>
      <c r="M160" s="43"/>
      <c r="N160" s="112">
        <f>IF(COUNTA(B140:B159)&gt;0,1,0)</f>
        <v>0</v>
      </c>
      <c r="O160" s="43"/>
      <c r="P160" s="43"/>
    </row>
    <row r="161" spans="1:16" ht="20.05" customHeight="1" thickBot="1" x14ac:dyDescent="0.35">
      <c r="A161" s="363" t="s">
        <v>80</v>
      </c>
      <c r="B161" s="364"/>
      <c r="C161" s="364"/>
      <c r="D161" s="365"/>
      <c r="E161" s="86">
        <f>SUM(G:G)/2</f>
        <v>0</v>
      </c>
      <c r="F161" s="366"/>
      <c r="G161" s="367"/>
      <c r="H161" s="368"/>
      <c r="I161" s="92">
        <f>SUM(I140:I159)+I128</f>
        <v>0</v>
      </c>
      <c r="J161" s="43"/>
      <c r="K161" s="43"/>
      <c r="L161" s="43"/>
      <c r="M161" s="43"/>
      <c r="N161" s="43"/>
      <c r="O161" s="43"/>
      <c r="P161" s="43"/>
    </row>
    <row r="162" spans="1:16" x14ac:dyDescent="0.25">
      <c r="A162" s="182" t="s">
        <v>118</v>
      </c>
      <c r="B162" s="43"/>
      <c r="C162" s="43"/>
      <c r="D162" s="43"/>
      <c r="E162" s="43"/>
      <c r="F162" s="43"/>
      <c r="G162" s="43"/>
      <c r="H162" s="43"/>
      <c r="I162" s="43"/>
      <c r="J162" s="43"/>
      <c r="K162" s="43"/>
      <c r="L162" s="43"/>
      <c r="M162" s="43"/>
      <c r="N162" s="43"/>
      <c r="O162" s="43"/>
      <c r="P162" s="43"/>
    </row>
    <row r="163" spans="1:16" x14ac:dyDescent="0.25">
      <c r="A163" s="43"/>
      <c r="B163" s="43"/>
      <c r="C163" s="43"/>
      <c r="D163" s="43"/>
      <c r="E163" s="43"/>
      <c r="F163" s="43"/>
      <c r="G163" s="43"/>
      <c r="H163" s="43"/>
      <c r="I163" s="43"/>
      <c r="J163" s="43"/>
      <c r="K163" s="43"/>
      <c r="L163" s="43"/>
      <c r="M163" s="43"/>
      <c r="N163" s="43"/>
      <c r="O163" s="43"/>
      <c r="P163" s="43"/>
    </row>
    <row r="164" spans="1:16" ht="21.1" x14ac:dyDescent="0.35">
      <c r="A164" s="247" t="s">
        <v>39</v>
      </c>
      <c r="B164" s="248">
        <f ca="1">IF(imzatarihi&gt;0,imzatarihi,"")</f>
        <v>45686</v>
      </c>
      <c r="C164" s="251" t="s">
        <v>40</v>
      </c>
      <c r="D164" s="245" t="str">
        <f>IF(kurulusyetkilisi&gt;0,kurulusyetkilisi,"")</f>
        <v/>
      </c>
      <c r="F164" s="247"/>
      <c r="G164" s="247"/>
      <c r="H164" s="163"/>
      <c r="I164" s="163"/>
      <c r="J164" s="43"/>
      <c r="K164" s="73"/>
      <c r="L164" s="73"/>
      <c r="M164" s="5"/>
      <c r="N164" s="73"/>
      <c r="O164" s="73"/>
      <c r="P164" s="43"/>
    </row>
    <row r="165" spans="1:16" ht="19.7" x14ac:dyDescent="0.35">
      <c r="A165" s="249"/>
      <c r="B165" s="249"/>
      <c r="C165" s="251" t="s">
        <v>41</v>
      </c>
      <c r="D165" s="247"/>
      <c r="E165" s="302"/>
      <c r="F165" s="302"/>
      <c r="G165" s="302"/>
      <c r="H165" s="42"/>
      <c r="I165" s="42"/>
      <c r="J165" s="43"/>
      <c r="K165" s="73"/>
      <c r="L165" s="73"/>
      <c r="M165" s="5"/>
      <c r="N165" s="73"/>
      <c r="O165" s="73"/>
      <c r="P165" s="43"/>
    </row>
    <row r="166" spans="1:16" ht="16.3" x14ac:dyDescent="0.3">
      <c r="A166" s="338" t="s">
        <v>73</v>
      </c>
      <c r="B166" s="338"/>
      <c r="C166" s="338"/>
      <c r="D166" s="338"/>
      <c r="E166" s="338"/>
      <c r="F166" s="338"/>
      <c r="G166" s="338"/>
      <c r="H166" s="338"/>
      <c r="I166" s="338"/>
      <c r="J166" s="43"/>
      <c r="K166" s="43"/>
      <c r="L166" s="43"/>
      <c r="M166" s="43"/>
      <c r="N166" s="43"/>
      <c r="O166" s="43"/>
      <c r="P166" s="43"/>
    </row>
    <row r="167" spans="1:16" x14ac:dyDescent="0.25">
      <c r="A167" s="336" t="str">
        <f>IF(YilDonem&lt;&gt;"",CONCATENATE(YilDonem,". döneme aittir."),"")</f>
        <v/>
      </c>
      <c r="B167" s="336"/>
      <c r="C167" s="336"/>
      <c r="D167" s="336"/>
      <c r="E167" s="336"/>
      <c r="F167" s="336"/>
      <c r="G167" s="336"/>
      <c r="H167" s="336"/>
      <c r="I167" s="336"/>
      <c r="J167" s="43"/>
      <c r="K167" s="43"/>
      <c r="L167" s="43"/>
      <c r="M167" s="43"/>
      <c r="N167" s="43"/>
      <c r="O167" s="43"/>
      <c r="P167" s="43"/>
    </row>
    <row r="168" spans="1:16" ht="19.7" thickBot="1" x14ac:dyDescent="0.4">
      <c r="A168" s="372" t="s">
        <v>82</v>
      </c>
      <c r="B168" s="372"/>
      <c r="C168" s="372"/>
      <c r="D168" s="372"/>
      <c r="E168" s="372"/>
      <c r="F168" s="372"/>
      <c r="G168" s="372"/>
      <c r="H168" s="372"/>
      <c r="I168" s="372"/>
      <c r="J168" s="43"/>
      <c r="K168" s="43"/>
      <c r="L168" s="43"/>
      <c r="M168" s="43"/>
      <c r="N168" s="43"/>
      <c r="O168" s="43"/>
      <c r="P168" s="43"/>
    </row>
    <row r="169" spans="1:16" ht="19.55" customHeight="1" thickBot="1" x14ac:dyDescent="0.3">
      <c r="A169" s="341" t="s">
        <v>1</v>
      </c>
      <c r="B169" s="343"/>
      <c r="C169" s="330" t="str">
        <f>IF(ProjeNo&gt;0,ProjeNo,"")</f>
        <v/>
      </c>
      <c r="D169" s="331"/>
      <c r="E169" s="331"/>
      <c r="F169" s="331"/>
      <c r="G169" s="331"/>
      <c r="H169" s="331"/>
      <c r="I169" s="332"/>
      <c r="J169" s="43"/>
      <c r="K169" s="43"/>
      <c r="L169" s="43"/>
      <c r="M169" s="43"/>
      <c r="N169" s="43"/>
      <c r="O169" s="43"/>
      <c r="P169" s="43"/>
    </row>
    <row r="170" spans="1:16" ht="29.25" customHeight="1" thickBot="1" x14ac:dyDescent="0.3">
      <c r="A170" s="371" t="s">
        <v>11</v>
      </c>
      <c r="B170" s="342"/>
      <c r="C170" s="346" t="str">
        <f>IF(ProjeAdi&gt;0,ProjeAdi,"")</f>
        <v/>
      </c>
      <c r="D170" s="347"/>
      <c r="E170" s="347"/>
      <c r="F170" s="347"/>
      <c r="G170" s="347"/>
      <c r="H170" s="347"/>
      <c r="I170" s="348"/>
      <c r="J170" s="43"/>
      <c r="K170" s="43"/>
      <c r="L170" s="43"/>
      <c r="M170" s="43"/>
      <c r="N170" s="43"/>
      <c r="O170" s="43"/>
      <c r="P170" s="43"/>
    </row>
    <row r="171" spans="1:16" ht="19.55" customHeight="1" thickBot="1" x14ac:dyDescent="0.3">
      <c r="A171" s="341" t="s">
        <v>74</v>
      </c>
      <c r="B171" s="343"/>
      <c r="C171" s="9"/>
      <c r="D171" s="369"/>
      <c r="E171" s="369"/>
      <c r="F171" s="369"/>
      <c r="G171" s="369"/>
      <c r="H171" s="369"/>
      <c r="I171" s="370"/>
      <c r="J171" s="43"/>
      <c r="K171" s="43"/>
      <c r="L171" s="43"/>
      <c r="M171" s="43"/>
      <c r="N171" s="43"/>
      <c r="O171" s="43"/>
      <c r="P171" s="43"/>
    </row>
    <row r="172" spans="1:16" s="2" customFormat="1" ht="29.25" thickBot="1" x14ac:dyDescent="0.3">
      <c r="A172" s="176" t="s">
        <v>7</v>
      </c>
      <c r="B172" s="176" t="s">
        <v>8</v>
      </c>
      <c r="C172" s="176" t="s">
        <v>63</v>
      </c>
      <c r="D172" s="176" t="s">
        <v>119</v>
      </c>
      <c r="E172" s="176" t="s">
        <v>75</v>
      </c>
      <c r="F172" s="176" t="s">
        <v>76</v>
      </c>
      <c r="G172" s="176" t="s">
        <v>77</v>
      </c>
      <c r="H172" s="176" t="s">
        <v>78</v>
      </c>
      <c r="I172" s="176" t="s">
        <v>79</v>
      </c>
      <c r="J172" s="177" t="s">
        <v>83</v>
      </c>
      <c r="K172" s="178" t="s">
        <v>84</v>
      </c>
      <c r="L172" s="178" t="s">
        <v>76</v>
      </c>
      <c r="M172" s="169"/>
      <c r="N172" s="169"/>
      <c r="O172" s="169"/>
      <c r="P172" s="169"/>
    </row>
    <row r="173" spans="1:16" ht="20.05" customHeight="1" x14ac:dyDescent="0.25">
      <c r="A173" s="179">
        <v>101</v>
      </c>
      <c r="B173" s="53"/>
      <c r="C173" s="94" t="str">
        <f t="shared" ref="C173:C192" si="31">IF(B173&lt;&gt;"",VLOOKUP(B173,PersonelTablo,2,0),"")</f>
        <v/>
      </c>
      <c r="D173" s="95" t="str">
        <f t="shared" ref="D173:D192" si="32">IF(B173&lt;&gt;"",VLOOKUP(B173,PersonelTablo,3,0),"")</f>
        <v/>
      </c>
      <c r="E173" s="54"/>
      <c r="F173" s="55"/>
      <c r="G173" s="105" t="str">
        <f>IF(AND(B173&lt;&gt;"",L173&gt;=F173),E173*F173,"")</f>
        <v/>
      </c>
      <c r="H173" s="102" t="str">
        <f t="shared" ref="H173:H192" si="33">IF(B173&lt;&gt;"",VLOOKUP(B173,G011CTablo,14,0),"")</f>
        <v/>
      </c>
      <c r="I173" s="109" t="str">
        <f>IF(AND(B173&lt;&gt;"",J173&gt;=K173,L173&gt;0),G173*H173,"")</f>
        <v/>
      </c>
      <c r="J173" s="100" t="str">
        <f>IF(B173&gt;0,ROUNDUP(VLOOKUP(B173,G011B!$B:$R,16,0),1),"")</f>
        <v/>
      </c>
      <c r="K173" s="100" t="str">
        <f>IF(B173&gt;0,SUMIF($B:$B,B173,$G:$G),"")</f>
        <v/>
      </c>
      <c r="L173" s="101" t="str">
        <f>IF(B173&lt;&gt;"",VLOOKUP(B173,G011B!$B:$Z,25,0),"")</f>
        <v/>
      </c>
      <c r="M173" s="160" t="str">
        <f t="shared" ref="M173:M192" si="34">IF(J173&gt;=K173,"","Personelin bütün iş paketlerindeki Toplam Adam Ay değeri "&amp;K173&amp;" olup, bu değer, G011B formunda beyan edilen Çalışılan Toplam Ay değerini geçemez. Maliyeti hesaplamak için Adam/Ay Oranı veya Çalışılan Ay değerini düzeltiniz. ")</f>
        <v/>
      </c>
      <c r="N173" s="43"/>
      <c r="O173" s="43"/>
      <c r="P173" s="43"/>
    </row>
    <row r="174" spans="1:16" ht="20.05" customHeight="1" x14ac:dyDescent="0.25">
      <c r="A174" s="180">
        <v>102</v>
      </c>
      <c r="B174" s="57"/>
      <c r="C174" s="96" t="str">
        <f t="shared" si="31"/>
        <v/>
      </c>
      <c r="D174" s="97" t="str">
        <f t="shared" si="32"/>
        <v/>
      </c>
      <c r="E174" s="58"/>
      <c r="F174" s="59"/>
      <c r="G174" s="106" t="str">
        <f t="shared" ref="G174:G192" si="35">IF(AND(B174&lt;&gt;"",L174&gt;=F174),E174*F174,"")</f>
        <v/>
      </c>
      <c r="H174" s="103" t="str">
        <f t="shared" si="33"/>
        <v/>
      </c>
      <c r="I174" s="110" t="str">
        <f t="shared" ref="I174:I192" si="36">IF(AND(B174&lt;&gt;"",J174&gt;=K174,L174&gt;0),G174*H174,"")</f>
        <v/>
      </c>
      <c r="J174" s="100" t="str">
        <f>IF(B174&gt;0,ROUNDUP(VLOOKUP(B174,G011B!$B:$R,16,0),1),"")</f>
        <v/>
      </c>
      <c r="K174" s="100" t="str">
        <f t="shared" ref="K174:K192" si="37">IF(B174&gt;0,SUMIF($B:$B,B174,$G:$G),"")</f>
        <v/>
      </c>
      <c r="L174" s="101" t="str">
        <f>IF(B174&lt;&gt;"",VLOOKUP(B174,G011B!$B:$Z,25,0),"")</f>
        <v/>
      </c>
      <c r="M174" s="160" t="str">
        <f t="shared" si="34"/>
        <v/>
      </c>
      <c r="N174" s="43"/>
      <c r="O174" s="43"/>
      <c r="P174" s="43"/>
    </row>
    <row r="175" spans="1:16" ht="20.05" customHeight="1" x14ac:dyDescent="0.25">
      <c r="A175" s="180">
        <v>103</v>
      </c>
      <c r="B175" s="57"/>
      <c r="C175" s="96" t="str">
        <f t="shared" si="31"/>
        <v/>
      </c>
      <c r="D175" s="97" t="str">
        <f t="shared" si="32"/>
        <v/>
      </c>
      <c r="E175" s="58"/>
      <c r="F175" s="59"/>
      <c r="G175" s="106" t="str">
        <f t="shared" si="35"/>
        <v/>
      </c>
      <c r="H175" s="103" t="str">
        <f t="shared" si="33"/>
        <v/>
      </c>
      <c r="I175" s="110" t="str">
        <f t="shared" si="36"/>
        <v/>
      </c>
      <c r="J175" s="100" t="str">
        <f>IF(B175&gt;0,ROUNDUP(VLOOKUP(B175,G011B!$B:$R,16,0),1),"")</f>
        <v/>
      </c>
      <c r="K175" s="100" t="str">
        <f t="shared" si="37"/>
        <v/>
      </c>
      <c r="L175" s="101" t="str">
        <f>IF(B175&lt;&gt;"",VLOOKUP(B175,G011B!$B:$Z,25,0),"")</f>
        <v/>
      </c>
      <c r="M175" s="160" t="str">
        <f t="shared" si="34"/>
        <v/>
      </c>
      <c r="N175" s="43"/>
      <c r="O175" s="43"/>
      <c r="P175" s="43"/>
    </row>
    <row r="176" spans="1:16" ht="20.05" customHeight="1" x14ac:dyDescent="0.25">
      <c r="A176" s="180">
        <v>104</v>
      </c>
      <c r="B176" s="57"/>
      <c r="C176" s="96" t="str">
        <f t="shared" si="31"/>
        <v/>
      </c>
      <c r="D176" s="97" t="str">
        <f t="shared" si="32"/>
        <v/>
      </c>
      <c r="E176" s="58"/>
      <c r="F176" s="59"/>
      <c r="G176" s="106" t="str">
        <f t="shared" si="35"/>
        <v/>
      </c>
      <c r="H176" s="103" t="str">
        <f t="shared" si="33"/>
        <v/>
      </c>
      <c r="I176" s="110" t="str">
        <f t="shared" si="36"/>
        <v/>
      </c>
      <c r="J176" s="100" t="str">
        <f>IF(B176&gt;0,ROUNDUP(VLOOKUP(B176,G011B!$B:$R,16,0),1),"")</f>
        <v/>
      </c>
      <c r="K176" s="100" t="str">
        <f t="shared" si="37"/>
        <v/>
      </c>
      <c r="L176" s="101" t="str">
        <f>IF(B176&lt;&gt;"",VLOOKUP(B176,G011B!$B:$Z,25,0),"")</f>
        <v/>
      </c>
      <c r="M176" s="160" t="str">
        <f t="shared" si="34"/>
        <v/>
      </c>
      <c r="N176" s="43"/>
      <c r="O176" s="43"/>
      <c r="P176" s="43"/>
    </row>
    <row r="177" spans="1:16" ht="20.05" customHeight="1" x14ac:dyDescent="0.25">
      <c r="A177" s="180">
        <v>105</v>
      </c>
      <c r="B177" s="57"/>
      <c r="C177" s="96" t="str">
        <f t="shared" si="31"/>
        <v/>
      </c>
      <c r="D177" s="97" t="str">
        <f t="shared" si="32"/>
        <v/>
      </c>
      <c r="E177" s="58"/>
      <c r="F177" s="59"/>
      <c r="G177" s="106" t="str">
        <f t="shared" si="35"/>
        <v/>
      </c>
      <c r="H177" s="103" t="str">
        <f t="shared" si="33"/>
        <v/>
      </c>
      <c r="I177" s="110" t="str">
        <f t="shared" si="36"/>
        <v/>
      </c>
      <c r="J177" s="100" t="str">
        <f>IF(B177&gt;0,ROUNDUP(VLOOKUP(B177,G011B!$B:$R,16,0),1),"")</f>
        <v/>
      </c>
      <c r="K177" s="100" t="str">
        <f t="shared" si="37"/>
        <v/>
      </c>
      <c r="L177" s="101" t="str">
        <f>IF(B177&lt;&gt;"",VLOOKUP(B177,G011B!$B:$Z,25,0),"")</f>
        <v/>
      </c>
      <c r="M177" s="160" t="str">
        <f t="shared" si="34"/>
        <v/>
      </c>
      <c r="N177" s="43"/>
      <c r="O177" s="43"/>
      <c r="P177" s="43"/>
    </row>
    <row r="178" spans="1:16" ht="20.05" customHeight="1" x14ac:dyDescent="0.25">
      <c r="A178" s="180">
        <v>106</v>
      </c>
      <c r="B178" s="57"/>
      <c r="C178" s="96" t="str">
        <f t="shared" si="31"/>
        <v/>
      </c>
      <c r="D178" s="97" t="str">
        <f t="shared" si="32"/>
        <v/>
      </c>
      <c r="E178" s="58"/>
      <c r="F178" s="59"/>
      <c r="G178" s="106" t="str">
        <f t="shared" si="35"/>
        <v/>
      </c>
      <c r="H178" s="103" t="str">
        <f t="shared" si="33"/>
        <v/>
      </c>
      <c r="I178" s="110" t="str">
        <f t="shared" si="36"/>
        <v/>
      </c>
      <c r="J178" s="100" t="str">
        <f>IF(B178&gt;0,ROUNDUP(VLOOKUP(B178,G011B!$B:$R,16,0),1),"")</f>
        <v/>
      </c>
      <c r="K178" s="100" t="str">
        <f t="shared" si="37"/>
        <v/>
      </c>
      <c r="L178" s="101" t="str">
        <f>IF(B178&lt;&gt;"",VLOOKUP(B178,G011B!$B:$Z,25,0),"")</f>
        <v/>
      </c>
      <c r="M178" s="160" t="str">
        <f t="shared" si="34"/>
        <v/>
      </c>
      <c r="N178" s="43"/>
      <c r="O178" s="43"/>
      <c r="P178" s="43"/>
    </row>
    <row r="179" spans="1:16" ht="20.05" customHeight="1" x14ac:dyDescent="0.25">
      <c r="A179" s="180">
        <v>107</v>
      </c>
      <c r="B179" s="57"/>
      <c r="C179" s="96" t="str">
        <f t="shared" si="31"/>
        <v/>
      </c>
      <c r="D179" s="97" t="str">
        <f t="shared" si="32"/>
        <v/>
      </c>
      <c r="E179" s="58"/>
      <c r="F179" s="59"/>
      <c r="G179" s="106" t="str">
        <f t="shared" si="35"/>
        <v/>
      </c>
      <c r="H179" s="103" t="str">
        <f t="shared" si="33"/>
        <v/>
      </c>
      <c r="I179" s="110" t="str">
        <f t="shared" si="36"/>
        <v/>
      </c>
      <c r="J179" s="100" t="str">
        <f>IF(B179&gt;0,ROUNDUP(VLOOKUP(B179,G011B!$B:$R,16,0),1),"")</f>
        <v/>
      </c>
      <c r="K179" s="100" t="str">
        <f t="shared" si="37"/>
        <v/>
      </c>
      <c r="L179" s="101" t="str">
        <f>IF(B179&lt;&gt;"",VLOOKUP(B179,G011B!$B:$Z,25,0),"")</f>
        <v/>
      </c>
      <c r="M179" s="160" t="str">
        <f t="shared" si="34"/>
        <v/>
      </c>
      <c r="N179" s="43"/>
      <c r="O179" s="43"/>
      <c r="P179" s="43"/>
    </row>
    <row r="180" spans="1:16" ht="20.05" customHeight="1" x14ac:dyDescent="0.25">
      <c r="A180" s="180">
        <v>108</v>
      </c>
      <c r="B180" s="57"/>
      <c r="C180" s="96" t="str">
        <f t="shared" si="31"/>
        <v/>
      </c>
      <c r="D180" s="97" t="str">
        <f t="shared" si="32"/>
        <v/>
      </c>
      <c r="E180" s="58"/>
      <c r="F180" s="59"/>
      <c r="G180" s="106" t="str">
        <f t="shared" si="35"/>
        <v/>
      </c>
      <c r="H180" s="103" t="str">
        <f t="shared" si="33"/>
        <v/>
      </c>
      <c r="I180" s="110" t="str">
        <f t="shared" si="36"/>
        <v/>
      </c>
      <c r="J180" s="100" t="str">
        <f>IF(B180&gt;0,ROUNDUP(VLOOKUP(B180,G011B!$B:$R,16,0),1),"")</f>
        <v/>
      </c>
      <c r="K180" s="100" t="str">
        <f t="shared" si="37"/>
        <v/>
      </c>
      <c r="L180" s="101" t="str">
        <f>IF(B180&lt;&gt;"",VLOOKUP(B180,G011B!$B:$Z,25,0),"")</f>
        <v/>
      </c>
      <c r="M180" s="160" t="str">
        <f t="shared" si="34"/>
        <v/>
      </c>
      <c r="N180" s="43"/>
      <c r="O180" s="43"/>
      <c r="P180" s="43"/>
    </row>
    <row r="181" spans="1:16" ht="20.05" customHeight="1" x14ac:dyDescent="0.25">
      <c r="A181" s="180">
        <v>109</v>
      </c>
      <c r="B181" s="57"/>
      <c r="C181" s="96" t="str">
        <f t="shared" si="31"/>
        <v/>
      </c>
      <c r="D181" s="97" t="str">
        <f t="shared" si="32"/>
        <v/>
      </c>
      <c r="E181" s="58"/>
      <c r="F181" s="59"/>
      <c r="G181" s="106" t="str">
        <f t="shared" si="35"/>
        <v/>
      </c>
      <c r="H181" s="103" t="str">
        <f t="shared" si="33"/>
        <v/>
      </c>
      <c r="I181" s="110" t="str">
        <f t="shared" si="36"/>
        <v/>
      </c>
      <c r="J181" s="100" t="str">
        <f>IF(B181&gt;0,ROUNDUP(VLOOKUP(B181,G011B!$B:$R,16,0),1),"")</f>
        <v/>
      </c>
      <c r="K181" s="100" t="str">
        <f t="shared" si="37"/>
        <v/>
      </c>
      <c r="L181" s="101" t="str">
        <f>IF(B181&lt;&gt;"",VLOOKUP(B181,G011B!$B:$Z,25,0),"")</f>
        <v/>
      </c>
      <c r="M181" s="160" t="str">
        <f t="shared" si="34"/>
        <v/>
      </c>
      <c r="N181" s="43"/>
      <c r="O181" s="43"/>
      <c r="P181" s="43"/>
    </row>
    <row r="182" spans="1:16" ht="20.05" customHeight="1" x14ac:dyDescent="0.25">
      <c r="A182" s="180">
        <v>110</v>
      </c>
      <c r="B182" s="57"/>
      <c r="C182" s="96" t="str">
        <f t="shared" si="31"/>
        <v/>
      </c>
      <c r="D182" s="97" t="str">
        <f t="shared" si="32"/>
        <v/>
      </c>
      <c r="E182" s="58"/>
      <c r="F182" s="59"/>
      <c r="G182" s="106" t="str">
        <f t="shared" si="35"/>
        <v/>
      </c>
      <c r="H182" s="103" t="str">
        <f t="shared" si="33"/>
        <v/>
      </c>
      <c r="I182" s="110" t="str">
        <f t="shared" si="36"/>
        <v/>
      </c>
      <c r="J182" s="100" t="str">
        <f>IF(B182&gt;0,ROUNDUP(VLOOKUP(B182,G011B!$B:$R,16,0),1),"")</f>
        <v/>
      </c>
      <c r="K182" s="100" t="str">
        <f t="shared" si="37"/>
        <v/>
      </c>
      <c r="L182" s="101" t="str">
        <f>IF(B182&lt;&gt;"",VLOOKUP(B182,G011B!$B:$Z,25,0),"")</f>
        <v/>
      </c>
      <c r="M182" s="160" t="str">
        <f t="shared" si="34"/>
        <v/>
      </c>
      <c r="N182" s="43"/>
      <c r="O182" s="43"/>
      <c r="P182" s="43"/>
    </row>
    <row r="183" spans="1:16" ht="20.05" customHeight="1" x14ac:dyDescent="0.25">
      <c r="A183" s="180">
        <v>111</v>
      </c>
      <c r="B183" s="57"/>
      <c r="C183" s="96" t="str">
        <f t="shared" si="31"/>
        <v/>
      </c>
      <c r="D183" s="97" t="str">
        <f t="shared" si="32"/>
        <v/>
      </c>
      <c r="E183" s="58"/>
      <c r="F183" s="59"/>
      <c r="G183" s="106" t="str">
        <f t="shared" si="35"/>
        <v/>
      </c>
      <c r="H183" s="103" t="str">
        <f t="shared" si="33"/>
        <v/>
      </c>
      <c r="I183" s="110" t="str">
        <f t="shared" si="36"/>
        <v/>
      </c>
      <c r="J183" s="100" t="str">
        <f>IF(B183&gt;0,ROUNDUP(VLOOKUP(B183,G011B!$B:$R,16,0),1),"")</f>
        <v/>
      </c>
      <c r="K183" s="100" t="str">
        <f t="shared" si="37"/>
        <v/>
      </c>
      <c r="L183" s="101" t="str">
        <f>IF(B183&lt;&gt;"",VLOOKUP(B183,G011B!$B:$Z,25,0),"")</f>
        <v/>
      </c>
      <c r="M183" s="160" t="str">
        <f t="shared" si="34"/>
        <v/>
      </c>
      <c r="N183" s="43"/>
      <c r="O183" s="43"/>
      <c r="P183" s="43"/>
    </row>
    <row r="184" spans="1:16" ht="20.05" customHeight="1" x14ac:dyDescent="0.25">
      <c r="A184" s="180">
        <v>112</v>
      </c>
      <c r="B184" s="57"/>
      <c r="C184" s="96" t="str">
        <f t="shared" si="31"/>
        <v/>
      </c>
      <c r="D184" s="97" t="str">
        <f t="shared" si="32"/>
        <v/>
      </c>
      <c r="E184" s="58"/>
      <c r="F184" s="59"/>
      <c r="G184" s="106" t="str">
        <f t="shared" si="35"/>
        <v/>
      </c>
      <c r="H184" s="103" t="str">
        <f t="shared" si="33"/>
        <v/>
      </c>
      <c r="I184" s="110" t="str">
        <f t="shared" si="36"/>
        <v/>
      </c>
      <c r="J184" s="100" t="str">
        <f>IF(B184&gt;0,ROUNDUP(VLOOKUP(B184,G011B!$B:$R,16,0),1),"")</f>
        <v/>
      </c>
      <c r="K184" s="100" t="str">
        <f t="shared" si="37"/>
        <v/>
      </c>
      <c r="L184" s="101" t="str">
        <f>IF(B184&lt;&gt;"",VLOOKUP(B184,G011B!$B:$Z,25,0),"")</f>
        <v/>
      </c>
      <c r="M184" s="160" t="str">
        <f t="shared" si="34"/>
        <v/>
      </c>
      <c r="N184" s="43"/>
      <c r="O184" s="43"/>
      <c r="P184" s="43"/>
    </row>
    <row r="185" spans="1:16" ht="20.05" customHeight="1" x14ac:dyDescent="0.25">
      <c r="A185" s="180">
        <v>113</v>
      </c>
      <c r="B185" s="57"/>
      <c r="C185" s="96" t="str">
        <f t="shared" si="31"/>
        <v/>
      </c>
      <c r="D185" s="97" t="str">
        <f t="shared" si="32"/>
        <v/>
      </c>
      <c r="E185" s="58"/>
      <c r="F185" s="59"/>
      <c r="G185" s="106" t="str">
        <f t="shared" si="35"/>
        <v/>
      </c>
      <c r="H185" s="103" t="str">
        <f t="shared" si="33"/>
        <v/>
      </c>
      <c r="I185" s="110" t="str">
        <f t="shared" si="36"/>
        <v/>
      </c>
      <c r="J185" s="100" t="str">
        <f>IF(B185&gt;0,ROUNDUP(VLOOKUP(B185,G011B!$B:$R,16,0),1),"")</f>
        <v/>
      </c>
      <c r="K185" s="100" t="str">
        <f t="shared" si="37"/>
        <v/>
      </c>
      <c r="L185" s="101" t="str">
        <f>IF(B185&lt;&gt;"",VLOOKUP(B185,G011B!$B:$Z,25,0),"")</f>
        <v/>
      </c>
      <c r="M185" s="160" t="str">
        <f t="shared" si="34"/>
        <v/>
      </c>
      <c r="N185" s="43"/>
      <c r="O185" s="43"/>
      <c r="P185" s="43"/>
    </row>
    <row r="186" spans="1:16" ht="20.05" customHeight="1" x14ac:dyDescent="0.25">
      <c r="A186" s="180">
        <v>114</v>
      </c>
      <c r="B186" s="57"/>
      <c r="C186" s="96" t="str">
        <f t="shared" si="31"/>
        <v/>
      </c>
      <c r="D186" s="97" t="str">
        <f t="shared" si="32"/>
        <v/>
      </c>
      <c r="E186" s="58"/>
      <c r="F186" s="59"/>
      <c r="G186" s="106" t="str">
        <f t="shared" si="35"/>
        <v/>
      </c>
      <c r="H186" s="103" t="str">
        <f t="shared" si="33"/>
        <v/>
      </c>
      <c r="I186" s="110" t="str">
        <f t="shared" si="36"/>
        <v/>
      </c>
      <c r="J186" s="100" t="str">
        <f>IF(B186&gt;0,ROUNDUP(VLOOKUP(B186,G011B!$B:$R,16,0),1),"")</f>
        <v/>
      </c>
      <c r="K186" s="100" t="str">
        <f t="shared" si="37"/>
        <v/>
      </c>
      <c r="L186" s="101" t="str">
        <f>IF(B186&lt;&gt;"",VLOOKUP(B186,G011B!$B:$Z,25,0),"")</f>
        <v/>
      </c>
      <c r="M186" s="160" t="str">
        <f t="shared" si="34"/>
        <v/>
      </c>
      <c r="N186" s="43"/>
      <c r="O186" s="43"/>
      <c r="P186" s="43"/>
    </row>
    <row r="187" spans="1:16" ht="20.05" customHeight="1" x14ac:dyDescent="0.25">
      <c r="A187" s="180">
        <v>115</v>
      </c>
      <c r="B187" s="57"/>
      <c r="C187" s="96" t="str">
        <f t="shared" si="31"/>
        <v/>
      </c>
      <c r="D187" s="97" t="str">
        <f t="shared" si="32"/>
        <v/>
      </c>
      <c r="E187" s="58"/>
      <c r="F187" s="59"/>
      <c r="G187" s="106" t="str">
        <f t="shared" si="35"/>
        <v/>
      </c>
      <c r="H187" s="103" t="str">
        <f t="shared" si="33"/>
        <v/>
      </c>
      <c r="I187" s="110" t="str">
        <f t="shared" si="36"/>
        <v/>
      </c>
      <c r="J187" s="100" t="str">
        <f>IF(B187&gt;0,ROUNDUP(VLOOKUP(B187,G011B!$B:$R,16,0),1),"")</f>
        <v/>
      </c>
      <c r="K187" s="100" t="str">
        <f t="shared" si="37"/>
        <v/>
      </c>
      <c r="L187" s="101" t="str">
        <f>IF(B187&lt;&gt;"",VLOOKUP(B187,G011B!$B:$Z,25,0),"")</f>
        <v/>
      </c>
      <c r="M187" s="160" t="str">
        <f t="shared" si="34"/>
        <v/>
      </c>
      <c r="N187" s="43"/>
      <c r="O187" s="43"/>
      <c r="P187" s="43"/>
    </row>
    <row r="188" spans="1:16" ht="20.05" customHeight="1" x14ac:dyDescent="0.25">
      <c r="A188" s="180">
        <v>116</v>
      </c>
      <c r="B188" s="57"/>
      <c r="C188" s="96" t="str">
        <f t="shared" si="31"/>
        <v/>
      </c>
      <c r="D188" s="97" t="str">
        <f t="shared" si="32"/>
        <v/>
      </c>
      <c r="E188" s="58"/>
      <c r="F188" s="59"/>
      <c r="G188" s="106" t="str">
        <f t="shared" si="35"/>
        <v/>
      </c>
      <c r="H188" s="103" t="str">
        <f t="shared" si="33"/>
        <v/>
      </c>
      <c r="I188" s="110" t="str">
        <f t="shared" si="36"/>
        <v/>
      </c>
      <c r="J188" s="100" t="str">
        <f>IF(B188&gt;0,ROUNDUP(VLOOKUP(B188,G011B!$B:$R,16,0),1),"")</f>
        <v/>
      </c>
      <c r="K188" s="100" t="str">
        <f t="shared" si="37"/>
        <v/>
      </c>
      <c r="L188" s="101" t="str">
        <f>IF(B188&lt;&gt;"",VLOOKUP(B188,G011B!$B:$Z,25,0),"")</f>
        <v/>
      </c>
      <c r="M188" s="160" t="str">
        <f t="shared" si="34"/>
        <v/>
      </c>
      <c r="N188" s="43"/>
      <c r="O188" s="43"/>
      <c r="P188" s="43"/>
    </row>
    <row r="189" spans="1:16" ht="20.05" customHeight="1" x14ac:dyDescent="0.25">
      <c r="A189" s="180">
        <v>117</v>
      </c>
      <c r="B189" s="57"/>
      <c r="C189" s="96" t="str">
        <f t="shared" si="31"/>
        <v/>
      </c>
      <c r="D189" s="97" t="str">
        <f t="shared" si="32"/>
        <v/>
      </c>
      <c r="E189" s="58"/>
      <c r="F189" s="59"/>
      <c r="G189" s="106" t="str">
        <f t="shared" si="35"/>
        <v/>
      </c>
      <c r="H189" s="103" t="str">
        <f t="shared" si="33"/>
        <v/>
      </c>
      <c r="I189" s="110" t="str">
        <f t="shared" si="36"/>
        <v/>
      </c>
      <c r="J189" s="100" t="str">
        <f>IF(B189&gt;0,ROUNDUP(VLOOKUP(B189,G011B!$B:$R,16,0),1),"")</f>
        <v/>
      </c>
      <c r="K189" s="100" t="str">
        <f t="shared" si="37"/>
        <v/>
      </c>
      <c r="L189" s="101" t="str">
        <f>IF(B189&lt;&gt;"",VLOOKUP(B189,G011B!$B:$Z,25,0),"")</f>
        <v/>
      </c>
      <c r="M189" s="160" t="str">
        <f t="shared" si="34"/>
        <v/>
      </c>
      <c r="N189" s="43"/>
      <c r="O189" s="43"/>
      <c r="P189" s="43"/>
    </row>
    <row r="190" spans="1:16" ht="20.05" customHeight="1" x14ac:dyDescent="0.25">
      <c r="A190" s="180">
        <v>118</v>
      </c>
      <c r="B190" s="57"/>
      <c r="C190" s="96" t="str">
        <f t="shared" si="31"/>
        <v/>
      </c>
      <c r="D190" s="97" t="str">
        <f t="shared" si="32"/>
        <v/>
      </c>
      <c r="E190" s="58"/>
      <c r="F190" s="59"/>
      <c r="G190" s="106" t="str">
        <f t="shared" si="35"/>
        <v/>
      </c>
      <c r="H190" s="103" t="str">
        <f t="shared" si="33"/>
        <v/>
      </c>
      <c r="I190" s="110" t="str">
        <f t="shared" si="36"/>
        <v/>
      </c>
      <c r="J190" s="100" t="str">
        <f>IF(B190&gt;0,ROUNDUP(VLOOKUP(B190,G011B!$B:$R,16,0),1),"")</f>
        <v/>
      </c>
      <c r="K190" s="100" t="str">
        <f t="shared" si="37"/>
        <v/>
      </c>
      <c r="L190" s="101" t="str">
        <f>IF(B190&lt;&gt;"",VLOOKUP(B190,G011B!$B:$Z,25,0),"")</f>
        <v/>
      </c>
      <c r="M190" s="160" t="str">
        <f t="shared" si="34"/>
        <v/>
      </c>
      <c r="N190" s="43"/>
      <c r="O190" s="43"/>
      <c r="P190" s="43"/>
    </row>
    <row r="191" spans="1:16" ht="20.05" customHeight="1" x14ac:dyDescent="0.25">
      <c r="A191" s="180">
        <v>119</v>
      </c>
      <c r="B191" s="57"/>
      <c r="C191" s="96" t="str">
        <f t="shared" si="31"/>
        <v/>
      </c>
      <c r="D191" s="97" t="str">
        <f t="shared" si="32"/>
        <v/>
      </c>
      <c r="E191" s="58"/>
      <c r="F191" s="59"/>
      <c r="G191" s="106" t="str">
        <f t="shared" si="35"/>
        <v/>
      </c>
      <c r="H191" s="103" t="str">
        <f t="shared" si="33"/>
        <v/>
      </c>
      <c r="I191" s="110" t="str">
        <f t="shared" si="36"/>
        <v/>
      </c>
      <c r="J191" s="100" t="str">
        <f>IF(B191&gt;0,ROUNDUP(VLOOKUP(B191,G011B!$B:$R,16,0),1),"")</f>
        <v/>
      </c>
      <c r="K191" s="100" t="str">
        <f t="shared" si="37"/>
        <v/>
      </c>
      <c r="L191" s="101" t="str">
        <f>IF(B191&lt;&gt;"",VLOOKUP(B191,G011B!$B:$Z,25,0),"")</f>
        <v/>
      </c>
      <c r="M191" s="160" t="str">
        <f t="shared" si="34"/>
        <v/>
      </c>
      <c r="N191" s="43"/>
      <c r="O191" s="43"/>
      <c r="P191" s="43"/>
    </row>
    <row r="192" spans="1:16" ht="20.05" customHeight="1" thickBot="1" x14ac:dyDescent="0.3">
      <c r="A192" s="181">
        <v>120</v>
      </c>
      <c r="B192" s="60"/>
      <c r="C192" s="98" t="str">
        <f t="shared" si="31"/>
        <v/>
      </c>
      <c r="D192" s="99" t="str">
        <f t="shared" si="32"/>
        <v/>
      </c>
      <c r="E192" s="61"/>
      <c r="F192" s="62"/>
      <c r="G192" s="107" t="str">
        <f t="shared" si="35"/>
        <v/>
      </c>
      <c r="H192" s="104" t="str">
        <f t="shared" si="33"/>
        <v/>
      </c>
      <c r="I192" s="111" t="str">
        <f t="shared" si="36"/>
        <v/>
      </c>
      <c r="J192" s="100" t="str">
        <f>IF(B192&gt;0,ROUNDUP(VLOOKUP(B192,G011B!$B:$R,16,0),1),"")</f>
        <v/>
      </c>
      <c r="K192" s="100" t="str">
        <f t="shared" si="37"/>
        <v/>
      </c>
      <c r="L192" s="101" t="str">
        <f>IF(B192&lt;&gt;"",VLOOKUP(B192,G011B!$B:$Z,25,0),"")</f>
        <v/>
      </c>
      <c r="M192" s="160" t="str">
        <f t="shared" si="34"/>
        <v/>
      </c>
      <c r="N192" s="43"/>
      <c r="O192" s="43"/>
      <c r="P192" s="43"/>
    </row>
    <row r="193" spans="1:16" ht="20.05" customHeight="1" thickBot="1" x14ac:dyDescent="0.4">
      <c r="A193" s="360" t="s">
        <v>42</v>
      </c>
      <c r="B193" s="361"/>
      <c r="C193" s="361"/>
      <c r="D193" s="361"/>
      <c r="E193" s="361"/>
      <c r="F193" s="362"/>
      <c r="G193" s="108">
        <f>SUM(G173:G192)</f>
        <v>0</v>
      </c>
      <c r="H193" s="202"/>
      <c r="I193" s="93">
        <f>IF(C171=C138,SUM(I173:I192)+I160,SUM(I173:I192))</f>
        <v>0</v>
      </c>
      <c r="J193" s="43"/>
      <c r="K193" s="43"/>
      <c r="L193" s="43"/>
      <c r="M193" s="43"/>
      <c r="N193" s="112">
        <f>IF(COUNTA(B173:B192)&gt;0,1,0)</f>
        <v>0</v>
      </c>
      <c r="O193" s="43"/>
      <c r="P193" s="43"/>
    </row>
    <row r="194" spans="1:16" ht="20.05" customHeight="1" thickBot="1" x14ac:dyDescent="0.35">
      <c r="A194" s="363" t="s">
        <v>80</v>
      </c>
      <c r="B194" s="364"/>
      <c r="C194" s="364"/>
      <c r="D194" s="365"/>
      <c r="E194" s="86">
        <f>SUM(G:G)/2</f>
        <v>0</v>
      </c>
      <c r="F194" s="366"/>
      <c r="G194" s="367"/>
      <c r="H194" s="368"/>
      <c r="I194" s="92">
        <f>SUM(I173:I192)+I161</f>
        <v>0</v>
      </c>
      <c r="J194" s="43"/>
      <c r="K194" s="43"/>
      <c r="L194" s="43"/>
      <c r="M194" s="43"/>
      <c r="N194" s="43"/>
      <c r="O194" s="43"/>
      <c r="P194" s="43"/>
    </row>
    <row r="195" spans="1:16" x14ac:dyDescent="0.25">
      <c r="A195" s="182" t="s">
        <v>118</v>
      </c>
      <c r="B195" s="43"/>
      <c r="C195" s="43"/>
      <c r="D195" s="43"/>
      <c r="E195" s="43"/>
      <c r="F195" s="43"/>
      <c r="G195" s="43"/>
      <c r="H195" s="43"/>
      <c r="I195" s="43"/>
      <c r="J195" s="43"/>
      <c r="K195" s="43"/>
      <c r="L195" s="43"/>
      <c r="M195" s="43"/>
      <c r="N195" s="43"/>
      <c r="O195" s="43"/>
      <c r="P195" s="43"/>
    </row>
    <row r="196" spans="1:16" x14ac:dyDescent="0.25">
      <c r="A196" s="43"/>
      <c r="B196" s="43"/>
      <c r="C196" s="43"/>
      <c r="D196" s="43"/>
      <c r="E196" s="43"/>
      <c r="F196" s="43"/>
      <c r="G196" s="43"/>
      <c r="H196" s="43"/>
      <c r="I196" s="43"/>
      <c r="J196" s="43"/>
      <c r="K196" s="43"/>
      <c r="L196" s="43"/>
      <c r="M196" s="43"/>
      <c r="N196" s="43"/>
      <c r="O196" s="43"/>
      <c r="P196" s="43"/>
    </row>
    <row r="197" spans="1:16" ht="21.1" x14ac:dyDescent="0.35">
      <c r="A197" s="247" t="s">
        <v>39</v>
      </c>
      <c r="B197" s="248">
        <f ca="1">IF(imzatarihi&gt;0,imzatarihi,"")</f>
        <v>45686</v>
      </c>
      <c r="C197" s="251" t="s">
        <v>40</v>
      </c>
      <c r="D197" s="245" t="str">
        <f>IF(kurulusyetkilisi&gt;0,kurulusyetkilisi,"")</f>
        <v/>
      </c>
      <c r="F197" s="247"/>
      <c r="G197" s="247"/>
      <c r="H197" s="163"/>
      <c r="I197" s="163"/>
      <c r="J197" s="43"/>
      <c r="K197" s="73"/>
      <c r="L197" s="73"/>
      <c r="M197" s="5"/>
      <c r="N197" s="73"/>
      <c r="O197" s="73"/>
      <c r="P197" s="43"/>
    </row>
    <row r="198" spans="1:16" ht="19.7" x14ac:dyDescent="0.35">
      <c r="A198" s="249"/>
      <c r="B198" s="249"/>
      <c r="C198" s="251" t="s">
        <v>41</v>
      </c>
      <c r="D198" s="247"/>
      <c r="E198" s="302"/>
      <c r="F198" s="302"/>
      <c r="G198" s="302"/>
      <c r="H198" s="42"/>
      <c r="I198" s="42"/>
      <c r="J198" s="43"/>
      <c r="K198" s="73"/>
      <c r="L198" s="73"/>
      <c r="M198" s="5"/>
      <c r="N198" s="73"/>
      <c r="O198" s="73"/>
      <c r="P198" s="43"/>
    </row>
    <row r="199" spans="1:16" ht="16.3" x14ac:dyDescent="0.3">
      <c r="A199" s="338" t="s">
        <v>73</v>
      </c>
      <c r="B199" s="338"/>
      <c r="C199" s="338"/>
      <c r="D199" s="338"/>
      <c r="E199" s="338"/>
      <c r="F199" s="338"/>
      <c r="G199" s="338"/>
      <c r="H199" s="338"/>
      <c r="I199" s="338"/>
      <c r="J199" s="43"/>
      <c r="K199" s="43"/>
      <c r="L199" s="43"/>
      <c r="M199" s="43"/>
      <c r="N199" s="43"/>
      <c r="O199" s="43"/>
      <c r="P199" s="43"/>
    </row>
    <row r="200" spans="1:16" x14ac:dyDescent="0.25">
      <c r="A200" s="336" t="str">
        <f>IF(YilDonem&lt;&gt;"",CONCATENATE(YilDonem,". döneme aittir."),"")</f>
        <v/>
      </c>
      <c r="B200" s="336"/>
      <c r="C200" s="336"/>
      <c r="D200" s="336"/>
      <c r="E200" s="336"/>
      <c r="F200" s="336"/>
      <c r="G200" s="336"/>
      <c r="H200" s="336"/>
      <c r="I200" s="336"/>
      <c r="J200" s="43"/>
      <c r="K200" s="43"/>
      <c r="L200" s="43"/>
      <c r="M200" s="43"/>
      <c r="N200" s="43"/>
      <c r="O200" s="43"/>
      <c r="P200" s="43"/>
    </row>
    <row r="201" spans="1:16" ht="19.7" thickBot="1" x14ac:dyDescent="0.4">
      <c r="A201" s="372" t="s">
        <v>82</v>
      </c>
      <c r="B201" s="372"/>
      <c r="C201" s="372"/>
      <c r="D201" s="372"/>
      <c r="E201" s="372"/>
      <c r="F201" s="372"/>
      <c r="G201" s="372"/>
      <c r="H201" s="372"/>
      <c r="I201" s="372"/>
      <c r="J201" s="43"/>
      <c r="K201" s="43"/>
      <c r="L201" s="43"/>
      <c r="M201" s="43"/>
      <c r="N201" s="43"/>
      <c r="O201" s="43"/>
      <c r="P201" s="43"/>
    </row>
    <row r="202" spans="1:16" ht="19.55" customHeight="1" thickBot="1" x14ac:dyDescent="0.3">
      <c r="A202" s="341" t="s">
        <v>1</v>
      </c>
      <c r="B202" s="343"/>
      <c r="C202" s="330" t="str">
        <f>IF(ProjeNo&gt;0,ProjeNo,"")</f>
        <v/>
      </c>
      <c r="D202" s="331"/>
      <c r="E202" s="331"/>
      <c r="F202" s="331"/>
      <c r="G202" s="331"/>
      <c r="H202" s="331"/>
      <c r="I202" s="332"/>
      <c r="J202" s="43"/>
      <c r="K202" s="43"/>
      <c r="L202" s="43"/>
      <c r="M202" s="43"/>
      <c r="N202" s="43"/>
      <c r="O202" s="43"/>
      <c r="P202" s="43"/>
    </row>
    <row r="203" spans="1:16" ht="29.25" customHeight="1" thickBot="1" x14ac:dyDescent="0.3">
      <c r="A203" s="371" t="s">
        <v>11</v>
      </c>
      <c r="B203" s="342"/>
      <c r="C203" s="346" t="str">
        <f>IF(ProjeAdi&gt;0,ProjeAdi,"")</f>
        <v/>
      </c>
      <c r="D203" s="347"/>
      <c r="E203" s="347"/>
      <c r="F203" s="347"/>
      <c r="G203" s="347"/>
      <c r="H203" s="347"/>
      <c r="I203" s="348"/>
      <c r="J203" s="43"/>
      <c r="K203" s="43"/>
      <c r="L203" s="43"/>
      <c r="M203" s="43"/>
      <c r="N203" s="43"/>
      <c r="O203" s="43"/>
      <c r="P203" s="43"/>
    </row>
    <row r="204" spans="1:16" ht="19.55" customHeight="1" thickBot="1" x14ac:dyDescent="0.3">
      <c r="A204" s="341" t="s">
        <v>74</v>
      </c>
      <c r="B204" s="343"/>
      <c r="C204" s="9"/>
      <c r="D204" s="369"/>
      <c r="E204" s="369"/>
      <c r="F204" s="369"/>
      <c r="G204" s="369"/>
      <c r="H204" s="369"/>
      <c r="I204" s="370"/>
      <c r="J204" s="43"/>
      <c r="K204" s="43"/>
      <c r="L204" s="43"/>
      <c r="M204" s="43"/>
      <c r="N204" s="43"/>
      <c r="O204" s="43"/>
      <c r="P204" s="43"/>
    </row>
    <row r="205" spans="1:16" s="2" customFormat="1" ht="29.25" thickBot="1" x14ac:dyDescent="0.3">
      <c r="A205" s="176" t="s">
        <v>7</v>
      </c>
      <c r="B205" s="176" t="s">
        <v>8</v>
      </c>
      <c r="C205" s="176" t="s">
        <v>63</v>
      </c>
      <c r="D205" s="176" t="s">
        <v>119</v>
      </c>
      <c r="E205" s="176" t="s">
        <v>75</v>
      </c>
      <c r="F205" s="176" t="s">
        <v>76</v>
      </c>
      <c r="G205" s="176" t="s">
        <v>77</v>
      </c>
      <c r="H205" s="176" t="s">
        <v>78</v>
      </c>
      <c r="I205" s="176" t="s">
        <v>79</v>
      </c>
      <c r="J205" s="177" t="s">
        <v>83</v>
      </c>
      <c r="K205" s="178" t="s">
        <v>84</v>
      </c>
      <c r="L205" s="178" t="s">
        <v>76</v>
      </c>
      <c r="M205" s="169"/>
      <c r="N205" s="169"/>
      <c r="O205" s="169"/>
      <c r="P205" s="169"/>
    </row>
    <row r="206" spans="1:16" ht="20.05" customHeight="1" x14ac:dyDescent="0.25">
      <c r="A206" s="179">
        <v>121</v>
      </c>
      <c r="B206" s="53"/>
      <c r="C206" s="94" t="str">
        <f t="shared" ref="C206:C225" si="38">IF(B206&lt;&gt;"",VLOOKUP(B206,PersonelTablo,2,0),"")</f>
        <v/>
      </c>
      <c r="D206" s="95" t="str">
        <f t="shared" ref="D206:D225" si="39">IF(B206&lt;&gt;"",VLOOKUP(B206,PersonelTablo,3,0),"")</f>
        <v/>
      </c>
      <c r="E206" s="54"/>
      <c r="F206" s="55"/>
      <c r="G206" s="105" t="str">
        <f>IF(AND(B206&lt;&gt;"",L206&gt;=F206),E206*F206,"")</f>
        <v/>
      </c>
      <c r="H206" s="102" t="str">
        <f t="shared" ref="H206:H225" si="40">IF(B206&lt;&gt;"",VLOOKUP(B206,G011CTablo,14,0),"")</f>
        <v/>
      </c>
      <c r="I206" s="109" t="str">
        <f>IF(AND(B206&lt;&gt;"",J206&gt;=K206,L206&gt;0),G206*H206,"")</f>
        <v/>
      </c>
      <c r="J206" s="100" t="str">
        <f>IF(B206&gt;0,ROUNDUP(VLOOKUP(B206,G011B!$B:$R,16,0),1),"")</f>
        <v/>
      </c>
      <c r="K206" s="100" t="str">
        <f>IF(B206&gt;0,SUMIF($B:$B,B206,$G:$G),"")</f>
        <v/>
      </c>
      <c r="L206" s="101" t="str">
        <f>IF(B206&lt;&gt;"",VLOOKUP(B206,G011B!$B:$Z,25,0),"")</f>
        <v/>
      </c>
      <c r="M206" s="160" t="str">
        <f t="shared" ref="M206:M225" si="41">IF(J206&gt;=K206,"","Personelin bütün iş paketlerindeki Toplam Adam Ay değeri "&amp;K206&amp;" olup, bu değer, G011B formunda beyan edilen Çalışılan Toplam Ay değerini geçemez. Maliyeti hesaplamak için Adam/Ay Oranı veya Çalışılan Ay değerini düzeltiniz. ")</f>
        <v/>
      </c>
      <c r="N206" s="43"/>
      <c r="O206" s="43"/>
      <c r="P206" s="43"/>
    </row>
    <row r="207" spans="1:16" ht="20.05" customHeight="1" x14ac:dyDescent="0.25">
      <c r="A207" s="180">
        <v>122</v>
      </c>
      <c r="B207" s="57"/>
      <c r="C207" s="96" t="str">
        <f t="shared" si="38"/>
        <v/>
      </c>
      <c r="D207" s="97" t="str">
        <f t="shared" si="39"/>
        <v/>
      </c>
      <c r="E207" s="58"/>
      <c r="F207" s="59"/>
      <c r="G207" s="106" t="str">
        <f t="shared" ref="G207:G225" si="42">IF(AND(B207&lt;&gt;"",L207&gt;=F207),E207*F207,"")</f>
        <v/>
      </c>
      <c r="H207" s="103" t="str">
        <f t="shared" si="40"/>
        <v/>
      </c>
      <c r="I207" s="110" t="str">
        <f t="shared" ref="I207:I225" si="43">IF(AND(B207&lt;&gt;"",J207&gt;=K207,L207&gt;0),G207*H207,"")</f>
        <v/>
      </c>
      <c r="J207" s="100" t="str">
        <f>IF(B207&gt;0,ROUNDUP(VLOOKUP(B207,G011B!$B:$R,16,0),1),"")</f>
        <v/>
      </c>
      <c r="K207" s="100" t="str">
        <f t="shared" ref="K207:K225" si="44">IF(B207&gt;0,SUMIF($B:$B,B207,$G:$G),"")</f>
        <v/>
      </c>
      <c r="L207" s="101" t="str">
        <f>IF(B207&lt;&gt;"",VLOOKUP(B207,G011B!$B:$Z,25,0),"")</f>
        <v/>
      </c>
      <c r="M207" s="160" t="str">
        <f t="shared" si="41"/>
        <v/>
      </c>
      <c r="N207" s="43"/>
      <c r="O207" s="43"/>
      <c r="P207" s="43"/>
    </row>
    <row r="208" spans="1:16" ht="20.05" customHeight="1" x14ac:dyDescent="0.25">
      <c r="A208" s="180">
        <v>123</v>
      </c>
      <c r="B208" s="57"/>
      <c r="C208" s="96" t="str">
        <f t="shared" si="38"/>
        <v/>
      </c>
      <c r="D208" s="97" t="str">
        <f t="shared" si="39"/>
        <v/>
      </c>
      <c r="E208" s="58"/>
      <c r="F208" s="59"/>
      <c r="G208" s="106" t="str">
        <f t="shared" si="42"/>
        <v/>
      </c>
      <c r="H208" s="103" t="str">
        <f t="shared" si="40"/>
        <v/>
      </c>
      <c r="I208" s="110" t="str">
        <f t="shared" si="43"/>
        <v/>
      </c>
      <c r="J208" s="100" t="str">
        <f>IF(B208&gt;0,ROUNDUP(VLOOKUP(B208,G011B!$B:$R,16,0),1),"")</f>
        <v/>
      </c>
      <c r="K208" s="100" t="str">
        <f t="shared" si="44"/>
        <v/>
      </c>
      <c r="L208" s="101" t="str">
        <f>IF(B208&lt;&gt;"",VLOOKUP(B208,G011B!$B:$Z,25,0),"")</f>
        <v/>
      </c>
      <c r="M208" s="160" t="str">
        <f t="shared" si="41"/>
        <v/>
      </c>
      <c r="N208" s="43"/>
      <c r="O208" s="43"/>
      <c r="P208" s="43"/>
    </row>
    <row r="209" spans="1:16" ht="20.05" customHeight="1" x14ac:dyDescent="0.25">
      <c r="A209" s="180">
        <v>124</v>
      </c>
      <c r="B209" s="57"/>
      <c r="C209" s="96" t="str">
        <f t="shared" si="38"/>
        <v/>
      </c>
      <c r="D209" s="97" t="str">
        <f t="shared" si="39"/>
        <v/>
      </c>
      <c r="E209" s="58"/>
      <c r="F209" s="59"/>
      <c r="G209" s="106" t="str">
        <f t="shared" si="42"/>
        <v/>
      </c>
      <c r="H209" s="103" t="str">
        <f t="shared" si="40"/>
        <v/>
      </c>
      <c r="I209" s="110" t="str">
        <f t="shared" si="43"/>
        <v/>
      </c>
      <c r="J209" s="100" t="str">
        <f>IF(B209&gt;0,ROUNDUP(VLOOKUP(B209,G011B!$B:$R,16,0),1),"")</f>
        <v/>
      </c>
      <c r="K209" s="100" t="str">
        <f t="shared" si="44"/>
        <v/>
      </c>
      <c r="L209" s="101" t="str">
        <f>IF(B209&lt;&gt;"",VLOOKUP(B209,G011B!$B:$Z,25,0),"")</f>
        <v/>
      </c>
      <c r="M209" s="160" t="str">
        <f t="shared" si="41"/>
        <v/>
      </c>
      <c r="N209" s="43"/>
      <c r="O209" s="43"/>
      <c r="P209" s="43"/>
    </row>
    <row r="210" spans="1:16" ht="20.05" customHeight="1" x14ac:dyDescent="0.25">
      <c r="A210" s="180">
        <v>125</v>
      </c>
      <c r="B210" s="57"/>
      <c r="C210" s="96" t="str">
        <f t="shared" si="38"/>
        <v/>
      </c>
      <c r="D210" s="97" t="str">
        <f t="shared" si="39"/>
        <v/>
      </c>
      <c r="E210" s="58"/>
      <c r="F210" s="59"/>
      <c r="G210" s="106" t="str">
        <f t="shared" si="42"/>
        <v/>
      </c>
      <c r="H210" s="103" t="str">
        <f t="shared" si="40"/>
        <v/>
      </c>
      <c r="I210" s="110" t="str">
        <f t="shared" si="43"/>
        <v/>
      </c>
      <c r="J210" s="100" t="str">
        <f>IF(B210&gt;0,ROUNDUP(VLOOKUP(B210,G011B!$B:$R,16,0),1),"")</f>
        <v/>
      </c>
      <c r="K210" s="100" t="str">
        <f t="shared" si="44"/>
        <v/>
      </c>
      <c r="L210" s="101" t="str">
        <f>IF(B210&lt;&gt;"",VLOOKUP(B210,G011B!$B:$Z,25,0),"")</f>
        <v/>
      </c>
      <c r="M210" s="160" t="str">
        <f t="shared" si="41"/>
        <v/>
      </c>
      <c r="N210" s="43"/>
      <c r="O210" s="43"/>
      <c r="P210" s="43"/>
    </row>
    <row r="211" spans="1:16" ht="20.05" customHeight="1" x14ac:dyDescent="0.25">
      <c r="A211" s="180">
        <v>126</v>
      </c>
      <c r="B211" s="57"/>
      <c r="C211" s="96" t="str">
        <f t="shared" si="38"/>
        <v/>
      </c>
      <c r="D211" s="97" t="str">
        <f t="shared" si="39"/>
        <v/>
      </c>
      <c r="E211" s="58"/>
      <c r="F211" s="59"/>
      <c r="G211" s="106" t="str">
        <f t="shared" si="42"/>
        <v/>
      </c>
      <c r="H211" s="103" t="str">
        <f t="shared" si="40"/>
        <v/>
      </c>
      <c r="I211" s="110" t="str">
        <f t="shared" si="43"/>
        <v/>
      </c>
      <c r="J211" s="100" t="str">
        <f>IF(B211&gt;0,ROUNDUP(VLOOKUP(B211,G011B!$B:$R,16,0),1),"")</f>
        <v/>
      </c>
      <c r="K211" s="100" t="str">
        <f t="shared" si="44"/>
        <v/>
      </c>
      <c r="L211" s="101" t="str">
        <f>IF(B211&lt;&gt;"",VLOOKUP(B211,G011B!$B:$Z,25,0),"")</f>
        <v/>
      </c>
      <c r="M211" s="160" t="str">
        <f t="shared" si="41"/>
        <v/>
      </c>
      <c r="N211" s="43"/>
      <c r="O211" s="43"/>
      <c r="P211" s="43"/>
    </row>
    <row r="212" spans="1:16" ht="20.05" customHeight="1" x14ac:dyDescent="0.25">
      <c r="A212" s="180">
        <v>127</v>
      </c>
      <c r="B212" s="57"/>
      <c r="C212" s="96" t="str">
        <f t="shared" si="38"/>
        <v/>
      </c>
      <c r="D212" s="97" t="str">
        <f t="shared" si="39"/>
        <v/>
      </c>
      <c r="E212" s="58"/>
      <c r="F212" s="59"/>
      <c r="G212" s="106" t="str">
        <f t="shared" si="42"/>
        <v/>
      </c>
      <c r="H212" s="103" t="str">
        <f t="shared" si="40"/>
        <v/>
      </c>
      <c r="I212" s="110" t="str">
        <f t="shared" si="43"/>
        <v/>
      </c>
      <c r="J212" s="100" t="str">
        <f>IF(B212&gt;0,ROUNDUP(VLOOKUP(B212,G011B!$B:$R,16,0),1),"")</f>
        <v/>
      </c>
      <c r="K212" s="100" t="str">
        <f t="shared" si="44"/>
        <v/>
      </c>
      <c r="L212" s="101" t="str">
        <f>IF(B212&lt;&gt;"",VLOOKUP(B212,G011B!$B:$Z,25,0),"")</f>
        <v/>
      </c>
      <c r="M212" s="160" t="str">
        <f t="shared" si="41"/>
        <v/>
      </c>
      <c r="N212" s="43"/>
      <c r="O212" s="43"/>
      <c r="P212" s="43"/>
    </row>
    <row r="213" spans="1:16" ht="20.05" customHeight="1" x14ac:dyDescent="0.25">
      <c r="A213" s="180">
        <v>128</v>
      </c>
      <c r="B213" s="57"/>
      <c r="C213" s="96" t="str">
        <f t="shared" si="38"/>
        <v/>
      </c>
      <c r="D213" s="97" t="str">
        <f t="shared" si="39"/>
        <v/>
      </c>
      <c r="E213" s="58"/>
      <c r="F213" s="59"/>
      <c r="G213" s="106" t="str">
        <f t="shared" si="42"/>
        <v/>
      </c>
      <c r="H213" s="103" t="str">
        <f t="shared" si="40"/>
        <v/>
      </c>
      <c r="I213" s="110" t="str">
        <f t="shared" si="43"/>
        <v/>
      </c>
      <c r="J213" s="100" t="str">
        <f>IF(B213&gt;0,ROUNDUP(VLOOKUP(B213,G011B!$B:$R,16,0),1),"")</f>
        <v/>
      </c>
      <c r="K213" s="100" t="str">
        <f t="shared" si="44"/>
        <v/>
      </c>
      <c r="L213" s="101" t="str">
        <f>IF(B213&lt;&gt;"",VLOOKUP(B213,G011B!$B:$Z,25,0),"")</f>
        <v/>
      </c>
      <c r="M213" s="160" t="str">
        <f t="shared" si="41"/>
        <v/>
      </c>
      <c r="N213" s="43"/>
      <c r="O213" s="43"/>
      <c r="P213" s="43"/>
    </row>
    <row r="214" spans="1:16" ht="20.05" customHeight="1" x14ac:dyDescent="0.25">
      <c r="A214" s="180">
        <v>129</v>
      </c>
      <c r="B214" s="57"/>
      <c r="C214" s="96" t="str">
        <f t="shared" si="38"/>
        <v/>
      </c>
      <c r="D214" s="97" t="str">
        <f t="shared" si="39"/>
        <v/>
      </c>
      <c r="E214" s="58"/>
      <c r="F214" s="59"/>
      <c r="G214" s="106" t="str">
        <f t="shared" si="42"/>
        <v/>
      </c>
      <c r="H214" s="103" t="str">
        <f t="shared" si="40"/>
        <v/>
      </c>
      <c r="I214" s="110" t="str">
        <f t="shared" si="43"/>
        <v/>
      </c>
      <c r="J214" s="100" t="str">
        <f>IF(B214&gt;0,ROUNDUP(VLOOKUP(B214,G011B!$B:$R,16,0),1),"")</f>
        <v/>
      </c>
      <c r="K214" s="100" t="str">
        <f t="shared" si="44"/>
        <v/>
      </c>
      <c r="L214" s="101" t="str">
        <f>IF(B214&lt;&gt;"",VLOOKUP(B214,G011B!$B:$Z,25,0),"")</f>
        <v/>
      </c>
      <c r="M214" s="160" t="str">
        <f t="shared" si="41"/>
        <v/>
      </c>
      <c r="N214" s="43"/>
      <c r="O214" s="43"/>
      <c r="P214" s="43"/>
    </row>
    <row r="215" spans="1:16" ht="20.05" customHeight="1" x14ac:dyDescent="0.25">
      <c r="A215" s="180">
        <v>130</v>
      </c>
      <c r="B215" s="57"/>
      <c r="C215" s="96" t="str">
        <f t="shared" si="38"/>
        <v/>
      </c>
      <c r="D215" s="97" t="str">
        <f t="shared" si="39"/>
        <v/>
      </c>
      <c r="E215" s="58"/>
      <c r="F215" s="59"/>
      <c r="G215" s="106" t="str">
        <f t="shared" si="42"/>
        <v/>
      </c>
      <c r="H215" s="103" t="str">
        <f t="shared" si="40"/>
        <v/>
      </c>
      <c r="I215" s="110" t="str">
        <f t="shared" si="43"/>
        <v/>
      </c>
      <c r="J215" s="100" t="str">
        <f>IF(B215&gt;0,ROUNDUP(VLOOKUP(B215,G011B!$B:$R,16,0),1),"")</f>
        <v/>
      </c>
      <c r="K215" s="100" t="str">
        <f t="shared" si="44"/>
        <v/>
      </c>
      <c r="L215" s="101" t="str">
        <f>IF(B215&lt;&gt;"",VLOOKUP(B215,G011B!$B:$Z,25,0),"")</f>
        <v/>
      </c>
      <c r="M215" s="160" t="str">
        <f t="shared" si="41"/>
        <v/>
      </c>
      <c r="N215" s="43"/>
      <c r="O215" s="43"/>
      <c r="P215" s="43"/>
    </row>
    <row r="216" spans="1:16" ht="20.05" customHeight="1" x14ac:dyDescent="0.25">
      <c r="A216" s="180">
        <v>131</v>
      </c>
      <c r="B216" s="57"/>
      <c r="C216" s="96" t="str">
        <f t="shared" si="38"/>
        <v/>
      </c>
      <c r="D216" s="97" t="str">
        <f t="shared" si="39"/>
        <v/>
      </c>
      <c r="E216" s="58"/>
      <c r="F216" s="59"/>
      <c r="G216" s="106" t="str">
        <f t="shared" si="42"/>
        <v/>
      </c>
      <c r="H216" s="103" t="str">
        <f t="shared" si="40"/>
        <v/>
      </c>
      <c r="I216" s="110" t="str">
        <f t="shared" si="43"/>
        <v/>
      </c>
      <c r="J216" s="100" t="str">
        <f>IF(B216&gt;0,ROUNDUP(VLOOKUP(B216,G011B!$B:$R,16,0),1),"")</f>
        <v/>
      </c>
      <c r="K216" s="100" t="str">
        <f t="shared" si="44"/>
        <v/>
      </c>
      <c r="L216" s="101" t="str">
        <f>IF(B216&lt;&gt;"",VLOOKUP(B216,G011B!$B:$Z,25,0),"")</f>
        <v/>
      </c>
      <c r="M216" s="160" t="str">
        <f t="shared" si="41"/>
        <v/>
      </c>
      <c r="N216" s="43"/>
      <c r="O216" s="43"/>
      <c r="P216" s="43"/>
    </row>
    <row r="217" spans="1:16" ht="20.05" customHeight="1" x14ac:dyDescent="0.25">
      <c r="A217" s="180">
        <v>132</v>
      </c>
      <c r="B217" s="57"/>
      <c r="C217" s="96" t="str">
        <f t="shared" si="38"/>
        <v/>
      </c>
      <c r="D217" s="97" t="str">
        <f t="shared" si="39"/>
        <v/>
      </c>
      <c r="E217" s="58"/>
      <c r="F217" s="59"/>
      <c r="G217" s="106" t="str">
        <f t="shared" si="42"/>
        <v/>
      </c>
      <c r="H217" s="103" t="str">
        <f t="shared" si="40"/>
        <v/>
      </c>
      <c r="I217" s="110" t="str">
        <f t="shared" si="43"/>
        <v/>
      </c>
      <c r="J217" s="100" t="str">
        <f>IF(B217&gt;0,ROUNDUP(VLOOKUP(B217,G011B!$B:$R,16,0),1),"")</f>
        <v/>
      </c>
      <c r="K217" s="100" t="str">
        <f t="shared" si="44"/>
        <v/>
      </c>
      <c r="L217" s="101" t="str">
        <f>IF(B217&lt;&gt;"",VLOOKUP(B217,G011B!$B:$Z,25,0),"")</f>
        <v/>
      </c>
      <c r="M217" s="160" t="str">
        <f t="shared" si="41"/>
        <v/>
      </c>
      <c r="N217" s="43"/>
      <c r="O217" s="43"/>
      <c r="P217" s="43"/>
    </row>
    <row r="218" spans="1:16" ht="20.05" customHeight="1" x14ac:dyDescent="0.25">
      <c r="A218" s="180">
        <v>133</v>
      </c>
      <c r="B218" s="57"/>
      <c r="C218" s="96" t="str">
        <f t="shared" si="38"/>
        <v/>
      </c>
      <c r="D218" s="97" t="str">
        <f t="shared" si="39"/>
        <v/>
      </c>
      <c r="E218" s="58"/>
      <c r="F218" s="59"/>
      <c r="G218" s="106" t="str">
        <f t="shared" si="42"/>
        <v/>
      </c>
      <c r="H218" s="103" t="str">
        <f t="shared" si="40"/>
        <v/>
      </c>
      <c r="I218" s="110" t="str">
        <f t="shared" si="43"/>
        <v/>
      </c>
      <c r="J218" s="100" t="str">
        <f>IF(B218&gt;0,ROUNDUP(VLOOKUP(B218,G011B!$B:$R,16,0),1),"")</f>
        <v/>
      </c>
      <c r="K218" s="100" t="str">
        <f t="shared" si="44"/>
        <v/>
      </c>
      <c r="L218" s="101" t="str">
        <f>IF(B218&lt;&gt;"",VLOOKUP(B218,G011B!$B:$Z,25,0),"")</f>
        <v/>
      </c>
      <c r="M218" s="160" t="str">
        <f t="shared" si="41"/>
        <v/>
      </c>
      <c r="N218" s="43"/>
      <c r="O218" s="43"/>
      <c r="P218" s="43"/>
    </row>
    <row r="219" spans="1:16" ht="20.05" customHeight="1" x14ac:dyDescent="0.25">
      <c r="A219" s="180">
        <v>134</v>
      </c>
      <c r="B219" s="57"/>
      <c r="C219" s="96" t="str">
        <f t="shared" si="38"/>
        <v/>
      </c>
      <c r="D219" s="97" t="str">
        <f t="shared" si="39"/>
        <v/>
      </c>
      <c r="E219" s="58"/>
      <c r="F219" s="59"/>
      <c r="G219" s="106" t="str">
        <f t="shared" si="42"/>
        <v/>
      </c>
      <c r="H219" s="103" t="str">
        <f t="shared" si="40"/>
        <v/>
      </c>
      <c r="I219" s="110" t="str">
        <f t="shared" si="43"/>
        <v/>
      </c>
      <c r="J219" s="100" t="str">
        <f>IF(B219&gt;0,ROUNDUP(VLOOKUP(B219,G011B!$B:$R,16,0),1),"")</f>
        <v/>
      </c>
      <c r="K219" s="100" t="str">
        <f t="shared" si="44"/>
        <v/>
      </c>
      <c r="L219" s="101" t="str">
        <f>IF(B219&lt;&gt;"",VLOOKUP(B219,G011B!$B:$Z,25,0),"")</f>
        <v/>
      </c>
      <c r="M219" s="160" t="str">
        <f t="shared" si="41"/>
        <v/>
      </c>
      <c r="N219" s="43"/>
      <c r="O219" s="43"/>
      <c r="P219" s="43"/>
    </row>
    <row r="220" spans="1:16" ht="20.05" customHeight="1" x14ac:dyDescent="0.25">
      <c r="A220" s="180">
        <v>135</v>
      </c>
      <c r="B220" s="57"/>
      <c r="C220" s="96" t="str">
        <f t="shared" si="38"/>
        <v/>
      </c>
      <c r="D220" s="97" t="str">
        <f t="shared" si="39"/>
        <v/>
      </c>
      <c r="E220" s="58"/>
      <c r="F220" s="59"/>
      <c r="G220" s="106" t="str">
        <f t="shared" si="42"/>
        <v/>
      </c>
      <c r="H220" s="103" t="str">
        <f t="shared" si="40"/>
        <v/>
      </c>
      <c r="I220" s="110" t="str">
        <f t="shared" si="43"/>
        <v/>
      </c>
      <c r="J220" s="100" t="str">
        <f>IF(B220&gt;0,ROUNDUP(VLOOKUP(B220,G011B!$B:$R,16,0),1),"")</f>
        <v/>
      </c>
      <c r="K220" s="100" t="str">
        <f t="shared" si="44"/>
        <v/>
      </c>
      <c r="L220" s="101" t="str">
        <f>IF(B220&lt;&gt;"",VLOOKUP(B220,G011B!$B:$Z,25,0),"")</f>
        <v/>
      </c>
      <c r="M220" s="160" t="str">
        <f t="shared" si="41"/>
        <v/>
      </c>
      <c r="N220" s="43"/>
      <c r="O220" s="43"/>
      <c r="P220" s="43"/>
    </row>
    <row r="221" spans="1:16" ht="20.05" customHeight="1" x14ac:dyDescent="0.25">
      <c r="A221" s="180">
        <v>136</v>
      </c>
      <c r="B221" s="57"/>
      <c r="C221" s="96" t="str">
        <f t="shared" si="38"/>
        <v/>
      </c>
      <c r="D221" s="97" t="str">
        <f t="shared" si="39"/>
        <v/>
      </c>
      <c r="E221" s="58"/>
      <c r="F221" s="59"/>
      <c r="G221" s="106" t="str">
        <f t="shared" si="42"/>
        <v/>
      </c>
      <c r="H221" s="103" t="str">
        <f t="shared" si="40"/>
        <v/>
      </c>
      <c r="I221" s="110" t="str">
        <f t="shared" si="43"/>
        <v/>
      </c>
      <c r="J221" s="100" t="str">
        <f>IF(B221&gt;0,ROUNDUP(VLOOKUP(B221,G011B!$B:$R,16,0),1),"")</f>
        <v/>
      </c>
      <c r="K221" s="100" t="str">
        <f t="shared" si="44"/>
        <v/>
      </c>
      <c r="L221" s="101" t="str">
        <f>IF(B221&lt;&gt;"",VLOOKUP(B221,G011B!$B:$Z,25,0),"")</f>
        <v/>
      </c>
      <c r="M221" s="160" t="str">
        <f t="shared" si="41"/>
        <v/>
      </c>
      <c r="N221" s="43"/>
      <c r="O221" s="43"/>
      <c r="P221" s="43"/>
    </row>
    <row r="222" spans="1:16" ht="20.05" customHeight="1" x14ac:dyDescent="0.25">
      <c r="A222" s="180">
        <v>137</v>
      </c>
      <c r="B222" s="57"/>
      <c r="C222" s="96" t="str">
        <f t="shared" si="38"/>
        <v/>
      </c>
      <c r="D222" s="97" t="str">
        <f t="shared" si="39"/>
        <v/>
      </c>
      <c r="E222" s="58"/>
      <c r="F222" s="59"/>
      <c r="G222" s="106" t="str">
        <f t="shared" si="42"/>
        <v/>
      </c>
      <c r="H222" s="103" t="str">
        <f t="shared" si="40"/>
        <v/>
      </c>
      <c r="I222" s="110" t="str">
        <f t="shared" si="43"/>
        <v/>
      </c>
      <c r="J222" s="100" t="str">
        <f>IF(B222&gt;0,ROUNDUP(VLOOKUP(B222,G011B!$B:$R,16,0),1),"")</f>
        <v/>
      </c>
      <c r="K222" s="100" t="str">
        <f t="shared" si="44"/>
        <v/>
      </c>
      <c r="L222" s="101" t="str">
        <f>IF(B222&lt;&gt;"",VLOOKUP(B222,G011B!$B:$Z,25,0),"")</f>
        <v/>
      </c>
      <c r="M222" s="160" t="str">
        <f t="shared" si="41"/>
        <v/>
      </c>
      <c r="N222" s="43"/>
      <c r="O222" s="43"/>
      <c r="P222" s="43"/>
    </row>
    <row r="223" spans="1:16" ht="20.05" customHeight="1" x14ac:dyDescent="0.25">
      <c r="A223" s="180">
        <v>138</v>
      </c>
      <c r="B223" s="57"/>
      <c r="C223" s="96" t="str">
        <f t="shared" si="38"/>
        <v/>
      </c>
      <c r="D223" s="97" t="str">
        <f t="shared" si="39"/>
        <v/>
      </c>
      <c r="E223" s="58"/>
      <c r="F223" s="59"/>
      <c r="G223" s="106" t="str">
        <f t="shared" si="42"/>
        <v/>
      </c>
      <c r="H223" s="103" t="str">
        <f t="shared" si="40"/>
        <v/>
      </c>
      <c r="I223" s="110" t="str">
        <f t="shared" si="43"/>
        <v/>
      </c>
      <c r="J223" s="100" t="str">
        <f>IF(B223&gt;0,ROUNDUP(VLOOKUP(B223,G011B!$B:$R,16,0),1),"")</f>
        <v/>
      </c>
      <c r="K223" s="100" t="str">
        <f t="shared" si="44"/>
        <v/>
      </c>
      <c r="L223" s="101" t="str">
        <f>IF(B223&lt;&gt;"",VLOOKUP(B223,G011B!$B:$Z,25,0),"")</f>
        <v/>
      </c>
      <c r="M223" s="160" t="str">
        <f t="shared" si="41"/>
        <v/>
      </c>
      <c r="N223" s="43"/>
      <c r="O223" s="43"/>
      <c r="P223" s="43"/>
    </row>
    <row r="224" spans="1:16" ht="20.05" customHeight="1" x14ac:dyDescent="0.25">
      <c r="A224" s="180">
        <v>139</v>
      </c>
      <c r="B224" s="57"/>
      <c r="C224" s="96" t="str">
        <f t="shared" si="38"/>
        <v/>
      </c>
      <c r="D224" s="97" t="str">
        <f t="shared" si="39"/>
        <v/>
      </c>
      <c r="E224" s="58"/>
      <c r="F224" s="59"/>
      <c r="G224" s="106" t="str">
        <f t="shared" si="42"/>
        <v/>
      </c>
      <c r="H224" s="103" t="str">
        <f t="shared" si="40"/>
        <v/>
      </c>
      <c r="I224" s="110" t="str">
        <f t="shared" si="43"/>
        <v/>
      </c>
      <c r="J224" s="100" t="str">
        <f>IF(B224&gt;0,ROUNDUP(VLOOKUP(B224,G011B!$B:$R,16,0),1),"")</f>
        <v/>
      </c>
      <c r="K224" s="100" t="str">
        <f t="shared" si="44"/>
        <v/>
      </c>
      <c r="L224" s="101" t="str">
        <f>IF(B224&lt;&gt;"",VLOOKUP(B224,G011B!$B:$Z,25,0),"")</f>
        <v/>
      </c>
      <c r="M224" s="160" t="str">
        <f t="shared" si="41"/>
        <v/>
      </c>
      <c r="N224" s="43"/>
      <c r="O224" s="43"/>
      <c r="P224" s="43"/>
    </row>
    <row r="225" spans="1:16" ht="20.05" customHeight="1" thickBot="1" x14ac:dyDescent="0.3">
      <c r="A225" s="181">
        <v>140</v>
      </c>
      <c r="B225" s="60"/>
      <c r="C225" s="98" t="str">
        <f t="shared" si="38"/>
        <v/>
      </c>
      <c r="D225" s="99" t="str">
        <f t="shared" si="39"/>
        <v/>
      </c>
      <c r="E225" s="61"/>
      <c r="F225" s="62"/>
      <c r="G225" s="107" t="str">
        <f t="shared" si="42"/>
        <v/>
      </c>
      <c r="H225" s="104" t="str">
        <f t="shared" si="40"/>
        <v/>
      </c>
      <c r="I225" s="111" t="str">
        <f t="shared" si="43"/>
        <v/>
      </c>
      <c r="J225" s="100" t="str">
        <f>IF(B225&gt;0,ROUNDUP(VLOOKUP(B225,G011B!$B:$R,16,0),1),"")</f>
        <v/>
      </c>
      <c r="K225" s="100" t="str">
        <f t="shared" si="44"/>
        <v/>
      </c>
      <c r="L225" s="101" t="str">
        <f>IF(B225&lt;&gt;"",VLOOKUP(B225,G011B!$B:$Z,25,0),"")</f>
        <v/>
      </c>
      <c r="M225" s="160" t="str">
        <f t="shared" si="41"/>
        <v/>
      </c>
      <c r="N225" s="43"/>
      <c r="O225" s="43"/>
      <c r="P225" s="43"/>
    </row>
    <row r="226" spans="1:16" ht="20.05" customHeight="1" thickBot="1" x14ac:dyDescent="0.4">
      <c r="A226" s="360" t="s">
        <v>42</v>
      </c>
      <c r="B226" s="361"/>
      <c r="C226" s="361"/>
      <c r="D226" s="361"/>
      <c r="E226" s="361"/>
      <c r="F226" s="362"/>
      <c r="G226" s="108">
        <f>SUM(G206:G225)</f>
        <v>0</v>
      </c>
      <c r="H226" s="202"/>
      <c r="I226" s="93">
        <f>IF(C204=C171,SUM(I206:I225)+I193,SUM(I206:I225))</f>
        <v>0</v>
      </c>
      <c r="J226" s="43"/>
      <c r="K226" s="43"/>
      <c r="L226" s="43"/>
      <c r="M226" s="43"/>
      <c r="N226" s="112">
        <f>IF(COUNTA(B206:B225)&gt;0,1,0)</f>
        <v>0</v>
      </c>
      <c r="O226" s="43"/>
      <c r="P226" s="43"/>
    </row>
    <row r="227" spans="1:16" ht="20.05" customHeight="1" thickBot="1" x14ac:dyDescent="0.35">
      <c r="A227" s="363" t="s">
        <v>80</v>
      </c>
      <c r="B227" s="364"/>
      <c r="C227" s="364"/>
      <c r="D227" s="365"/>
      <c r="E227" s="86">
        <f>SUM(G:G)/2</f>
        <v>0</v>
      </c>
      <c r="F227" s="366"/>
      <c r="G227" s="367"/>
      <c r="H227" s="368"/>
      <c r="I227" s="92">
        <f>SUM(I206:I225)+I194</f>
        <v>0</v>
      </c>
      <c r="J227" s="43"/>
      <c r="K227" s="43"/>
      <c r="L227" s="43"/>
      <c r="M227" s="43"/>
      <c r="N227" s="43"/>
      <c r="O227" s="43"/>
      <c r="P227" s="43"/>
    </row>
    <row r="228" spans="1:16" x14ac:dyDescent="0.25">
      <c r="A228" s="182" t="s">
        <v>118</v>
      </c>
      <c r="B228" s="43"/>
      <c r="C228" s="43"/>
      <c r="D228" s="43"/>
      <c r="E228" s="43"/>
      <c r="F228" s="43"/>
      <c r="G228" s="43"/>
      <c r="H228" s="43"/>
      <c r="I228" s="43"/>
      <c r="J228" s="43"/>
      <c r="K228" s="43"/>
      <c r="L228" s="43"/>
      <c r="M228" s="43"/>
      <c r="N228" s="43"/>
      <c r="O228" s="43"/>
      <c r="P228" s="43"/>
    </row>
    <row r="229" spans="1:16" x14ac:dyDescent="0.25">
      <c r="A229" s="43"/>
      <c r="B229" s="43"/>
      <c r="C229" s="43"/>
      <c r="D229" s="43"/>
      <c r="E229" s="43"/>
      <c r="F229" s="43"/>
      <c r="G229" s="43"/>
      <c r="H229" s="43"/>
      <c r="I229" s="43"/>
      <c r="J229" s="43"/>
      <c r="K229" s="43"/>
      <c r="L229" s="43"/>
      <c r="M229" s="43"/>
      <c r="N229" s="43"/>
      <c r="O229" s="43"/>
      <c r="P229" s="43"/>
    </row>
    <row r="230" spans="1:16" ht="21.1" x14ac:dyDescent="0.35">
      <c r="A230" s="247" t="s">
        <v>39</v>
      </c>
      <c r="B230" s="248">
        <f ca="1">IF(imzatarihi&gt;0,imzatarihi,"")</f>
        <v>45686</v>
      </c>
      <c r="C230" s="251" t="s">
        <v>40</v>
      </c>
      <c r="D230" s="245" t="str">
        <f>IF(kurulusyetkilisi&gt;0,kurulusyetkilisi,"")</f>
        <v/>
      </c>
      <c r="F230" s="247"/>
      <c r="G230" s="247"/>
      <c r="H230" s="163"/>
      <c r="I230" s="163"/>
      <c r="J230" s="43"/>
      <c r="K230" s="73"/>
      <c r="L230" s="73"/>
      <c r="M230" s="5"/>
      <c r="N230" s="73"/>
      <c r="O230" s="73"/>
      <c r="P230" s="43"/>
    </row>
    <row r="231" spans="1:16" ht="19.7" x14ac:dyDescent="0.35">
      <c r="A231" s="249"/>
      <c r="B231" s="249"/>
      <c r="C231" s="251" t="s">
        <v>41</v>
      </c>
      <c r="D231" s="247"/>
      <c r="E231" s="302"/>
      <c r="F231" s="302"/>
      <c r="G231" s="302"/>
      <c r="H231" s="42"/>
      <c r="I231" s="42"/>
      <c r="J231" s="43"/>
      <c r="K231" s="73"/>
      <c r="L231" s="73"/>
      <c r="M231" s="5"/>
      <c r="N231" s="73"/>
      <c r="O231" s="73"/>
      <c r="P231" s="43"/>
    </row>
    <row r="232" spans="1:16" ht="16.3" x14ac:dyDescent="0.3">
      <c r="A232" s="338" t="s">
        <v>73</v>
      </c>
      <c r="B232" s="338"/>
      <c r="C232" s="338"/>
      <c r="D232" s="338"/>
      <c r="E232" s="338"/>
      <c r="F232" s="338"/>
      <c r="G232" s="338"/>
      <c r="H232" s="338"/>
      <c r="I232" s="338"/>
      <c r="J232" s="43"/>
      <c r="K232" s="43"/>
      <c r="L232" s="43"/>
      <c r="M232" s="43"/>
      <c r="N232" s="43"/>
      <c r="O232" s="43"/>
      <c r="P232" s="43"/>
    </row>
    <row r="233" spans="1:16" x14ac:dyDescent="0.25">
      <c r="A233" s="336" t="str">
        <f>IF(YilDonem&lt;&gt;"",CONCATENATE(YilDonem,". döneme aittir."),"")</f>
        <v/>
      </c>
      <c r="B233" s="336"/>
      <c r="C233" s="336"/>
      <c r="D233" s="336"/>
      <c r="E233" s="336"/>
      <c r="F233" s="336"/>
      <c r="G233" s="336"/>
      <c r="H233" s="336"/>
      <c r="I233" s="336"/>
      <c r="J233" s="43"/>
      <c r="K233" s="43"/>
      <c r="L233" s="43"/>
      <c r="M233" s="43"/>
      <c r="N233" s="43"/>
      <c r="O233" s="43"/>
      <c r="P233" s="43"/>
    </row>
    <row r="234" spans="1:16" ht="19.7" thickBot="1" x14ac:dyDescent="0.4">
      <c r="A234" s="372" t="s">
        <v>82</v>
      </c>
      <c r="B234" s="372"/>
      <c r="C234" s="372"/>
      <c r="D234" s="372"/>
      <c r="E234" s="372"/>
      <c r="F234" s="372"/>
      <c r="G234" s="372"/>
      <c r="H234" s="372"/>
      <c r="I234" s="372"/>
      <c r="J234" s="43"/>
      <c r="K234" s="43"/>
      <c r="L234" s="43"/>
      <c r="M234" s="43"/>
      <c r="N234" s="43"/>
      <c r="O234" s="43"/>
      <c r="P234" s="43"/>
    </row>
    <row r="235" spans="1:16" ht="19.55" customHeight="1" thickBot="1" x14ac:dyDescent="0.3">
      <c r="A235" s="341" t="s">
        <v>1</v>
      </c>
      <c r="B235" s="343"/>
      <c r="C235" s="330" t="str">
        <f>IF(ProjeNo&gt;0,ProjeNo,"")</f>
        <v/>
      </c>
      <c r="D235" s="331"/>
      <c r="E235" s="331"/>
      <c r="F235" s="331"/>
      <c r="G235" s="331"/>
      <c r="H235" s="331"/>
      <c r="I235" s="332"/>
      <c r="J235" s="43"/>
      <c r="K235" s="43"/>
      <c r="L235" s="43"/>
      <c r="M235" s="43"/>
      <c r="N235" s="43"/>
      <c r="O235" s="43"/>
      <c r="P235" s="43"/>
    </row>
    <row r="236" spans="1:16" ht="29.25" customHeight="1" thickBot="1" x14ac:dyDescent="0.3">
      <c r="A236" s="371" t="s">
        <v>11</v>
      </c>
      <c r="B236" s="342"/>
      <c r="C236" s="346" t="str">
        <f>IF(ProjeAdi&gt;0,ProjeAdi,"")</f>
        <v/>
      </c>
      <c r="D236" s="347"/>
      <c r="E236" s="347"/>
      <c r="F236" s="347"/>
      <c r="G236" s="347"/>
      <c r="H236" s="347"/>
      <c r="I236" s="348"/>
      <c r="J236" s="43"/>
      <c r="K236" s="43"/>
      <c r="L236" s="43"/>
      <c r="M236" s="43"/>
      <c r="N236" s="43"/>
      <c r="O236" s="43"/>
      <c r="P236" s="43"/>
    </row>
    <row r="237" spans="1:16" ht="19.55" customHeight="1" thickBot="1" x14ac:dyDescent="0.3">
      <c r="A237" s="341" t="s">
        <v>74</v>
      </c>
      <c r="B237" s="343"/>
      <c r="C237" s="9"/>
      <c r="D237" s="369"/>
      <c r="E237" s="369"/>
      <c r="F237" s="369"/>
      <c r="G237" s="369"/>
      <c r="H237" s="369"/>
      <c r="I237" s="370"/>
      <c r="J237" s="43"/>
      <c r="K237" s="43"/>
      <c r="L237" s="43"/>
      <c r="M237" s="43"/>
      <c r="N237" s="43"/>
      <c r="O237" s="43"/>
      <c r="P237" s="43"/>
    </row>
    <row r="238" spans="1:16" s="2" customFormat="1" ht="29.25" thickBot="1" x14ac:dyDescent="0.3">
      <c r="A238" s="176" t="s">
        <v>7</v>
      </c>
      <c r="B238" s="176" t="s">
        <v>8</v>
      </c>
      <c r="C238" s="176" t="s">
        <v>63</v>
      </c>
      <c r="D238" s="176" t="s">
        <v>119</v>
      </c>
      <c r="E238" s="176" t="s">
        <v>75</v>
      </c>
      <c r="F238" s="176" t="s">
        <v>76</v>
      </c>
      <c r="G238" s="176" t="s">
        <v>77</v>
      </c>
      <c r="H238" s="176" t="s">
        <v>78</v>
      </c>
      <c r="I238" s="176" t="s">
        <v>79</v>
      </c>
      <c r="J238" s="177" t="s">
        <v>83</v>
      </c>
      <c r="K238" s="178" t="s">
        <v>84</v>
      </c>
      <c r="L238" s="178" t="s">
        <v>76</v>
      </c>
      <c r="M238" s="169"/>
      <c r="N238" s="169"/>
      <c r="O238" s="169"/>
      <c r="P238" s="169"/>
    </row>
    <row r="239" spans="1:16" ht="20.05" customHeight="1" x14ac:dyDescent="0.25">
      <c r="A239" s="179">
        <v>141</v>
      </c>
      <c r="B239" s="53"/>
      <c r="C239" s="94" t="str">
        <f t="shared" ref="C239:C258" si="45">IF(B239&lt;&gt;"",VLOOKUP(B239,PersonelTablo,2,0),"")</f>
        <v/>
      </c>
      <c r="D239" s="95" t="str">
        <f t="shared" ref="D239:D258" si="46">IF(B239&lt;&gt;"",VLOOKUP(B239,PersonelTablo,3,0),"")</f>
        <v/>
      </c>
      <c r="E239" s="54"/>
      <c r="F239" s="55"/>
      <c r="G239" s="105" t="str">
        <f>IF(AND(B239&lt;&gt;"",L239&gt;=F239),E239*F239,"")</f>
        <v/>
      </c>
      <c r="H239" s="102" t="str">
        <f t="shared" ref="H239:H258" si="47">IF(B239&lt;&gt;"",VLOOKUP(B239,G011CTablo,14,0),"")</f>
        <v/>
      </c>
      <c r="I239" s="109" t="str">
        <f>IF(AND(B239&lt;&gt;"",J239&gt;=K239,L239&gt;0),G239*H239,"")</f>
        <v/>
      </c>
      <c r="J239" s="100" t="str">
        <f>IF(B239&gt;0,ROUNDUP(VLOOKUP(B239,G011B!$B:$R,16,0),1),"")</f>
        <v/>
      </c>
      <c r="K239" s="100" t="str">
        <f>IF(B239&gt;0,SUMIF($B:$B,B239,$G:$G),"")</f>
        <v/>
      </c>
      <c r="L239" s="101" t="str">
        <f>IF(B239&lt;&gt;"",VLOOKUP(B239,G011B!$B:$Z,25,0),"")</f>
        <v/>
      </c>
      <c r="M239" s="160" t="str">
        <f t="shared" ref="M239:M258" si="48">IF(J239&gt;=K239,"","Personelin bütün iş paketlerindeki Toplam Adam Ay değeri "&amp;K239&amp;" olup, bu değer, G011B formunda beyan edilen Çalışılan Toplam Ay değerini geçemez. Maliyeti hesaplamak için Adam/Ay Oranı veya Çalışılan Ay değerini düzeltiniz. ")</f>
        <v/>
      </c>
      <c r="N239" s="43"/>
      <c r="O239" s="43"/>
      <c r="P239" s="43"/>
    </row>
    <row r="240" spans="1:16" ht="20.05" customHeight="1" x14ac:dyDescent="0.25">
      <c r="A240" s="180">
        <v>142</v>
      </c>
      <c r="B240" s="57"/>
      <c r="C240" s="96" t="str">
        <f t="shared" si="45"/>
        <v/>
      </c>
      <c r="D240" s="97" t="str">
        <f t="shared" si="46"/>
        <v/>
      </c>
      <c r="E240" s="58"/>
      <c r="F240" s="59"/>
      <c r="G240" s="106" t="str">
        <f t="shared" ref="G240:G258" si="49">IF(AND(B240&lt;&gt;"",L240&gt;=F240),E240*F240,"")</f>
        <v/>
      </c>
      <c r="H240" s="103" t="str">
        <f t="shared" si="47"/>
        <v/>
      </c>
      <c r="I240" s="110" t="str">
        <f t="shared" ref="I240:I258" si="50">IF(AND(B240&lt;&gt;"",J240&gt;=K240,L240&gt;0),G240*H240,"")</f>
        <v/>
      </c>
      <c r="J240" s="100" t="str">
        <f>IF(B240&gt;0,ROUNDUP(VLOOKUP(B240,G011B!$B:$R,16,0),1),"")</f>
        <v/>
      </c>
      <c r="K240" s="100" t="str">
        <f t="shared" ref="K240:K258" si="51">IF(B240&gt;0,SUMIF($B:$B,B240,$G:$G),"")</f>
        <v/>
      </c>
      <c r="L240" s="101" t="str">
        <f>IF(B240&lt;&gt;"",VLOOKUP(B240,G011B!$B:$Z,25,0),"")</f>
        <v/>
      </c>
      <c r="M240" s="160" t="str">
        <f t="shared" si="48"/>
        <v/>
      </c>
      <c r="N240" s="43"/>
      <c r="O240" s="43"/>
      <c r="P240" s="43"/>
    </row>
    <row r="241" spans="1:16" ht="20.05" customHeight="1" x14ac:dyDescent="0.25">
      <c r="A241" s="180">
        <v>143</v>
      </c>
      <c r="B241" s="57"/>
      <c r="C241" s="96" t="str">
        <f t="shared" si="45"/>
        <v/>
      </c>
      <c r="D241" s="97" t="str">
        <f t="shared" si="46"/>
        <v/>
      </c>
      <c r="E241" s="58"/>
      <c r="F241" s="59"/>
      <c r="G241" s="106" t="str">
        <f t="shared" si="49"/>
        <v/>
      </c>
      <c r="H241" s="103" t="str">
        <f t="shared" si="47"/>
        <v/>
      </c>
      <c r="I241" s="110" t="str">
        <f t="shared" si="50"/>
        <v/>
      </c>
      <c r="J241" s="100" t="str">
        <f>IF(B241&gt;0,ROUNDUP(VLOOKUP(B241,G011B!$B:$R,16,0),1),"")</f>
        <v/>
      </c>
      <c r="K241" s="100" t="str">
        <f t="shared" si="51"/>
        <v/>
      </c>
      <c r="L241" s="101" t="str">
        <f>IF(B241&lt;&gt;"",VLOOKUP(B241,G011B!$B:$Z,25,0),"")</f>
        <v/>
      </c>
      <c r="M241" s="160" t="str">
        <f t="shared" si="48"/>
        <v/>
      </c>
      <c r="N241" s="43"/>
      <c r="O241" s="43"/>
      <c r="P241" s="43"/>
    </row>
    <row r="242" spans="1:16" ht="20.05" customHeight="1" x14ac:dyDescent="0.25">
      <c r="A242" s="180">
        <v>144</v>
      </c>
      <c r="B242" s="57"/>
      <c r="C242" s="96" t="str">
        <f t="shared" si="45"/>
        <v/>
      </c>
      <c r="D242" s="97" t="str">
        <f t="shared" si="46"/>
        <v/>
      </c>
      <c r="E242" s="58"/>
      <c r="F242" s="59"/>
      <c r="G242" s="106" t="str">
        <f t="shared" si="49"/>
        <v/>
      </c>
      <c r="H242" s="103" t="str">
        <f t="shared" si="47"/>
        <v/>
      </c>
      <c r="I242" s="110" t="str">
        <f t="shared" si="50"/>
        <v/>
      </c>
      <c r="J242" s="100" t="str">
        <f>IF(B242&gt;0,ROUNDUP(VLOOKUP(B242,G011B!$B:$R,16,0),1),"")</f>
        <v/>
      </c>
      <c r="K242" s="100" t="str">
        <f t="shared" si="51"/>
        <v/>
      </c>
      <c r="L242" s="101" t="str">
        <f>IF(B242&lt;&gt;"",VLOOKUP(B242,G011B!$B:$Z,25,0),"")</f>
        <v/>
      </c>
      <c r="M242" s="160" t="str">
        <f t="shared" si="48"/>
        <v/>
      </c>
      <c r="N242" s="43"/>
      <c r="O242" s="43"/>
      <c r="P242" s="43"/>
    </row>
    <row r="243" spans="1:16" ht="20.05" customHeight="1" x14ac:dyDescent="0.25">
      <c r="A243" s="180">
        <v>145</v>
      </c>
      <c r="B243" s="57"/>
      <c r="C243" s="96" t="str">
        <f t="shared" si="45"/>
        <v/>
      </c>
      <c r="D243" s="97" t="str">
        <f t="shared" si="46"/>
        <v/>
      </c>
      <c r="E243" s="58"/>
      <c r="F243" s="59"/>
      <c r="G243" s="106" t="str">
        <f t="shared" si="49"/>
        <v/>
      </c>
      <c r="H243" s="103" t="str">
        <f t="shared" si="47"/>
        <v/>
      </c>
      <c r="I243" s="110" t="str">
        <f t="shared" si="50"/>
        <v/>
      </c>
      <c r="J243" s="100" t="str">
        <f>IF(B243&gt;0,ROUNDUP(VLOOKUP(B243,G011B!$B:$R,16,0),1),"")</f>
        <v/>
      </c>
      <c r="K243" s="100" t="str">
        <f t="shared" si="51"/>
        <v/>
      </c>
      <c r="L243" s="101" t="str">
        <f>IF(B243&lt;&gt;"",VLOOKUP(B243,G011B!$B:$Z,25,0),"")</f>
        <v/>
      </c>
      <c r="M243" s="160" t="str">
        <f t="shared" si="48"/>
        <v/>
      </c>
      <c r="N243" s="43"/>
      <c r="O243" s="43"/>
      <c r="P243" s="43"/>
    </row>
    <row r="244" spans="1:16" ht="20.05" customHeight="1" x14ac:dyDescent="0.25">
      <c r="A244" s="180">
        <v>146</v>
      </c>
      <c r="B244" s="57"/>
      <c r="C244" s="96" t="str">
        <f t="shared" si="45"/>
        <v/>
      </c>
      <c r="D244" s="97" t="str">
        <f t="shared" si="46"/>
        <v/>
      </c>
      <c r="E244" s="58"/>
      <c r="F244" s="59"/>
      <c r="G244" s="106" t="str">
        <f t="shared" si="49"/>
        <v/>
      </c>
      <c r="H244" s="103" t="str">
        <f t="shared" si="47"/>
        <v/>
      </c>
      <c r="I244" s="110" t="str">
        <f t="shared" si="50"/>
        <v/>
      </c>
      <c r="J244" s="100" t="str">
        <f>IF(B244&gt;0,ROUNDUP(VLOOKUP(B244,G011B!$B:$R,16,0),1),"")</f>
        <v/>
      </c>
      <c r="K244" s="100" t="str">
        <f t="shared" si="51"/>
        <v/>
      </c>
      <c r="L244" s="101" t="str">
        <f>IF(B244&lt;&gt;"",VLOOKUP(B244,G011B!$B:$Z,25,0),"")</f>
        <v/>
      </c>
      <c r="M244" s="160" t="str">
        <f t="shared" si="48"/>
        <v/>
      </c>
      <c r="N244" s="43"/>
      <c r="O244" s="43"/>
      <c r="P244" s="43"/>
    </row>
    <row r="245" spans="1:16" ht="20.05" customHeight="1" x14ac:dyDescent="0.25">
      <c r="A245" s="180">
        <v>147</v>
      </c>
      <c r="B245" s="57"/>
      <c r="C245" s="96" t="str">
        <f t="shared" si="45"/>
        <v/>
      </c>
      <c r="D245" s="97" t="str">
        <f t="shared" si="46"/>
        <v/>
      </c>
      <c r="E245" s="58"/>
      <c r="F245" s="59"/>
      <c r="G245" s="106" t="str">
        <f t="shared" si="49"/>
        <v/>
      </c>
      <c r="H245" s="103" t="str">
        <f t="shared" si="47"/>
        <v/>
      </c>
      <c r="I245" s="110" t="str">
        <f t="shared" si="50"/>
        <v/>
      </c>
      <c r="J245" s="100" t="str">
        <f>IF(B245&gt;0,ROUNDUP(VLOOKUP(B245,G011B!$B:$R,16,0),1),"")</f>
        <v/>
      </c>
      <c r="K245" s="100" t="str">
        <f t="shared" si="51"/>
        <v/>
      </c>
      <c r="L245" s="101" t="str">
        <f>IF(B245&lt;&gt;"",VLOOKUP(B245,G011B!$B:$Z,25,0),"")</f>
        <v/>
      </c>
      <c r="M245" s="160" t="str">
        <f t="shared" si="48"/>
        <v/>
      </c>
      <c r="N245" s="43"/>
      <c r="O245" s="43"/>
      <c r="P245" s="43"/>
    </row>
    <row r="246" spans="1:16" ht="20.05" customHeight="1" x14ac:dyDescent="0.25">
      <c r="A246" s="180">
        <v>148</v>
      </c>
      <c r="B246" s="57"/>
      <c r="C246" s="96" t="str">
        <f t="shared" si="45"/>
        <v/>
      </c>
      <c r="D246" s="97" t="str">
        <f t="shared" si="46"/>
        <v/>
      </c>
      <c r="E246" s="58"/>
      <c r="F246" s="59"/>
      <c r="G246" s="106" t="str">
        <f t="shared" si="49"/>
        <v/>
      </c>
      <c r="H246" s="103" t="str">
        <f t="shared" si="47"/>
        <v/>
      </c>
      <c r="I246" s="110" t="str">
        <f t="shared" si="50"/>
        <v/>
      </c>
      <c r="J246" s="100" t="str">
        <f>IF(B246&gt;0,ROUNDUP(VLOOKUP(B246,G011B!$B:$R,16,0),1),"")</f>
        <v/>
      </c>
      <c r="K246" s="100" t="str">
        <f t="shared" si="51"/>
        <v/>
      </c>
      <c r="L246" s="101" t="str">
        <f>IF(B246&lt;&gt;"",VLOOKUP(B246,G011B!$B:$Z,25,0),"")</f>
        <v/>
      </c>
      <c r="M246" s="160" t="str">
        <f t="shared" si="48"/>
        <v/>
      </c>
      <c r="N246" s="43"/>
      <c r="O246" s="43"/>
      <c r="P246" s="43"/>
    </row>
    <row r="247" spans="1:16" ht="20.05" customHeight="1" x14ac:dyDescent="0.25">
      <c r="A247" s="180">
        <v>149</v>
      </c>
      <c r="B247" s="57"/>
      <c r="C247" s="96" t="str">
        <f t="shared" si="45"/>
        <v/>
      </c>
      <c r="D247" s="97" t="str">
        <f t="shared" si="46"/>
        <v/>
      </c>
      <c r="E247" s="58"/>
      <c r="F247" s="59"/>
      <c r="G247" s="106" t="str">
        <f t="shared" si="49"/>
        <v/>
      </c>
      <c r="H247" s="103" t="str">
        <f t="shared" si="47"/>
        <v/>
      </c>
      <c r="I247" s="110" t="str">
        <f t="shared" si="50"/>
        <v/>
      </c>
      <c r="J247" s="100" t="str">
        <f>IF(B247&gt;0,ROUNDUP(VLOOKUP(B247,G011B!$B:$R,16,0),1),"")</f>
        <v/>
      </c>
      <c r="K247" s="100" t="str">
        <f t="shared" si="51"/>
        <v/>
      </c>
      <c r="L247" s="101" t="str">
        <f>IF(B247&lt;&gt;"",VLOOKUP(B247,G011B!$B:$Z,25,0),"")</f>
        <v/>
      </c>
      <c r="M247" s="160" t="str">
        <f t="shared" si="48"/>
        <v/>
      </c>
      <c r="N247" s="43"/>
      <c r="O247" s="43"/>
      <c r="P247" s="43"/>
    </row>
    <row r="248" spans="1:16" ht="20.05" customHeight="1" x14ac:dyDescent="0.25">
      <c r="A248" s="180">
        <v>150</v>
      </c>
      <c r="B248" s="57"/>
      <c r="C248" s="96" t="str">
        <f t="shared" si="45"/>
        <v/>
      </c>
      <c r="D248" s="97" t="str">
        <f t="shared" si="46"/>
        <v/>
      </c>
      <c r="E248" s="58"/>
      <c r="F248" s="59"/>
      <c r="G248" s="106" t="str">
        <f t="shared" si="49"/>
        <v/>
      </c>
      <c r="H248" s="103" t="str">
        <f t="shared" si="47"/>
        <v/>
      </c>
      <c r="I248" s="110" t="str">
        <f t="shared" si="50"/>
        <v/>
      </c>
      <c r="J248" s="100" t="str">
        <f>IF(B248&gt;0,ROUNDUP(VLOOKUP(B248,G011B!$B:$R,16,0),1),"")</f>
        <v/>
      </c>
      <c r="K248" s="100" t="str">
        <f t="shared" si="51"/>
        <v/>
      </c>
      <c r="L248" s="101" t="str">
        <f>IF(B248&lt;&gt;"",VLOOKUP(B248,G011B!$B:$Z,25,0),"")</f>
        <v/>
      </c>
      <c r="M248" s="160" t="str">
        <f t="shared" si="48"/>
        <v/>
      </c>
      <c r="N248" s="43"/>
      <c r="O248" s="43"/>
      <c r="P248" s="43"/>
    </row>
    <row r="249" spans="1:16" ht="20.05" customHeight="1" x14ac:dyDescent="0.25">
      <c r="A249" s="180">
        <v>151</v>
      </c>
      <c r="B249" s="57"/>
      <c r="C249" s="96" t="str">
        <f t="shared" si="45"/>
        <v/>
      </c>
      <c r="D249" s="97" t="str">
        <f t="shared" si="46"/>
        <v/>
      </c>
      <c r="E249" s="58"/>
      <c r="F249" s="59"/>
      <c r="G249" s="106" t="str">
        <f t="shared" si="49"/>
        <v/>
      </c>
      <c r="H249" s="103" t="str">
        <f t="shared" si="47"/>
        <v/>
      </c>
      <c r="I249" s="110" t="str">
        <f t="shared" si="50"/>
        <v/>
      </c>
      <c r="J249" s="100" t="str">
        <f>IF(B249&gt;0,ROUNDUP(VLOOKUP(B249,G011B!$B:$R,16,0),1),"")</f>
        <v/>
      </c>
      <c r="K249" s="100" t="str">
        <f t="shared" si="51"/>
        <v/>
      </c>
      <c r="L249" s="101" t="str">
        <f>IF(B249&lt;&gt;"",VLOOKUP(B249,G011B!$B:$Z,25,0),"")</f>
        <v/>
      </c>
      <c r="M249" s="160" t="str">
        <f t="shared" si="48"/>
        <v/>
      </c>
      <c r="N249" s="43"/>
      <c r="O249" s="43"/>
      <c r="P249" s="43"/>
    </row>
    <row r="250" spans="1:16" ht="20.05" customHeight="1" x14ac:dyDescent="0.25">
      <c r="A250" s="180">
        <v>152</v>
      </c>
      <c r="B250" s="57"/>
      <c r="C250" s="96" t="str">
        <f t="shared" si="45"/>
        <v/>
      </c>
      <c r="D250" s="97" t="str">
        <f t="shared" si="46"/>
        <v/>
      </c>
      <c r="E250" s="58"/>
      <c r="F250" s="59"/>
      <c r="G250" s="106" t="str">
        <f t="shared" si="49"/>
        <v/>
      </c>
      <c r="H250" s="103" t="str">
        <f t="shared" si="47"/>
        <v/>
      </c>
      <c r="I250" s="110" t="str">
        <f t="shared" si="50"/>
        <v/>
      </c>
      <c r="J250" s="100" t="str">
        <f>IF(B250&gt;0,ROUNDUP(VLOOKUP(B250,G011B!$B:$R,16,0),1),"")</f>
        <v/>
      </c>
      <c r="K250" s="100" t="str">
        <f t="shared" si="51"/>
        <v/>
      </c>
      <c r="L250" s="101" t="str">
        <f>IF(B250&lt;&gt;"",VLOOKUP(B250,G011B!$B:$Z,25,0),"")</f>
        <v/>
      </c>
      <c r="M250" s="160" t="str">
        <f t="shared" si="48"/>
        <v/>
      </c>
      <c r="N250" s="43"/>
      <c r="O250" s="43"/>
      <c r="P250" s="43"/>
    </row>
    <row r="251" spans="1:16" ht="20.05" customHeight="1" x14ac:dyDescent="0.25">
      <c r="A251" s="180">
        <v>153</v>
      </c>
      <c r="B251" s="57"/>
      <c r="C251" s="96" t="str">
        <f t="shared" si="45"/>
        <v/>
      </c>
      <c r="D251" s="97" t="str">
        <f t="shared" si="46"/>
        <v/>
      </c>
      <c r="E251" s="58"/>
      <c r="F251" s="59"/>
      <c r="G251" s="106" t="str">
        <f t="shared" si="49"/>
        <v/>
      </c>
      <c r="H251" s="103" t="str">
        <f t="shared" si="47"/>
        <v/>
      </c>
      <c r="I251" s="110" t="str">
        <f t="shared" si="50"/>
        <v/>
      </c>
      <c r="J251" s="100" t="str">
        <f>IF(B251&gt;0,ROUNDUP(VLOOKUP(B251,G011B!$B:$R,16,0),1),"")</f>
        <v/>
      </c>
      <c r="K251" s="100" t="str">
        <f t="shared" si="51"/>
        <v/>
      </c>
      <c r="L251" s="101" t="str">
        <f>IF(B251&lt;&gt;"",VLOOKUP(B251,G011B!$B:$Z,25,0),"")</f>
        <v/>
      </c>
      <c r="M251" s="160" t="str">
        <f t="shared" si="48"/>
        <v/>
      </c>
      <c r="N251" s="43"/>
      <c r="O251" s="43"/>
      <c r="P251" s="43"/>
    </row>
    <row r="252" spans="1:16" ht="20.05" customHeight="1" x14ac:dyDescent="0.25">
      <c r="A252" s="180">
        <v>154</v>
      </c>
      <c r="B252" s="57"/>
      <c r="C252" s="96" t="str">
        <f t="shared" si="45"/>
        <v/>
      </c>
      <c r="D252" s="97" t="str">
        <f t="shared" si="46"/>
        <v/>
      </c>
      <c r="E252" s="58"/>
      <c r="F252" s="59"/>
      <c r="G252" s="106" t="str">
        <f t="shared" si="49"/>
        <v/>
      </c>
      <c r="H252" s="103" t="str">
        <f t="shared" si="47"/>
        <v/>
      </c>
      <c r="I252" s="110" t="str">
        <f t="shared" si="50"/>
        <v/>
      </c>
      <c r="J252" s="100" t="str">
        <f>IF(B252&gt;0,ROUNDUP(VLOOKUP(B252,G011B!$B:$R,16,0),1),"")</f>
        <v/>
      </c>
      <c r="K252" s="100" t="str">
        <f t="shared" si="51"/>
        <v/>
      </c>
      <c r="L252" s="101" t="str">
        <f>IF(B252&lt;&gt;"",VLOOKUP(B252,G011B!$B:$Z,25,0),"")</f>
        <v/>
      </c>
      <c r="M252" s="160" t="str">
        <f t="shared" si="48"/>
        <v/>
      </c>
      <c r="N252" s="43"/>
      <c r="O252" s="43"/>
      <c r="P252" s="43"/>
    </row>
    <row r="253" spans="1:16" ht="20.05" customHeight="1" x14ac:dyDescent="0.25">
      <c r="A253" s="180">
        <v>155</v>
      </c>
      <c r="B253" s="57"/>
      <c r="C253" s="96" t="str">
        <f t="shared" si="45"/>
        <v/>
      </c>
      <c r="D253" s="97" t="str">
        <f t="shared" si="46"/>
        <v/>
      </c>
      <c r="E253" s="58"/>
      <c r="F253" s="59"/>
      <c r="G253" s="106" t="str">
        <f t="shared" si="49"/>
        <v/>
      </c>
      <c r="H253" s="103" t="str">
        <f t="shared" si="47"/>
        <v/>
      </c>
      <c r="I253" s="110" t="str">
        <f t="shared" si="50"/>
        <v/>
      </c>
      <c r="J253" s="100" t="str">
        <f>IF(B253&gt;0,ROUNDUP(VLOOKUP(B253,G011B!$B:$R,16,0),1),"")</f>
        <v/>
      </c>
      <c r="K253" s="100" t="str">
        <f t="shared" si="51"/>
        <v/>
      </c>
      <c r="L253" s="101" t="str">
        <f>IF(B253&lt;&gt;"",VLOOKUP(B253,G011B!$B:$Z,25,0),"")</f>
        <v/>
      </c>
      <c r="M253" s="160" t="str">
        <f t="shared" si="48"/>
        <v/>
      </c>
      <c r="N253" s="43"/>
      <c r="O253" s="43"/>
      <c r="P253" s="43"/>
    </row>
    <row r="254" spans="1:16" ht="20.05" customHeight="1" x14ac:dyDescent="0.25">
      <c r="A254" s="180">
        <v>156</v>
      </c>
      <c r="B254" s="57"/>
      <c r="C254" s="96" t="str">
        <f t="shared" si="45"/>
        <v/>
      </c>
      <c r="D254" s="97" t="str">
        <f t="shared" si="46"/>
        <v/>
      </c>
      <c r="E254" s="58"/>
      <c r="F254" s="59"/>
      <c r="G254" s="106" t="str">
        <f t="shared" si="49"/>
        <v/>
      </c>
      <c r="H254" s="103" t="str">
        <f t="shared" si="47"/>
        <v/>
      </c>
      <c r="I254" s="110" t="str">
        <f t="shared" si="50"/>
        <v/>
      </c>
      <c r="J254" s="100" t="str">
        <f>IF(B254&gt;0,ROUNDUP(VLOOKUP(B254,G011B!$B:$R,16,0),1),"")</f>
        <v/>
      </c>
      <c r="K254" s="100" t="str">
        <f t="shared" si="51"/>
        <v/>
      </c>
      <c r="L254" s="101" t="str">
        <f>IF(B254&lt;&gt;"",VLOOKUP(B254,G011B!$B:$Z,25,0),"")</f>
        <v/>
      </c>
      <c r="M254" s="160" t="str">
        <f t="shared" si="48"/>
        <v/>
      </c>
      <c r="N254" s="43"/>
      <c r="O254" s="43"/>
      <c r="P254" s="43"/>
    </row>
    <row r="255" spans="1:16" ht="20.05" customHeight="1" x14ac:dyDescent="0.25">
      <c r="A255" s="180">
        <v>157</v>
      </c>
      <c r="B255" s="57"/>
      <c r="C255" s="96" t="str">
        <f t="shared" si="45"/>
        <v/>
      </c>
      <c r="D255" s="97" t="str">
        <f t="shared" si="46"/>
        <v/>
      </c>
      <c r="E255" s="58"/>
      <c r="F255" s="59"/>
      <c r="G255" s="106" t="str">
        <f t="shared" si="49"/>
        <v/>
      </c>
      <c r="H255" s="103" t="str">
        <f t="shared" si="47"/>
        <v/>
      </c>
      <c r="I255" s="110" t="str">
        <f t="shared" si="50"/>
        <v/>
      </c>
      <c r="J255" s="100" t="str">
        <f>IF(B255&gt;0,ROUNDUP(VLOOKUP(B255,G011B!$B:$R,16,0),1),"")</f>
        <v/>
      </c>
      <c r="K255" s="100" t="str">
        <f t="shared" si="51"/>
        <v/>
      </c>
      <c r="L255" s="101" t="str">
        <f>IF(B255&lt;&gt;"",VLOOKUP(B255,G011B!$B:$Z,25,0),"")</f>
        <v/>
      </c>
      <c r="M255" s="160" t="str">
        <f t="shared" si="48"/>
        <v/>
      </c>
      <c r="N255" s="43"/>
      <c r="O255" s="43"/>
      <c r="P255" s="43"/>
    </row>
    <row r="256" spans="1:16" ht="20.05" customHeight="1" x14ac:dyDescent="0.25">
      <c r="A256" s="180">
        <v>158</v>
      </c>
      <c r="B256" s="57"/>
      <c r="C256" s="96" t="str">
        <f t="shared" si="45"/>
        <v/>
      </c>
      <c r="D256" s="97" t="str">
        <f t="shared" si="46"/>
        <v/>
      </c>
      <c r="E256" s="58"/>
      <c r="F256" s="59"/>
      <c r="G256" s="106" t="str">
        <f t="shared" si="49"/>
        <v/>
      </c>
      <c r="H256" s="103" t="str">
        <f t="shared" si="47"/>
        <v/>
      </c>
      <c r="I256" s="110" t="str">
        <f t="shared" si="50"/>
        <v/>
      </c>
      <c r="J256" s="100" t="str">
        <f>IF(B256&gt;0,ROUNDUP(VLOOKUP(B256,G011B!$B:$R,16,0),1),"")</f>
        <v/>
      </c>
      <c r="K256" s="100" t="str">
        <f t="shared" si="51"/>
        <v/>
      </c>
      <c r="L256" s="101" t="str">
        <f>IF(B256&lt;&gt;"",VLOOKUP(B256,G011B!$B:$Z,25,0),"")</f>
        <v/>
      </c>
      <c r="M256" s="160" t="str">
        <f t="shared" si="48"/>
        <v/>
      </c>
      <c r="N256" s="43"/>
      <c r="O256" s="43"/>
      <c r="P256" s="43"/>
    </row>
    <row r="257" spans="1:16" ht="20.05" customHeight="1" x14ac:dyDescent="0.25">
      <c r="A257" s="180">
        <v>159</v>
      </c>
      <c r="B257" s="57"/>
      <c r="C257" s="96" t="str">
        <f t="shared" si="45"/>
        <v/>
      </c>
      <c r="D257" s="97" t="str">
        <f t="shared" si="46"/>
        <v/>
      </c>
      <c r="E257" s="58"/>
      <c r="F257" s="59"/>
      <c r="G257" s="106" t="str">
        <f t="shared" si="49"/>
        <v/>
      </c>
      <c r="H257" s="103" t="str">
        <f t="shared" si="47"/>
        <v/>
      </c>
      <c r="I257" s="110" t="str">
        <f t="shared" si="50"/>
        <v/>
      </c>
      <c r="J257" s="100" t="str">
        <f>IF(B257&gt;0,ROUNDUP(VLOOKUP(B257,G011B!$B:$R,16,0),1),"")</f>
        <v/>
      </c>
      <c r="K257" s="100" t="str">
        <f t="shared" si="51"/>
        <v/>
      </c>
      <c r="L257" s="101" t="str">
        <f>IF(B257&lt;&gt;"",VLOOKUP(B257,G011B!$B:$Z,25,0),"")</f>
        <v/>
      </c>
      <c r="M257" s="160" t="str">
        <f t="shared" si="48"/>
        <v/>
      </c>
      <c r="N257" s="43"/>
      <c r="O257" s="43"/>
      <c r="P257" s="43"/>
    </row>
    <row r="258" spans="1:16" ht="20.05" customHeight="1" thickBot="1" x14ac:dyDescent="0.3">
      <c r="A258" s="181">
        <v>160</v>
      </c>
      <c r="B258" s="60"/>
      <c r="C258" s="98" t="str">
        <f t="shared" si="45"/>
        <v/>
      </c>
      <c r="D258" s="99" t="str">
        <f t="shared" si="46"/>
        <v/>
      </c>
      <c r="E258" s="61"/>
      <c r="F258" s="62"/>
      <c r="G258" s="107" t="str">
        <f t="shared" si="49"/>
        <v/>
      </c>
      <c r="H258" s="104" t="str">
        <f t="shared" si="47"/>
        <v/>
      </c>
      <c r="I258" s="111" t="str">
        <f t="shared" si="50"/>
        <v/>
      </c>
      <c r="J258" s="100" t="str">
        <f>IF(B258&gt;0,ROUNDUP(VLOOKUP(B258,G011B!$B:$R,16,0),1),"")</f>
        <v/>
      </c>
      <c r="K258" s="100" t="str">
        <f t="shared" si="51"/>
        <v/>
      </c>
      <c r="L258" s="101" t="str">
        <f>IF(B258&lt;&gt;"",VLOOKUP(B258,G011B!$B:$Z,25,0),"")</f>
        <v/>
      </c>
      <c r="M258" s="160" t="str">
        <f t="shared" si="48"/>
        <v/>
      </c>
      <c r="N258" s="43"/>
      <c r="O258" s="43"/>
      <c r="P258" s="43"/>
    </row>
    <row r="259" spans="1:16" ht="20.05" customHeight="1" thickBot="1" x14ac:dyDescent="0.4">
      <c r="A259" s="360" t="s">
        <v>42</v>
      </c>
      <c r="B259" s="361"/>
      <c r="C259" s="361"/>
      <c r="D259" s="361"/>
      <c r="E259" s="361"/>
      <c r="F259" s="362"/>
      <c r="G259" s="108">
        <f>SUM(G239:G258)</f>
        <v>0</v>
      </c>
      <c r="H259" s="202"/>
      <c r="I259" s="93">
        <f>IF(C237=C204,SUM(I239:I258)+I226,SUM(I239:I258))</f>
        <v>0</v>
      </c>
      <c r="J259" s="43"/>
      <c r="K259" s="43"/>
      <c r="L259" s="43"/>
      <c r="M259" s="43"/>
      <c r="N259" s="112">
        <f>IF(COUNTA(B239:B258)&gt;0,1,0)</f>
        <v>0</v>
      </c>
      <c r="O259" s="43"/>
      <c r="P259" s="43"/>
    </row>
    <row r="260" spans="1:16" ht="20.05" customHeight="1" thickBot="1" x14ac:dyDescent="0.35">
      <c r="A260" s="363" t="s">
        <v>80</v>
      </c>
      <c r="B260" s="364"/>
      <c r="C260" s="364"/>
      <c r="D260" s="365"/>
      <c r="E260" s="86">
        <f>SUM(G:G)/2</f>
        <v>0</v>
      </c>
      <c r="F260" s="366"/>
      <c r="G260" s="367"/>
      <c r="H260" s="368"/>
      <c r="I260" s="92">
        <f>SUM(I239:I258)+I227</f>
        <v>0</v>
      </c>
      <c r="J260" s="43"/>
      <c r="K260" s="43"/>
      <c r="L260" s="43"/>
      <c r="M260" s="43"/>
      <c r="N260" s="43"/>
      <c r="O260" s="43"/>
      <c r="P260" s="43"/>
    </row>
    <row r="261" spans="1:16" x14ac:dyDescent="0.25">
      <c r="A261" s="182" t="s">
        <v>118</v>
      </c>
      <c r="B261" s="43"/>
      <c r="C261" s="43"/>
      <c r="D261" s="43"/>
      <c r="E261" s="43"/>
      <c r="F261" s="43"/>
      <c r="G261" s="43"/>
      <c r="H261" s="43"/>
      <c r="I261" s="43"/>
      <c r="J261" s="43"/>
      <c r="K261" s="43"/>
      <c r="L261" s="43"/>
      <c r="M261" s="43"/>
      <c r="N261" s="43"/>
      <c r="O261" s="43"/>
      <c r="P261" s="43"/>
    </row>
    <row r="262" spans="1:16" x14ac:dyDescent="0.25">
      <c r="A262" s="43"/>
      <c r="B262" s="43"/>
      <c r="C262" s="43"/>
      <c r="D262" s="43"/>
      <c r="E262" s="43"/>
      <c r="F262" s="43"/>
      <c r="G262" s="43"/>
      <c r="H262" s="43"/>
      <c r="I262" s="43"/>
      <c r="J262" s="43"/>
      <c r="K262" s="43"/>
      <c r="L262" s="43"/>
      <c r="M262" s="43"/>
      <c r="N262" s="43"/>
      <c r="O262" s="43"/>
      <c r="P262" s="43"/>
    </row>
    <row r="263" spans="1:16" ht="21.1" x14ac:dyDescent="0.35">
      <c r="A263" s="247" t="s">
        <v>39</v>
      </c>
      <c r="B263" s="248">
        <f ca="1">IF(imzatarihi&gt;0,imzatarihi,"")</f>
        <v>45686</v>
      </c>
      <c r="C263" s="251" t="s">
        <v>40</v>
      </c>
      <c r="D263" s="245" t="str">
        <f>IF(kurulusyetkilisi&gt;0,kurulusyetkilisi,"")</f>
        <v/>
      </c>
      <c r="F263" s="247"/>
      <c r="G263" s="247"/>
      <c r="H263" s="163"/>
      <c r="I263" s="163"/>
      <c r="J263" s="43"/>
      <c r="K263" s="73"/>
      <c r="L263" s="73"/>
      <c r="M263" s="5"/>
      <c r="N263" s="73"/>
      <c r="O263" s="73"/>
      <c r="P263" s="43"/>
    </row>
    <row r="264" spans="1:16" ht="19.7" x14ac:dyDescent="0.35">
      <c r="A264" s="249"/>
      <c r="B264" s="249"/>
      <c r="C264" s="251" t="s">
        <v>41</v>
      </c>
      <c r="D264" s="247"/>
      <c r="E264" s="302"/>
      <c r="F264" s="302"/>
      <c r="G264" s="302"/>
      <c r="H264" s="42"/>
      <c r="I264" s="42"/>
      <c r="J264" s="43"/>
      <c r="K264" s="73"/>
      <c r="L264" s="73"/>
      <c r="M264" s="5"/>
      <c r="N264" s="73"/>
      <c r="O264" s="73"/>
      <c r="P264" s="43"/>
    </row>
    <row r="265" spans="1:16" ht="16.3" x14ac:dyDescent="0.3">
      <c r="A265" s="338" t="s">
        <v>73</v>
      </c>
      <c r="B265" s="338"/>
      <c r="C265" s="338"/>
      <c r="D265" s="338"/>
      <c r="E265" s="338"/>
      <c r="F265" s="338"/>
      <c r="G265" s="338"/>
      <c r="H265" s="338"/>
      <c r="I265" s="338"/>
      <c r="J265" s="43"/>
      <c r="K265" s="43"/>
      <c r="L265" s="43"/>
      <c r="M265" s="43"/>
      <c r="N265" s="43"/>
      <c r="O265" s="43"/>
      <c r="P265" s="43"/>
    </row>
    <row r="266" spans="1:16" x14ac:dyDescent="0.25">
      <c r="A266" s="336" t="str">
        <f>IF(YilDonem&lt;&gt;"",CONCATENATE(YilDonem,". döneme aittir."),"")</f>
        <v/>
      </c>
      <c r="B266" s="336"/>
      <c r="C266" s="336"/>
      <c r="D266" s="336"/>
      <c r="E266" s="336"/>
      <c r="F266" s="336"/>
      <c r="G266" s="336"/>
      <c r="H266" s="336"/>
      <c r="I266" s="336"/>
      <c r="J266" s="43"/>
      <c r="K266" s="43"/>
      <c r="L266" s="43"/>
      <c r="M266" s="43"/>
      <c r="N266" s="43"/>
      <c r="O266" s="43"/>
      <c r="P266" s="43"/>
    </row>
    <row r="267" spans="1:16" ht="19.7" thickBot="1" x14ac:dyDescent="0.4">
      <c r="A267" s="372" t="s">
        <v>82</v>
      </c>
      <c r="B267" s="372"/>
      <c r="C267" s="372"/>
      <c r="D267" s="372"/>
      <c r="E267" s="372"/>
      <c r="F267" s="372"/>
      <c r="G267" s="372"/>
      <c r="H267" s="372"/>
      <c r="I267" s="372"/>
      <c r="J267" s="43"/>
      <c r="K267" s="43"/>
      <c r="L267" s="43"/>
      <c r="M267" s="43"/>
      <c r="N267" s="43"/>
      <c r="O267" s="43"/>
      <c r="P267" s="43"/>
    </row>
    <row r="268" spans="1:16" ht="19.55" customHeight="1" thickBot="1" x14ac:dyDescent="0.3">
      <c r="A268" s="341" t="s">
        <v>1</v>
      </c>
      <c r="B268" s="343"/>
      <c r="C268" s="330" t="str">
        <f>IF(ProjeNo&gt;0,ProjeNo,"")</f>
        <v/>
      </c>
      <c r="D268" s="331"/>
      <c r="E268" s="331"/>
      <c r="F268" s="331"/>
      <c r="G268" s="331"/>
      <c r="H268" s="331"/>
      <c r="I268" s="332"/>
      <c r="J268" s="43"/>
      <c r="K268" s="43"/>
      <c r="L268" s="43"/>
      <c r="M268" s="43"/>
      <c r="N268" s="43"/>
      <c r="O268" s="43"/>
      <c r="P268" s="43"/>
    </row>
    <row r="269" spans="1:16" ht="29.25" customHeight="1" thickBot="1" x14ac:dyDescent="0.3">
      <c r="A269" s="371" t="s">
        <v>11</v>
      </c>
      <c r="B269" s="342"/>
      <c r="C269" s="346" t="str">
        <f>IF(ProjeAdi&gt;0,ProjeAdi,"")</f>
        <v/>
      </c>
      <c r="D269" s="347"/>
      <c r="E269" s="347"/>
      <c r="F269" s="347"/>
      <c r="G269" s="347"/>
      <c r="H269" s="347"/>
      <c r="I269" s="348"/>
      <c r="J269" s="43"/>
      <c r="K269" s="43"/>
      <c r="L269" s="43"/>
      <c r="M269" s="43"/>
      <c r="N269" s="43"/>
      <c r="O269" s="43"/>
      <c r="P269" s="43"/>
    </row>
    <row r="270" spans="1:16" ht="19.55" customHeight="1" thickBot="1" x14ac:dyDescent="0.3">
      <c r="A270" s="341" t="s">
        <v>74</v>
      </c>
      <c r="B270" s="343"/>
      <c r="C270" s="9"/>
      <c r="D270" s="369"/>
      <c r="E270" s="369"/>
      <c r="F270" s="369"/>
      <c r="G270" s="369"/>
      <c r="H270" s="369"/>
      <c r="I270" s="370"/>
      <c r="J270" s="43"/>
      <c r="K270" s="43"/>
      <c r="L270" s="43"/>
      <c r="M270" s="43"/>
      <c r="N270" s="43"/>
      <c r="O270" s="43"/>
      <c r="P270" s="43"/>
    </row>
    <row r="271" spans="1:16" s="2" customFormat="1" ht="29.25" thickBot="1" x14ac:dyDescent="0.3">
      <c r="A271" s="176" t="s">
        <v>7</v>
      </c>
      <c r="B271" s="176" t="s">
        <v>8</v>
      </c>
      <c r="C271" s="176" t="s">
        <v>63</v>
      </c>
      <c r="D271" s="176" t="s">
        <v>119</v>
      </c>
      <c r="E271" s="176" t="s">
        <v>75</v>
      </c>
      <c r="F271" s="176" t="s">
        <v>76</v>
      </c>
      <c r="G271" s="176" t="s">
        <v>77</v>
      </c>
      <c r="H271" s="176" t="s">
        <v>78</v>
      </c>
      <c r="I271" s="176" t="s">
        <v>79</v>
      </c>
      <c r="J271" s="177" t="s">
        <v>83</v>
      </c>
      <c r="K271" s="178" t="s">
        <v>84</v>
      </c>
      <c r="L271" s="178" t="s">
        <v>76</v>
      </c>
      <c r="M271" s="169"/>
      <c r="N271" s="169"/>
      <c r="O271" s="169"/>
      <c r="P271" s="169"/>
    </row>
    <row r="272" spans="1:16" ht="20.05" customHeight="1" x14ac:dyDescent="0.25">
      <c r="A272" s="179">
        <v>161</v>
      </c>
      <c r="B272" s="53"/>
      <c r="C272" s="94" t="str">
        <f t="shared" ref="C272:C291" si="52">IF(B272&lt;&gt;"",VLOOKUP(B272,PersonelTablo,2,0),"")</f>
        <v/>
      </c>
      <c r="D272" s="95" t="str">
        <f t="shared" ref="D272:D291" si="53">IF(B272&lt;&gt;"",VLOOKUP(B272,PersonelTablo,3,0),"")</f>
        <v/>
      </c>
      <c r="E272" s="54"/>
      <c r="F272" s="55"/>
      <c r="G272" s="105" t="str">
        <f>IF(AND(B272&lt;&gt;"",L272&gt;=F272),E272*F272,"")</f>
        <v/>
      </c>
      <c r="H272" s="102" t="str">
        <f t="shared" ref="H272:H291" si="54">IF(B272&lt;&gt;"",VLOOKUP(B272,G011CTablo,14,0),"")</f>
        <v/>
      </c>
      <c r="I272" s="109" t="str">
        <f>IF(AND(B272&lt;&gt;"",J272&gt;=K272,L272&gt;0),G272*H272,"")</f>
        <v/>
      </c>
      <c r="J272" s="100" t="str">
        <f>IF(B272&gt;0,ROUNDUP(VLOOKUP(B272,G011B!$B:$R,16,0),1),"")</f>
        <v/>
      </c>
      <c r="K272" s="100" t="str">
        <f>IF(B272&gt;0,SUMIF($B:$B,B272,$G:$G),"")</f>
        <v/>
      </c>
      <c r="L272" s="101" t="str">
        <f>IF(B272&lt;&gt;"",VLOOKUP(B272,G011B!$B:$Z,25,0),"")</f>
        <v/>
      </c>
      <c r="M272" s="160" t="str">
        <f t="shared" ref="M272:M291" si="55">IF(J272&gt;=K272,"","Personelin bütün iş paketlerindeki Toplam Adam Ay değeri "&amp;K272&amp;" olup, bu değer, G011B formunda beyan edilen Çalışılan Toplam Ay değerini geçemez. Maliyeti hesaplamak için Adam/Ay Oranı veya Çalışılan Ay değerini düzeltiniz. ")</f>
        <v/>
      </c>
      <c r="N272" s="43"/>
      <c r="O272" s="43"/>
      <c r="P272" s="43"/>
    </row>
    <row r="273" spans="1:16" ht="20.05" customHeight="1" x14ac:dyDescent="0.25">
      <c r="A273" s="180">
        <v>162</v>
      </c>
      <c r="B273" s="57"/>
      <c r="C273" s="96" t="str">
        <f t="shared" si="52"/>
        <v/>
      </c>
      <c r="D273" s="97" t="str">
        <f t="shared" si="53"/>
        <v/>
      </c>
      <c r="E273" s="58"/>
      <c r="F273" s="59"/>
      <c r="G273" s="106" t="str">
        <f t="shared" ref="G273:G291" si="56">IF(AND(B273&lt;&gt;"",L273&gt;=F273),E273*F273,"")</f>
        <v/>
      </c>
      <c r="H273" s="103" t="str">
        <f t="shared" si="54"/>
        <v/>
      </c>
      <c r="I273" s="110" t="str">
        <f t="shared" ref="I273:I291" si="57">IF(AND(B273&lt;&gt;"",J273&gt;=K273,L273&gt;0),G273*H273,"")</f>
        <v/>
      </c>
      <c r="J273" s="100" t="str">
        <f>IF(B273&gt;0,ROUNDUP(VLOOKUP(B273,G011B!$B:$R,16,0),1),"")</f>
        <v/>
      </c>
      <c r="K273" s="100" t="str">
        <f t="shared" ref="K273:K291" si="58">IF(B273&gt;0,SUMIF($B:$B,B273,$G:$G),"")</f>
        <v/>
      </c>
      <c r="L273" s="101" t="str">
        <f>IF(B273&lt;&gt;"",VLOOKUP(B273,G011B!$B:$Z,25,0),"")</f>
        <v/>
      </c>
      <c r="M273" s="160" t="str">
        <f t="shared" si="55"/>
        <v/>
      </c>
      <c r="N273" s="43"/>
      <c r="O273" s="43"/>
      <c r="P273" s="43"/>
    </row>
    <row r="274" spans="1:16" ht="20.05" customHeight="1" x14ac:dyDescent="0.25">
      <c r="A274" s="180">
        <v>163</v>
      </c>
      <c r="B274" s="57"/>
      <c r="C274" s="96" t="str">
        <f t="shared" si="52"/>
        <v/>
      </c>
      <c r="D274" s="97" t="str">
        <f t="shared" si="53"/>
        <v/>
      </c>
      <c r="E274" s="58"/>
      <c r="F274" s="59"/>
      <c r="G274" s="106" t="str">
        <f t="shared" si="56"/>
        <v/>
      </c>
      <c r="H274" s="103" t="str">
        <f t="shared" si="54"/>
        <v/>
      </c>
      <c r="I274" s="110" t="str">
        <f t="shared" si="57"/>
        <v/>
      </c>
      <c r="J274" s="100" t="str">
        <f>IF(B274&gt;0,ROUNDUP(VLOOKUP(B274,G011B!$B:$R,16,0),1),"")</f>
        <v/>
      </c>
      <c r="K274" s="100" t="str">
        <f t="shared" si="58"/>
        <v/>
      </c>
      <c r="L274" s="101" t="str">
        <f>IF(B274&lt;&gt;"",VLOOKUP(B274,G011B!$B:$Z,25,0),"")</f>
        <v/>
      </c>
      <c r="M274" s="160" t="str">
        <f t="shared" si="55"/>
        <v/>
      </c>
      <c r="N274" s="43"/>
      <c r="O274" s="43"/>
      <c r="P274" s="43"/>
    </row>
    <row r="275" spans="1:16" ht="20.05" customHeight="1" x14ac:dyDescent="0.25">
      <c r="A275" s="180">
        <v>164</v>
      </c>
      <c r="B275" s="57"/>
      <c r="C275" s="96" t="str">
        <f t="shared" si="52"/>
        <v/>
      </c>
      <c r="D275" s="97" t="str">
        <f t="shared" si="53"/>
        <v/>
      </c>
      <c r="E275" s="58"/>
      <c r="F275" s="59"/>
      <c r="G275" s="106" t="str">
        <f t="shared" si="56"/>
        <v/>
      </c>
      <c r="H275" s="103" t="str">
        <f t="shared" si="54"/>
        <v/>
      </c>
      <c r="I275" s="110" t="str">
        <f t="shared" si="57"/>
        <v/>
      </c>
      <c r="J275" s="100" t="str">
        <f>IF(B275&gt;0,ROUNDUP(VLOOKUP(B275,G011B!$B:$R,16,0),1),"")</f>
        <v/>
      </c>
      <c r="K275" s="100" t="str">
        <f t="shared" si="58"/>
        <v/>
      </c>
      <c r="L275" s="101" t="str">
        <f>IF(B275&lt;&gt;"",VLOOKUP(B275,G011B!$B:$Z,25,0),"")</f>
        <v/>
      </c>
      <c r="M275" s="160" t="str">
        <f t="shared" si="55"/>
        <v/>
      </c>
      <c r="N275" s="43"/>
      <c r="O275" s="43"/>
      <c r="P275" s="43"/>
    </row>
    <row r="276" spans="1:16" ht="20.05" customHeight="1" x14ac:dyDescent="0.25">
      <c r="A276" s="180">
        <v>165</v>
      </c>
      <c r="B276" s="57"/>
      <c r="C276" s="96" t="str">
        <f t="shared" si="52"/>
        <v/>
      </c>
      <c r="D276" s="97" t="str">
        <f t="shared" si="53"/>
        <v/>
      </c>
      <c r="E276" s="58"/>
      <c r="F276" s="59"/>
      <c r="G276" s="106" t="str">
        <f t="shared" si="56"/>
        <v/>
      </c>
      <c r="H276" s="103" t="str">
        <f t="shared" si="54"/>
        <v/>
      </c>
      <c r="I276" s="110" t="str">
        <f t="shared" si="57"/>
        <v/>
      </c>
      <c r="J276" s="100" t="str">
        <f>IF(B276&gt;0,ROUNDUP(VLOOKUP(B276,G011B!$B:$R,16,0),1),"")</f>
        <v/>
      </c>
      <c r="K276" s="100" t="str">
        <f t="shared" si="58"/>
        <v/>
      </c>
      <c r="L276" s="101" t="str">
        <f>IF(B276&lt;&gt;"",VLOOKUP(B276,G011B!$B:$Z,25,0),"")</f>
        <v/>
      </c>
      <c r="M276" s="160" t="str">
        <f t="shared" si="55"/>
        <v/>
      </c>
      <c r="N276" s="43"/>
      <c r="O276" s="43"/>
      <c r="P276" s="43"/>
    </row>
    <row r="277" spans="1:16" ht="20.05" customHeight="1" x14ac:dyDescent="0.25">
      <c r="A277" s="180">
        <v>166</v>
      </c>
      <c r="B277" s="57"/>
      <c r="C277" s="96" t="str">
        <f t="shared" si="52"/>
        <v/>
      </c>
      <c r="D277" s="97" t="str">
        <f t="shared" si="53"/>
        <v/>
      </c>
      <c r="E277" s="58"/>
      <c r="F277" s="59"/>
      <c r="G277" s="106" t="str">
        <f t="shared" si="56"/>
        <v/>
      </c>
      <c r="H277" s="103" t="str">
        <f t="shared" si="54"/>
        <v/>
      </c>
      <c r="I277" s="110" t="str">
        <f t="shared" si="57"/>
        <v/>
      </c>
      <c r="J277" s="100" t="str">
        <f>IF(B277&gt;0,ROUNDUP(VLOOKUP(B277,G011B!$B:$R,16,0),1),"")</f>
        <v/>
      </c>
      <c r="K277" s="100" t="str">
        <f t="shared" si="58"/>
        <v/>
      </c>
      <c r="L277" s="101" t="str">
        <f>IF(B277&lt;&gt;"",VLOOKUP(B277,G011B!$B:$Z,25,0),"")</f>
        <v/>
      </c>
      <c r="M277" s="160" t="str">
        <f t="shared" si="55"/>
        <v/>
      </c>
      <c r="N277" s="43"/>
      <c r="O277" s="43"/>
      <c r="P277" s="43"/>
    </row>
    <row r="278" spans="1:16" ht="20.05" customHeight="1" x14ac:dyDescent="0.25">
      <c r="A278" s="180">
        <v>167</v>
      </c>
      <c r="B278" s="57"/>
      <c r="C278" s="96" t="str">
        <f t="shared" si="52"/>
        <v/>
      </c>
      <c r="D278" s="97" t="str">
        <f t="shared" si="53"/>
        <v/>
      </c>
      <c r="E278" s="58"/>
      <c r="F278" s="59"/>
      <c r="G278" s="106" t="str">
        <f t="shared" si="56"/>
        <v/>
      </c>
      <c r="H278" s="103" t="str">
        <f t="shared" si="54"/>
        <v/>
      </c>
      <c r="I278" s="110" t="str">
        <f t="shared" si="57"/>
        <v/>
      </c>
      <c r="J278" s="100" t="str">
        <f>IF(B278&gt;0,ROUNDUP(VLOOKUP(B278,G011B!$B:$R,16,0),1),"")</f>
        <v/>
      </c>
      <c r="K278" s="100" t="str">
        <f t="shared" si="58"/>
        <v/>
      </c>
      <c r="L278" s="101" t="str">
        <f>IF(B278&lt;&gt;"",VLOOKUP(B278,G011B!$B:$Z,25,0),"")</f>
        <v/>
      </c>
      <c r="M278" s="160" t="str">
        <f t="shared" si="55"/>
        <v/>
      </c>
      <c r="N278" s="43"/>
      <c r="O278" s="43"/>
      <c r="P278" s="43"/>
    </row>
    <row r="279" spans="1:16" ht="20.05" customHeight="1" x14ac:dyDescent="0.25">
      <c r="A279" s="180">
        <v>168</v>
      </c>
      <c r="B279" s="57"/>
      <c r="C279" s="96" t="str">
        <f t="shared" si="52"/>
        <v/>
      </c>
      <c r="D279" s="97" t="str">
        <f t="shared" si="53"/>
        <v/>
      </c>
      <c r="E279" s="58"/>
      <c r="F279" s="59"/>
      <c r="G279" s="106" t="str">
        <f t="shared" si="56"/>
        <v/>
      </c>
      <c r="H279" s="103" t="str">
        <f t="shared" si="54"/>
        <v/>
      </c>
      <c r="I279" s="110" t="str">
        <f t="shared" si="57"/>
        <v/>
      </c>
      <c r="J279" s="100" t="str">
        <f>IF(B279&gt;0,ROUNDUP(VLOOKUP(B279,G011B!$B:$R,16,0),1),"")</f>
        <v/>
      </c>
      <c r="K279" s="100" t="str">
        <f t="shared" si="58"/>
        <v/>
      </c>
      <c r="L279" s="101" t="str">
        <f>IF(B279&lt;&gt;"",VLOOKUP(B279,G011B!$B:$Z,25,0),"")</f>
        <v/>
      </c>
      <c r="M279" s="160" t="str">
        <f t="shared" si="55"/>
        <v/>
      </c>
      <c r="N279" s="43"/>
      <c r="O279" s="43"/>
      <c r="P279" s="43"/>
    </row>
    <row r="280" spans="1:16" ht="20.05" customHeight="1" x14ac:dyDescent="0.25">
      <c r="A280" s="180">
        <v>169</v>
      </c>
      <c r="B280" s="57"/>
      <c r="C280" s="96" t="str">
        <f t="shared" si="52"/>
        <v/>
      </c>
      <c r="D280" s="97" t="str">
        <f t="shared" si="53"/>
        <v/>
      </c>
      <c r="E280" s="58"/>
      <c r="F280" s="59"/>
      <c r="G280" s="106" t="str">
        <f t="shared" si="56"/>
        <v/>
      </c>
      <c r="H280" s="103" t="str">
        <f t="shared" si="54"/>
        <v/>
      </c>
      <c r="I280" s="110" t="str">
        <f t="shared" si="57"/>
        <v/>
      </c>
      <c r="J280" s="100" t="str">
        <f>IF(B280&gt;0,ROUNDUP(VLOOKUP(B280,G011B!$B:$R,16,0),1),"")</f>
        <v/>
      </c>
      <c r="K280" s="100" t="str">
        <f t="shared" si="58"/>
        <v/>
      </c>
      <c r="L280" s="101" t="str">
        <f>IF(B280&lt;&gt;"",VLOOKUP(B280,G011B!$B:$Z,25,0),"")</f>
        <v/>
      </c>
      <c r="M280" s="160" t="str">
        <f t="shared" si="55"/>
        <v/>
      </c>
      <c r="N280" s="43"/>
      <c r="O280" s="43"/>
      <c r="P280" s="43"/>
    </row>
    <row r="281" spans="1:16" ht="20.05" customHeight="1" x14ac:dyDescent="0.25">
      <c r="A281" s="180">
        <v>170</v>
      </c>
      <c r="B281" s="57"/>
      <c r="C281" s="96" t="str">
        <f t="shared" si="52"/>
        <v/>
      </c>
      <c r="D281" s="97" t="str">
        <f t="shared" si="53"/>
        <v/>
      </c>
      <c r="E281" s="58"/>
      <c r="F281" s="59"/>
      <c r="G281" s="106" t="str">
        <f t="shared" si="56"/>
        <v/>
      </c>
      <c r="H281" s="103" t="str">
        <f t="shared" si="54"/>
        <v/>
      </c>
      <c r="I281" s="110" t="str">
        <f t="shared" si="57"/>
        <v/>
      </c>
      <c r="J281" s="100" t="str">
        <f>IF(B281&gt;0,ROUNDUP(VLOOKUP(B281,G011B!$B:$R,16,0),1),"")</f>
        <v/>
      </c>
      <c r="K281" s="100" t="str">
        <f t="shared" si="58"/>
        <v/>
      </c>
      <c r="L281" s="101" t="str">
        <f>IF(B281&lt;&gt;"",VLOOKUP(B281,G011B!$B:$Z,25,0),"")</f>
        <v/>
      </c>
      <c r="M281" s="160" t="str">
        <f t="shared" si="55"/>
        <v/>
      </c>
      <c r="N281" s="43"/>
      <c r="O281" s="43"/>
      <c r="P281" s="43"/>
    </row>
    <row r="282" spans="1:16" ht="20.05" customHeight="1" x14ac:dyDescent="0.25">
      <c r="A282" s="180">
        <v>171</v>
      </c>
      <c r="B282" s="57"/>
      <c r="C282" s="96" t="str">
        <f t="shared" si="52"/>
        <v/>
      </c>
      <c r="D282" s="97" t="str">
        <f t="shared" si="53"/>
        <v/>
      </c>
      <c r="E282" s="58"/>
      <c r="F282" s="59"/>
      <c r="G282" s="106" t="str">
        <f t="shared" si="56"/>
        <v/>
      </c>
      <c r="H282" s="103" t="str">
        <f t="shared" si="54"/>
        <v/>
      </c>
      <c r="I282" s="110" t="str">
        <f t="shared" si="57"/>
        <v/>
      </c>
      <c r="J282" s="100" t="str">
        <f>IF(B282&gt;0,ROUNDUP(VLOOKUP(B282,G011B!$B:$R,16,0),1),"")</f>
        <v/>
      </c>
      <c r="K282" s="100" t="str">
        <f t="shared" si="58"/>
        <v/>
      </c>
      <c r="L282" s="101" t="str">
        <f>IF(B282&lt;&gt;"",VLOOKUP(B282,G011B!$B:$Z,25,0),"")</f>
        <v/>
      </c>
      <c r="M282" s="160" t="str">
        <f t="shared" si="55"/>
        <v/>
      </c>
      <c r="N282" s="43"/>
      <c r="O282" s="43"/>
      <c r="P282" s="43"/>
    </row>
    <row r="283" spans="1:16" ht="20.05" customHeight="1" x14ac:dyDescent="0.25">
      <c r="A283" s="180">
        <v>172</v>
      </c>
      <c r="B283" s="57"/>
      <c r="C283" s="96" t="str">
        <f t="shared" si="52"/>
        <v/>
      </c>
      <c r="D283" s="97" t="str">
        <f t="shared" si="53"/>
        <v/>
      </c>
      <c r="E283" s="58"/>
      <c r="F283" s="59"/>
      <c r="G283" s="106" t="str">
        <f t="shared" si="56"/>
        <v/>
      </c>
      <c r="H283" s="103" t="str">
        <f t="shared" si="54"/>
        <v/>
      </c>
      <c r="I283" s="110" t="str">
        <f t="shared" si="57"/>
        <v/>
      </c>
      <c r="J283" s="100" t="str">
        <f>IF(B283&gt;0,ROUNDUP(VLOOKUP(B283,G011B!$B:$R,16,0),1),"")</f>
        <v/>
      </c>
      <c r="K283" s="100" t="str">
        <f t="shared" si="58"/>
        <v/>
      </c>
      <c r="L283" s="101" t="str">
        <f>IF(B283&lt;&gt;"",VLOOKUP(B283,G011B!$B:$Z,25,0),"")</f>
        <v/>
      </c>
      <c r="M283" s="160" t="str">
        <f t="shared" si="55"/>
        <v/>
      </c>
      <c r="N283" s="43"/>
      <c r="O283" s="43"/>
      <c r="P283" s="43"/>
    </row>
    <row r="284" spans="1:16" ht="20.05" customHeight="1" x14ac:dyDescent="0.25">
      <c r="A284" s="180">
        <v>173</v>
      </c>
      <c r="B284" s="57"/>
      <c r="C284" s="96" t="str">
        <f t="shared" si="52"/>
        <v/>
      </c>
      <c r="D284" s="97" t="str">
        <f t="shared" si="53"/>
        <v/>
      </c>
      <c r="E284" s="58"/>
      <c r="F284" s="59"/>
      <c r="G284" s="106" t="str">
        <f t="shared" si="56"/>
        <v/>
      </c>
      <c r="H284" s="103" t="str">
        <f t="shared" si="54"/>
        <v/>
      </c>
      <c r="I284" s="110" t="str">
        <f t="shared" si="57"/>
        <v/>
      </c>
      <c r="J284" s="100" t="str">
        <f>IF(B284&gt;0,ROUNDUP(VLOOKUP(B284,G011B!$B:$R,16,0),1),"")</f>
        <v/>
      </c>
      <c r="K284" s="100" t="str">
        <f t="shared" si="58"/>
        <v/>
      </c>
      <c r="L284" s="101" t="str">
        <f>IF(B284&lt;&gt;"",VLOOKUP(B284,G011B!$B:$Z,25,0),"")</f>
        <v/>
      </c>
      <c r="M284" s="160" t="str">
        <f t="shared" si="55"/>
        <v/>
      </c>
      <c r="N284" s="43"/>
      <c r="O284" s="43"/>
      <c r="P284" s="43"/>
    </row>
    <row r="285" spans="1:16" ht="20.05" customHeight="1" x14ac:dyDescent="0.25">
      <c r="A285" s="180">
        <v>174</v>
      </c>
      <c r="B285" s="57"/>
      <c r="C285" s="96" t="str">
        <f t="shared" si="52"/>
        <v/>
      </c>
      <c r="D285" s="97" t="str">
        <f t="shared" si="53"/>
        <v/>
      </c>
      <c r="E285" s="58"/>
      <c r="F285" s="59"/>
      <c r="G285" s="106" t="str">
        <f t="shared" si="56"/>
        <v/>
      </c>
      <c r="H285" s="103" t="str">
        <f t="shared" si="54"/>
        <v/>
      </c>
      <c r="I285" s="110" t="str">
        <f t="shared" si="57"/>
        <v/>
      </c>
      <c r="J285" s="100" t="str">
        <f>IF(B285&gt;0,ROUNDUP(VLOOKUP(B285,G011B!$B:$R,16,0),1),"")</f>
        <v/>
      </c>
      <c r="K285" s="100" t="str">
        <f t="shared" si="58"/>
        <v/>
      </c>
      <c r="L285" s="101" t="str">
        <f>IF(B285&lt;&gt;"",VLOOKUP(B285,G011B!$B:$Z,25,0),"")</f>
        <v/>
      </c>
      <c r="M285" s="160" t="str">
        <f t="shared" si="55"/>
        <v/>
      </c>
      <c r="N285" s="43"/>
      <c r="O285" s="43"/>
      <c r="P285" s="43"/>
    </row>
    <row r="286" spans="1:16" ht="20.05" customHeight="1" x14ac:dyDescent="0.25">
      <c r="A286" s="180">
        <v>175</v>
      </c>
      <c r="B286" s="57"/>
      <c r="C286" s="96" t="str">
        <f t="shared" si="52"/>
        <v/>
      </c>
      <c r="D286" s="97" t="str">
        <f t="shared" si="53"/>
        <v/>
      </c>
      <c r="E286" s="58"/>
      <c r="F286" s="59"/>
      <c r="G286" s="106" t="str">
        <f t="shared" si="56"/>
        <v/>
      </c>
      <c r="H286" s="103" t="str">
        <f t="shared" si="54"/>
        <v/>
      </c>
      <c r="I286" s="110" t="str">
        <f t="shared" si="57"/>
        <v/>
      </c>
      <c r="J286" s="100" t="str">
        <f>IF(B286&gt;0,ROUNDUP(VLOOKUP(B286,G011B!$B:$R,16,0),1),"")</f>
        <v/>
      </c>
      <c r="K286" s="100" t="str">
        <f t="shared" si="58"/>
        <v/>
      </c>
      <c r="L286" s="101" t="str">
        <f>IF(B286&lt;&gt;"",VLOOKUP(B286,G011B!$B:$Z,25,0),"")</f>
        <v/>
      </c>
      <c r="M286" s="160" t="str">
        <f t="shared" si="55"/>
        <v/>
      </c>
      <c r="N286" s="43"/>
      <c r="O286" s="43"/>
      <c r="P286" s="43"/>
    </row>
    <row r="287" spans="1:16" ht="20.05" customHeight="1" x14ac:dyDescent="0.25">
      <c r="A287" s="180">
        <v>176</v>
      </c>
      <c r="B287" s="57"/>
      <c r="C287" s="96" t="str">
        <f t="shared" si="52"/>
        <v/>
      </c>
      <c r="D287" s="97" t="str">
        <f t="shared" si="53"/>
        <v/>
      </c>
      <c r="E287" s="58"/>
      <c r="F287" s="59"/>
      <c r="G287" s="106" t="str">
        <f t="shared" si="56"/>
        <v/>
      </c>
      <c r="H287" s="103" t="str">
        <f t="shared" si="54"/>
        <v/>
      </c>
      <c r="I287" s="110" t="str">
        <f t="shared" si="57"/>
        <v/>
      </c>
      <c r="J287" s="100" t="str">
        <f>IF(B287&gt;0,ROUNDUP(VLOOKUP(B287,G011B!$B:$R,16,0),1),"")</f>
        <v/>
      </c>
      <c r="K287" s="100" t="str">
        <f t="shared" si="58"/>
        <v/>
      </c>
      <c r="L287" s="101" t="str">
        <f>IF(B287&lt;&gt;"",VLOOKUP(B287,G011B!$B:$Z,25,0),"")</f>
        <v/>
      </c>
      <c r="M287" s="160" t="str">
        <f t="shared" si="55"/>
        <v/>
      </c>
      <c r="N287" s="43"/>
      <c r="O287" s="43"/>
      <c r="P287" s="43"/>
    </row>
    <row r="288" spans="1:16" ht="20.05" customHeight="1" x14ac:dyDescent="0.25">
      <c r="A288" s="180">
        <v>177</v>
      </c>
      <c r="B288" s="57"/>
      <c r="C288" s="96" t="str">
        <f t="shared" si="52"/>
        <v/>
      </c>
      <c r="D288" s="97" t="str">
        <f t="shared" si="53"/>
        <v/>
      </c>
      <c r="E288" s="58"/>
      <c r="F288" s="59"/>
      <c r="G288" s="106" t="str">
        <f t="shared" si="56"/>
        <v/>
      </c>
      <c r="H288" s="103" t="str">
        <f t="shared" si="54"/>
        <v/>
      </c>
      <c r="I288" s="110" t="str">
        <f t="shared" si="57"/>
        <v/>
      </c>
      <c r="J288" s="100" t="str">
        <f>IF(B288&gt;0,ROUNDUP(VLOOKUP(B288,G011B!$B:$R,16,0),1),"")</f>
        <v/>
      </c>
      <c r="K288" s="100" t="str">
        <f t="shared" si="58"/>
        <v/>
      </c>
      <c r="L288" s="101" t="str">
        <f>IF(B288&lt;&gt;"",VLOOKUP(B288,G011B!$B:$Z,25,0),"")</f>
        <v/>
      </c>
      <c r="M288" s="160" t="str">
        <f t="shared" si="55"/>
        <v/>
      </c>
      <c r="N288" s="43"/>
      <c r="O288" s="43"/>
      <c r="P288" s="43"/>
    </row>
    <row r="289" spans="1:16" ht="20.05" customHeight="1" x14ac:dyDescent="0.25">
      <c r="A289" s="180">
        <v>178</v>
      </c>
      <c r="B289" s="57"/>
      <c r="C289" s="96" t="str">
        <f t="shared" si="52"/>
        <v/>
      </c>
      <c r="D289" s="97" t="str">
        <f t="shared" si="53"/>
        <v/>
      </c>
      <c r="E289" s="58"/>
      <c r="F289" s="59"/>
      <c r="G289" s="106" t="str">
        <f t="shared" si="56"/>
        <v/>
      </c>
      <c r="H289" s="103" t="str">
        <f t="shared" si="54"/>
        <v/>
      </c>
      <c r="I289" s="110" t="str">
        <f t="shared" si="57"/>
        <v/>
      </c>
      <c r="J289" s="100" t="str">
        <f>IF(B289&gt;0,ROUNDUP(VLOOKUP(B289,G011B!$B:$R,16,0),1),"")</f>
        <v/>
      </c>
      <c r="K289" s="100" t="str">
        <f t="shared" si="58"/>
        <v/>
      </c>
      <c r="L289" s="101" t="str">
        <f>IF(B289&lt;&gt;"",VLOOKUP(B289,G011B!$B:$Z,25,0),"")</f>
        <v/>
      </c>
      <c r="M289" s="160" t="str">
        <f t="shared" si="55"/>
        <v/>
      </c>
      <c r="N289" s="43"/>
      <c r="O289" s="43"/>
      <c r="P289" s="43"/>
    </row>
    <row r="290" spans="1:16" ht="20.05" customHeight="1" x14ac:dyDescent="0.25">
      <c r="A290" s="180">
        <v>179</v>
      </c>
      <c r="B290" s="57"/>
      <c r="C290" s="96" t="str">
        <f t="shared" si="52"/>
        <v/>
      </c>
      <c r="D290" s="97" t="str">
        <f t="shared" si="53"/>
        <v/>
      </c>
      <c r="E290" s="58"/>
      <c r="F290" s="59"/>
      <c r="G290" s="106" t="str">
        <f t="shared" si="56"/>
        <v/>
      </c>
      <c r="H290" s="103" t="str">
        <f t="shared" si="54"/>
        <v/>
      </c>
      <c r="I290" s="110" t="str">
        <f t="shared" si="57"/>
        <v/>
      </c>
      <c r="J290" s="100" t="str">
        <f>IF(B290&gt;0,ROUNDUP(VLOOKUP(B290,G011B!$B:$R,16,0),1),"")</f>
        <v/>
      </c>
      <c r="K290" s="100" t="str">
        <f t="shared" si="58"/>
        <v/>
      </c>
      <c r="L290" s="101" t="str">
        <f>IF(B290&lt;&gt;"",VLOOKUP(B290,G011B!$B:$Z,25,0),"")</f>
        <v/>
      </c>
      <c r="M290" s="160" t="str">
        <f t="shared" si="55"/>
        <v/>
      </c>
      <c r="N290" s="43"/>
      <c r="O290" s="43"/>
      <c r="P290" s="43"/>
    </row>
    <row r="291" spans="1:16" ht="20.05" customHeight="1" thickBot="1" x14ac:dyDescent="0.3">
      <c r="A291" s="181">
        <v>180</v>
      </c>
      <c r="B291" s="60"/>
      <c r="C291" s="98" t="str">
        <f t="shared" si="52"/>
        <v/>
      </c>
      <c r="D291" s="99" t="str">
        <f t="shared" si="53"/>
        <v/>
      </c>
      <c r="E291" s="61"/>
      <c r="F291" s="62"/>
      <c r="G291" s="107" t="str">
        <f t="shared" si="56"/>
        <v/>
      </c>
      <c r="H291" s="104" t="str">
        <f t="shared" si="54"/>
        <v/>
      </c>
      <c r="I291" s="111" t="str">
        <f t="shared" si="57"/>
        <v/>
      </c>
      <c r="J291" s="100" t="str">
        <f>IF(B291&gt;0,ROUNDUP(VLOOKUP(B291,G011B!$B:$R,16,0),1),"")</f>
        <v/>
      </c>
      <c r="K291" s="100" t="str">
        <f t="shared" si="58"/>
        <v/>
      </c>
      <c r="L291" s="101" t="str">
        <f>IF(B291&lt;&gt;"",VLOOKUP(B291,G011B!$B:$Z,25,0),"")</f>
        <v/>
      </c>
      <c r="M291" s="160" t="str">
        <f t="shared" si="55"/>
        <v/>
      </c>
      <c r="N291" s="43"/>
      <c r="O291" s="43"/>
      <c r="P291" s="43"/>
    </row>
    <row r="292" spans="1:16" ht="20.05" customHeight="1" thickBot="1" x14ac:dyDescent="0.4">
      <c r="A292" s="360" t="s">
        <v>42</v>
      </c>
      <c r="B292" s="361"/>
      <c r="C292" s="361"/>
      <c r="D292" s="361"/>
      <c r="E292" s="361"/>
      <c r="F292" s="362"/>
      <c r="G292" s="108">
        <f>SUM(G272:G291)</f>
        <v>0</v>
      </c>
      <c r="H292" s="202"/>
      <c r="I292" s="93">
        <f>IF(C270=C237,SUM(I272:I291)+I259,SUM(I272:I291))</f>
        <v>0</v>
      </c>
      <c r="J292" s="43"/>
      <c r="K292" s="43"/>
      <c r="L292" s="43"/>
      <c r="M292" s="43"/>
      <c r="N292" s="112">
        <f>IF(COUNTA(B272:B291)&gt;0,1,0)</f>
        <v>0</v>
      </c>
      <c r="O292" s="43"/>
      <c r="P292" s="43"/>
    </row>
    <row r="293" spans="1:16" ht="20.05" customHeight="1" thickBot="1" x14ac:dyDescent="0.35">
      <c r="A293" s="363" t="s">
        <v>80</v>
      </c>
      <c r="B293" s="364"/>
      <c r="C293" s="364"/>
      <c r="D293" s="365"/>
      <c r="E293" s="86">
        <f>SUM(G:G)/2</f>
        <v>0</v>
      </c>
      <c r="F293" s="366"/>
      <c r="G293" s="367"/>
      <c r="H293" s="368"/>
      <c r="I293" s="92">
        <f>SUM(I272:I291)+I260</f>
        <v>0</v>
      </c>
      <c r="J293" s="43"/>
      <c r="K293" s="43"/>
      <c r="L293" s="43"/>
      <c r="M293" s="43"/>
      <c r="N293" s="43"/>
      <c r="O293" s="43"/>
      <c r="P293" s="43"/>
    </row>
    <row r="294" spans="1:16" x14ac:dyDescent="0.25">
      <c r="A294" s="182" t="s">
        <v>118</v>
      </c>
      <c r="B294" s="43"/>
      <c r="C294" s="43"/>
      <c r="D294" s="43"/>
      <c r="E294" s="43"/>
      <c r="F294" s="43"/>
      <c r="G294" s="43"/>
      <c r="H294" s="43"/>
      <c r="I294" s="43"/>
      <c r="J294" s="43"/>
      <c r="K294" s="43"/>
      <c r="L294" s="43"/>
      <c r="M294" s="43"/>
      <c r="N294" s="43"/>
      <c r="O294" s="43"/>
      <c r="P294" s="43"/>
    </row>
    <row r="295" spans="1:16" x14ac:dyDescent="0.25">
      <c r="A295" s="43"/>
      <c r="B295" s="43"/>
      <c r="C295" s="43"/>
      <c r="D295" s="43"/>
      <c r="E295" s="43"/>
      <c r="F295" s="43"/>
      <c r="G295" s="43"/>
      <c r="H295" s="43"/>
      <c r="I295" s="43"/>
      <c r="J295" s="43"/>
      <c r="K295" s="43"/>
      <c r="L295" s="43"/>
      <c r="M295" s="43"/>
      <c r="N295" s="43"/>
      <c r="O295" s="43"/>
      <c r="P295" s="43"/>
    </row>
    <row r="296" spans="1:16" ht="21.1" x14ac:dyDescent="0.35">
      <c r="A296" s="247" t="s">
        <v>39</v>
      </c>
      <c r="B296" s="248">
        <f ca="1">IF(imzatarihi&gt;0,imzatarihi,"")</f>
        <v>45686</v>
      </c>
      <c r="C296" s="251" t="s">
        <v>40</v>
      </c>
      <c r="D296" s="245" t="str">
        <f>IF(kurulusyetkilisi&gt;0,kurulusyetkilisi,"")</f>
        <v/>
      </c>
      <c r="F296" s="247"/>
      <c r="G296" s="247"/>
      <c r="H296" s="163"/>
      <c r="I296" s="163"/>
      <c r="J296" s="43"/>
      <c r="K296" s="73"/>
      <c r="L296" s="73"/>
      <c r="M296" s="5"/>
      <c r="N296" s="73"/>
      <c r="O296" s="73"/>
      <c r="P296" s="43"/>
    </row>
    <row r="297" spans="1:16" ht="19.7" x14ac:dyDescent="0.35">
      <c r="A297" s="249"/>
      <c r="B297" s="249"/>
      <c r="C297" s="251" t="s">
        <v>41</v>
      </c>
      <c r="D297" s="247"/>
      <c r="E297" s="302"/>
      <c r="F297" s="302"/>
      <c r="G297" s="302"/>
      <c r="H297" s="42"/>
      <c r="I297" s="42"/>
      <c r="J297" s="43"/>
      <c r="K297" s="73"/>
      <c r="L297" s="73"/>
      <c r="M297" s="5"/>
      <c r="N297" s="73"/>
      <c r="O297" s="73"/>
      <c r="P297" s="43"/>
    </row>
    <row r="298" spans="1:16" ht="16.3" x14ac:dyDescent="0.3">
      <c r="A298" s="338" t="s">
        <v>73</v>
      </c>
      <c r="B298" s="338"/>
      <c r="C298" s="338"/>
      <c r="D298" s="338"/>
      <c r="E298" s="338"/>
      <c r="F298" s="338"/>
      <c r="G298" s="338"/>
      <c r="H298" s="338"/>
      <c r="I298" s="338"/>
      <c r="J298" s="43"/>
      <c r="K298" s="43"/>
      <c r="L298" s="43"/>
      <c r="M298" s="43"/>
      <c r="N298" s="43"/>
      <c r="O298" s="43"/>
      <c r="P298" s="43"/>
    </row>
    <row r="299" spans="1:16" x14ac:dyDescent="0.25">
      <c r="A299" s="336" t="str">
        <f>IF(YilDonem&lt;&gt;"",CONCATENATE(YilDonem,". döneme aittir."),"")</f>
        <v/>
      </c>
      <c r="B299" s="336"/>
      <c r="C299" s="336"/>
      <c r="D299" s="336"/>
      <c r="E299" s="336"/>
      <c r="F299" s="336"/>
      <c r="G299" s="336"/>
      <c r="H299" s="336"/>
      <c r="I299" s="336"/>
      <c r="J299" s="43"/>
      <c r="K299" s="43"/>
      <c r="L299" s="43"/>
      <c r="M299" s="43"/>
      <c r="N299" s="43"/>
      <c r="O299" s="43"/>
      <c r="P299" s="43"/>
    </row>
    <row r="300" spans="1:16" ht="19.7" thickBot="1" x14ac:dyDescent="0.4">
      <c r="A300" s="372" t="s">
        <v>82</v>
      </c>
      <c r="B300" s="372"/>
      <c r="C300" s="372"/>
      <c r="D300" s="372"/>
      <c r="E300" s="372"/>
      <c r="F300" s="372"/>
      <c r="G300" s="372"/>
      <c r="H300" s="372"/>
      <c r="I300" s="372"/>
      <c r="J300" s="43"/>
      <c r="K300" s="43"/>
      <c r="L300" s="43"/>
      <c r="M300" s="43"/>
      <c r="N300" s="43"/>
      <c r="O300" s="43"/>
      <c r="P300" s="43"/>
    </row>
    <row r="301" spans="1:16" ht="19.55" customHeight="1" thickBot="1" x14ac:dyDescent="0.3">
      <c r="A301" s="341" t="s">
        <v>1</v>
      </c>
      <c r="B301" s="343"/>
      <c r="C301" s="330" t="str">
        <f>IF(ProjeNo&gt;0,ProjeNo,"")</f>
        <v/>
      </c>
      <c r="D301" s="331"/>
      <c r="E301" s="331"/>
      <c r="F301" s="331"/>
      <c r="G301" s="331"/>
      <c r="H301" s="331"/>
      <c r="I301" s="332"/>
      <c r="J301" s="43"/>
      <c r="K301" s="43"/>
      <c r="L301" s="43"/>
      <c r="M301" s="43"/>
      <c r="N301" s="43"/>
      <c r="O301" s="43"/>
      <c r="P301" s="43"/>
    </row>
    <row r="302" spans="1:16" ht="29.25" customHeight="1" thickBot="1" x14ac:dyDescent="0.3">
      <c r="A302" s="371" t="s">
        <v>11</v>
      </c>
      <c r="B302" s="342"/>
      <c r="C302" s="346" t="str">
        <f>IF(ProjeAdi&gt;0,ProjeAdi,"")</f>
        <v/>
      </c>
      <c r="D302" s="347"/>
      <c r="E302" s="347"/>
      <c r="F302" s="347"/>
      <c r="G302" s="347"/>
      <c r="H302" s="347"/>
      <c r="I302" s="348"/>
      <c r="J302" s="43"/>
      <c r="K302" s="43"/>
      <c r="L302" s="43"/>
      <c r="M302" s="43"/>
      <c r="N302" s="43"/>
      <c r="O302" s="43"/>
      <c r="P302" s="43"/>
    </row>
    <row r="303" spans="1:16" ht="19.55" customHeight="1" thickBot="1" x14ac:dyDescent="0.3">
      <c r="A303" s="341" t="s">
        <v>74</v>
      </c>
      <c r="B303" s="343"/>
      <c r="C303" s="9"/>
      <c r="D303" s="369"/>
      <c r="E303" s="369"/>
      <c r="F303" s="369"/>
      <c r="G303" s="369"/>
      <c r="H303" s="369"/>
      <c r="I303" s="370"/>
      <c r="J303" s="43"/>
      <c r="K303" s="43"/>
      <c r="L303" s="43"/>
      <c r="M303" s="43"/>
      <c r="N303" s="43"/>
      <c r="O303" s="43"/>
      <c r="P303" s="43"/>
    </row>
    <row r="304" spans="1:16" s="2" customFormat="1" ht="29.25" thickBot="1" x14ac:dyDescent="0.3">
      <c r="A304" s="176" t="s">
        <v>7</v>
      </c>
      <c r="B304" s="176" t="s">
        <v>8</v>
      </c>
      <c r="C304" s="176" t="s">
        <v>63</v>
      </c>
      <c r="D304" s="176" t="s">
        <v>119</v>
      </c>
      <c r="E304" s="176" t="s">
        <v>75</v>
      </c>
      <c r="F304" s="176" t="s">
        <v>76</v>
      </c>
      <c r="G304" s="176" t="s">
        <v>77</v>
      </c>
      <c r="H304" s="176" t="s">
        <v>78</v>
      </c>
      <c r="I304" s="176" t="s">
        <v>79</v>
      </c>
      <c r="J304" s="177" t="s">
        <v>83</v>
      </c>
      <c r="K304" s="178" t="s">
        <v>84</v>
      </c>
      <c r="L304" s="178" t="s">
        <v>76</v>
      </c>
      <c r="M304" s="169"/>
      <c r="N304" s="169"/>
      <c r="O304" s="169"/>
      <c r="P304" s="169"/>
    </row>
    <row r="305" spans="1:16" ht="20.05" customHeight="1" x14ac:dyDescent="0.25">
      <c r="A305" s="179">
        <v>181</v>
      </c>
      <c r="B305" s="53"/>
      <c r="C305" s="94" t="str">
        <f t="shared" ref="C305:C324" si="59">IF(B305&lt;&gt;"",VLOOKUP(B305,PersonelTablo,2,0),"")</f>
        <v/>
      </c>
      <c r="D305" s="95" t="str">
        <f t="shared" ref="D305:D324" si="60">IF(B305&lt;&gt;"",VLOOKUP(B305,PersonelTablo,3,0),"")</f>
        <v/>
      </c>
      <c r="E305" s="54"/>
      <c r="F305" s="55"/>
      <c r="G305" s="105" t="str">
        <f>IF(AND(B305&lt;&gt;"",L305&gt;=F305),E305*F305,"")</f>
        <v/>
      </c>
      <c r="H305" s="102" t="str">
        <f t="shared" ref="H305:H324" si="61">IF(B305&lt;&gt;"",VLOOKUP(B305,G011CTablo,14,0),"")</f>
        <v/>
      </c>
      <c r="I305" s="109" t="str">
        <f>IF(AND(B305&lt;&gt;"",J305&gt;=K305,L305&gt;0),G305*H305,"")</f>
        <v/>
      </c>
      <c r="J305" s="100" t="str">
        <f>IF(B305&gt;0,ROUNDUP(VLOOKUP(B305,G011B!$B:$R,16,0),1),"")</f>
        <v/>
      </c>
      <c r="K305" s="100" t="str">
        <f>IF(B305&gt;0,SUMIF($B:$B,B305,$G:$G),"")</f>
        <v/>
      </c>
      <c r="L305" s="101" t="str">
        <f>IF(B305&lt;&gt;"",VLOOKUP(B305,G011B!$B:$Z,25,0),"")</f>
        <v/>
      </c>
      <c r="M305" s="160" t="str">
        <f t="shared" ref="M305:M324" si="62">IF(J305&gt;=K305,"","Personelin bütün iş paketlerindeki Toplam Adam Ay değeri "&amp;K305&amp;" olup, bu değer, G011B formunda beyan edilen Çalışılan Toplam Ay değerini geçemez. Maliyeti hesaplamak için Adam/Ay Oranı veya Çalışılan Ay değerini düzeltiniz. ")</f>
        <v/>
      </c>
      <c r="N305" s="43"/>
      <c r="O305" s="43"/>
      <c r="P305" s="43"/>
    </row>
    <row r="306" spans="1:16" ht="20.05" customHeight="1" x14ac:dyDescent="0.25">
      <c r="A306" s="180">
        <v>182</v>
      </c>
      <c r="B306" s="57"/>
      <c r="C306" s="96" t="str">
        <f t="shared" si="59"/>
        <v/>
      </c>
      <c r="D306" s="97" t="str">
        <f t="shared" si="60"/>
        <v/>
      </c>
      <c r="E306" s="58"/>
      <c r="F306" s="59"/>
      <c r="G306" s="106" t="str">
        <f t="shared" ref="G306:G324" si="63">IF(AND(B306&lt;&gt;"",L306&gt;=F306),E306*F306,"")</f>
        <v/>
      </c>
      <c r="H306" s="103" t="str">
        <f t="shared" si="61"/>
        <v/>
      </c>
      <c r="I306" s="110" t="str">
        <f t="shared" ref="I306:I324" si="64">IF(AND(B306&lt;&gt;"",J306&gt;=K306,L306&gt;0),G306*H306,"")</f>
        <v/>
      </c>
      <c r="J306" s="100" t="str">
        <f>IF(B306&gt;0,ROUNDUP(VLOOKUP(B306,G011B!$B:$R,16,0),1),"")</f>
        <v/>
      </c>
      <c r="K306" s="100" t="str">
        <f t="shared" ref="K306:K324" si="65">IF(B306&gt;0,SUMIF($B:$B,B306,$G:$G),"")</f>
        <v/>
      </c>
      <c r="L306" s="101" t="str">
        <f>IF(B306&lt;&gt;"",VLOOKUP(B306,G011B!$B:$Z,25,0),"")</f>
        <v/>
      </c>
      <c r="M306" s="160" t="str">
        <f t="shared" si="62"/>
        <v/>
      </c>
      <c r="N306" s="43"/>
      <c r="O306" s="43"/>
      <c r="P306" s="43"/>
    </row>
    <row r="307" spans="1:16" ht="20.05" customHeight="1" x14ac:dyDescent="0.25">
      <c r="A307" s="180">
        <v>183</v>
      </c>
      <c r="B307" s="57"/>
      <c r="C307" s="96" t="str">
        <f t="shared" si="59"/>
        <v/>
      </c>
      <c r="D307" s="97" t="str">
        <f t="shared" si="60"/>
        <v/>
      </c>
      <c r="E307" s="58"/>
      <c r="F307" s="59"/>
      <c r="G307" s="106" t="str">
        <f t="shared" si="63"/>
        <v/>
      </c>
      <c r="H307" s="103" t="str">
        <f t="shared" si="61"/>
        <v/>
      </c>
      <c r="I307" s="110" t="str">
        <f t="shared" si="64"/>
        <v/>
      </c>
      <c r="J307" s="100" t="str">
        <f>IF(B307&gt;0,ROUNDUP(VLOOKUP(B307,G011B!$B:$R,16,0),1),"")</f>
        <v/>
      </c>
      <c r="K307" s="100" t="str">
        <f t="shared" si="65"/>
        <v/>
      </c>
      <c r="L307" s="101" t="str">
        <f>IF(B307&lt;&gt;"",VLOOKUP(B307,G011B!$B:$Z,25,0),"")</f>
        <v/>
      </c>
      <c r="M307" s="160" t="str">
        <f t="shared" si="62"/>
        <v/>
      </c>
      <c r="N307" s="43"/>
      <c r="O307" s="43"/>
      <c r="P307" s="43"/>
    </row>
    <row r="308" spans="1:16" ht="20.05" customHeight="1" x14ac:dyDescent="0.25">
      <c r="A308" s="180">
        <v>184</v>
      </c>
      <c r="B308" s="57"/>
      <c r="C308" s="96" t="str">
        <f t="shared" si="59"/>
        <v/>
      </c>
      <c r="D308" s="97" t="str">
        <f t="shared" si="60"/>
        <v/>
      </c>
      <c r="E308" s="58"/>
      <c r="F308" s="59"/>
      <c r="G308" s="106" t="str">
        <f t="shared" si="63"/>
        <v/>
      </c>
      <c r="H308" s="103" t="str">
        <f t="shared" si="61"/>
        <v/>
      </c>
      <c r="I308" s="110" t="str">
        <f t="shared" si="64"/>
        <v/>
      </c>
      <c r="J308" s="100" t="str">
        <f>IF(B308&gt;0,ROUNDUP(VLOOKUP(B308,G011B!$B:$R,16,0),1),"")</f>
        <v/>
      </c>
      <c r="K308" s="100" t="str">
        <f t="shared" si="65"/>
        <v/>
      </c>
      <c r="L308" s="101" t="str">
        <f>IF(B308&lt;&gt;"",VLOOKUP(B308,G011B!$B:$Z,25,0),"")</f>
        <v/>
      </c>
      <c r="M308" s="160" t="str">
        <f t="shared" si="62"/>
        <v/>
      </c>
      <c r="N308" s="43"/>
      <c r="O308" s="43"/>
      <c r="P308" s="43"/>
    </row>
    <row r="309" spans="1:16" ht="20.05" customHeight="1" x14ac:dyDescent="0.25">
      <c r="A309" s="180">
        <v>185</v>
      </c>
      <c r="B309" s="57"/>
      <c r="C309" s="96" t="str">
        <f t="shared" si="59"/>
        <v/>
      </c>
      <c r="D309" s="97" t="str">
        <f t="shared" si="60"/>
        <v/>
      </c>
      <c r="E309" s="58"/>
      <c r="F309" s="59"/>
      <c r="G309" s="106" t="str">
        <f t="shared" si="63"/>
        <v/>
      </c>
      <c r="H309" s="103" t="str">
        <f t="shared" si="61"/>
        <v/>
      </c>
      <c r="I309" s="110" t="str">
        <f t="shared" si="64"/>
        <v/>
      </c>
      <c r="J309" s="100" t="str">
        <f>IF(B309&gt;0,ROUNDUP(VLOOKUP(B309,G011B!$B:$R,16,0),1),"")</f>
        <v/>
      </c>
      <c r="K309" s="100" t="str">
        <f t="shared" si="65"/>
        <v/>
      </c>
      <c r="L309" s="101" t="str">
        <f>IF(B309&lt;&gt;"",VLOOKUP(B309,G011B!$B:$Z,25,0),"")</f>
        <v/>
      </c>
      <c r="M309" s="160" t="str">
        <f t="shared" si="62"/>
        <v/>
      </c>
      <c r="N309" s="43"/>
      <c r="O309" s="43"/>
      <c r="P309" s="43"/>
    </row>
    <row r="310" spans="1:16" ht="20.05" customHeight="1" x14ac:dyDescent="0.25">
      <c r="A310" s="180">
        <v>186</v>
      </c>
      <c r="B310" s="57"/>
      <c r="C310" s="96" t="str">
        <f t="shared" si="59"/>
        <v/>
      </c>
      <c r="D310" s="97" t="str">
        <f t="shared" si="60"/>
        <v/>
      </c>
      <c r="E310" s="58"/>
      <c r="F310" s="59"/>
      <c r="G310" s="106" t="str">
        <f t="shared" si="63"/>
        <v/>
      </c>
      <c r="H310" s="103" t="str">
        <f t="shared" si="61"/>
        <v/>
      </c>
      <c r="I310" s="110" t="str">
        <f t="shared" si="64"/>
        <v/>
      </c>
      <c r="J310" s="100" t="str">
        <f>IF(B310&gt;0,ROUNDUP(VLOOKUP(B310,G011B!$B:$R,16,0),1),"")</f>
        <v/>
      </c>
      <c r="K310" s="100" t="str">
        <f t="shared" si="65"/>
        <v/>
      </c>
      <c r="L310" s="101" t="str">
        <f>IF(B310&lt;&gt;"",VLOOKUP(B310,G011B!$B:$Z,25,0),"")</f>
        <v/>
      </c>
      <c r="M310" s="160" t="str">
        <f t="shared" si="62"/>
        <v/>
      </c>
      <c r="N310" s="43"/>
      <c r="O310" s="43"/>
      <c r="P310" s="43"/>
    </row>
    <row r="311" spans="1:16" ht="20.05" customHeight="1" x14ac:dyDescent="0.25">
      <c r="A311" s="180">
        <v>187</v>
      </c>
      <c r="B311" s="57"/>
      <c r="C311" s="96" t="str">
        <f t="shared" si="59"/>
        <v/>
      </c>
      <c r="D311" s="97" t="str">
        <f t="shared" si="60"/>
        <v/>
      </c>
      <c r="E311" s="58"/>
      <c r="F311" s="59"/>
      <c r="G311" s="106" t="str">
        <f t="shared" si="63"/>
        <v/>
      </c>
      <c r="H311" s="103" t="str">
        <f t="shared" si="61"/>
        <v/>
      </c>
      <c r="I311" s="110" t="str">
        <f t="shared" si="64"/>
        <v/>
      </c>
      <c r="J311" s="100" t="str">
        <f>IF(B311&gt;0,ROUNDUP(VLOOKUP(B311,G011B!$B:$R,16,0),1),"")</f>
        <v/>
      </c>
      <c r="K311" s="100" t="str">
        <f t="shared" si="65"/>
        <v/>
      </c>
      <c r="L311" s="101" t="str">
        <f>IF(B311&lt;&gt;"",VLOOKUP(B311,G011B!$B:$Z,25,0),"")</f>
        <v/>
      </c>
      <c r="M311" s="160" t="str">
        <f t="shared" si="62"/>
        <v/>
      </c>
      <c r="N311" s="43"/>
      <c r="O311" s="43"/>
      <c r="P311" s="43"/>
    </row>
    <row r="312" spans="1:16" ht="20.05" customHeight="1" x14ac:dyDescent="0.25">
      <c r="A312" s="180">
        <v>188</v>
      </c>
      <c r="B312" s="57"/>
      <c r="C312" s="96" t="str">
        <f t="shared" si="59"/>
        <v/>
      </c>
      <c r="D312" s="97" t="str">
        <f t="shared" si="60"/>
        <v/>
      </c>
      <c r="E312" s="58"/>
      <c r="F312" s="59"/>
      <c r="G312" s="106" t="str">
        <f t="shared" si="63"/>
        <v/>
      </c>
      <c r="H312" s="103" t="str">
        <f t="shared" si="61"/>
        <v/>
      </c>
      <c r="I312" s="110" t="str">
        <f t="shared" si="64"/>
        <v/>
      </c>
      <c r="J312" s="100" t="str">
        <f>IF(B312&gt;0,ROUNDUP(VLOOKUP(B312,G011B!$B:$R,16,0),1),"")</f>
        <v/>
      </c>
      <c r="K312" s="100" t="str">
        <f t="shared" si="65"/>
        <v/>
      </c>
      <c r="L312" s="101" t="str">
        <f>IF(B312&lt;&gt;"",VLOOKUP(B312,G011B!$B:$Z,25,0),"")</f>
        <v/>
      </c>
      <c r="M312" s="160" t="str">
        <f t="shared" si="62"/>
        <v/>
      </c>
      <c r="N312" s="43"/>
      <c r="O312" s="43"/>
      <c r="P312" s="43"/>
    </row>
    <row r="313" spans="1:16" ht="20.05" customHeight="1" x14ac:dyDescent="0.25">
      <c r="A313" s="180">
        <v>189</v>
      </c>
      <c r="B313" s="57"/>
      <c r="C313" s="96" t="str">
        <f t="shared" si="59"/>
        <v/>
      </c>
      <c r="D313" s="97" t="str">
        <f t="shared" si="60"/>
        <v/>
      </c>
      <c r="E313" s="58"/>
      <c r="F313" s="59"/>
      <c r="G313" s="106" t="str">
        <f t="shared" si="63"/>
        <v/>
      </c>
      <c r="H313" s="103" t="str">
        <f t="shared" si="61"/>
        <v/>
      </c>
      <c r="I313" s="110" t="str">
        <f t="shared" si="64"/>
        <v/>
      </c>
      <c r="J313" s="100" t="str">
        <f>IF(B313&gt;0,ROUNDUP(VLOOKUP(B313,G011B!$B:$R,16,0),1),"")</f>
        <v/>
      </c>
      <c r="K313" s="100" t="str">
        <f t="shared" si="65"/>
        <v/>
      </c>
      <c r="L313" s="101" t="str">
        <f>IF(B313&lt;&gt;"",VLOOKUP(B313,G011B!$B:$Z,25,0),"")</f>
        <v/>
      </c>
      <c r="M313" s="160" t="str">
        <f t="shared" si="62"/>
        <v/>
      </c>
      <c r="N313" s="43"/>
      <c r="O313" s="43"/>
      <c r="P313" s="43"/>
    </row>
    <row r="314" spans="1:16" ht="20.05" customHeight="1" x14ac:dyDescent="0.25">
      <c r="A314" s="180">
        <v>190</v>
      </c>
      <c r="B314" s="57"/>
      <c r="C314" s="96" t="str">
        <f t="shared" si="59"/>
        <v/>
      </c>
      <c r="D314" s="97" t="str">
        <f t="shared" si="60"/>
        <v/>
      </c>
      <c r="E314" s="58"/>
      <c r="F314" s="59"/>
      <c r="G314" s="106" t="str">
        <f t="shared" si="63"/>
        <v/>
      </c>
      <c r="H314" s="103" t="str">
        <f t="shared" si="61"/>
        <v/>
      </c>
      <c r="I314" s="110" t="str">
        <f t="shared" si="64"/>
        <v/>
      </c>
      <c r="J314" s="100" t="str">
        <f>IF(B314&gt;0,ROUNDUP(VLOOKUP(B314,G011B!$B:$R,16,0),1),"")</f>
        <v/>
      </c>
      <c r="K314" s="100" t="str">
        <f t="shared" si="65"/>
        <v/>
      </c>
      <c r="L314" s="101" t="str">
        <f>IF(B314&lt;&gt;"",VLOOKUP(B314,G011B!$B:$Z,25,0),"")</f>
        <v/>
      </c>
      <c r="M314" s="160" t="str">
        <f t="shared" si="62"/>
        <v/>
      </c>
      <c r="N314" s="43"/>
      <c r="O314" s="43"/>
      <c r="P314" s="43"/>
    </row>
    <row r="315" spans="1:16" ht="20.05" customHeight="1" x14ac:dyDescent="0.25">
      <c r="A315" s="180">
        <v>191</v>
      </c>
      <c r="B315" s="57"/>
      <c r="C315" s="96" t="str">
        <f t="shared" si="59"/>
        <v/>
      </c>
      <c r="D315" s="97" t="str">
        <f t="shared" si="60"/>
        <v/>
      </c>
      <c r="E315" s="58"/>
      <c r="F315" s="59"/>
      <c r="G315" s="106" t="str">
        <f t="shared" si="63"/>
        <v/>
      </c>
      <c r="H315" s="103" t="str">
        <f t="shared" si="61"/>
        <v/>
      </c>
      <c r="I315" s="110" t="str">
        <f t="shared" si="64"/>
        <v/>
      </c>
      <c r="J315" s="100" t="str">
        <f>IF(B315&gt;0,ROUNDUP(VLOOKUP(B315,G011B!$B:$R,16,0),1),"")</f>
        <v/>
      </c>
      <c r="K315" s="100" t="str">
        <f t="shared" si="65"/>
        <v/>
      </c>
      <c r="L315" s="101" t="str">
        <f>IF(B315&lt;&gt;"",VLOOKUP(B315,G011B!$B:$Z,25,0),"")</f>
        <v/>
      </c>
      <c r="M315" s="160" t="str">
        <f t="shared" si="62"/>
        <v/>
      </c>
      <c r="N315" s="43"/>
      <c r="O315" s="43"/>
      <c r="P315" s="43"/>
    </row>
    <row r="316" spans="1:16" ht="20.05" customHeight="1" x14ac:dyDescent="0.25">
      <c r="A316" s="180">
        <v>192</v>
      </c>
      <c r="B316" s="57"/>
      <c r="C316" s="96" t="str">
        <f t="shared" si="59"/>
        <v/>
      </c>
      <c r="D316" s="97" t="str">
        <f t="shared" si="60"/>
        <v/>
      </c>
      <c r="E316" s="58"/>
      <c r="F316" s="59"/>
      <c r="G316" s="106" t="str">
        <f t="shared" si="63"/>
        <v/>
      </c>
      <c r="H316" s="103" t="str">
        <f t="shared" si="61"/>
        <v/>
      </c>
      <c r="I316" s="110" t="str">
        <f t="shared" si="64"/>
        <v/>
      </c>
      <c r="J316" s="100" t="str">
        <f>IF(B316&gt;0,ROUNDUP(VLOOKUP(B316,G011B!$B:$R,16,0),1),"")</f>
        <v/>
      </c>
      <c r="K316" s="100" t="str">
        <f t="shared" si="65"/>
        <v/>
      </c>
      <c r="L316" s="101" t="str">
        <f>IF(B316&lt;&gt;"",VLOOKUP(B316,G011B!$B:$Z,25,0),"")</f>
        <v/>
      </c>
      <c r="M316" s="160" t="str">
        <f t="shared" si="62"/>
        <v/>
      </c>
      <c r="N316" s="43"/>
      <c r="O316" s="43"/>
      <c r="P316" s="43"/>
    </row>
    <row r="317" spans="1:16" ht="20.05" customHeight="1" x14ac:dyDescent="0.25">
      <c r="A317" s="180">
        <v>193</v>
      </c>
      <c r="B317" s="57"/>
      <c r="C317" s="96" t="str">
        <f t="shared" si="59"/>
        <v/>
      </c>
      <c r="D317" s="97" t="str">
        <f t="shared" si="60"/>
        <v/>
      </c>
      <c r="E317" s="58"/>
      <c r="F317" s="59"/>
      <c r="G317" s="106" t="str">
        <f t="shared" si="63"/>
        <v/>
      </c>
      <c r="H317" s="103" t="str">
        <f t="shared" si="61"/>
        <v/>
      </c>
      <c r="I317" s="110" t="str">
        <f t="shared" si="64"/>
        <v/>
      </c>
      <c r="J317" s="100" t="str">
        <f>IF(B317&gt;0,ROUNDUP(VLOOKUP(B317,G011B!$B:$R,16,0),1),"")</f>
        <v/>
      </c>
      <c r="K317" s="100" t="str">
        <f t="shared" si="65"/>
        <v/>
      </c>
      <c r="L317" s="101" t="str">
        <f>IF(B317&lt;&gt;"",VLOOKUP(B317,G011B!$B:$Z,25,0),"")</f>
        <v/>
      </c>
      <c r="M317" s="160" t="str">
        <f t="shared" si="62"/>
        <v/>
      </c>
      <c r="N317" s="43"/>
      <c r="O317" s="43"/>
      <c r="P317" s="43"/>
    </row>
    <row r="318" spans="1:16" ht="20.05" customHeight="1" x14ac:dyDescent="0.25">
      <c r="A318" s="180">
        <v>194</v>
      </c>
      <c r="B318" s="57"/>
      <c r="C318" s="96" t="str">
        <f t="shared" si="59"/>
        <v/>
      </c>
      <c r="D318" s="97" t="str">
        <f t="shared" si="60"/>
        <v/>
      </c>
      <c r="E318" s="58"/>
      <c r="F318" s="59"/>
      <c r="G318" s="106" t="str">
        <f t="shared" si="63"/>
        <v/>
      </c>
      <c r="H318" s="103" t="str">
        <f t="shared" si="61"/>
        <v/>
      </c>
      <c r="I318" s="110" t="str">
        <f t="shared" si="64"/>
        <v/>
      </c>
      <c r="J318" s="100" t="str">
        <f>IF(B318&gt;0,ROUNDUP(VLOOKUP(B318,G011B!$B:$R,16,0),1),"")</f>
        <v/>
      </c>
      <c r="K318" s="100" t="str">
        <f t="shared" si="65"/>
        <v/>
      </c>
      <c r="L318" s="101" t="str">
        <f>IF(B318&lt;&gt;"",VLOOKUP(B318,G011B!$B:$Z,25,0),"")</f>
        <v/>
      </c>
      <c r="M318" s="160" t="str">
        <f t="shared" si="62"/>
        <v/>
      </c>
      <c r="N318" s="43"/>
      <c r="O318" s="43"/>
      <c r="P318" s="43"/>
    </row>
    <row r="319" spans="1:16" ht="20.05" customHeight="1" x14ac:dyDescent="0.25">
      <c r="A319" s="180">
        <v>195</v>
      </c>
      <c r="B319" s="57"/>
      <c r="C319" s="96" t="str">
        <f t="shared" si="59"/>
        <v/>
      </c>
      <c r="D319" s="97" t="str">
        <f t="shared" si="60"/>
        <v/>
      </c>
      <c r="E319" s="58"/>
      <c r="F319" s="59"/>
      <c r="G319" s="106" t="str">
        <f t="shared" si="63"/>
        <v/>
      </c>
      <c r="H319" s="103" t="str">
        <f t="shared" si="61"/>
        <v/>
      </c>
      <c r="I319" s="110" t="str">
        <f t="shared" si="64"/>
        <v/>
      </c>
      <c r="J319" s="100" t="str">
        <f>IF(B319&gt;0,ROUNDUP(VLOOKUP(B319,G011B!$B:$R,16,0),1),"")</f>
        <v/>
      </c>
      <c r="K319" s="100" t="str">
        <f t="shared" si="65"/>
        <v/>
      </c>
      <c r="L319" s="101" t="str">
        <f>IF(B319&lt;&gt;"",VLOOKUP(B319,G011B!$B:$Z,25,0),"")</f>
        <v/>
      </c>
      <c r="M319" s="160" t="str">
        <f t="shared" si="62"/>
        <v/>
      </c>
      <c r="N319" s="43"/>
      <c r="O319" s="43"/>
      <c r="P319" s="43"/>
    </row>
    <row r="320" spans="1:16" ht="20.05" customHeight="1" x14ac:dyDescent="0.25">
      <c r="A320" s="180">
        <v>196</v>
      </c>
      <c r="B320" s="57"/>
      <c r="C320" s="96" t="str">
        <f t="shared" si="59"/>
        <v/>
      </c>
      <c r="D320" s="97" t="str">
        <f t="shared" si="60"/>
        <v/>
      </c>
      <c r="E320" s="58"/>
      <c r="F320" s="59"/>
      <c r="G320" s="106" t="str">
        <f t="shared" si="63"/>
        <v/>
      </c>
      <c r="H320" s="103" t="str">
        <f t="shared" si="61"/>
        <v/>
      </c>
      <c r="I320" s="110" t="str">
        <f t="shared" si="64"/>
        <v/>
      </c>
      <c r="J320" s="100" t="str">
        <f>IF(B320&gt;0,ROUNDUP(VLOOKUP(B320,G011B!$B:$R,16,0),1),"")</f>
        <v/>
      </c>
      <c r="K320" s="100" t="str">
        <f t="shared" si="65"/>
        <v/>
      </c>
      <c r="L320" s="101" t="str">
        <f>IF(B320&lt;&gt;"",VLOOKUP(B320,G011B!$B:$Z,25,0),"")</f>
        <v/>
      </c>
      <c r="M320" s="160" t="str">
        <f t="shared" si="62"/>
        <v/>
      </c>
      <c r="N320" s="43"/>
      <c r="O320" s="43"/>
      <c r="P320" s="43"/>
    </row>
    <row r="321" spans="1:16" ht="20.05" customHeight="1" x14ac:dyDescent="0.25">
      <c r="A321" s="180">
        <v>197</v>
      </c>
      <c r="B321" s="57"/>
      <c r="C321" s="96" t="str">
        <f t="shared" si="59"/>
        <v/>
      </c>
      <c r="D321" s="97" t="str">
        <f t="shared" si="60"/>
        <v/>
      </c>
      <c r="E321" s="58"/>
      <c r="F321" s="59"/>
      <c r="G321" s="106" t="str">
        <f t="shared" si="63"/>
        <v/>
      </c>
      <c r="H321" s="103" t="str">
        <f t="shared" si="61"/>
        <v/>
      </c>
      <c r="I321" s="110" t="str">
        <f t="shared" si="64"/>
        <v/>
      </c>
      <c r="J321" s="100" t="str">
        <f>IF(B321&gt;0,ROUNDUP(VLOOKUP(B321,G011B!$B:$R,16,0),1),"")</f>
        <v/>
      </c>
      <c r="K321" s="100" t="str">
        <f t="shared" si="65"/>
        <v/>
      </c>
      <c r="L321" s="101" t="str">
        <f>IF(B321&lt;&gt;"",VLOOKUP(B321,G011B!$B:$Z,25,0),"")</f>
        <v/>
      </c>
      <c r="M321" s="160" t="str">
        <f t="shared" si="62"/>
        <v/>
      </c>
      <c r="N321" s="43"/>
      <c r="O321" s="43"/>
      <c r="P321" s="43"/>
    </row>
    <row r="322" spans="1:16" ht="20.05" customHeight="1" x14ac:dyDescent="0.25">
      <c r="A322" s="180">
        <v>198</v>
      </c>
      <c r="B322" s="57"/>
      <c r="C322" s="96" t="str">
        <f t="shared" si="59"/>
        <v/>
      </c>
      <c r="D322" s="97" t="str">
        <f t="shared" si="60"/>
        <v/>
      </c>
      <c r="E322" s="58"/>
      <c r="F322" s="59"/>
      <c r="G322" s="106" t="str">
        <f t="shared" si="63"/>
        <v/>
      </c>
      <c r="H322" s="103" t="str">
        <f t="shared" si="61"/>
        <v/>
      </c>
      <c r="I322" s="110" t="str">
        <f t="shared" si="64"/>
        <v/>
      </c>
      <c r="J322" s="100" t="str">
        <f>IF(B322&gt;0,ROUNDUP(VLOOKUP(B322,G011B!$B:$R,16,0),1),"")</f>
        <v/>
      </c>
      <c r="K322" s="100" t="str">
        <f t="shared" si="65"/>
        <v/>
      </c>
      <c r="L322" s="101" t="str">
        <f>IF(B322&lt;&gt;"",VLOOKUP(B322,G011B!$B:$Z,25,0),"")</f>
        <v/>
      </c>
      <c r="M322" s="160" t="str">
        <f t="shared" si="62"/>
        <v/>
      </c>
      <c r="N322" s="43"/>
      <c r="O322" s="43"/>
      <c r="P322" s="43"/>
    </row>
    <row r="323" spans="1:16" ht="20.05" customHeight="1" x14ac:dyDescent="0.25">
      <c r="A323" s="180">
        <v>199</v>
      </c>
      <c r="B323" s="57"/>
      <c r="C323" s="96" t="str">
        <f t="shared" si="59"/>
        <v/>
      </c>
      <c r="D323" s="97" t="str">
        <f t="shared" si="60"/>
        <v/>
      </c>
      <c r="E323" s="58"/>
      <c r="F323" s="59"/>
      <c r="G323" s="106" t="str">
        <f t="shared" si="63"/>
        <v/>
      </c>
      <c r="H323" s="103" t="str">
        <f t="shared" si="61"/>
        <v/>
      </c>
      <c r="I323" s="110" t="str">
        <f t="shared" si="64"/>
        <v/>
      </c>
      <c r="J323" s="100" t="str">
        <f>IF(B323&gt;0,ROUNDUP(VLOOKUP(B323,G011B!$B:$R,16,0),1),"")</f>
        <v/>
      </c>
      <c r="K323" s="100" t="str">
        <f t="shared" si="65"/>
        <v/>
      </c>
      <c r="L323" s="101" t="str">
        <f>IF(B323&lt;&gt;"",VLOOKUP(B323,G011B!$B:$Z,25,0),"")</f>
        <v/>
      </c>
      <c r="M323" s="160" t="str">
        <f t="shared" si="62"/>
        <v/>
      </c>
      <c r="N323" s="43"/>
      <c r="O323" s="43"/>
      <c r="P323" s="43"/>
    </row>
    <row r="324" spans="1:16" ht="20.05" customHeight="1" thickBot="1" x14ac:dyDescent="0.3">
      <c r="A324" s="181">
        <v>200</v>
      </c>
      <c r="B324" s="60"/>
      <c r="C324" s="98" t="str">
        <f t="shared" si="59"/>
        <v/>
      </c>
      <c r="D324" s="99" t="str">
        <f t="shared" si="60"/>
        <v/>
      </c>
      <c r="E324" s="61"/>
      <c r="F324" s="62"/>
      <c r="G324" s="107" t="str">
        <f t="shared" si="63"/>
        <v/>
      </c>
      <c r="H324" s="104" t="str">
        <f t="shared" si="61"/>
        <v/>
      </c>
      <c r="I324" s="111" t="str">
        <f t="shared" si="64"/>
        <v/>
      </c>
      <c r="J324" s="100" t="str">
        <f>IF(B324&gt;0,ROUNDUP(VLOOKUP(B324,G011B!$B:$R,16,0),1),"")</f>
        <v/>
      </c>
      <c r="K324" s="100" t="str">
        <f t="shared" si="65"/>
        <v/>
      </c>
      <c r="L324" s="101" t="str">
        <f>IF(B324&lt;&gt;"",VLOOKUP(B324,G011B!$B:$Z,25,0),"")</f>
        <v/>
      </c>
      <c r="M324" s="160" t="str">
        <f t="shared" si="62"/>
        <v/>
      </c>
      <c r="N324" s="43"/>
      <c r="O324" s="43"/>
      <c r="P324" s="43"/>
    </row>
    <row r="325" spans="1:16" ht="20.05" customHeight="1" thickBot="1" x14ac:dyDescent="0.4">
      <c r="A325" s="360" t="s">
        <v>42</v>
      </c>
      <c r="B325" s="361"/>
      <c r="C325" s="361"/>
      <c r="D325" s="361"/>
      <c r="E325" s="361"/>
      <c r="F325" s="362"/>
      <c r="G325" s="108">
        <f>SUM(G305:G324)</f>
        <v>0</v>
      </c>
      <c r="H325" s="202"/>
      <c r="I325" s="93">
        <f>IF(C303=C270,SUM(I305:I324)+I292,SUM(I305:I324))</f>
        <v>0</v>
      </c>
      <c r="J325" s="43"/>
      <c r="K325" s="43"/>
      <c r="L325" s="43"/>
      <c r="M325" s="43"/>
      <c r="N325" s="112">
        <f>IF(COUNTA(B305:B324)&gt;0,1,0)</f>
        <v>0</v>
      </c>
      <c r="O325" s="43"/>
      <c r="P325" s="43"/>
    </row>
    <row r="326" spans="1:16" ht="20.05" customHeight="1" thickBot="1" x14ac:dyDescent="0.35">
      <c r="A326" s="363" t="s">
        <v>80</v>
      </c>
      <c r="B326" s="364"/>
      <c r="C326" s="364"/>
      <c r="D326" s="365"/>
      <c r="E326" s="86">
        <f>SUM(G:G)/2</f>
        <v>0</v>
      </c>
      <c r="F326" s="366"/>
      <c r="G326" s="367"/>
      <c r="H326" s="368"/>
      <c r="I326" s="92">
        <f>SUM(I305:I324)+I293</f>
        <v>0</v>
      </c>
      <c r="J326" s="43"/>
      <c r="K326" s="43"/>
      <c r="L326" s="43"/>
      <c r="M326" s="43"/>
      <c r="N326" s="43"/>
      <c r="O326" s="43"/>
      <c r="P326" s="43"/>
    </row>
    <row r="327" spans="1:16" x14ac:dyDescent="0.25">
      <c r="A327" s="182" t="s">
        <v>118</v>
      </c>
      <c r="B327" s="43"/>
      <c r="C327" s="43"/>
      <c r="D327" s="43"/>
      <c r="E327" s="43"/>
      <c r="F327" s="43"/>
      <c r="G327" s="43"/>
      <c r="H327" s="43"/>
      <c r="I327" s="43"/>
      <c r="J327" s="43"/>
      <c r="K327" s="43"/>
      <c r="L327" s="43"/>
      <c r="M327" s="43"/>
      <c r="N327" s="43"/>
      <c r="O327" s="43"/>
      <c r="P327" s="43"/>
    </row>
    <row r="328" spans="1:16" x14ac:dyDescent="0.25">
      <c r="A328" s="43"/>
      <c r="B328" s="43"/>
      <c r="C328" s="43"/>
      <c r="D328" s="43"/>
      <c r="E328" s="43"/>
      <c r="F328" s="43"/>
      <c r="G328" s="43"/>
      <c r="H328" s="43"/>
      <c r="I328" s="43"/>
      <c r="J328" s="43"/>
      <c r="K328" s="43"/>
      <c r="L328" s="43"/>
      <c r="M328" s="43"/>
      <c r="N328" s="43"/>
      <c r="O328" s="43"/>
      <c r="P328" s="43"/>
    </row>
    <row r="329" spans="1:16" ht="21.1" x14ac:dyDescent="0.35">
      <c r="A329" s="247" t="s">
        <v>39</v>
      </c>
      <c r="B329" s="248">
        <f ca="1">IF(imzatarihi&gt;0,imzatarihi,"")</f>
        <v>45686</v>
      </c>
      <c r="C329" s="251" t="s">
        <v>40</v>
      </c>
      <c r="D329" s="245" t="str">
        <f>IF(kurulusyetkilisi&gt;0,kurulusyetkilisi,"")</f>
        <v/>
      </c>
      <c r="F329" s="247"/>
      <c r="G329" s="247"/>
      <c r="H329" s="163"/>
      <c r="I329" s="163"/>
      <c r="J329" s="43"/>
      <c r="K329" s="73"/>
      <c r="L329" s="73"/>
      <c r="M329" s="5"/>
      <c r="N329" s="73"/>
      <c r="O329" s="73"/>
      <c r="P329" s="43"/>
    </row>
    <row r="330" spans="1:16" ht="19.7" x14ac:dyDescent="0.35">
      <c r="A330" s="249"/>
      <c r="B330" s="249"/>
      <c r="C330" s="251" t="s">
        <v>41</v>
      </c>
      <c r="D330" s="247"/>
      <c r="E330" s="302"/>
      <c r="F330" s="302"/>
      <c r="G330" s="302"/>
      <c r="H330" s="42"/>
      <c r="I330" s="42"/>
      <c r="J330" s="43"/>
      <c r="K330" s="73"/>
      <c r="L330" s="73"/>
      <c r="M330" s="5"/>
      <c r="N330" s="73"/>
      <c r="O330" s="73"/>
      <c r="P330" s="43"/>
    </row>
    <row r="331" spans="1:16" ht="16.3" x14ac:dyDescent="0.3">
      <c r="A331" s="338" t="s">
        <v>73</v>
      </c>
      <c r="B331" s="338"/>
      <c r="C331" s="338"/>
      <c r="D331" s="338"/>
      <c r="E331" s="338"/>
      <c r="F331" s="338"/>
      <c r="G331" s="338"/>
      <c r="H331" s="338"/>
      <c r="I331" s="338"/>
      <c r="J331" s="43"/>
      <c r="K331" s="43"/>
      <c r="L331" s="43"/>
      <c r="M331" s="43"/>
      <c r="N331" s="43"/>
      <c r="O331" s="43"/>
      <c r="P331" s="43"/>
    </row>
    <row r="332" spans="1:16" x14ac:dyDescent="0.25">
      <c r="A332" s="336" t="str">
        <f>IF(YilDonem&lt;&gt;"",CONCATENATE(YilDonem,". döneme aittir."),"")</f>
        <v/>
      </c>
      <c r="B332" s="336"/>
      <c r="C332" s="336"/>
      <c r="D332" s="336"/>
      <c r="E332" s="336"/>
      <c r="F332" s="336"/>
      <c r="G332" s="336"/>
      <c r="H332" s="336"/>
      <c r="I332" s="336"/>
      <c r="J332" s="43"/>
      <c r="K332" s="43"/>
      <c r="L332" s="43"/>
      <c r="M332" s="43"/>
      <c r="N332" s="43"/>
      <c r="O332" s="43"/>
      <c r="P332" s="43"/>
    </row>
    <row r="333" spans="1:16" ht="19.7" thickBot="1" x14ac:dyDescent="0.4">
      <c r="A333" s="372" t="s">
        <v>82</v>
      </c>
      <c r="B333" s="372"/>
      <c r="C333" s="372"/>
      <c r="D333" s="372"/>
      <c r="E333" s="372"/>
      <c r="F333" s="372"/>
      <c r="G333" s="372"/>
      <c r="H333" s="372"/>
      <c r="I333" s="372"/>
      <c r="J333" s="43"/>
      <c r="K333" s="43"/>
      <c r="L333" s="43"/>
      <c r="M333" s="43"/>
      <c r="N333" s="43"/>
      <c r="O333" s="43"/>
      <c r="P333" s="43"/>
    </row>
    <row r="334" spans="1:16" ht="19.55" customHeight="1" thickBot="1" x14ac:dyDescent="0.3">
      <c r="A334" s="341" t="s">
        <v>1</v>
      </c>
      <c r="B334" s="343"/>
      <c r="C334" s="330" t="str">
        <f>IF(ProjeNo&gt;0,ProjeNo,"")</f>
        <v/>
      </c>
      <c r="D334" s="331"/>
      <c r="E334" s="331"/>
      <c r="F334" s="331"/>
      <c r="G334" s="331"/>
      <c r="H334" s="331"/>
      <c r="I334" s="332"/>
      <c r="J334" s="43"/>
      <c r="K334" s="43"/>
      <c r="L334" s="43"/>
      <c r="M334" s="43"/>
      <c r="N334" s="43"/>
      <c r="O334" s="43"/>
      <c r="P334" s="43"/>
    </row>
    <row r="335" spans="1:16" ht="29.25" customHeight="1" thickBot="1" x14ac:dyDescent="0.3">
      <c r="A335" s="371" t="s">
        <v>11</v>
      </c>
      <c r="B335" s="342"/>
      <c r="C335" s="346" t="str">
        <f>IF(ProjeAdi&gt;0,ProjeAdi,"")</f>
        <v/>
      </c>
      <c r="D335" s="347"/>
      <c r="E335" s="347"/>
      <c r="F335" s="347"/>
      <c r="G335" s="347"/>
      <c r="H335" s="347"/>
      <c r="I335" s="348"/>
      <c r="J335" s="43"/>
      <c r="K335" s="43"/>
      <c r="L335" s="43"/>
      <c r="M335" s="43"/>
      <c r="N335" s="43"/>
      <c r="O335" s="43"/>
      <c r="P335" s="43"/>
    </row>
    <row r="336" spans="1:16" ht="19.55" customHeight="1" thickBot="1" x14ac:dyDescent="0.3">
      <c r="A336" s="341" t="s">
        <v>74</v>
      </c>
      <c r="B336" s="343"/>
      <c r="C336" s="9"/>
      <c r="D336" s="369"/>
      <c r="E336" s="369"/>
      <c r="F336" s="369"/>
      <c r="G336" s="369"/>
      <c r="H336" s="369"/>
      <c r="I336" s="370"/>
      <c r="J336" s="43"/>
      <c r="K336" s="43"/>
      <c r="L336" s="43"/>
      <c r="M336" s="43"/>
      <c r="N336" s="43"/>
      <c r="O336" s="43"/>
      <c r="P336" s="43"/>
    </row>
    <row r="337" spans="1:16" s="2" customFormat="1" ht="29.25" thickBot="1" x14ac:dyDescent="0.3">
      <c r="A337" s="176" t="s">
        <v>7</v>
      </c>
      <c r="B337" s="176" t="s">
        <v>8</v>
      </c>
      <c r="C337" s="176" t="s">
        <v>63</v>
      </c>
      <c r="D337" s="176" t="s">
        <v>119</v>
      </c>
      <c r="E337" s="176" t="s">
        <v>75</v>
      </c>
      <c r="F337" s="176" t="s">
        <v>76</v>
      </c>
      <c r="G337" s="176" t="s">
        <v>77</v>
      </c>
      <c r="H337" s="176" t="s">
        <v>78</v>
      </c>
      <c r="I337" s="176" t="s">
        <v>79</v>
      </c>
      <c r="J337" s="177" t="s">
        <v>83</v>
      </c>
      <c r="K337" s="178" t="s">
        <v>84</v>
      </c>
      <c r="L337" s="178" t="s">
        <v>76</v>
      </c>
      <c r="M337" s="169"/>
      <c r="N337" s="169"/>
      <c r="O337" s="169"/>
      <c r="P337" s="169"/>
    </row>
    <row r="338" spans="1:16" ht="20.05" customHeight="1" x14ac:dyDescent="0.25">
      <c r="A338" s="179">
        <v>201</v>
      </c>
      <c r="B338" s="53"/>
      <c r="C338" s="94" t="str">
        <f t="shared" ref="C338:C357" si="66">IF(B338&lt;&gt;"",VLOOKUP(B338,PersonelTablo,2,0),"")</f>
        <v/>
      </c>
      <c r="D338" s="95" t="str">
        <f t="shared" ref="D338:D357" si="67">IF(B338&lt;&gt;"",VLOOKUP(B338,PersonelTablo,3,0),"")</f>
        <v/>
      </c>
      <c r="E338" s="54"/>
      <c r="F338" s="55"/>
      <c r="G338" s="105" t="str">
        <f>IF(AND(B338&lt;&gt;"",L338&gt;=F338),E338*F338,"")</f>
        <v/>
      </c>
      <c r="H338" s="102" t="str">
        <f t="shared" ref="H338:H357" si="68">IF(B338&lt;&gt;"",VLOOKUP(B338,G011CTablo,14,0),"")</f>
        <v/>
      </c>
      <c r="I338" s="109" t="str">
        <f>IF(AND(B338&lt;&gt;"",J338&gt;=K338,L338&gt;0),G338*H338,"")</f>
        <v/>
      </c>
      <c r="J338" s="100" t="str">
        <f>IF(B338&gt;0,ROUNDUP(VLOOKUP(B338,G011B!$B:$R,16,0),1),"")</f>
        <v/>
      </c>
      <c r="K338" s="100" t="str">
        <f>IF(B338&gt;0,SUMIF($B:$B,B338,$G:$G),"")</f>
        <v/>
      </c>
      <c r="L338" s="101" t="str">
        <f>IF(B338&lt;&gt;"",VLOOKUP(B338,G011B!$B:$Z,25,0),"")</f>
        <v/>
      </c>
      <c r="M338" s="160" t="str">
        <f t="shared" ref="M338:M357" si="69">IF(J338&gt;=K338,"","Personelin bütün iş paketlerindeki Toplam Adam Ay değeri "&amp;K338&amp;" olup, bu değer, G011B formunda beyan edilen Çalışılan Toplam Ay değerini geçemez. Maliyeti hesaplamak için Adam/Ay Oranı veya Çalışılan Ay değerini düzeltiniz. ")</f>
        <v/>
      </c>
      <c r="N338" s="43"/>
      <c r="O338" s="43"/>
      <c r="P338" s="43"/>
    </row>
    <row r="339" spans="1:16" ht="20.05" customHeight="1" x14ac:dyDescent="0.25">
      <c r="A339" s="180">
        <v>202</v>
      </c>
      <c r="B339" s="57"/>
      <c r="C339" s="96" t="str">
        <f t="shared" si="66"/>
        <v/>
      </c>
      <c r="D339" s="97" t="str">
        <f t="shared" si="67"/>
        <v/>
      </c>
      <c r="E339" s="58"/>
      <c r="F339" s="59"/>
      <c r="G339" s="106" t="str">
        <f t="shared" ref="G339:G357" si="70">IF(AND(B339&lt;&gt;"",L339&gt;=F339),E339*F339,"")</f>
        <v/>
      </c>
      <c r="H339" s="103" t="str">
        <f t="shared" si="68"/>
        <v/>
      </c>
      <c r="I339" s="110" t="str">
        <f t="shared" ref="I339:I357" si="71">IF(AND(B339&lt;&gt;"",J339&gt;=K339,L339&gt;0),G339*H339,"")</f>
        <v/>
      </c>
      <c r="J339" s="100" t="str">
        <f>IF(B339&gt;0,ROUNDUP(VLOOKUP(B339,G011B!$B:$R,16,0),1),"")</f>
        <v/>
      </c>
      <c r="K339" s="100" t="str">
        <f t="shared" ref="K339:K357" si="72">IF(B339&gt;0,SUMIF($B:$B,B339,$G:$G),"")</f>
        <v/>
      </c>
      <c r="L339" s="101" t="str">
        <f>IF(B339&lt;&gt;"",VLOOKUP(B339,G011B!$B:$Z,25,0),"")</f>
        <v/>
      </c>
      <c r="M339" s="160" t="str">
        <f t="shared" si="69"/>
        <v/>
      </c>
      <c r="N339" s="43"/>
      <c r="O339" s="43"/>
      <c r="P339" s="43"/>
    </row>
    <row r="340" spans="1:16" ht="20.05" customHeight="1" x14ac:dyDescent="0.25">
      <c r="A340" s="180">
        <v>203</v>
      </c>
      <c r="B340" s="57"/>
      <c r="C340" s="96" t="str">
        <f t="shared" si="66"/>
        <v/>
      </c>
      <c r="D340" s="97" t="str">
        <f t="shared" si="67"/>
        <v/>
      </c>
      <c r="E340" s="58"/>
      <c r="F340" s="59"/>
      <c r="G340" s="106" t="str">
        <f t="shared" si="70"/>
        <v/>
      </c>
      <c r="H340" s="103" t="str">
        <f t="shared" si="68"/>
        <v/>
      </c>
      <c r="I340" s="110" t="str">
        <f t="shared" si="71"/>
        <v/>
      </c>
      <c r="J340" s="100" t="str">
        <f>IF(B340&gt;0,ROUNDUP(VLOOKUP(B340,G011B!$B:$R,16,0),1),"")</f>
        <v/>
      </c>
      <c r="K340" s="100" t="str">
        <f t="shared" si="72"/>
        <v/>
      </c>
      <c r="L340" s="101" t="str">
        <f>IF(B340&lt;&gt;"",VLOOKUP(B340,G011B!$B:$Z,25,0),"")</f>
        <v/>
      </c>
      <c r="M340" s="160" t="str">
        <f t="shared" si="69"/>
        <v/>
      </c>
      <c r="N340" s="43"/>
      <c r="O340" s="43"/>
      <c r="P340" s="43"/>
    </row>
    <row r="341" spans="1:16" ht="20.05" customHeight="1" x14ac:dyDescent="0.25">
      <c r="A341" s="180">
        <v>204</v>
      </c>
      <c r="B341" s="57"/>
      <c r="C341" s="96" t="str">
        <f t="shared" si="66"/>
        <v/>
      </c>
      <c r="D341" s="97" t="str">
        <f t="shared" si="67"/>
        <v/>
      </c>
      <c r="E341" s="58"/>
      <c r="F341" s="59"/>
      <c r="G341" s="106" t="str">
        <f t="shared" si="70"/>
        <v/>
      </c>
      <c r="H341" s="103" t="str">
        <f t="shared" si="68"/>
        <v/>
      </c>
      <c r="I341" s="110" t="str">
        <f t="shared" si="71"/>
        <v/>
      </c>
      <c r="J341" s="100" t="str">
        <f>IF(B341&gt;0,ROUNDUP(VLOOKUP(B341,G011B!$B:$R,16,0),1),"")</f>
        <v/>
      </c>
      <c r="K341" s="100" t="str">
        <f t="shared" si="72"/>
        <v/>
      </c>
      <c r="L341" s="101" t="str">
        <f>IF(B341&lt;&gt;"",VLOOKUP(B341,G011B!$B:$Z,25,0),"")</f>
        <v/>
      </c>
      <c r="M341" s="160" t="str">
        <f t="shared" si="69"/>
        <v/>
      </c>
      <c r="N341" s="43"/>
      <c r="O341" s="43"/>
      <c r="P341" s="43"/>
    </row>
    <row r="342" spans="1:16" ht="20.05" customHeight="1" x14ac:dyDescent="0.25">
      <c r="A342" s="180">
        <v>205</v>
      </c>
      <c r="B342" s="57"/>
      <c r="C342" s="96" t="str">
        <f t="shared" si="66"/>
        <v/>
      </c>
      <c r="D342" s="97" t="str">
        <f t="shared" si="67"/>
        <v/>
      </c>
      <c r="E342" s="58"/>
      <c r="F342" s="59"/>
      <c r="G342" s="106" t="str">
        <f t="shared" si="70"/>
        <v/>
      </c>
      <c r="H342" s="103" t="str">
        <f t="shared" si="68"/>
        <v/>
      </c>
      <c r="I342" s="110" t="str">
        <f t="shared" si="71"/>
        <v/>
      </c>
      <c r="J342" s="100" t="str">
        <f>IF(B342&gt;0,ROUNDUP(VLOOKUP(B342,G011B!$B:$R,16,0),1),"")</f>
        <v/>
      </c>
      <c r="K342" s="100" t="str">
        <f t="shared" si="72"/>
        <v/>
      </c>
      <c r="L342" s="101" t="str">
        <f>IF(B342&lt;&gt;"",VLOOKUP(B342,G011B!$B:$Z,25,0),"")</f>
        <v/>
      </c>
      <c r="M342" s="160" t="str">
        <f t="shared" si="69"/>
        <v/>
      </c>
      <c r="N342" s="43"/>
      <c r="O342" s="43"/>
      <c r="P342" s="43"/>
    </row>
    <row r="343" spans="1:16" ht="20.05" customHeight="1" x14ac:dyDescent="0.25">
      <c r="A343" s="180">
        <v>206</v>
      </c>
      <c r="B343" s="57"/>
      <c r="C343" s="96" t="str">
        <f t="shared" si="66"/>
        <v/>
      </c>
      <c r="D343" s="97" t="str">
        <f t="shared" si="67"/>
        <v/>
      </c>
      <c r="E343" s="58"/>
      <c r="F343" s="59"/>
      <c r="G343" s="106" t="str">
        <f t="shared" si="70"/>
        <v/>
      </c>
      <c r="H343" s="103" t="str">
        <f t="shared" si="68"/>
        <v/>
      </c>
      <c r="I343" s="110" t="str">
        <f t="shared" si="71"/>
        <v/>
      </c>
      <c r="J343" s="100" t="str">
        <f>IF(B343&gt;0,ROUNDUP(VLOOKUP(B343,G011B!$B:$R,16,0),1),"")</f>
        <v/>
      </c>
      <c r="K343" s="100" t="str">
        <f t="shared" si="72"/>
        <v/>
      </c>
      <c r="L343" s="101" t="str">
        <f>IF(B343&lt;&gt;"",VLOOKUP(B343,G011B!$B:$Z,25,0),"")</f>
        <v/>
      </c>
      <c r="M343" s="160" t="str">
        <f t="shared" si="69"/>
        <v/>
      </c>
      <c r="N343" s="43"/>
      <c r="O343" s="43"/>
      <c r="P343" s="43"/>
    </row>
    <row r="344" spans="1:16" ht="20.05" customHeight="1" x14ac:dyDescent="0.25">
      <c r="A344" s="180">
        <v>207</v>
      </c>
      <c r="B344" s="57"/>
      <c r="C344" s="96" t="str">
        <f t="shared" si="66"/>
        <v/>
      </c>
      <c r="D344" s="97" t="str">
        <f t="shared" si="67"/>
        <v/>
      </c>
      <c r="E344" s="58"/>
      <c r="F344" s="59"/>
      <c r="G344" s="106" t="str">
        <f t="shared" si="70"/>
        <v/>
      </c>
      <c r="H344" s="103" t="str">
        <f t="shared" si="68"/>
        <v/>
      </c>
      <c r="I344" s="110" t="str">
        <f t="shared" si="71"/>
        <v/>
      </c>
      <c r="J344" s="100" t="str">
        <f>IF(B344&gt;0,ROUNDUP(VLOOKUP(B344,G011B!$B:$R,16,0),1),"")</f>
        <v/>
      </c>
      <c r="K344" s="100" t="str">
        <f t="shared" si="72"/>
        <v/>
      </c>
      <c r="L344" s="101" t="str">
        <f>IF(B344&lt;&gt;"",VLOOKUP(B344,G011B!$B:$Z,25,0),"")</f>
        <v/>
      </c>
      <c r="M344" s="160" t="str">
        <f t="shared" si="69"/>
        <v/>
      </c>
      <c r="N344" s="43"/>
      <c r="O344" s="43"/>
      <c r="P344" s="43"/>
    </row>
    <row r="345" spans="1:16" ht="20.05" customHeight="1" x14ac:dyDescent="0.25">
      <c r="A345" s="180">
        <v>208</v>
      </c>
      <c r="B345" s="57"/>
      <c r="C345" s="96" t="str">
        <f t="shared" si="66"/>
        <v/>
      </c>
      <c r="D345" s="97" t="str">
        <f t="shared" si="67"/>
        <v/>
      </c>
      <c r="E345" s="58"/>
      <c r="F345" s="59"/>
      <c r="G345" s="106" t="str">
        <f t="shared" si="70"/>
        <v/>
      </c>
      <c r="H345" s="103" t="str">
        <f t="shared" si="68"/>
        <v/>
      </c>
      <c r="I345" s="110" t="str">
        <f t="shared" si="71"/>
        <v/>
      </c>
      <c r="J345" s="100" t="str">
        <f>IF(B345&gt;0,ROUNDUP(VLOOKUP(B345,G011B!$B:$R,16,0),1),"")</f>
        <v/>
      </c>
      <c r="K345" s="100" t="str">
        <f t="shared" si="72"/>
        <v/>
      </c>
      <c r="L345" s="101" t="str">
        <f>IF(B345&lt;&gt;"",VLOOKUP(B345,G011B!$B:$Z,25,0),"")</f>
        <v/>
      </c>
      <c r="M345" s="160" t="str">
        <f t="shared" si="69"/>
        <v/>
      </c>
      <c r="N345" s="43"/>
      <c r="O345" s="43"/>
      <c r="P345" s="43"/>
    </row>
    <row r="346" spans="1:16" ht="20.05" customHeight="1" x14ac:dyDescent="0.25">
      <c r="A346" s="180">
        <v>209</v>
      </c>
      <c r="B346" s="57"/>
      <c r="C346" s="96" t="str">
        <f t="shared" si="66"/>
        <v/>
      </c>
      <c r="D346" s="97" t="str">
        <f t="shared" si="67"/>
        <v/>
      </c>
      <c r="E346" s="58"/>
      <c r="F346" s="59"/>
      <c r="G346" s="106" t="str">
        <f t="shared" si="70"/>
        <v/>
      </c>
      <c r="H346" s="103" t="str">
        <f t="shared" si="68"/>
        <v/>
      </c>
      <c r="I346" s="110" t="str">
        <f t="shared" si="71"/>
        <v/>
      </c>
      <c r="J346" s="100" t="str">
        <f>IF(B346&gt;0,ROUNDUP(VLOOKUP(B346,G011B!$B:$R,16,0),1),"")</f>
        <v/>
      </c>
      <c r="K346" s="100" t="str">
        <f t="shared" si="72"/>
        <v/>
      </c>
      <c r="L346" s="101" t="str">
        <f>IF(B346&lt;&gt;"",VLOOKUP(B346,G011B!$B:$Z,25,0),"")</f>
        <v/>
      </c>
      <c r="M346" s="160" t="str">
        <f t="shared" si="69"/>
        <v/>
      </c>
      <c r="N346" s="43"/>
      <c r="O346" s="43"/>
      <c r="P346" s="43"/>
    </row>
    <row r="347" spans="1:16" ht="20.05" customHeight="1" x14ac:dyDescent="0.25">
      <c r="A347" s="180">
        <v>210</v>
      </c>
      <c r="B347" s="57"/>
      <c r="C347" s="96" t="str">
        <f t="shared" si="66"/>
        <v/>
      </c>
      <c r="D347" s="97" t="str">
        <f t="shared" si="67"/>
        <v/>
      </c>
      <c r="E347" s="58"/>
      <c r="F347" s="59"/>
      <c r="G347" s="106" t="str">
        <f t="shared" si="70"/>
        <v/>
      </c>
      <c r="H347" s="103" t="str">
        <f t="shared" si="68"/>
        <v/>
      </c>
      <c r="I347" s="110" t="str">
        <f t="shared" si="71"/>
        <v/>
      </c>
      <c r="J347" s="100" t="str">
        <f>IF(B347&gt;0,ROUNDUP(VLOOKUP(B347,G011B!$B:$R,16,0),1),"")</f>
        <v/>
      </c>
      <c r="K347" s="100" t="str">
        <f t="shared" si="72"/>
        <v/>
      </c>
      <c r="L347" s="101" t="str">
        <f>IF(B347&lt;&gt;"",VLOOKUP(B347,G011B!$B:$Z,25,0),"")</f>
        <v/>
      </c>
      <c r="M347" s="160" t="str">
        <f t="shared" si="69"/>
        <v/>
      </c>
      <c r="N347" s="43"/>
      <c r="O347" s="43"/>
      <c r="P347" s="43"/>
    </row>
    <row r="348" spans="1:16" ht="20.05" customHeight="1" x14ac:dyDescent="0.25">
      <c r="A348" s="180">
        <v>211</v>
      </c>
      <c r="B348" s="57"/>
      <c r="C348" s="96" t="str">
        <f t="shared" si="66"/>
        <v/>
      </c>
      <c r="D348" s="97" t="str">
        <f t="shared" si="67"/>
        <v/>
      </c>
      <c r="E348" s="58"/>
      <c r="F348" s="59"/>
      <c r="G348" s="106" t="str">
        <f t="shared" si="70"/>
        <v/>
      </c>
      <c r="H348" s="103" t="str">
        <f t="shared" si="68"/>
        <v/>
      </c>
      <c r="I348" s="110" t="str">
        <f t="shared" si="71"/>
        <v/>
      </c>
      <c r="J348" s="100" t="str">
        <f>IF(B348&gt;0,ROUNDUP(VLOOKUP(B348,G011B!$B:$R,16,0),1),"")</f>
        <v/>
      </c>
      <c r="K348" s="100" t="str">
        <f t="shared" si="72"/>
        <v/>
      </c>
      <c r="L348" s="101" t="str">
        <f>IF(B348&lt;&gt;"",VLOOKUP(B348,G011B!$B:$Z,25,0),"")</f>
        <v/>
      </c>
      <c r="M348" s="160" t="str">
        <f t="shared" si="69"/>
        <v/>
      </c>
      <c r="N348" s="43"/>
      <c r="O348" s="43"/>
      <c r="P348" s="43"/>
    </row>
    <row r="349" spans="1:16" ht="20.05" customHeight="1" x14ac:dyDescent="0.25">
      <c r="A349" s="180">
        <v>212</v>
      </c>
      <c r="B349" s="57"/>
      <c r="C349" s="96" t="str">
        <f t="shared" si="66"/>
        <v/>
      </c>
      <c r="D349" s="97" t="str">
        <f t="shared" si="67"/>
        <v/>
      </c>
      <c r="E349" s="58"/>
      <c r="F349" s="59"/>
      <c r="G349" s="106" t="str">
        <f t="shared" si="70"/>
        <v/>
      </c>
      <c r="H349" s="103" t="str">
        <f t="shared" si="68"/>
        <v/>
      </c>
      <c r="I349" s="110" t="str">
        <f t="shared" si="71"/>
        <v/>
      </c>
      <c r="J349" s="100" t="str">
        <f>IF(B349&gt;0,ROUNDUP(VLOOKUP(B349,G011B!$B:$R,16,0),1),"")</f>
        <v/>
      </c>
      <c r="K349" s="100" t="str">
        <f t="shared" si="72"/>
        <v/>
      </c>
      <c r="L349" s="101" t="str">
        <f>IF(B349&lt;&gt;"",VLOOKUP(B349,G011B!$B:$Z,25,0),"")</f>
        <v/>
      </c>
      <c r="M349" s="160" t="str">
        <f t="shared" si="69"/>
        <v/>
      </c>
      <c r="N349" s="43"/>
      <c r="O349" s="43"/>
      <c r="P349" s="43"/>
    </row>
    <row r="350" spans="1:16" ht="20.05" customHeight="1" x14ac:dyDescent="0.25">
      <c r="A350" s="180">
        <v>213</v>
      </c>
      <c r="B350" s="57"/>
      <c r="C350" s="96" t="str">
        <f t="shared" si="66"/>
        <v/>
      </c>
      <c r="D350" s="97" t="str">
        <f t="shared" si="67"/>
        <v/>
      </c>
      <c r="E350" s="58"/>
      <c r="F350" s="59"/>
      <c r="G350" s="106" t="str">
        <f t="shared" si="70"/>
        <v/>
      </c>
      <c r="H350" s="103" t="str">
        <f t="shared" si="68"/>
        <v/>
      </c>
      <c r="I350" s="110" t="str">
        <f t="shared" si="71"/>
        <v/>
      </c>
      <c r="J350" s="100" t="str">
        <f>IF(B350&gt;0,ROUNDUP(VLOOKUP(B350,G011B!$B:$R,16,0),1),"")</f>
        <v/>
      </c>
      <c r="K350" s="100" t="str">
        <f t="shared" si="72"/>
        <v/>
      </c>
      <c r="L350" s="101" t="str">
        <f>IF(B350&lt;&gt;"",VLOOKUP(B350,G011B!$B:$Z,25,0),"")</f>
        <v/>
      </c>
      <c r="M350" s="160" t="str">
        <f t="shared" si="69"/>
        <v/>
      </c>
      <c r="N350" s="43"/>
      <c r="O350" s="43"/>
      <c r="P350" s="43"/>
    </row>
    <row r="351" spans="1:16" ht="20.05" customHeight="1" x14ac:dyDescent="0.25">
      <c r="A351" s="180">
        <v>214</v>
      </c>
      <c r="B351" s="57"/>
      <c r="C351" s="96" t="str">
        <f t="shared" si="66"/>
        <v/>
      </c>
      <c r="D351" s="97" t="str">
        <f t="shared" si="67"/>
        <v/>
      </c>
      <c r="E351" s="58"/>
      <c r="F351" s="59"/>
      <c r="G351" s="106" t="str">
        <f t="shared" si="70"/>
        <v/>
      </c>
      <c r="H351" s="103" t="str">
        <f t="shared" si="68"/>
        <v/>
      </c>
      <c r="I351" s="110" t="str">
        <f t="shared" si="71"/>
        <v/>
      </c>
      <c r="J351" s="100" t="str">
        <f>IF(B351&gt;0,ROUNDUP(VLOOKUP(B351,G011B!$B:$R,16,0),1),"")</f>
        <v/>
      </c>
      <c r="K351" s="100" t="str">
        <f t="shared" si="72"/>
        <v/>
      </c>
      <c r="L351" s="101" t="str">
        <f>IF(B351&lt;&gt;"",VLOOKUP(B351,G011B!$B:$Z,25,0),"")</f>
        <v/>
      </c>
      <c r="M351" s="160" t="str">
        <f t="shared" si="69"/>
        <v/>
      </c>
      <c r="N351" s="43"/>
      <c r="O351" s="43"/>
      <c r="P351" s="43"/>
    </row>
    <row r="352" spans="1:16" ht="20.05" customHeight="1" x14ac:dyDescent="0.25">
      <c r="A352" s="180">
        <v>215</v>
      </c>
      <c r="B352" s="57"/>
      <c r="C352" s="96" t="str">
        <f t="shared" si="66"/>
        <v/>
      </c>
      <c r="D352" s="97" t="str">
        <f t="shared" si="67"/>
        <v/>
      </c>
      <c r="E352" s="58"/>
      <c r="F352" s="59"/>
      <c r="G352" s="106" t="str">
        <f t="shared" si="70"/>
        <v/>
      </c>
      <c r="H352" s="103" t="str">
        <f t="shared" si="68"/>
        <v/>
      </c>
      <c r="I352" s="110" t="str">
        <f t="shared" si="71"/>
        <v/>
      </c>
      <c r="J352" s="100" t="str">
        <f>IF(B352&gt;0,ROUNDUP(VLOOKUP(B352,G011B!$B:$R,16,0),1),"")</f>
        <v/>
      </c>
      <c r="K352" s="100" t="str">
        <f t="shared" si="72"/>
        <v/>
      </c>
      <c r="L352" s="101" t="str">
        <f>IF(B352&lt;&gt;"",VLOOKUP(B352,G011B!$B:$Z,25,0),"")</f>
        <v/>
      </c>
      <c r="M352" s="160" t="str">
        <f t="shared" si="69"/>
        <v/>
      </c>
      <c r="N352" s="43"/>
      <c r="O352" s="43"/>
      <c r="P352" s="43"/>
    </row>
    <row r="353" spans="1:16" ht="20.05" customHeight="1" x14ac:dyDescent="0.25">
      <c r="A353" s="180">
        <v>216</v>
      </c>
      <c r="B353" s="57"/>
      <c r="C353" s="96" t="str">
        <f t="shared" si="66"/>
        <v/>
      </c>
      <c r="D353" s="97" t="str">
        <f t="shared" si="67"/>
        <v/>
      </c>
      <c r="E353" s="58"/>
      <c r="F353" s="59"/>
      <c r="G353" s="106" t="str">
        <f t="shared" si="70"/>
        <v/>
      </c>
      <c r="H353" s="103" t="str">
        <f t="shared" si="68"/>
        <v/>
      </c>
      <c r="I353" s="110" t="str">
        <f t="shared" si="71"/>
        <v/>
      </c>
      <c r="J353" s="100" t="str">
        <f>IF(B353&gt;0,ROUNDUP(VLOOKUP(B353,G011B!$B:$R,16,0),1),"")</f>
        <v/>
      </c>
      <c r="K353" s="100" t="str">
        <f t="shared" si="72"/>
        <v/>
      </c>
      <c r="L353" s="101" t="str">
        <f>IF(B353&lt;&gt;"",VLOOKUP(B353,G011B!$B:$Z,25,0),"")</f>
        <v/>
      </c>
      <c r="M353" s="160" t="str">
        <f t="shared" si="69"/>
        <v/>
      </c>
      <c r="N353" s="43"/>
      <c r="O353" s="43"/>
      <c r="P353" s="43"/>
    </row>
    <row r="354" spans="1:16" ht="20.05" customHeight="1" x14ac:dyDescent="0.25">
      <c r="A354" s="180">
        <v>217</v>
      </c>
      <c r="B354" s="57"/>
      <c r="C354" s="96" t="str">
        <f t="shared" si="66"/>
        <v/>
      </c>
      <c r="D354" s="97" t="str">
        <f t="shared" si="67"/>
        <v/>
      </c>
      <c r="E354" s="58"/>
      <c r="F354" s="59"/>
      <c r="G354" s="106" t="str">
        <f t="shared" si="70"/>
        <v/>
      </c>
      <c r="H354" s="103" t="str">
        <f t="shared" si="68"/>
        <v/>
      </c>
      <c r="I354" s="110" t="str">
        <f t="shared" si="71"/>
        <v/>
      </c>
      <c r="J354" s="100" t="str">
        <f>IF(B354&gt;0,ROUNDUP(VLOOKUP(B354,G011B!$B:$R,16,0),1),"")</f>
        <v/>
      </c>
      <c r="K354" s="100" t="str">
        <f t="shared" si="72"/>
        <v/>
      </c>
      <c r="L354" s="101" t="str">
        <f>IF(B354&lt;&gt;"",VLOOKUP(B354,G011B!$B:$Z,25,0),"")</f>
        <v/>
      </c>
      <c r="M354" s="160" t="str">
        <f t="shared" si="69"/>
        <v/>
      </c>
      <c r="N354" s="43"/>
      <c r="O354" s="43"/>
      <c r="P354" s="43"/>
    </row>
    <row r="355" spans="1:16" ht="20.05" customHeight="1" x14ac:dyDescent="0.25">
      <c r="A355" s="180">
        <v>218</v>
      </c>
      <c r="B355" s="57"/>
      <c r="C355" s="96" t="str">
        <f t="shared" si="66"/>
        <v/>
      </c>
      <c r="D355" s="97" t="str">
        <f t="shared" si="67"/>
        <v/>
      </c>
      <c r="E355" s="58"/>
      <c r="F355" s="59"/>
      <c r="G355" s="106" t="str">
        <f t="shared" si="70"/>
        <v/>
      </c>
      <c r="H355" s="103" t="str">
        <f t="shared" si="68"/>
        <v/>
      </c>
      <c r="I355" s="110" t="str">
        <f t="shared" si="71"/>
        <v/>
      </c>
      <c r="J355" s="100" t="str">
        <f>IF(B355&gt;0,ROUNDUP(VLOOKUP(B355,G011B!$B:$R,16,0),1),"")</f>
        <v/>
      </c>
      <c r="K355" s="100" t="str">
        <f t="shared" si="72"/>
        <v/>
      </c>
      <c r="L355" s="101" t="str">
        <f>IF(B355&lt;&gt;"",VLOOKUP(B355,G011B!$B:$Z,25,0),"")</f>
        <v/>
      </c>
      <c r="M355" s="160" t="str">
        <f t="shared" si="69"/>
        <v/>
      </c>
      <c r="N355" s="43"/>
      <c r="O355" s="43"/>
      <c r="P355" s="43"/>
    </row>
    <row r="356" spans="1:16" ht="20.05" customHeight="1" x14ac:dyDescent="0.25">
      <c r="A356" s="180">
        <v>219</v>
      </c>
      <c r="B356" s="57"/>
      <c r="C356" s="96" t="str">
        <f t="shared" si="66"/>
        <v/>
      </c>
      <c r="D356" s="97" t="str">
        <f t="shared" si="67"/>
        <v/>
      </c>
      <c r="E356" s="58"/>
      <c r="F356" s="59"/>
      <c r="G356" s="106" t="str">
        <f t="shared" si="70"/>
        <v/>
      </c>
      <c r="H356" s="103" t="str">
        <f t="shared" si="68"/>
        <v/>
      </c>
      <c r="I356" s="110" t="str">
        <f t="shared" si="71"/>
        <v/>
      </c>
      <c r="J356" s="100" t="str">
        <f>IF(B356&gt;0,ROUNDUP(VLOOKUP(B356,G011B!$B:$R,16,0),1),"")</f>
        <v/>
      </c>
      <c r="K356" s="100" t="str">
        <f t="shared" si="72"/>
        <v/>
      </c>
      <c r="L356" s="101" t="str">
        <f>IF(B356&lt;&gt;"",VLOOKUP(B356,G011B!$B:$Z,25,0),"")</f>
        <v/>
      </c>
      <c r="M356" s="160" t="str">
        <f t="shared" si="69"/>
        <v/>
      </c>
      <c r="N356" s="43"/>
      <c r="O356" s="43"/>
      <c r="P356" s="43"/>
    </row>
    <row r="357" spans="1:16" ht="20.05" customHeight="1" thickBot="1" x14ac:dyDescent="0.3">
      <c r="A357" s="181">
        <v>220</v>
      </c>
      <c r="B357" s="60"/>
      <c r="C357" s="98" t="str">
        <f t="shared" si="66"/>
        <v/>
      </c>
      <c r="D357" s="99" t="str">
        <f t="shared" si="67"/>
        <v/>
      </c>
      <c r="E357" s="61"/>
      <c r="F357" s="62"/>
      <c r="G357" s="107" t="str">
        <f t="shared" si="70"/>
        <v/>
      </c>
      <c r="H357" s="104" t="str">
        <f t="shared" si="68"/>
        <v/>
      </c>
      <c r="I357" s="111" t="str">
        <f t="shared" si="71"/>
        <v/>
      </c>
      <c r="J357" s="100" t="str">
        <f>IF(B357&gt;0,ROUNDUP(VLOOKUP(B357,G011B!$B:$R,16,0),1),"")</f>
        <v/>
      </c>
      <c r="K357" s="100" t="str">
        <f t="shared" si="72"/>
        <v/>
      </c>
      <c r="L357" s="101" t="str">
        <f>IF(B357&lt;&gt;"",VLOOKUP(B357,G011B!$B:$Z,25,0),"")</f>
        <v/>
      </c>
      <c r="M357" s="160" t="str">
        <f t="shared" si="69"/>
        <v/>
      </c>
      <c r="N357" s="43"/>
      <c r="O357" s="43"/>
      <c r="P357" s="43"/>
    </row>
    <row r="358" spans="1:16" ht="20.05" customHeight="1" thickBot="1" x14ac:dyDescent="0.4">
      <c r="A358" s="360" t="s">
        <v>42</v>
      </c>
      <c r="B358" s="361"/>
      <c r="C358" s="361"/>
      <c r="D358" s="361"/>
      <c r="E358" s="361"/>
      <c r="F358" s="362"/>
      <c r="G358" s="108">
        <f>SUM(G338:G357)</f>
        <v>0</v>
      </c>
      <c r="H358" s="202"/>
      <c r="I358" s="93">
        <f>IF(C336=C303,SUM(I338:I357)+I325,SUM(I338:I357))</f>
        <v>0</v>
      </c>
      <c r="J358" s="43"/>
      <c r="K358" s="43"/>
      <c r="L358" s="43"/>
      <c r="M358" s="43"/>
      <c r="N358" s="112">
        <f>IF(COUNTA(B338:B357)&gt;0,1,0)</f>
        <v>0</v>
      </c>
      <c r="O358" s="43"/>
      <c r="P358" s="43"/>
    </row>
    <row r="359" spans="1:16" ht="20.05" customHeight="1" thickBot="1" x14ac:dyDescent="0.35">
      <c r="A359" s="363" t="s">
        <v>80</v>
      </c>
      <c r="B359" s="364"/>
      <c r="C359" s="364"/>
      <c r="D359" s="365"/>
      <c r="E359" s="86">
        <f>SUM(G:G)/2</f>
        <v>0</v>
      </c>
      <c r="F359" s="366"/>
      <c r="G359" s="367"/>
      <c r="H359" s="368"/>
      <c r="I359" s="92">
        <f>SUM(I338:I357)+I326</f>
        <v>0</v>
      </c>
      <c r="J359" s="43"/>
      <c r="K359" s="43"/>
      <c r="L359" s="43"/>
      <c r="M359" s="43"/>
      <c r="N359" s="43"/>
      <c r="O359" s="43"/>
      <c r="P359" s="43"/>
    </row>
    <row r="360" spans="1:16" x14ac:dyDescent="0.25">
      <c r="A360" s="182" t="s">
        <v>118</v>
      </c>
      <c r="B360" s="43"/>
      <c r="C360" s="43"/>
      <c r="D360" s="43"/>
      <c r="E360" s="43"/>
      <c r="F360" s="43"/>
      <c r="G360" s="43"/>
      <c r="H360" s="43"/>
      <c r="I360" s="43"/>
      <c r="J360" s="43"/>
      <c r="K360" s="43"/>
      <c r="L360" s="43"/>
      <c r="M360" s="43"/>
      <c r="N360" s="43"/>
      <c r="O360" s="43"/>
      <c r="P360" s="43"/>
    </row>
    <row r="361" spans="1:16" x14ac:dyDescent="0.25">
      <c r="A361" s="43"/>
      <c r="B361" s="43"/>
      <c r="C361" s="43"/>
      <c r="D361" s="43"/>
      <c r="E361" s="43"/>
      <c r="F361" s="43"/>
      <c r="G361" s="43"/>
      <c r="H361" s="43"/>
      <c r="I361" s="43"/>
      <c r="J361" s="43"/>
      <c r="K361" s="43"/>
      <c r="L361" s="43"/>
      <c r="M361" s="43"/>
      <c r="N361" s="43"/>
      <c r="O361" s="43"/>
      <c r="P361" s="43"/>
    </row>
    <row r="362" spans="1:16" ht="21.1" x14ac:dyDescent="0.35">
      <c r="A362" s="247" t="s">
        <v>39</v>
      </c>
      <c r="B362" s="248">
        <f ca="1">IF(imzatarihi&gt;0,imzatarihi,"")</f>
        <v>45686</v>
      </c>
      <c r="C362" s="251" t="s">
        <v>40</v>
      </c>
      <c r="D362" s="245" t="str">
        <f>IF(kurulusyetkilisi&gt;0,kurulusyetkilisi,"")</f>
        <v/>
      </c>
      <c r="F362" s="247"/>
      <c r="G362" s="247"/>
      <c r="H362" s="163"/>
      <c r="I362" s="163"/>
      <c r="J362" s="43"/>
      <c r="K362" s="73"/>
      <c r="L362" s="73"/>
      <c r="M362" s="5"/>
      <c r="N362" s="73"/>
      <c r="O362" s="73"/>
      <c r="P362" s="43"/>
    </row>
    <row r="363" spans="1:16" ht="19.7" x14ac:dyDescent="0.35">
      <c r="A363" s="249"/>
      <c r="B363" s="249"/>
      <c r="C363" s="251" t="s">
        <v>41</v>
      </c>
      <c r="D363" s="247"/>
      <c r="E363" s="302"/>
      <c r="F363" s="302"/>
      <c r="G363" s="302"/>
      <c r="H363" s="42"/>
      <c r="I363" s="42"/>
      <c r="J363" s="43"/>
      <c r="K363" s="73"/>
      <c r="L363" s="73"/>
      <c r="M363" s="5"/>
      <c r="N363" s="73"/>
      <c r="O363" s="73"/>
      <c r="P363" s="43"/>
    </row>
    <row r="364" spans="1:16" ht="16.3" x14ac:dyDescent="0.3">
      <c r="A364" s="338" t="s">
        <v>73</v>
      </c>
      <c r="B364" s="338"/>
      <c r="C364" s="338"/>
      <c r="D364" s="338"/>
      <c r="E364" s="338"/>
      <c r="F364" s="338"/>
      <c r="G364" s="338"/>
      <c r="H364" s="338"/>
      <c r="I364" s="338"/>
      <c r="J364" s="43"/>
      <c r="K364" s="43"/>
      <c r="L364" s="43"/>
      <c r="M364" s="43"/>
      <c r="N364" s="43"/>
      <c r="O364" s="43"/>
      <c r="P364" s="43"/>
    </row>
    <row r="365" spans="1:16" x14ac:dyDescent="0.25">
      <c r="A365" s="336" t="str">
        <f>IF(YilDonem&lt;&gt;"",CONCATENATE(YilDonem,". döneme aittir."),"")</f>
        <v/>
      </c>
      <c r="B365" s="336"/>
      <c r="C365" s="336"/>
      <c r="D365" s="336"/>
      <c r="E365" s="336"/>
      <c r="F365" s="336"/>
      <c r="G365" s="336"/>
      <c r="H365" s="336"/>
      <c r="I365" s="336"/>
      <c r="J365" s="43"/>
      <c r="K365" s="43"/>
      <c r="L365" s="43"/>
      <c r="M365" s="43"/>
      <c r="N365" s="43"/>
      <c r="O365" s="43"/>
      <c r="P365" s="43"/>
    </row>
    <row r="366" spans="1:16" ht="19.7" thickBot="1" x14ac:dyDescent="0.4">
      <c r="A366" s="372" t="s">
        <v>82</v>
      </c>
      <c r="B366" s="372"/>
      <c r="C366" s="372"/>
      <c r="D366" s="372"/>
      <c r="E366" s="372"/>
      <c r="F366" s="372"/>
      <c r="G366" s="372"/>
      <c r="H366" s="372"/>
      <c r="I366" s="372"/>
      <c r="J366" s="43"/>
      <c r="K366" s="43"/>
      <c r="L366" s="43"/>
      <c r="M366" s="43"/>
      <c r="N366" s="43"/>
      <c r="O366" s="43"/>
      <c r="P366" s="43"/>
    </row>
    <row r="367" spans="1:16" ht="19.55" customHeight="1" thickBot="1" x14ac:dyDescent="0.3">
      <c r="A367" s="341" t="s">
        <v>1</v>
      </c>
      <c r="B367" s="343"/>
      <c r="C367" s="330" t="str">
        <f>IF(ProjeNo&gt;0,ProjeNo,"")</f>
        <v/>
      </c>
      <c r="D367" s="331"/>
      <c r="E367" s="331"/>
      <c r="F367" s="331"/>
      <c r="G367" s="331"/>
      <c r="H367" s="331"/>
      <c r="I367" s="332"/>
      <c r="J367" s="43"/>
      <c r="K367" s="43"/>
      <c r="L367" s="43"/>
      <c r="M367" s="43"/>
      <c r="N367" s="43"/>
      <c r="O367" s="43"/>
      <c r="P367" s="43"/>
    </row>
    <row r="368" spans="1:16" ht="29.25" customHeight="1" thickBot="1" x14ac:dyDescent="0.3">
      <c r="A368" s="371" t="s">
        <v>11</v>
      </c>
      <c r="B368" s="342"/>
      <c r="C368" s="346" t="str">
        <f>IF(ProjeAdi&gt;0,ProjeAdi,"")</f>
        <v/>
      </c>
      <c r="D368" s="347"/>
      <c r="E368" s="347"/>
      <c r="F368" s="347"/>
      <c r="G368" s="347"/>
      <c r="H368" s="347"/>
      <c r="I368" s="348"/>
      <c r="J368" s="43"/>
      <c r="K368" s="43"/>
      <c r="L368" s="43"/>
      <c r="M368" s="43"/>
      <c r="N368" s="43"/>
      <c r="O368" s="43"/>
      <c r="P368" s="43"/>
    </row>
    <row r="369" spans="1:16" ht="19.55" customHeight="1" thickBot="1" x14ac:dyDescent="0.3">
      <c r="A369" s="341" t="s">
        <v>74</v>
      </c>
      <c r="B369" s="343"/>
      <c r="C369" s="9"/>
      <c r="D369" s="369"/>
      <c r="E369" s="369"/>
      <c r="F369" s="369"/>
      <c r="G369" s="369"/>
      <c r="H369" s="369"/>
      <c r="I369" s="370"/>
      <c r="J369" s="43"/>
      <c r="K369" s="43"/>
      <c r="L369" s="43"/>
      <c r="M369" s="43"/>
      <c r="N369" s="43"/>
      <c r="O369" s="43"/>
      <c r="P369" s="43"/>
    </row>
    <row r="370" spans="1:16" s="2" customFormat="1" ht="29.25" thickBot="1" x14ac:dyDescent="0.3">
      <c r="A370" s="176" t="s">
        <v>7</v>
      </c>
      <c r="B370" s="176" t="s">
        <v>8</v>
      </c>
      <c r="C370" s="176" t="s">
        <v>63</v>
      </c>
      <c r="D370" s="176" t="s">
        <v>119</v>
      </c>
      <c r="E370" s="176" t="s">
        <v>75</v>
      </c>
      <c r="F370" s="176" t="s">
        <v>76</v>
      </c>
      <c r="G370" s="176" t="s">
        <v>77</v>
      </c>
      <c r="H370" s="176" t="s">
        <v>78</v>
      </c>
      <c r="I370" s="176" t="s">
        <v>79</v>
      </c>
      <c r="J370" s="177" t="s">
        <v>83</v>
      </c>
      <c r="K370" s="178" t="s">
        <v>84</v>
      </c>
      <c r="L370" s="178" t="s">
        <v>76</v>
      </c>
      <c r="M370" s="169"/>
      <c r="N370" s="169"/>
      <c r="O370" s="169"/>
      <c r="P370" s="169"/>
    </row>
    <row r="371" spans="1:16" ht="20.05" customHeight="1" x14ac:dyDescent="0.25">
      <c r="A371" s="179">
        <v>221</v>
      </c>
      <c r="B371" s="53"/>
      <c r="C371" s="94" t="str">
        <f t="shared" ref="C371:C390" si="73">IF(B371&lt;&gt;"",VLOOKUP(B371,PersonelTablo,2,0),"")</f>
        <v/>
      </c>
      <c r="D371" s="95" t="str">
        <f t="shared" ref="D371:D390" si="74">IF(B371&lt;&gt;"",VLOOKUP(B371,PersonelTablo,3,0),"")</f>
        <v/>
      </c>
      <c r="E371" s="54"/>
      <c r="F371" s="55"/>
      <c r="G371" s="105" t="str">
        <f>IF(AND(B371&lt;&gt;"",L371&gt;=F371),E371*F371,"")</f>
        <v/>
      </c>
      <c r="H371" s="102" t="str">
        <f t="shared" ref="H371:H390" si="75">IF(B371&lt;&gt;"",VLOOKUP(B371,G011CTablo,14,0),"")</f>
        <v/>
      </c>
      <c r="I371" s="109" t="str">
        <f>IF(AND(B371&lt;&gt;"",J371&gt;=K371,L371&gt;0),G371*H371,"")</f>
        <v/>
      </c>
      <c r="J371" s="100" t="str">
        <f>IF(B371&gt;0,ROUNDUP(VLOOKUP(B371,G011B!$B:$R,16,0),1),"")</f>
        <v/>
      </c>
      <c r="K371" s="100" t="str">
        <f>IF(B371&gt;0,SUMIF($B:$B,B371,$G:$G),"")</f>
        <v/>
      </c>
      <c r="L371" s="101" t="str">
        <f>IF(B371&lt;&gt;"",VLOOKUP(B371,G011B!$B:$Z,25,0),"")</f>
        <v/>
      </c>
      <c r="M371" s="160" t="str">
        <f t="shared" ref="M371:M390" si="76">IF(J371&gt;=K371,"","Personelin bütün iş paketlerindeki Toplam Adam Ay değeri "&amp;K371&amp;" olup, bu değer, G011B formunda beyan edilen Çalışılan Toplam Ay değerini geçemez. Maliyeti hesaplamak için Adam/Ay Oranı veya Çalışılan Ay değerini düzeltiniz. ")</f>
        <v/>
      </c>
      <c r="N371" s="43"/>
      <c r="O371" s="43"/>
      <c r="P371" s="43"/>
    </row>
    <row r="372" spans="1:16" ht="20.05" customHeight="1" x14ac:dyDescent="0.25">
      <c r="A372" s="180">
        <v>222</v>
      </c>
      <c r="B372" s="57"/>
      <c r="C372" s="96" t="str">
        <f t="shared" si="73"/>
        <v/>
      </c>
      <c r="D372" s="97" t="str">
        <f t="shared" si="74"/>
        <v/>
      </c>
      <c r="E372" s="58"/>
      <c r="F372" s="59"/>
      <c r="G372" s="106" t="str">
        <f t="shared" ref="G372:G390" si="77">IF(AND(B372&lt;&gt;"",L372&gt;=F372),E372*F372,"")</f>
        <v/>
      </c>
      <c r="H372" s="103" t="str">
        <f t="shared" si="75"/>
        <v/>
      </c>
      <c r="I372" s="110" t="str">
        <f t="shared" ref="I372:I390" si="78">IF(AND(B372&lt;&gt;"",J372&gt;=K372,L372&gt;0),G372*H372,"")</f>
        <v/>
      </c>
      <c r="J372" s="100" t="str">
        <f>IF(B372&gt;0,ROUNDUP(VLOOKUP(B372,G011B!$B:$R,16,0),1),"")</f>
        <v/>
      </c>
      <c r="K372" s="100" t="str">
        <f t="shared" ref="K372:K390" si="79">IF(B372&gt;0,SUMIF($B:$B,B372,$G:$G),"")</f>
        <v/>
      </c>
      <c r="L372" s="101" t="str">
        <f>IF(B372&lt;&gt;"",VLOOKUP(B372,G011B!$B:$Z,25,0),"")</f>
        <v/>
      </c>
      <c r="M372" s="160" t="str">
        <f t="shared" si="76"/>
        <v/>
      </c>
      <c r="N372" s="43"/>
      <c r="O372" s="43"/>
      <c r="P372" s="43"/>
    </row>
    <row r="373" spans="1:16" ht="20.05" customHeight="1" x14ac:dyDescent="0.25">
      <c r="A373" s="180">
        <v>223</v>
      </c>
      <c r="B373" s="57"/>
      <c r="C373" s="96" t="str">
        <f t="shared" si="73"/>
        <v/>
      </c>
      <c r="D373" s="97" t="str">
        <f t="shared" si="74"/>
        <v/>
      </c>
      <c r="E373" s="58"/>
      <c r="F373" s="59"/>
      <c r="G373" s="106" t="str">
        <f t="shared" si="77"/>
        <v/>
      </c>
      <c r="H373" s="103" t="str">
        <f t="shared" si="75"/>
        <v/>
      </c>
      <c r="I373" s="110" t="str">
        <f t="shared" si="78"/>
        <v/>
      </c>
      <c r="J373" s="100" t="str">
        <f>IF(B373&gt;0,ROUNDUP(VLOOKUP(B373,G011B!$B:$R,16,0),1),"")</f>
        <v/>
      </c>
      <c r="K373" s="100" t="str">
        <f t="shared" si="79"/>
        <v/>
      </c>
      <c r="L373" s="101" t="str">
        <f>IF(B373&lt;&gt;"",VLOOKUP(B373,G011B!$B:$Z,25,0),"")</f>
        <v/>
      </c>
      <c r="M373" s="160" t="str">
        <f t="shared" si="76"/>
        <v/>
      </c>
      <c r="N373" s="43"/>
      <c r="O373" s="43"/>
      <c r="P373" s="43"/>
    </row>
    <row r="374" spans="1:16" ht="20.05" customHeight="1" x14ac:dyDescent="0.25">
      <c r="A374" s="180">
        <v>224</v>
      </c>
      <c r="B374" s="57"/>
      <c r="C374" s="96" t="str">
        <f t="shared" si="73"/>
        <v/>
      </c>
      <c r="D374" s="97" t="str">
        <f t="shared" si="74"/>
        <v/>
      </c>
      <c r="E374" s="58"/>
      <c r="F374" s="59"/>
      <c r="G374" s="106" t="str">
        <f t="shared" si="77"/>
        <v/>
      </c>
      <c r="H374" s="103" t="str">
        <f t="shared" si="75"/>
        <v/>
      </c>
      <c r="I374" s="110" t="str">
        <f t="shared" si="78"/>
        <v/>
      </c>
      <c r="J374" s="100" t="str">
        <f>IF(B374&gt;0,ROUNDUP(VLOOKUP(B374,G011B!$B:$R,16,0),1),"")</f>
        <v/>
      </c>
      <c r="K374" s="100" t="str">
        <f t="shared" si="79"/>
        <v/>
      </c>
      <c r="L374" s="101" t="str">
        <f>IF(B374&lt;&gt;"",VLOOKUP(B374,G011B!$B:$Z,25,0),"")</f>
        <v/>
      </c>
      <c r="M374" s="160" t="str">
        <f t="shared" si="76"/>
        <v/>
      </c>
      <c r="N374" s="43"/>
      <c r="O374" s="43"/>
      <c r="P374" s="43"/>
    </row>
    <row r="375" spans="1:16" ht="20.05" customHeight="1" x14ac:dyDescent="0.25">
      <c r="A375" s="180">
        <v>225</v>
      </c>
      <c r="B375" s="57"/>
      <c r="C375" s="96" t="str">
        <f t="shared" si="73"/>
        <v/>
      </c>
      <c r="D375" s="97" t="str">
        <f t="shared" si="74"/>
        <v/>
      </c>
      <c r="E375" s="58"/>
      <c r="F375" s="59"/>
      <c r="G375" s="106" t="str">
        <f t="shared" si="77"/>
        <v/>
      </c>
      <c r="H375" s="103" t="str">
        <f t="shared" si="75"/>
        <v/>
      </c>
      <c r="I375" s="110" t="str">
        <f t="shared" si="78"/>
        <v/>
      </c>
      <c r="J375" s="100" t="str">
        <f>IF(B375&gt;0,ROUNDUP(VLOOKUP(B375,G011B!$B:$R,16,0),1),"")</f>
        <v/>
      </c>
      <c r="K375" s="100" t="str">
        <f t="shared" si="79"/>
        <v/>
      </c>
      <c r="L375" s="101" t="str">
        <f>IF(B375&lt;&gt;"",VLOOKUP(B375,G011B!$B:$Z,25,0),"")</f>
        <v/>
      </c>
      <c r="M375" s="160" t="str">
        <f t="shared" si="76"/>
        <v/>
      </c>
      <c r="N375" s="43"/>
      <c r="O375" s="43"/>
      <c r="P375" s="43"/>
    </row>
    <row r="376" spans="1:16" ht="20.05" customHeight="1" x14ac:dyDescent="0.25">
      <c r="A376" s="180">
        <v>226</v>
      </c>
      <c r="B376" s="57"/>
      <c r="C376" s="96" t="str">
        <f t="shared" si="73"/>
        <v/>
      </c>
      <c r="D376" s="97" t="str">
        <f t="shared" si="74"/>
        <v/>
      </c>
      <c r="E376" s="58"/>
      <c r="F376" s="59"/>
      <c r="G376" s="106" t="str">
        <f t="shared" si="77"/>
        <v/>
      </c>
      <c r="H376" s="103" t="str">
        <f t="shared" si="75"/>
        <v/>
      </c>
      <c r="I376" s="110" t="str">
        <f t="shared" si="78"/>
        <v/>
      </c>
      <c r="J376" s="100" t="str">
        <f>IF(B376&gt;0,ROUNDUP(VLOOKUP(B376,G011B!$B:$R,16,0),1),"")</f>
        <v/>
      </c>
      <c r="K376" s="100" t="str">
        <f t="shared" si="79"/>
        <v/>
      </c>
      <c r="L376" s="101" t="str">
        <f>IF(B376&lt;&gt;"",VLOOKUP(B376,G011B!$B:$Z,25,0),"")</f>
        <v/>
      </c>
      <c r="M376" s="160" t="str">
        <f t="shared" si="76"/>
        <v/>
      </c>
      <c r="N376" s="43"/>
      <c r="O376" s="43"/>
      <c r="P376" s="43"/>
    </row>
    <row r="377" spans="1:16" ht="20.05" customHeight="1" x14ac:dyDescent="0.25">
      <c r="A377" s="180">
        <v>227</v>
      </c>
      <c r="B377" s="57"/>
      <c r="C377" s="96" t="str">
        <f t="shared" si="73"/>
        <v/>
      </c>
      <c r="D377" s="97" t="str">
        <f t="shared" si="74"/>
        <v/>
      </c>
      <c r="E377" s="58"/>
      <c r="F377" s="59"/>
      <c r="G377" s="106" t="str">
        <f t="shared" si="77"/>
        <v/>
      </c>
      <c r="H377" s="103" t="str">
        <f t="shared" si="75"/>
        <v/>
      </c>
      <c r="I377" s="110" t="str">
        <f t="shared" si="78"/>
        <v/>
      </c>
      <c r="J377" s="100" t="str">
        <f>IF(B377&gt;0,ROUNDUP(VLOOKUP(B377,G011B!$B:$R,16,0),1),"")</f>
        <v/>
      </c>
      <c r="K377" s="100" t="str">
        <f t="shared" si="79"/>
        <v/>
      </c>
      <c r="L377" s="101" t="str">
        <f>IF(B377&lt;&gt;"",VLOOKUP(B377,G011B!$B:$Z,25,0),"")</f>
        <v/>
      </c>
      <c r="M377" s="160" t="str">
        <f t="shared" si="76"/>
        <v/>
      </c>
      <c r="N377" s="43"/>
      <c r="O377" s="43"/>
      <c r="P377" s="43"/>
    </row>
    <row r="378" spans="1:16" ht="20.05" customHeight="1" x14ac:dyDescent="0.25">
      <c r="A378" s="180">
        <v>228</v>
      </c>
      <c r="B378" s="57"/>
      <c r="C378" s="96" t="str">
        <f t="shared" si="73"/>
        <v/>
      </c>
      <c r="D378" s="97" t="str">
        <f t="shared" si="74"/>
        <v/>
      </c>
      <c r="E378" s="58"/>
      <c r="F378" s="59"/>
      <c r="G378" s="106" t="str">
        <f t="shared" si="77"/>
        <v/>
      </c>
      <c r="H378" s="103" t="str">
        <f t="shared" si="75"/>
        <v/>
      </c>
      <c r="I378" s="110" t="str">
        <f t="shared" si="78"/>
        <v/>
      </c>
      <c r="J378" s="100" t="str">
        <f>IF(B378&gt;0,ROUNDUP(VLOOKUP(B378,G011B!$B:$R,16,0),1),"")</f>
        <v/>
      </c>
      <c r="K378" s="100" t="str">
        <f t="shared" si="79"/>
        <v/>
      </c>
      <c r="L378" s="101" t="str">
        <f>IF(B378&lt;&gt;"",VLOOKUP(B378,G011B!$B:$Z,25,0),"")</f>
        <v/>
      </c>
      <c r="M378" s="160" t="str">
        <f t="shared" si="76"/>
        <v/>
      </c>
      <c r="N378" s="43"/>
      <c r="O378" s="43"/>
      <c r="P378" s="43"/>
    </row>
    <row r="379" spans="1:16" ht="20.05" customHeight="1" x14ac:dyDescent="0.25">
      <c r="A379" s="180">
        <v>229</v>
      </c>
      <c r="B379" s="57"/>
      <c r="C379" s="96" t="str">
        <f t="shared" si="73"/>
        <v/>
      </c>
      <c r="D379" s="97" t="str">
        <f t="shared" si="74"/>
        <v/>
      </c>
      <c r="E379" s="58"/>
      <c r="F379" s="59"/>
      <c r="G379" s="106" t="str">
        <f t="shared" si="77"/>
        <v/>
      </c>
      <c r="H379" s="103" t="str">
        <f t="shared" si="75"/>
        <v/>
      </c>
      <c r="I379" s="110" t="str">
        <f t="shared" si="78"/>
        <v/>
      </c>
      <c r="J379" s="100" t="str">
        <f>IF(B379&gt;0,ROUNDUP(VLOOKUP(B379,G011B!$B:$R,16,0),1),"")</f>
        <v/>
      </c>
      <c r="K379" s="100" t="str">
        <f t="shared" si="79"/>
        <v/>
      </c>
      <c r="L379" s="101" t="str">
        <f>IF(B379&lt;&gt;"",VLOOKUP(B379,G011B!$B:$Z,25,0),"")</f>
        <v/>
      </c>
      <c r="M379" s="160" t="str">
        <f t="shared" si="76"/>
        <v/>
      </c>
      <c r="N379" s="43"/>
      <c r="O379" s="43"/>
      <c r="P379" s="43"/>
    </row>
    <row r="380" spans="1:16" ht="20.05" customHeight="1" x14ac:dyDescent="0.25">
      <c r="A380" s="180">
        <v>230</v>
      </c>
      <c r="B380" s="57"/>
      <c r="C380" s="96" t="str">
        <f t="shared" si="73"/>
        <v/>
      </c>
      <c r="D380" s="97" t="str">
        <f t="shared" si="74"/>
        <v/>
      </c>
      <c r="E380" s="58"/>
      <c r="F380" s="59"/>
      <c r="G380" s="106" t="str">
        <f t="shared" si="77"/>
        <v/>
      </c>
      <c r="H380" s="103" t="str">
        <f t="shared" si="75"/>
        <v/>
      </c>
      <c r="I380" s="110" t="str">
        <f t="shared" si="78"/>
        <v/>
      </c>
      <c r="J380" s="100" t="str">
        <f>IF(B380&gt;0,ROUNDUP(VLOOKUP(B380,G011B!$B:$R,16,0),1),"")</f>
        <v/>
      </c>
      <c r="K380" s="100" t="str">
        <f t="shared" si="79"/>
        <v/>
      </c>
      <c r="L380" s="101" t="str">
        <f>IF(B380&lt;&gt;"",VLOOKUP(B380,G011B!$B:$Z,25,0),"")</f>
        <v/>
      </c>
      <c r="M380" s="160" t="str">
        <f t="shared" si="76"/>
        <v/>
      </c>
      <c r="N380" s="43"/>
      <c r="O380" s="43"/>
      <c r="P380" s="43"/>
    </row>
    <row r="381" spans="1:16" ht="20.05" customHeight="1" x14ac:dyDescent="0.25">
      <c r="A381" s="180">
        <v>231</v>
      </c>
      <c r="B381" s="57"/>
      <c r="C381" s="96" t="str">
        <f t="shared" si="73"/>
        <v/>
      </c>
      <c r="D381" s="97" t="str">
        <f t="shared" si="74"/>
        <v/>
      </c>
      <c r="E381" s="58"/>
      <c r="F381" s="59"/>
      <c r="G381" s="106" t="str">
        <f t="shared" si="77"/>
        <v/>
      </c>
      <c r="H381" s="103" t="str">
        <f t="shared" si="75"/>
        <v/>
      </c>
      <c r="I381" s="110" t="str">
        <f t="shared" si="78"/>
        <v/>
      </c>
      <c r="J381" s="100" t="str">
        <f>IF(B381&gt;0,ROUNDUP(VLOOKUP(B381,G011B!$B:$R,16,0),1),"")</f>
        <v/>
      </c>
      <c r="K381" s="100" t="str">
        <f t="shared" si="79"/>
        <v/>
      </c>
      <c r="L381" s="101" t="str">
        <f>IF(B381&lt;&gt;"",VLOOKUP(B381,G011B!$B:$Z,25,0),"")</f>
        <v/>
      </c>
      <c r="M381" s="160" t="str">
        <f t="shared" si="76"/>
        <v/>
      </c>
      <c r="N381" s="43"/>
      <c r="O381" s="43"/>
      <c r="P381" s="43"/>
    </row>
    <row r="382" spans="1:16" ht="20.05" customHeight="1" x14ac:dyDescent="0.25">
      <c r="A382" s="180">
        <v>232</v>
      </c>
      <c r="B382" s="57"/>
      <c r="C382" s="96" t="str">
        <f t="shared" si="73"/>
        <v/>
      </c>
      <c r="D382" s="97" t="str">
        <f t="shared" si="74"/>
        <v/>
      </c>
      <c r="E382" s="58"/>
      <c r="F382" s="59"/>
      <c r="G382" s="106" t="str">
        <f t="shared" si="77"/>
        <v/>
      </c>
      <c r="H382" s="103" t="str">
        <f t="shared" si="75"/>
        <v/>
      </c>
      <c r="I382" s="110" t="str">
        <f t="shared" si="78"/>
        <v/>
      </c>
      <c r="J382" s="100" t="str">
        <f>IF(B382&gt;0,ROUNDUP(VLOOKUP(B382,G011B!$B:$R,16,0),1),"")</f>
        <v/>
      </c>
      <c r="K382" s="100" t="str">
        <f t="shared" si="79"/>
        <v/>
      </c>
      <c r="L382" s="101" t="str">
        <f>IF(B382&lt;&gt;"",VLOOKUP(B382,G011B!$B:$Z,25,0),"")</f>
        <v/>
      </c>
      <c r="M382" s="160" t="str">
        <f t="shared" si="76"/>
        <v/>
      </c>
      <c r="N382" s="43"/>
      <c r="O382" s="43"/>
      <c r="P382" s="43"/>
    </row>
    <row r="383" spans="1:16" ht="20.05" customHeight="1" x14ac:dyDescent="0.25">
      <c r="A383" s="180">
        <v>233</v>
      </c>
      <c r="B383" s="57"/>
      <c r="C383" s="96" t="str">
        <f t="shared" si="73"/>
        <v/>
      </c>
      <c r="D383" s="97" t="str">
        <f t="shared" si="74"/>
        <v/>
      </c>
      <c r="E383" s="58"/>
      <c r="F383" s="59"/>
      <c r="G383" s="106" t="str">
        <f t="shared" si="77"/>
        <v/>
      </c>
      <c r="H383" s="103" t="str">
        <f t="shared" si="75"/>
        <v/>
      </c>
      <c r="I383" s="110" t="str">
        <f t="shared" si="78"/>
        <v/>
      </c>
      <c r="J383" s="100" t="str">
        <f>IF(B383&gt;0,ROUNDUP(VLOOKUP(B383,G011B!$B:$R,16,0),1),"")</f>
        <v/>
      </c>
      <c r="K383" s="100" t="str">
        <f t="shared" si="79"/>
        <v/>
      </c>
      <c r="L383" s="101" t="str">
        <f>IF(B383&lt;&gt;"",VLOOKUP(B383,G011B!$B:$Z,25,0),"")</f>
        <v/>
      </c>
      <c r="M383" s="160" t="str">
        <f t="shared" si="76"/>
        <v/>
      </c>
      <c r="N383" s="43"/>
      <c r="O383" s="43"/>
      <c r="P383" s="43"/>
    </row>
    <row r="384" spans="1:16" ht="20.05" customHeight="1" x14ac:dyDescent="0.25">
      <c r="A384" s="180">
        <v>234</v>
      </c>
      <c r="B384" s="57"/>
      <c r="C384" s="96" t="str">
        <f t="shared" si="73"/>
        <v/>
      </c>
      <c r="D384" s="97" t="str">
        <f t="shared" si="74"/>
        <v/>
      </c>
      <c r="E384" s="58"/>
      <c r="F384" s="59"/>
      <c r="G384" s="106" t="str">
        <f t="shared" si="77"/>
        <v/>
      </c>
      <c r="H384" s="103" t="str">
        <f t="shared" si="75"/>
        <v/>
      </c>
      <c r="I384" s="110" t="str">
        <f t="shared" si="78"/>
        <v/>
      </c>
      <c r="J384" s="100" t="str">
        <f>IF(B384&gt;0,ROUNDUP(VLOOKUP(B384,G011B!$B:$R,16,0),1),"")</f>
        <v/>
      </c>
      <c r="K384" s="100" t="str">
        <f t="shared" si="79"/>
        <v/>
      </c>
      <c r="L384" s="101" t="str">
        <f>IF(B384&lt;&gt;"",VLOOKUP(B384,G011B!$B:$Z,25,0),"")</f>
        <v/>
      </c>
      <c r="M384" s="160" t="str">
        <f t="shared" si="76"/>
        <v/>
      </c>
      <c r="N384" s="43"/>
      <c r="O384" s="43"/>
      <c r="P384" s="43"/>
    </row>
    <row r="385" spans="1:16" ht="20.05" customHeight="1" x14ac:dyDescent="0.25">
      <c r="A385" s="180">
        <v>235</v>
      </c>
      <c r="B385" s="57"/>
      <c r="C385" s="96" t="str">
        <f t="shared" si="73"/>
        <v/>
      </c>
      <c r="D385" s="97" t="str">
        <f t="shared" si="74"/>
        <v/>
      </c>
      <c r="E385" s="58"/>
      <c r="F385" s="59"/>
      <c r="G385" s="106" t="str">
        <f t="shared" si="77"/>
        <v/>
      </c>
      <c r="H385" s="103" t="str">
        <f t="shared" si="75"/>
        <v/>
      </c>
      <c r="I385" s="110" t="str">
        <f t="shared" si="78"/>
        <v/>
      </c>
      <c r="J385" s="100" t="str">
        <f>IF(B385&gt;0,ROUNDUP(VLOOKUP(B385,G011B!$B:$R,16,0),1),"")</f>
        <v/>
      </c>
      <c r="K385" s="100" t="str">
        <f t="shared" si="79"/>
        <v/>
      </c>
      <c r="L385" s="101" t="str">
        <f>IF(B385&lt;&gt;"",VLOOKUP(B385,G011B!$B:$Z,25,0),"")</f>
        <v/>
      </c>
      <c r="M385" s="160" t="str">
        <f t="shared" si="76"/>
        <v/>
      </c>
      <c r="N385" s="43"/>
      <c r="O385" s="43"/>
      <c r="P385" s="43"/>
    </row>
    <row r="386" spans="1:16" ht="20.05" customHeight="1" x14ac:dyDescent="0.25">
      <c r="A386" s="180">
        <v>236</v>
      </c>
      <c r="B386" s="57"/>
      <c r="C386" s="96" t="str">
        <f t="shared" si="73"/>
        <v/>
      </c>
      <c r="D386" s="97" t="str">
        <f t="shared" si="74"/>
        <v/>
      </c>
      <c r="E386" s="58"/>
      <c r="F386" s="59"/>
      <c r="G386" s="106" t="str">
        <f t="shared" si="77"/>
        <v/>
      </c>
      <c r="H386" s="103" t="str">
        <f t="shared" si="75"/>
        <v/>
      </c>
      <c r="I386" s="110" t="str">
        <f t="shared" si="78"/>
        <v/>
      </c>
      <c r="J386" s="100" t="str">
        <f>IF(B386&gt;0,ROUNDUP(VLOOKUP(B386,G011B!$B:$R,16,0),1),"")</f>
        <v/>
      </c>
      <c r="K386" s="100" t="str">
        <f t="shared" si="79"/>
        <v/>
      </c>
      <c r="L386" s="101" t="str">
        <f>IF(B386&lt;&gt;"",VLOOKUP(B386,G011B!$B:$Z,25,0),"")</f>
        <v/>
      </c>
      <c r="M386" s="160" t="str">
        <f t="shared" si="76"/>
        <v/>
      </c>
      <c r="N386" s="43"/>
      <c r="O386" s="43"/>
      <c r="P386" s="43"/>
    </row>
    <row r="387" spans="1:16" ht="20.05" customHeight="1" x14ac:dyDescent="0.25">
      <c r="A387" s="180">
        <v>237</v>
      </c>
      <c r="B387" s="57"/>
      <c r="C387" s="96" t="str">
        <f t="shared" si="73"/>
        <v/>
      </c>
      <c r="D387" s="97" t="str">
        <f t="shared" si="74"/>
        <v/>
      </c>
      <c r="E387" s="58"/>
      <c r="F387" s="59"/>
      <c r="G387" s="106" t="str">
        <f t="shared" si="77"/>
        <v/>
      </c>
      <c r="H387" s="103" t="str">
        <f t="shared" si="75"/>
        <v/>
      </c>
      <c r="I387" s="110" t="str">
        <f t="shared" si="78"/>
        <v/>
      </c>
      <c r="J387" s="100" t="str">
        <f>IF(B387&gt;0,ROUNDUP(VLOOKUP(B387,G011B!$B:$R,16,0),1),"")</f>
        <v/>
      </c>
      <c r="K387" s="100" t="str">
        <f t="shared" si="79"/>
        <v/>
      </c>
      <c r="L387" s="101" t="str">
        <f>IF(B387&lt;&gt;"",VLOOKUP(B387,G011B!$B:$Z,25,0),"")</f>
        <v/>
      </c>
      <c r="M387" s="160" t="str">
        <f t="shared" si="76"/>
        <v/>
      </c>
      <c r="N387" s="43"/>
      <c r="O387" s="43"/>
      <c r="P387" s="43"/>
    </row>
    <row r="388" spans="1:16" ht="20.05" customHeight="1" x14ac:dyDescent="0.25">
      <c r="A388" s="180">
        <v>238</v>
      </c>
      <c r="B388" s="57"/>
      <c r="C388" s="96" t="str">
        <f t="shared" si="73"/>
        <v/>
      </c>
      <c r="D388" s="97" t="str">
        <f t="shared" si="74"/>
        <v/>
      </c>
      <c r="E388" s="58"/>
      <c r="F388" s="59"/>
      <c r="G388" s="106" t="str">
        <f t="shared" si="77"/>
        <v/>
      </c>
      <c r="H388" s="103" t="str">
        <f t="shared" si="75"/>
        <v/>
      </c>
      <c r="I388" s="110" t="str">
        <f t="shared" si="78"/>
        <v/>
      </c>
      <c r="J388" s="100" t="str">
        <f>IF(B388&gt;0,ROUNDUP(VLOOKUP(B388,G011B!$B:$R,16,0),1),"")</f>
        <v/>
      </c>
      <c r="K388" s="100" t="str">
        <f t="shared" si="79"/>
        <v/>
      </c>
      <c r="L388" s="101" t="str">
        <f>IF(B388&lt;&gt;"",VLOOKUP(B388,G011B!$B:$Z,25,0),"")</f>
        <v/>
      </c>
      <c r="M388" s="160" t="str">
        <f t="shared" si="76"/>
        <v/>
      </c>
      <c r="N388" s="43"/>
      <c r="O388" s="43"/>
      <c r="P388" s="43"/>
    </row>
    <row r="389" spans="1:16" ht="20.05" customHeight="1" x14ac:dyDescent="0.25">
      <c r="A389" s="180">
        <v>239</v>
      </c>
      <c r="B389" s="57"/>
      <c r="C389" s="96" t="str">
        <f t="shared" si="73"/>
        <v/>
      </c>
      <c r="D389" s="97" t="str">
        <f t="shared" si="74"/>
        <v/>
      </c>
      <c r="E389" s="58"/>
      <c r="F389" s="59"/>
      <c r="G389" s="106" t="str">
        <f t="shared" si="77"/>
        <v/>
      </c>
      <c r="H389" s="103" t="str">
        <f t="shared" si="75"/>
        <v/>
      </c>
      <c r="I389" s="110" t="str">
        <f t="shared" si="78"/>
        <v/>
      </c>
      <c r="J389" s="100" t="str">
        <f>IF(B389&gt;0,ROUNDUP(VLOOKUP(B389,G011B!$B:$R,16,0),1),"")</f>
        <v/>
      </c>
      <c r="K389" s="100" t="str">
        <f t="shared" si="79"/>
        <v/>
      </c>
      <c r="L389" s="101" t="str">
        <f>IF(B389&lt;&gt;"",VLOOKUP(B389,G011B!$B:$Z,25,0),"")</f>
        <v/>
      </c>
      <c r="M389" s="160" t="str">
        <f t="shared" si="76"/>
        <v/>
      </c>
      <c r="N389" s="43"/>
      <c r="O389" s="43"/>
      <c r="P389" s="43"/>
    </row>
    <row r="390" spans="1:16" ht="20.05" customHeight="1" thickBot="1" x14ac:dyDescent="0.3">
      <c r="A390" s="181">
        <v>240</v>
      </c>
      <c r="B390" s="60"/>
      <c r="C390" s="98" t="str">
        <f t="shared" si="73"/>
        <v/>
      </c>
      <c r="D390" s="99" t="str">
        <f t="shared" si="74"/>
        <v/>
      </c>
      <c r="E390" s="61"/>
      <c r="F390" s="62"/>
      <c r="G390" s="107" t="str">
        <f t="shared" si="77"/>
        <v/>
      </c>
      <c r="H390" s="104" t="str">
        <f t="shared" si="75"/>
        <v/>
      </c>
      <c r="I390" s="111" t="str">
        <f t="shared" si="78"/>
        <v/>
      </c>
      <c r="J390" s="100" t="str">
        <f>IF(B390&gt;0,ROUNDUP(VLOOKUP(B390,G011B!$B:$R,16,0),1),"")</f>
        <v/>
      </c>
      <c r="K390" s="100" t="str">
        <f t="shared" si="79"/>
        <v/>
      </c>
      <c r="L390" s="101" t="str">
        <f>IF(B390&lt;&gt;"",VLOOKUP(B390,G011B!$B:$Z,25,0),"")</f>
        <v/>
      </c>
      <c r="M390" s="160" t="str">
        <f t="shared" si="76"/>
        <v/>
      </c>
      <c r="N390" s="43"/>
      <c r="O390" s="43"/>
      <c r="P390" s="43"/>
    </row>
    <row r="391" spans="1:16" ht="20.05" customHeight="1" thickBot="1" x14ac:dyDescent="0.4">
      <c r="A391" s="360" t="s">
        <v>42</v>
      </c>
      <c r="B391" s="361"/>
      <c r="C391" s="361"/>
      <c r="D391" s="361"/>
      <c r="E391" s="361"/>
      <c r="F391" s="362"/>
      <c r="G391" s="108">
        <f>SUM(G371:G390)</f>
        <v>0</v>
      </c>
      <c r="H391" s="202"/>
      <c r="I391" s="93">
        <f>IF(C369=C336,SUM(I371:I390)+I358,SUM(I371:I390))</f>
        <v>0</v>
      </c>
      <c r="J391" s="43"/>
      <c r="K391" s="43"/>
      <c r="L391" s="43"/>
      <c r="M391" s="43"/>
      <c r="N391" s="112">
        <f>IF(COUNTA(B371:B390)&gt;0,1,0)</f>
        <v>0</v>
      </c>
      <c r="O391" s="43"/>
      <c r="P391" s="43"/>
    </row>
    <row r="392" spans="1:16" ht="20.05" customHeight="1" thickBot="1" x14ac:dyDescent="0.35">
      <c r="A392" s="363" t="s">
        <v>80</v>
      </c>
      <c r="B392" s="364"/>
      <c r="C392" s="364"/>
      <c r="D392" s="365"/>
      <c r="E392" s="86">
        <f>SUM(G:G)/2</f>
        <v>0</v>
      </c>
      <c r="F392" s="366"/>
      <c r="G392" s="367"/>
      <c r="H392" s="368"/>
      <c r="I392" s="92">
        <f>SUM(I371:I390)+I359</f>
        <v>0</v>
      </c>
      <c r="J392" s="43"/>
      <c r="K392" s="43"/>
      <c r="L392" s="43"/>
      <c r="M392" s="43"/>
      <c r="N392" s="43"/>
      <c r="O392" s="43"/>
      <c r="P392" s="43"/>
    </row>
    <row r="393" spans="1:16" x14ac:dyDescent="0.25">
      <c r="A393" s="182" t="s">
        <v>118</v>
      </c>
      <c r="B393" s="43"/>
      <c r="C393" s="43"/>
      <c r="D393" s="43"/>
      <c r="E393" s="43"/>
      <c r="F393" s="43"/>
      <c r="G393" s="43"/>
      <c r="H393" s="43"/>
      <c r="I393" s="43"/>
      <c r="J393" s="43"/>
      <c r="K393" s="43"/>
      <c r="L393" s="43"/>
      <c r="M393" s="43"/>
      <c r="N393" s="43"/>
      <c r="O393" s="43"/>
      <c r="P393" s="43"/>
    </row>
    <row r="394" spans="1:16" x14ac:dyDescent="0.25">
      <c r="A394" s="43"/>
      <c r="B394" s="43"/>
      <c r="C394" s="43"/>
      <c r="D394" s="43"/>
      <c r="E394" s="43"/>
      <c r="F394" s="43"/>
      <c r="G394" s="43"/>
      <c r="H394" s="43"/>
      <c r="I394" s="43"/>
      <c r="J394" s="43"/>
      <c r="K394" s="43"/>
      <c r="L394" s="43"/>
      <c r="M394" s="43"/>
      <c r="N394" s="43"/>
      <c r="O394" s="43"/>
      <c r="P394" s="43"/>
    </row>
    <row r="395" spans="1:16" ht="21.1" x14ac:dyDescent="0.35">
      <c r="A395" s="247" t="s">
        <v>39</v>
      </c>
      <c r="B395" s="248">
        <f ca="1">IF(imzatarihi&gt;0,imzatarihi,"")</f>
        <v>45686</v>
      </c>
      <c r="C395" s="251" t="s">
        <v>40</v>
      </c>
      <c r="D395" s="245" t="str">
        <f>IF(kurulusyetkilisi&gt;0,kurulusyetkilisi,"")</f>
        <v/>
      </c>
      <c r="F395" s="247"/>
      <c r="G395" s="247"/>
      <c r="H395" s="163"/>
      <c r="I395" s="163"/>
      <c r="J395" s="43"/>
      <c r="K395" s="73"/>
      <c r="L395" s="73"/>
      <c r="M395" s="5"/>
      <c r="N395" s="73"/>
      <c r="O395" s="73"/>
      <c r="P395" s="43"/>
    </row>
    <row r="396" spans="1:16" ht="19.7" x14ac:dyDescent="0.35">
      <c r="A396" s="249"/>
      <c r="B396" s="249"/>
      <c r="C396" s="251" t="s">
        <v>41</v>
      </c>
      <c r="D396" s="247"/>
      <c r="E396" s="302"/>
      <c r="F396" s="302"/>
      <c r="G396" s="302"/>
      <c r="H396" s="42"/>
      <c r="I396" s="42"/>
      <c r="J396" s="43"/>
      <c r="K396" s="73"/>
      <c r="L396" s="73"/>
      <c r="M396" s="5"/>
      <c r="N396" s="73"/>
      <c r="O396" s="73"/>
      <c r="P396" s="43"/>
    </row>
    <row r="397" spans="1:16" ht="16.3" x14ac:dyDescent="0.3">
      <c r="A397" s="338" t="s">
        <v>73</v>
      </c>
      <c r="B397" s="338"/>
      <c r="C397" s="338"/>
      <c r="D397" s="338"/>
      <c r="E397" s="338"/>
      <c r="F397" s="338"/>
      <c r="G397" s="338"/>
      <c r="H397" s="338"/>
      <c r="I397" s="338"/>
      <c r="J397" s="43"/>
      <c r="K397" s="43"/>
      <c r="L397" s="43"/>
      <c r="M397" s="43"/>
      <c r="N397" s="43"/>
      <c r="O397" s="43"/>
      <c r="P397" s="43"/>
    </row>
    <row r="398" spans="1:16" x14ac:dyDescent="0.25">
      <c r="A398" s="336" t="str">
        <f>IF(YilDonem&lt;&gt;"",CONCATENATE(YilDonem,". döneme aittir."),"")</f>
        <v/>
      </c>
      <c r="B398" s="336"/>
      <c r="C398" s="336"/>
      <c r="D398" s="336"/>
      <c r="E398" s="336"/>
      <c r="F398" s="336"/>
      <c r="G398" s="336"/>
      <c r="H398" s="336"/>
      <c r="I398" s="336"/>
      <c r="J398" s="43"/>
      <c r="K398" s="43"/>
      <c r="L398" s="43"/>
      <c r="M398" s="43"/>
      <c r="N398" s="43"/>
      <c r="O398" s="43"/>
      <c r="P398" s="43"/>
    </row>
    <row r="399" spans="1:16" ht="19.7" thickBot="1" x14ac:dyDescent="0.4">
      <c r="A399" s="372" t="s">
        <v>82</v>
      </c>
      <c r="B399" s="372"/>
      <c r="C399" s="372"/>
      <c r="D399" s="372"/>
      <c r="E399" s="372"/>
      <c r="F399" s="372"/>
      <c r="G399" s="372"/>
      <c r="H399" s="372"/>
      <c r="I399" s="372"/>
      <c r="J399" s="43"/>
      <c r="K399" s="43"/>
      <c r="L399" s="43"/>
      <c r="M399" s="43"/>
      <c r="N399" s="43"/>
      <c r="O399" s="43"/>
      <c r="P399" s="43"/>
    </row>
    <row r="400" spans="1:16" ht="19.55" customHeight="1" thickBot="1" x14ac:dyDescent="0.3">
      <c r="A400" s="341" t="s">
        <v>1</v>
      </c>
      <c r="B400" s="343"/>
      <c r="C400" s="330" t="str">
        <f>IF(ProjeNo&gt;0,ProjeNo,"")</f>
        <v/>
      </c>
      <c r="D400" s="331"/>
      <c r="E400" s="331"/>
      <c r="F400" s="331"/>
      <c r="G400" s="331"/>
      <c r="H400" s="331"/>
      <c r="I400" s="332"/>
      <c r="J400" s="43"/>
      <c r="K400" s="43"/>
      <c r="L400" s="43"/>
      <c r="M400" s="43"/>
      <c r="N400" s="43"/>
      <c r="O400" s="43"/>
      <c r="P400" s="43"/>
    </row>
    <row r="401" spans="1:16" ht="29.25" customHeight="1" thickBot="1" x14ac:dyDescent="0.3">
      <c r="A401" s="371" t="s">
        <v>11</v>
      </c>
      <c r="B401" s="342"/>
      <c r="C401" s="346" t="str">
        <f>IF(ProjeAdi&gt;0,ProjeAdi,"")</f>
        <v/>
      </c>
      <c r="D401" s="347"/>
      <c r="E401" s="347"/>
      <c r="F401" s="347"/>
      <c r="G401" s="347"/>
      <c r="H401" s="347"/>
      <c r="I401" s="348"/>
      <c r="J401" s="43"/>
      <c r="K401" s="43"/>
      <c r="L401" s="43"/>
      <c r="M401" s="43"/>
      <c r="N401" s="43"/>
      <c r="O401" s="43"/>
      <c r="P401" s="43"/>
    </row>
    <row r="402" spans="1:16" ht="19.55" customHeight="1" thickBot="1" x14ac:dyDescent="0.3">
      <c r="A402" s="341" t="s">
        <v>74</v>
      </c>
      <c r="B402" s="343"/>
      <c r="C402" s="9"/>
      <c r="D402" s="369"/>
      <c r="E402" s="369"/>
      <c r="F402" s="369"/>
      <c r="G402" s="369"/>
      <c r="H402" s="369"/>
      <c r="I402" s="370"/>
      <c r="J402" s="43"/>
      <c r="K402" s="43"/>
      <c r="L402" s="43"/>
      <c r="M402" s="43"/>
      <c r="N402" s="43"/>
      <c r="O402" s="43"/>
      <c r="P402" s="43"/>
    </row>
    <row r="403" spans="1:16" s="2" customFormat="1" ht="29.25" thickBot="1" x14ac:dyDescent="0.3">
      <c r="A403" s="176" t="s">
        <v>7</v>
      </c>
      <c r="B403" s="176" t="s">
        <v>8</v>
      </c>
      <c r="C403" s="176" t="s">
        <v>63</v>
      </c>
      <c r="D403" s="176" t="s">
        <v>119</v>
      </c>
      <c r="E403" s="176" t="s">
        <v>75</v>
      </c>
      <c r="F403" s="176" t="s">
        <v>76</v>
      </c>
      <c r="G403" s="176" t="s">
        <v>77</v>
      </c>
      <c r="H403" s="176" t="s">
        <v>78</v>
      </c>
      <c r="I403" s="176" t="s">
        <v>79</v>
      </c>
      <c r="J403" s="177" t="s">
        <v>83</v>
      </c>
      <c r="K403" s="178" t="s">
        <v>84</v>
      </c>
      <c r="L403" s="178" t="s">
        <v>76</v>
      </c>
      <c r="M403" s="169"/>
      <c r="N403" s="169"/>
      <c r="O403" s="169"/>
      <c r="P403" s="169"/>
    </row>
    <row r="404" spans="1:16" ht="20.05" customHeight="1" x14ac:dyDescent="0.25">
      <c r="A404" s="179">
        <v>241</v>
      </c>
      <c r="B404" s="53"/>
      <c r="C404" s="94" t="str">
        <f t="shared" ref="C404:C423" si="80">IF(B404&lt;&gt;"",VLOOKUP(B404,PersonelTablo,2,0),"")</f>
        <v/>
      </c>
      <c r="D404" s="95" t="str">
        <f t="shared" ref="D404:D423" si="81">IF(B404&lt;&gt;"",VLOOKUP(B404,PersonelTablo,3,0),"")</f>
        <v/>
      </c>
      <c r="E404" s="54"/>
      <c r="F404" s="55"/>
      <c r="G404" s="105" t="str">
        <f>IF(AND(B404&lt;&gt;"",L404&gt;=F404),E404*F404,"")</f>
        <v/>
      </c>
      <c r="H404" s="102" t="str">
        <f t="shared" ref="H404:H423" si="82">IF(B404&lt;&gt;"",VLOOKUP(B404,G011CTablo,14,0),"")</f>
        <v/>
      </c>
      <c r="I404" s="109" t="str">
        <f>IF(AND(B404&lt;&gt;"",J404&gt;=K404,L404&gt;0),G404*H404,"")</f>
        <v/>
      </c>
      <c r="J404" s="100" t="str">
        <f>IF(B404&gt;0,ROUNDUP(VLOOKUP(B404,G011B!$B:$R,16,0),1),"")</f>
        <v/>
      </c>
      <c r="K404" s="100" t="str">
        <f>IF(B404&gt;0,SUMIF($B:$B,B404,$G:$G),"")</f>
        <v/>
      </c>
      <c r="L404" s="101" t="str">
        <f>IF(B404&lt;&gt;"",VLOOKUP(B404,G011B!$B:$Z,25,0),"")</f>
        <v/>
      </c>
      <c r="M404" s="160" t="str">
        <f t="shared" ref="M404:M423" si="83">IF(J404&gt;=K404,"","Personelin bütün iş paketlerindeki Toplam Adam Ay değeri "&amp;K404&amp;" olup, bu değer, G011B formunda beyan edilen Çalışılan Toplam Ay değerini geçemez. Maliyeti hesaplamak için Adam/Ay Oranı veya Çalışılan Ay değerini düzeltiniz. ")</f>
        <v/>
      </c>
      <c r="N404" s="43"/>
      <c r="O404" s="43"/>
      <c r="P404" s="43"/>
    </row>
    <row r="405" spans="1:16" ht="20.05" customHeight="1" x14ac:dyDescent="0.25">
      <c r="A405" s="180">
        <v>242</v>
      </c>
      <c r="B405" s="57"/>
      <c r="C405" s="96" t="str">
        <f t="shared" si="80"/>
        <v/>
      </c>
      <c r="D405" s="97" t="str">
        <f t="shared" si="81"/>
        <v/>
      </c>
      <c r="E405" s="58"/>
      <c r="F405" s="59"/>
      <c r="G405" s="106" t="str">
        <f t="shared" ref="G405:G423" si="84">IF(AND(B405&lt;&gt;"",L405&gt;=F405),E405*F405,"")</f>
        <v/>
      </c>
      <c r="H405" s="103" t="str">
        <f t="shared" si="82"/>
        <v/>
      </c>
      <c r="I405" s="110" t="str">
        <f t="shared" ref="I405:I423" si="85">IF(AND(B405&lt;&gt;"",J405&gt;=K405,L405&gt;0),G405*H405,"")</f>
        <v/>
      </c>
      <c r="J405" s="100" t="str">
        <f>IF(B405&gt;0,ROUNDUP(VLOOKUP(B405,G011B!$B:$R,16,0),1),"")</f>
        <v/>
      </c>
      <c r="K405" s="100" t="str">
        <f t="shared" ref="K405:K423" si="86">IF(B405&gt;0,SUMIF($B:$B,B405,$G:$G),"")</f>
        <v/>
      </c>
      <c r="L405" s="101" t="str">
        <f>IF(B405&lt;&gt;"",VLOOKUP(B405,G011B!$B:$Z,25,0),"")</f>
        <v/>
      </c>
      <c r="M405" s="160" t="str">
        <f t="shared" si="83"/>
        <v/>
      </c>
      <c r="N405" s="43"/>
      <c r="O405" s="43"/>
      <c r="P405" s="43"/>
    </row>
    <row r="406" spans="1:16" ht="20.05" customHeight="1" x14ac:dyDescent="0.25">
      <c r="A406" s="180">
        <v>243</v>
      </c>
      <c r="B406" s="57"/>
      <c r="C406" s="96" t="str">
        <f t="shared" si="80"/>
        <v/>
      </c>
      <c r="D406" s="97" t="str">
        <f t="shared" si="81"/>
        <v/>
      </c>
      <c r="E406" s="58"/>
      <c r="F406" s="59"/>
      <c r="G406" s="106" t="str">
        <f t="shared" si="84"/>
        <v/>
      </c>
      <c r="H406" s="103" t="str">
        <f t="shared" si="82"/>
        <v/>
      </c>
      <c r="I406" s="110" t="str">
        <f t="shared" si="85"/>
        <v/>
      </c>
      <c r="J406" s="100" t="str">
        <f>IF(B406&gt;0,ROUNDUP(VLOOKUP(B406,G011B!$B:$R,16,0),1),"")</f>
        <v/>
      </c>
      <c r="K406" s="100" t="str">
        <f t="shared" si="86"/>
        <v/>
      </c>
      <c r="L406" s="101" t="str">
        <f>IF(B406&lt;&gt;"",VLOOKUP(B406,G011B!$B:$Z,25,0),"")</f>
        <v/>
      </c>
      <c r="M406" s="160" t="str">
        <f t="shared" si="83"/>
        <v/>
      </c>
      <c r="N406" s="43"/>
      <c r="O406" s="43"/>
      <c r="P406" s="43"/>
    </row>
    <row r="407" spans="1:16" ht="20.05" customHeight="1" x14ac:dyDescent="0.25">
      <c r="A407" s="180">
        <v>244</v>
      </c>
      <c r="B407" s="57"/>
      <c r="C407" s="96" t="str">
        <f t="shared" si="80"/>
        <v/>
      </c>
      <c r="D407" s="97" t="str">
        <f t="shared" si="81"/>
        <v/>
      </c>
      <c r="E407" s="58"/>
      <c r="F407" s="59"/>
      <c r="G407" s="106" t="str">
        <f t="shared" si="84"/>
        <v/>
      </c>
      <c r="H407" s="103" t="str">
        <f t="shared" si="82"/>
        <v/>
      </c>
      <c r="I407" s="110" t="str">
        <f t="shared" si="85"/>
        <v/>
      </c>
      <c r="J407" s="100" t="str">
        <f>IF(B407&gt;0,ROUNDUP(VLOOKUP(B407,G011B!$B:$R,16,0),1),"")</f>
        <v/>
      </c>
      <c r="K407" s="100" t="str">
        <f t="shared" si="86"/>
        <v/>
      </c>
      <c r="L407" s="101" t="str">
        <f>IF(B407&lt;&gt;"",VLOOKUP(B407,G011B!$B:$Z,25,0),"")</f>
        <v/>
      </c>
      <c r="M407" s="160" t="str">
        <f t="shared" si="83"/>
        <v/>
      </c>
      <c r="N407" s="43"/>
      <c r="O407" s="43"/>
      <c r="P407" s="43"/>
    </row>
    <row r="408" spans="1:16" ht="20.05" customHeight="1" x14ac:dyDescent="0.25">
      <c r="A408" s="180">
        <v>245</v>
      </c>
      <c r="B408" s="57"/>
      <c r="C408" s="96" t="str">
        <f t="shared" si="80"/>
        <v/>
      </c>
      <c r="D408" s="97" t="str">
        <f t="shared" si="81"/>
        <v/>
      </c>
      <c r="E408" s="58"/>
      <c r="F408" s="59"/>
      <c r="G408" s="106" t="str">
        <f t="shared" si="84"/>
        <v/>
      </c>
      <c r="H408" s="103" t="str">
        <f t="shared" si="82"/>
        <v/>
      </c>
      <c r="I408" s="110" t="str">
        <f t="shared" si="85"/>
        <v/>
      </c>
      <c r="J408" s="100" t="str">
        <f>IF(B408&gt;0,ROUNDUP(VLOOKUP(B408,G011B!$B:$R,16,0),1),"")</f>
        <v/>
      </c>
      <c r="K408" s="100" t="str">
        <f t="shared" si="86"/>
        <v/>
      </c>
      <c r="L408" s="101" t="str">
        <f>IF(B408&lt;&gt;"",VLOOKUP(B408,G011B!$B:$Z,25,0),"")</f>
        <v/>
      </c>
      <c r="M408" s="160" t="str">
        <f t="shared" si="83"/>
        <v/>
      </c>
      <c r="N408" s="43"/>
      <c r="O408" s="43"/>
      <c r="P408" s="43"/>
    </row>
    <row r="409" spans="1:16" ht="20.05" customHeight="1" x14ac:dyDescent="0.25">
      <c r="A409" s="180">
        <v>246</v>
      </c>
      <c r="B409" s="57"/>
      <c r="C409" s="96" t="str">
        <f t="shared" si="80"/>
        <v/>
      </c>
      <c r="D409" s="97" t="str">
        <f t="shared" si="81"/>
        <v/>
      </c>
      <c r="E409" s="58"/>
      <c r="F409" s="59"/>
      <c r="G409" s="106" t="str">
        <f t="shared" si="84"/>
        <v/>
      </c>
      <c r="H409" s="103" t="str">
        <f t="shared" si="82"/>
        <v/>
      </c>
      <c r="I409" s="110" t="str">
        <f t="shared" si="85"/>
        <v/>
      </c>
      <c r="J409" s="100" t="str">
        <f>IF(B409&gt;0,ROUNDUP(VLOOKUP(B409,G011B!$B:$R,16,0),1),"")</f>
        <v/>
      </c>
      <c r="K409" s="100" t="str">
        <f t="shared" si="86"/>
        <v/>
      </c>
      <c r="L409" s="101" t="str">
        <f>IF(B409&lt;&gt;"",VLOOKUP(B409,G011B!$B:$Z,25,0),"")</f>
        <v/>
      </c>
      <c r="M409" s="160" t="str">
        <f t="shared" si="83"/>
        <v/>
      </c>
      <c r="N409" s="43"/>
      <c r="O409" s="43"/>
      <c r="P409" s="43"/>
    </row>
    <row r="410" spans="1:16" ht="20.05" customHeight="1" x14ac:dyDescent="0.25">
      <c r="A410" s="180">
        <v>247</v>
      </c>
      <c r="B410" s="57"/>
      <c r="C410" s="96" t="str">
        <f t="shared" si="80"/>
        <v/>
      </c>
      <c r="D410" s="97" t="str">
        <f t="shared" si="81"/>
        <v/>
      </c>
      <c r="E410" s="58"/>
      <c r="F410" s="59"/>
      <c r="G410" s="106" t="str">
        <f t="shared" si="84"/>
        <v/>
      </c>
      <c r="H410" s="103" t="str">
        <f t="shared" si="82"/>
        <v/>
      </c>
      <c r="I410" s="110" t="str">
        <f t="shared" si="85"/>
        <v/>
      </c>
      <c r="J410" s="100" t="str">
        <f>IF(B410&gt;0,ROUNDUP(VLOOKUP(B410,G011B!$B:$R,16,0),1),"")</f>
        <v/>
      </c>
      <c r="K410" s="100" t="str">
        <f t="shared" si="86"/>
        <v/>
      </c>
      <c r="L410" s="101" t="str">
        <f>IF(B410&lt;&gt;"",VLOOKUP(B410,G011B!$B:$Z,25,0),"")</f>
        <v/>
      </c>
      <c r="M410" s="160" t="str">
        <f t="shared" si="83"/>
        <v/>
      </c>
      <c r="N410" s="43"/>
      <c r="O410" s="43"/>
      <c r="P410" s="43"/>
    </row>
    <row r="411" spans="1:16" ht="20.05" customHeight="1" x14ac:dyDescent="0.25">
      <c r="A411" s="180">
        <v>248</v>
      </c>
      <c r="B411" s="57"/>
      <c r="C411" s="96" t="str">
        <f t="shared" si="80"/>
        <v/>
      </c>
      <c r="D411" s="97" t="str">
        <f t="shared" si="81"/>
        <v/>
      </c>
      <c r="E411" s="58"/>
      <c r="F411" s="59"/>
      <c r="G411" s="106" t="str">
        <f t="shared" si="84"/>
        <v/>
      </c>
      <c r="H411" s="103" t="str">
        <f t="shared" si="82"/>
        <v/>
      </c>
      <c r="I411" s="110" t="str">
        <f t="shared" si="85"/>
        <v/>
      </c>
      <c r="J411" s="100" t="str">
        <f>IF(B411&gt;0,ROUNDUP(VLOOKUP(B411,G011B!$B:$R,16,0),1),"")</f>
        <v/>
      </c>
      <c r="K411" s="100" t="str">
        <f t="shared" si="86"/>
        <v/>
      </c>
      <c r="L411" s="101" t="str">
        <f>IF(B411&lt;&gt;"",VLOOKUP(B411,G011B!$B:$Z,25,0),"")</f>
        <v/>
      </c>
      <c r="M411" s="160" t="str">
        <f t="shared" si="83"/>
        <v/>
      </c>
      <c r="N411" s="43"/>
      <c r="O411" s="43"/>
      <c r="P411" s="43"/>
    </row>
    <row r="412" spans="1:16" ht="20.05" customHeight="1" x14ac:dyDescent="0.25">
      <c r="A412" s="180">
        <v>249</v>
      </c>
      <c r="B412" s="57"/>
      <c r="C412" s="96" t="str">
        <f t="shared" si="80"/>
        <v/>
      </c>
      <c r="D412" s="97" t="str">
        <f t="shared" si="81"/>
        <v/>
      </c>
      <c r="E412" s="58"/>
      <c r="F412" s="59"/>
      <c r="G412" s="106" t="str">
        <f t="shared" si="84"/>
        <v/>
      </c>
      <c r="H412" s="103" t="str">
        <f t="shared" si="82"/>
        <v/>
      </c>
      <c r="I412" s="110" t="str">
        <f t="shared" si="85"/>
        <v/>
      </c>
      <c r="J412" s="100" t="str">
        <f>IF(B412&gt;0,ROUNDUP(VLOOKUP(B412,G011B!$B:$R,16,0),1),"")</f>
        <v/>
      </c>
      <c r="K412" s="100" t="str">
        <f t="shared" si="86"/>
        <v/>
      </c>
      <c r="L412" s="101" t="str">
        <f>IF(B412&lt;&gt;"",VLOOKUP(B412,G011B!$B:$Z,25,0),"")</f>
        <v/>
      </c>
      <c r="M412" s="160" t="str">
        <f t="shared" si="83"/>
        <v/>
      </c>
      <c r="N412" s="43"/>
      <c r="O412" s="43"/>
      <c r="P412" s="43"/>
    </row>
    <row r="413" spans="1:16" ht="20.05" customHeight="1" x14ac:dyDescent="0.25">
      <c r="A413" s="180">
        <v>250</v>
      </c>
      <c r="B413" s="57"/>
      <c r="C413" s="96" t="str">
        <f t="shared" si="80"/>
        <v/>
      </c>
      <c r="D413" s="97" t="str">
        <f t="shared" si="81"/>
        <v/>
      </c>
      <c r="E413" s="58"/>
      <c r="F413" s="59"/>
      <c r="G413" s="106" t="str">
        <f t="shared" si="84"/>
        <v/>
      </c>
      <c r="H413" s="103" t="str">
        <f t="shared" si="82"/>
        <v/>
      </c>
      <c r="I413" s="110" t="str">
        <f t="shared" si="85"/>
        <v/>
      </c>
      <c r="J413" s="100" t="str">
        <f>IF(B413&gt;0,ROUNDUP(VLOOKUP(B413,G011B!$B:$R,16,0),1),"")</f>
        <v/>
      </c>
      <c r="K413" s="100" t="str">
        <f t="shared" si="86"/>
        <v/>
      </c>
      <c r="L413" s="101" t="str">
        <f>IF(B413&lt;&gt;"",VLOOKUP(B413,G011B!$B:$Z,25,0),"")</f>
        <v/>
      </c>
      <c r="M413" s="160" t="str">
        <f t="shared" si="83"/>
        <v/>
      </c>
      <c r="N413" s="43"/>
      <c r="O413" s="43"/>
      <c r="P413" s="43"/>
    </row>
    <row r="414" spans="1:16" ht="20.05" customHeight="1" x14ac:dyDescent="0.25">
      <c r="A414" s="180">
        <v>251</v>
      </c>
      <c r="B414" s="57"/>
      <c r="C414" s="96" t="str">
        <f t="shared" si="80"/>
        <v/>
      </c>
      <c r="D414" s="97" t="str">
        <f t="shared" si="81"/>
        <v/>
      </c>
      <c r="E414" s="58"/>
      <c r="F414" s="59"/>
      <c r="G414" s="106" t="str">
        <f t="shared" si="84"/>
        <v/>
      </c>
      <c r="H414" s="103" t="str">
        <f t="shared" si="82"/>
        <v/>
      </c>
      <c r="I414" s="110" t="str">
        <f t="shared" si="85"/>
        <v/>
      </c>
      <c r="J414" s="100" t="str">
        <f>IF(B414&gt;0,ROUNDUP(VLOOKUP(B414,G011B!$B:$R,16,0),1),"")</f>
        <v/>
      </c>
      <c r="K414" s="100" t="str">
        <f t="shared" si="86"/>
        <v/>
      </c>
      <c r="L414" s="101" t="str">
        <f>IF(B414&lt;&gt;"",VLOOKUP(B414,G011B!$B:$Z,25,0),"")</f>
        <v/>
      </c>
      <c r="M414" s="160" t="str">
        <f t="shared" si="83"/>
        <v/>
      </c>
      <c r="N414" s="43"/>
      <c r="O414" s="43"/>
      <c r="P414" s="43"/>
    </row>
    <row r="415" spans="1:16" ht="20.05" customHeight="1" x14ac:dyDescent="0.25">
      <c r="A415" s="180">
        <v>252</v>
      </c>
      <c r="B415" s="57"/>
      <c r="C415" s="96" t="str">
        <f t="shared" si="80"/>
        <v/>
      </c>
      <c r="D415" s="97" t="str">
        <f t="shared" si="81"/>
        <v/>
      </c>
      <c r="E415" s="58"/>
      <c r="F415" s="59"/>
      <c r="G415" s="106" t="str">
        <f t="shared" si="84"/>
        <v/>
      </c>
      <c r="H415" s="103" t="str">
        <f t="shared" si="82"/>
        <v/>
      </c>
      <c r="I415" s="110" t="str">
        <f t="shared" si="85"/>
        <v/>
      </c>
      <c r="J415" s="100" t="str">
        <f>IF(B415&gt;0,ROUNDUP(VLOOKUP(B415,G011B!$B:$R,16,0),1),"")</f>
        <v/>
      </c>
      <c r="K415" s="100" t="str">
        <f t="shared" si="86"/>
        <v/>
      </c>
      <c r="L415" s="101" t="str">
        <f>IF(B415&lt;&gt;"",VLOOKUP(B415,G011B!$B:$Z,25,0),"")</f>
        <v/>
      </c>
      <c r="M415" s="160" t="str">
        <f t="shared" si="83"/>
        <v/>
      </c>
      <c r="N415" s="43"/>
      <c r="O415" s="43"/>
      <c r="P415" s="43"/>
    </row>
    <row r="416" spans="1:16" ht="20.05" customHeight="1" x14ac:dyDescent="0.25">
      <c r="A416" s="180">
        <v>253</v>
      </c>
      <c r="B416" s="57"/>
      <c r="C416" s="96" t="str">
        <f t="shared" si="80"/>
        <v/>
      </c>
      <c r="D416" s="97" t="str">
        <f t="shared" si="81"/>
        <v/>
      </c>
      <c r="E416" s="58"/>
      <c r="F416" s="59"/>
      <c r="G416" s="106" t="str">
        <f t="shared" si="84"/>
        <v/>
      </c>
      <c r="H416" s="103" t="str">
        <f t="shared" si="82"/>
        <v/>
      </c>
      <c r="I416" s="110" t="str">
        <f t="shared" si="85"/>
        <v/>
      </c>
      <c r="J416" s="100" t="str">
        <f>IF(B416&gt;0,ROUNDUP(VLOOKUP(B416,G011B!$B:$R,16,0),1),"")</f>
        <v/>
      </c>
      <c r="K416" s="100" t="str">
        <f t="shared" si="86"/>
        <v/>
      </c>
      <c r="L416" s="101" t="str">
        <f>IF(B416&lt;&gt;"",VLOOKUP(B416,G011B!$B:$Z,25,0),"")</f>
        <v/>
      </c>
      <c r="M416" s="160" t="str">
        <f t="shared" si="83"/>
        <v/>
      </c>
      <c r="N416" s="43"/>
      <c r="O416" s="43"/>
      <c r="P416" s="43"/>
    </row>
    <row r="417" spans="1:16" ht="20.05" customHeight="1" x14ac:dyDescent="0.25">
      <c r="A417" s="180">
        <v>254</v>
      </c>
      <c r="B417" s="57"/>
      <c r="C417" s="96" t="str">
        <f t="shared" si="80"/>
        <v/>
      </c>
      <c r="D417" s="97" t="str">
        <f t="shared" si="81"/>
        <v/>
      </c>
      <c r="E417" s="58"/>
      <c r="F417" s="59"/>
      <c r="G417" s="106" t="str">
        <f t="shared" si="84"/>
        <v/>
      </c>
      <c r="H417" s="103" t="str">
        <f t="shared" si="82"/>
        <v/>
      </c>
      <c r="I417" s="110" t="str">
        <f t="shared" si="85"/>
        <v/>
      </c>
      <c r="J417" s="100" t="str">
        <f>IF(B417&gt;0,ROUNDUP(VLOOKUP(B417,G011B!$B:$R,16,0),1),"")</f>
        <v/>
      </c>
      <c r="K417" s="100" t="str">
        <f t="shared" si="86"/>
        <v/>
      </c>
      <c r="L417" s="101" t="str">
        <f>IF(B417&lt;&gt;"",VLOOKUP(B417,G011B!$B:$Z,25,0),"")</f>
        <v/>
      </c>
      <c r="M417" s="160" t="str">
        <f t="shared" si="83"/>
        <v/>
      </c>
      <c r="N417" s="43"/>
      <c r="O417" s="43"/>
      <c r="P417" s="43"/>
    </row>
    <row r="418" spans="1:16" ht="20.05" customHeight="1" x14ac:dyDescent="0.25">
      <c r="A418" s="180">
        <v>255</v>
      </c>
      <c r="B418" s="57"/>
      <c r="C418" s="96" t="str">
        <f t="shared" si="80"/>
        <v/>
      </c>
      <c r="D418" s="97" t="str">
        <f t="shared" si="81"/>
        <v/>
      </c>
      <c r="E418" s="58"/>
      <c r="F418" s="59"/>
      <c r="G418" s="106" t="str">
        <f t="shared" si="84"/>
        <v/>
      </c>
      <c r="H418" s="103" t="str">
        <f t="shared" si="82"/>
        <v/>
      </c>
      <c r="I418" s="110" t="str">
        <f t="shared" si="85"/>
        <v/>
      </c>
      <c r="J418" s="100" t="str">
        <f>IF(B418&gt;0,ROUNDUP(VLOOKUP(B418,G011B!$B:$R,16,0),1),"")</f>
        <v/>
      </c>
      <c r="K418" s="100" t="str">
        <f t="shared" si="86"/>
        <v/>
      </c>
      <c r="L418" s="101" t="str">
        <f>IF(B418&lt;&gt;"",VLOOKUP(B418,G011B!$B:$Z,25,0),"")</f>
        <v/>
      </c>
      <c r="M418" s="160" t="str">
        <f t="shared" si="83"/>
        <v/>
      </c>
      <c r="N418" s="43"/>
      <c r="O418" s="43"/>
      <c r="P418" s="43"/>
    </row>
    <row r="419" spans="1:16" ht="20.05" customHeight="1" x14ac:dyDescent="0.25">
      <c r="A419" s="180">
        <v>256</v>
      </c>
      <c r="B419" s="57"/>
      <c r="C419" s="96" t="str">
        <f t="shared" si="80"/>
        <v/>
      </c>
      <c r="D419" s="97" t="str">
        <f t="shared" si="81"/>
        <v/>
      </c>
      <c r="E419" s="58"/>
      <c r="F419" s="59"/>
      <c r="G419" s="106" t="str">
        <f t="shared" si="84"/>
        <v/>
      </c>
      <c r="H419" s="103" t="str">
        <f t="shared" si="82"/>
        <v/>
      </c>
      <c r="I419" s="110" t="str">
        <f t="shared" si="85"/>
        <v/>
      </c>
      <c r="J419" s="100" t="str">
        <f>IF(B419&gt;0,ROUNDUP(VLOOKUP(B419,G011B!$B:$R,16,0),1),"")</f>
        <v/>
      </c>
      <c r="K419" s="100" t="str">
        <f t="shared" si="86"/>
        <v/>
      </c>
      <c r="L419" s="101" t="str">
        <f>IF(B419&lt;&gt;"",VLOOKUP(B419,G011B!$B:$Z,25,0),"")</f>
        <v/>
      </c>
      <c r="M419" s="160" t="str">
        <f t="shared" si="83"/>
        <v/>
      </c>
      <c r="N419" s="43"/>
      <c r="O419" s="43"/>
      <c r="P419" s="43"/>
    </row>
    <row r="420" spans="1:16" ht="20.05" customHeight="1" x14ac:dyDescent="0.25">
      <c r="A420" s="180">
        <v>257</v>
      </c>
      <c r="B420" s="57"/>
      <c r="C420" s="96" t="str">
        <f t="shared" si="80"/>
        <v/>
      </c>
      <c r="D420" s="97" t="str">
        <f t="shared" si="81"/>
        <v/>
      </c>
      <c r="E420" s="58"/>
      <c r="F420" s="59"/>
      <c r="G420" s="106" t="str">
        <f t="shared" si="84"/>
        <v/>
      </c>
      <c r="H420" s="103" t="str">
        <f t="shared" si="82"/>
        <v/>
      </c>
      <c r="I420" s="110" t="str">
        <f t="shared" si="85"/>
        <v/>
      </c>
      <c r="J420" s="100" t="str">
        <f>IF(B420&gt;0,ROUNDUP(VLOOKUP(B420,G011B!$B:$R,16,0),1),"")</f>
        <v/>
      </c>
      <c r="K420" s="100" t="str">
        <f t="shared" si="86"/>
        <v/>
      </c>
      <c r="L420" s="101" t="str">
        <f>IF(B420&lt;&gt;"",VLOOKUP(B420,G011B!$B:$Z,25,0),"")</f>
        <v/>
      </c>
      <c r="M420" s="160" t="str">
        <f t="shared" si="83"/>
        <v/>
      </c>
      <c r="N420" s="43"/>
      <c r="O420" s="43"/>
      <c r="P420" s="43"/>
    </row>
    <row r="421" spans="1:16" ht="20.05" customHeight="1" x14ac:dyDescent="0.25">
      <c r="A421" s="180">
        <v>258</v>
      </c>
      <c r="B421" s="57"/>
      <c r="C421" s="96" t="str">
        <f t="shared" si="80"/>
        <v/>
      </c>
      <c r="D421" s="97" t="str">
        <f t="shared" si="81"/>
        <v/>
      </c>
      <c r="E421" s="58"/>
      <c r="F421" s="59"/>
      <c r="G421" s="106" t="str">
        <f t="shared" si="84"/>
        <v/>
      </c>
      <c r="H421" s="103" t="str">
        <f t="shared" si="82"/>
        <v/>
      </c>
      <c r="I421" s="110" t="str">
        <f t="shared" si="85"/>
        <v/>
      </c>
      <c r="J421" s="100" t="str">
        <f>IF(B421&gt;0,ROUNDUP(VLOOKUP(B421,G011B!$B:$R,16,0),1),"")</f>
        <v/>
      </c>
      <c r="K421" s="100" t="str">
        <f t="shared" si="86"/>
        <v/>
      </c>
      <c r="L421" s="101" t="str">
        <f>IF(B421&lt;&gt;"",VLOOKUP(B421,G011B!$B:$Z,25,0),"")</f>
        <v/>
      </c>
      <c r="M421" s="160" t="str">
        <f t="shared" si="83"/>
        <v/>
      </c>
      <c r="N421" s="43"/>
      <c r="O421" s="43"/>
      <c r="P421" s="43"/>
    </row>
    <row r="422" spans="1:16" ht="20.05" customHeight="1" x14ac:dyDescent="0.25">
      <c r="A422" s="180">
        <v>259</v>
      </c>
      <c r="B422" s="57"/>
      <c r="C422" s="96" t="str">
        <f t="shared" si="80"/>
        <v/>
      </c>
      <c r="D422" s="97" t="str">
        <f t="shared" si="81"/>
        <v/>
      </c>
      <c r="E422" s="58"/>
      <c r="F422" s="59"/>
      <c r="G422" s="106" t="str">
        <f t="shared" si="84"/>
        <v/>
      </c>
      <c r="H422" s="103" t="str">
        <f t="shared" si="82"/>
        <v/>
      </c>
      <c r="I422" s="110" t="str">
        <f t="shared" si="85"/>
        <v/>
      </c>
      <c r="J422" s="100" t="str">
        <f>IF(B422&gt;0,ROUNDUP(VLOOKUP(B422,G011B!$B:$R,16,0),1),"")</f>
        <v/>
      </c>
      <c r="K422" s="100" t="str">
        <f t="shared" si="86"/>
        <v/>
      </c>
      <c r="L422" s="101" t="str">
        <f>IF(B422&lt;&gt;"",VLOOKUP(B422,G011B!$B:$Z,25,0),"")</f>
        <v/>
      </c>
      <c r="M422" s="160" t="str">
        <f t="shared" si="83"/>
        <v/>
      </c>
      <c r="N422" s="43"/>
      <c r="O422" s="43"/>
      <c r="P422" s="43"/>
    </row>
    <row r="423" spans="1:16" ht="20.05" customHeight="1" thickBot="1" x14ac:dyDescent="0.3">
      <c r="A423" s="181">
        <v>260</v>
      </c>
      <c r="B423" s="60"/>
      <c r="C423" s="98" t="str">
        <f t="shared" si="80"/>
        <v/>
      </c>
      <c r="D423" s="99" t="str">
        <f t="shared" si="81"/>
        <v/>
      </c>
      <c r="E423" s="61"/>
      <c r="F423" s="62"/>
      <c r="G423" s="107" t="str">
        <f t="shared" si="84"/>
        <v/>
      </c>
      <c r="H423" s="104" t="str">
        <f t="shared" si="82"/>
        <v/>
      </c>
      <c r="I423" s="111" t="str">
        <f t="shared" si="85"/>
        <v/>
      </c>
      <c r="J423" s="100" t="str">
        <f>IF(B423&gt;0,ROUNDUP(VLOOKUP(B423,G011B!$B:$R,16,0),1),"")</f>
        <v/>
      </c>
      <c r="K423" s="100" t="str">
        <f t="shared" si="86"/>
        <v/>
      </c>
      <c r="L423" s="101" t="str">
        <f>IF(B423&lt;&gt;"",VLOOKUP(B423,G011B!$B:$Z,25,0),"")</f>
        <v/>
      </c>
      <c r="M423" s="160" t="str">
        <f t="shared" si="83"/>
        <v/>
      </c>
      <c r="N423" s="43"/>
      <c r="O423" s="43"/>
      <c r="P423" s="43"/>
    </row>
    <row r="424" spans="1:16" ht="20.05" customHeight="1" thickBot="1" x14ac:dyDescent="0.4">
      <c r="A424" s="360" t="s">
        <v>42</v>
      </c>
      <c r="B424" s="361"/>
      <c r="C424" s="361"/>
      <c r="D424" s="361"/>
      <c r="E424" s="361"/>
      <c r="F424" s="362"/>
      <c r="G424" s="108">
        <f>SUM(G404:G423)</f>
        <v>0</v>
      </c>
      <c r="H424" s="202"/>
      <c r="I424" s="93">
        <f>IF(C402=C369,SUM(I404:I423)+I391,SUM(I404:I423))</f>
        <v>0</v>
      </c>
      <c r="J424" s="43"/>
      <c r="K424" s="43"/>
      <c r="L424" s="43"/>
      <c r="M424" s="43"/>
      <c r="N424" s="112">
        <f>IF(COUNTA(B404:B423)&gt;0,1,0)</f>
        <v>0</v>
      </c>
      <c r="O424" s="43"/>
      <c r="P424" s="43"/>
    </row>
    <row r="425" spans="1:16" ht="20.05" customHeight="1" thickBot="1" x14ac:dyDescent="0.35">
      <c r="A425" s="363" t="s">
        <v>80</v>
      </c>
      <c r="B425" s="364"/>
      <c r="C425" s="364"/>
      <c r="D425" s="365"/>
      <c r="E425" s="86">
        <f>SUM(G:G)/2</f>
        <v>0</v>
      </c>
      <c r="F425" s="366"/>
      <c r="G425" s="367"/>
      <c r="H425" s="368"/>
      <c r="I425" s="92">
        <f>SUM(I404:I423)+I392</f>
        <v>0</v>
      </c>
      <c r="J425" s="43"/>
      <c r="K425" s="43"/>
      <c r="L425" s="43"/>
      <c r="M425" s="43"/>
      <c r="N425" s="43"/>
      <c r="O425" s="43"/>
      <c r="P425" s="43"/>
    </row>
    <row r="426" spans="1:16" x14ac:dyDescent="0.25">
      <c r="A426" s="182" t="s">
        <v>118</v>
      </c>
      <c r="B426" s="43"/>
      <c r="C426" s="43"/>
      <c r="D426" s="43"/>
      <c r="E426" s="43"/>
      <c r="F426" s="43"/>
      <c r="G426" s="43"/>
      <c r="H426" s="43"/>
      <c r="I426" s="43"/>
      <c r="J426" s="43"/>
      <c r="K426" s="43"/>
      <c r="L426" s="43"/>
      <c r="M426" s="43"/>
      <c r="N426" s="43"/>
      <c r="O426" s="43"/>
      <c r="P426" s="43"/>
    </row>
    <row r="427" spans="1:16" x14ac:dyDescent="0.25">
      <c r="A427" s="43"/>
      <c r="B427" s="43"/>
      <c r="C427" s="43"/>
      <c r="D427" s="43"/>
      <c r="E427" s="43"/>
      <c r="F427" s="43"/>
      <c r="G427" s="43"/>
      <c r="H427" s="43"/>
      <c r="I427" s="43"/>
      <c r="J427" s="43"/>
      <c r="K427" s="43"/>
      <c r="L427" s="43"/>
      <c r="M427" s="43"/>
      <c r="N427" s="43"/>
      <c r="O427" s="43"/>
      <c r="P427" s="43"/>
    </row>
    <row r="428" spans="1:16" ht="21.1" x14ac:dyDescent="0.35">
      <c r="A428" s="247" t="s">
        <v>39</v>
      </c>
      <c r="B428" s="248">
        <f ca="1">IF(imzatarihi&gt;0,imzatarihi,"")</f>
        <v>45686</v>
      </c>
      <c r="C428" s="251" t="s">
        <v>40</v>
      </c>
      <c r="D428" s="245" t="str">
        <f>IF(kurulusyetkilisi&gt;0,kurulusyetkilisi,"")</f>
        <v/>
      </c>
      <c r="F428" s="247"/>
      <c r="G428" s="247"/>
      <c r="H428" s="163"/>
      <c r="I428" s="163"/>
      <c r="J428" s="43"/>
      <c r="K428" s="73"/>
      <c r="L428" s="73"/>
      <c r="M428" s="5"/>
      <c r="N428" s="73"/>
      <c r="O428" s="73"/>
      <c r="P428" s="43"/>
    </row>
    <row r="429" spans="1:16" ht="19.7" x14ac:dyDescent="0.35">
      <c r="A429" s="249"/>
      <c r="B429" s="249"/>
      <c r="C429" s="251" t="s">
        <v>41</v>
      </c>
      <c r="D429" s="247"/>
      <c r="E429" s="302"/>
      <c r="F429" s="302"/>
      <c r="G429" s="302"/>
      <c r="H429" s="42"/>
      <c r="I429" s="42"/>
      <c r="J429" s="43"/>
      <c r="K429" s="73"/>
      <c r="L429" s="73"/>
      <c r="M429" s="5"/>
      <c r="N429" s="73"/>
      <c r="O429" s="73"/>
      <c r="P429" s="43"/>
    </row>
    <row r="430" spans="1:16" ht="16.3" x14ac:dyDescent="0.3">
      <c r="A430" s="338" t="s">
        <v>73</v>
      </c>
      <c r="B430" s="338"/>
      <c r="C430" s="338"/>
      <c r="D430" s="338"/>
      <c r="E430" s="338"/>
      <c r="F430" s="338"/>
      <c r="G430" s="338"/>
      <c r="H430" s="338"/>
      <c r="I430" s="338"/>
      <c r="J430" s="43"/>
      <c r="K430" s="43"/>
      <c r="L430" s="43"/>
      <c r="M430" s="43"/>
      <c r="N430" s="43"/>
      <c r="O430" s="43"/>
      <c r="P430" s="43"/>
    </row>
    <row r="431" spans="1:16" x14ac:dyDescent="0.25">
      <c r="A431" s="336" t="str">
        <f>IF(YilDonem&lt;&gt;"",CONCATENATE(YilDonem,". döneme aittir."),"")</f>
        <v/>
      </c>
      <c r="B431" s="336"/>
      <c r="C431" s="336"/>
      <c r="D431" s="336"/>
      <c r="E431" s="336"/>
      <c r="F431" s="336"/>
      <c r="G431" s="336"/>
      <c r="H431" s="336"/>
      <c r="I431" s="336"/>
      <c r="J431" s="43"/>
      <c r="K431" s="43"/>
      <c r="L431" s="43"/>
      <c r="M431" s="43"/>
      <c r="N431" s="43"/>
      <c r="O431" s="43"/>
      <c r="P431" s="43"/>
    </row>
    <row r="432" spans="1:16" ht="19.7" thickBot="1" x14ac:dyDescent="0.4">
      <c r="A432" s="372" t="s">
        <v>82</v>
      </c>
      <c r="B432" s="372"/>
      <c r="C432" s="372"/>
      <c r="D432" s="372"/>
      <c r="E432" s="372"/>
      <c r="F432" s="372"/>
      <c r="G432" s="372"/>
      <c r="H432" s="372"/>
      <c r="I432" s="372"/>
      <c r="J432" s="43"/>
      <c r="K432" s="43"/>
      <c r="L432" s="43"/>
      <c r="M432" s="43"/>
      <c r="N432" s="43"/>
      <c r="O432" s="43"/>
      <c r="P432" s="43"/>
    </row>
    <row r="433" spans="1:16" ht="19.55" customHeight="1" thickBot="1" x14ac:dyDescent="0.3">
      <c r="A433" s="341" t="s">
        <v>1</v>
      </c>
      <c r="B433" s="343"/>
      <c r="C433" s="330" t="str">
        <f>IF(ProjeNo&gt;0,ProjeNo,"")</f>
        <v/>
      </c>
      <c r="D433" s="331"/>
      <c r="E433" s="331"/>
      <c r="F433" s="331"/>
      <c r="G433" s="331"/>
      <c r="H433" s="331"/>
      <c r="I433" s="332"/>
      <c r="J433" s="43"/>
      <c r="K433" s="43"/>
      <c r="L433" s="43"/>
      <c r="M433" s="43"/>
      <c r="N433" s="43"/>
      <c r="O433" s="43"/>
      <c r="P433" s="43"/>
    </row>
    <row r="434" spans="1:16" ht="29.25" customHeight="1" thickBot="1" x14ac:dyDescent="0.3">
      <c r="A434" s="371" t="s">
        <v>11</v>
      </c>
      <c r="B434" s="342"/>
      <c r="C434" s="346" t="str">
        <f>IF(ProjeAdi&gt;0,ProjeAdi,"")</f>
        <v/>
      </c>
      <c r="D434" s="347"/>
      <c r="E434" s="347"/>
      <c r="F434" s="347"/>
      <c r="G434" s="347"/>
      <c r="H434" s="347"/>
      <c r="I434" s="348"/>
      <c r="J434" s="43"/>
      <c r="K434" s="43"/>
      <c r="L434" s="43"/>
      <c r="M434" s="43"/>
      <c r="N434" s="43"/>
      <c r="O434" s="43"/>
      <c r="P434" s="43"/>
    </row>
    <row r="435" spans="1:16" ht="19.55" customHeight="1" thickBot="1" x14ac:dyDescent="0.3">
      <c r="A435" s="341" t="s">
        <v>74</v>
      </c>
      <c r="B435" s="343"/>
      <c r="C435" s="9"/>
      <c r="D435" s="369"/>
      <c r="E435" s="369"/>
      <c r="F435" s="369"/>
      <c r="G435" s="369"/>
      <c r="H435" s="369"/>
      <c r="I435" s="370"/>
      <c r="J435" s="43"/>
      <c r="K435" s="43"/>
      <c r="L435" s="43"/>
      <c r="M435" s="43"/>
      <c r="N435" s="43"/>
      <c r="O435" s="43"/>
      <c r="P435" s="43"/>
    </row>
    <row r="436" spans="1:16" s="2" customFormat="1" ht="29.25" thickBot="1" x14ac:dyDescent="0.3">
      <c r="A436" s="176" t="s">
        <v>7</v>
      </c>
      <c r="B436" s="176" t="s">
        <v>8</v>
      </c>
      <c r="C436" s="176" t="s">
        <v>63</v>
      </c>
      <c r="D436" s="176" t="s">
        <v>119</v>
      </c>
      <c r="E436" s="176" t="s">
        <v>75</v>
      </c>
      <c r="F436" s="176" t="s">
        <v>76</v>
      </c>
      <c r="G436" s="176" t="s">
        <v>77</v>
      </c>
      <c r="H436" s="176" t="s">
        <v>78</v>
      </c>
      <c r="I436" s="176" t="s">
        <v>79</v>
      </c>
      <c r="J436" s="177" t="s">
        <v>83</v>
      </c>
      <c r="K436" s="178" t="s">
        <v>84</v>
      </c>
      <c r="L436" s="178" t="s">
        <v>76</v>
      </c>
      <c r="M436" s="169"/>
      <c r="N436" s="169"/>
      <c r="O436" s="169"/>
      <c r="P436" s="169"/>
    </row>
    <row r="437" spans="1:16" ht="20.05" customHeight="1" x14ac:dyDescent="0.25">
      <c r="A437" s="179">
        <v>261</v>
      </c>
      <c r="B437" s="53"/>
      <c r="C437" s="94" t="str">
        <f t="shared" ref="C437:C456" si="87">IF(B437&lt;&gt;"",VLOOKUP(B437,PersonelTablo,2,0),"")</f>
        <v/>
      </c>
      <c r="D437" s="95" t="str">
        <f t="shared" ref="D437:D456" si="88">IF(B437&lt;&gt;"",VLOOKUP(B437,PersonelTablo,3,0),"")</f>
        <v/>
      </c>
      <c r="E437" s="54"/>
      <c r="F437" s="55"/>
      <c r="G437" s="105" t="str">
        <f>IF(AND(B437&lt;&gt;"",L437&gt;=F437),E437*F437,"")</f>
        <v/>
      </c>
      <c r="H437" s="102" t="str">
        <f t="shared" ref="H437:H456" si="89">IF(B437&lt;&gt;"",VLOOKUP(B437,G011CTablo,14,0),"")</f>
        <v/>
      </c>
      <c r="I437" s="109" t="str">
        <f>IF(AND(B437&lt;&gt;"",J437&gt;=K437,L437&gt;0),G437*H437,"")</f>
        <v/>
      </c>
      <c r="J437" s="100" t="str">
        <f>IF(B437&gt;0,ROUNDUP(VLOOKUP(B437,G011B!$B:$R,16,0),1),"")</f>
        <v/>
      </c>
      <c r="K437" s="100" t="str">
        <f>IF(B437&gt;0,SUMIF($B:$B,B437,$G:$G),"")</f>
        <v/>
      </c>
      <c r="L437" s="101" t="str">
        <f>IF(B437&lt;&gt;"",VLOOKUP(B437,G011B!$B:$Z,25,0),"")</f>
        <v/>
      </c>
      <c r="M437" s="160" t="str">
        <f t="shared" ref="M437:M456" si="90">IF(J437&gt;=K437,"","Personelin bütün iş paketlerindeki Toplam Adam Ay değeri "&amp;K437&amp;" olup, bu değer, G011B formunda beyan edilen Çalışılan Toplam Ay değerini geçemez. Maliyeti hesaplamak için Adam/Ay Oranı veya Çalışılan Ay değerini düzeltiniz. ")</f>
        <v/>
      </c>
      <c r="N437" s="43"/>
      <c r="O437" s="43"/>
      <c r="P437" s="43"/>
    </row>
    <row r="438" spans="1:16" ht="20.05" customHeight="1" x14ac:dyDescent="0.25">
      <c r="A438" s="180">
        <v>262</v>
      </c>
      <c r="B438" s="57"/>
      <c r="C438" s="96" t="str">
        <f t="shared" si="87"/>
        <v/>
      </c>
      <c r="D438" s="97" t="str">
        <f t="shared" si="88"/>
        <v/>
      </c>
      <c r="E438" s="58"/>
      <c r="F438" s="59"/>
      <c r="G438" s="106" t="str">
        <f t="shared" ref="G438:G456" si="91">IF(AND(B438&lt;&gt;"",L438&gt;=F438),E438*F438,"")</f>
        <v/>
      </c>
      <c r="H438" s="103" t="str">
        <f t="shared" si="89"/>
        <v/>
      </c>
      <c r="I438" s="110" t="str">
        <f t="shared" ref="I438:I456" si="92">IF(AND(B438&lt;&gt;"",J438&gt;=K438,L438&gt;0),G438*H438,"")</f>
        <v/>
      </c>
      <c r="J438" s="100" t="str">
        <f>IF(B438&gt;0,ROUNDUP(VLOOKUP(B438,G011B!$B:$R,16,0),1),"")</f>
        <v/>
      </c>
      <c r="K438" s="100" t="str">
        <f t="shared" ref="K438:K456" si="93">IF(B438&gt;0,SUMIF($B:$B,B438,$G:$G),"")</f>
        <v/>
      </c>
      <c r="L438" s="101" t="str">
        <f>IF(B438&lt;&gt;"",VLOOKUP(B438,G011B!$B:$Z,25,0),"")</f>
        <v/>
      </c>
      <c r="M438" s="160" t="str">
        <f t="shared" si="90"/>
        <v/>
      </c>
      <c r="N438" s="43"/>
      <c r="O438" s="43"/>
      <c r="P438" s="43"/>
    </row>
    <row r="439" spans="1:16" ht="20.05" customHeight="1" x14ac:dyDescent="0.25">
      <c r="A439" s="180">
        <v>263</v>
      </c>
      <c r="B439" s="57"/>
      <c r="C439" s="96" t="str">
        <f t="shared" si="87"/>
        <v/>
      </c>
      <c r="D439" s="97" t="str">
        <f t="shared" si="88"/>
        <v/>
      </c>
      <c r="E439" s="58"/>
      <c r="F439" s="59"/>
      <c r="G439" s="106" t="str">
        <f t="shared" si="91"/>
        <v/>
      </c>
      <c r="H439" s="103" t="str">
        <f t="shared" si="89"/>
        <v/>
      </c>
      <c r="I439" s="110" t="str">
        <f t="shared" si="92"/>
        <v/>
      </c>
      <c r="J439" s="100" t="str">
        <f>IF(B439&gt;0,ROUNDUP(VLOOKUP(B439,G011B!$B:$R,16,0),1),"")</f>
        <v/>
      </c>
      <c r="K439" s="100" t="str">
        <f t="shared" si="93"/>
        <v/>
      </c>
      <c r="L439" s="101" t="str">
        <f>IF(B439&lt;&gt;"",VLOOKUP(B439,G011B!$B:$Z,25,0),"")</f>
        <v/>
      </c>
      <c r="M439" s="160" t="str">
        <f t="shared" si="90"/>
        <v/>
      </c>
      <c r="N439" s="43"/>
      <c r="O439" s="43"/>
      <c r="P439" s="43"/>
    </row>
    <row r="440" spans="1:16" ht="20.05" customHeight="1" x14ac:dyDescent="0.25">
      <c r="A440" s="180">
        <v>264</v>
      </c>
      <c r="B440" s="57"/>
      <c r="C440" s="96" t="str">
        <f t="shared" si="87"/>
        <v/>
      </c>
      <c r="D440" s="97" t="str">
        <f t="shared" si="88"/>
        <v/>
      </c>
      <c r="E440" s="58"/>
      <c r="F440" s="59"/>
      <c r="G440" s="106" t="str">
        <f t="shared" si="91"/>
        <v/>
      </c>
      <c r="H440" s="103" t="str">
        <f t="shared" si="89"/>
        <v/>
      </c>
      <c r="I440" s="110" t="str">
        <f t="shared" si="92"/>
        <v/>
      </c>
      <c r="J440" s="100" t="str">
        <f>IF(B440&gt;0,ROUNDUP(VLOOKUP(B440,G011B!$B:$R,16,0),1),"")</f>
        <v/>
      </c>
      <c r="K440" s="100" t="str">
        <f t="shared" si="93"/>
        <v/>
      </c>
      <c r="L440" s="101" t="str">
        <f>IF(B440&lt;&gt;"",VLOOKUP(B440,G011B!$B:$Z,25,0),"")</f>
        <v/>
      </c>
      <c r="M440" s="160" t="str">
        <f t="shared" si="90"/>
        <v/>
      </c>
      <c r="N440" s="43"/>
      <c r="O440" s="43"/>
      <c r="P440" s="43"/>
    </row>
    <row r="441" spans="1:16" ht="20.05" customHeight="1" x14ac:dyDescent="0.25">
      <c r="A441" s="180">
        <v>265</v>
      </c>
      <c r="B441" s="57"/>
      <c r="C441" s="96" t="str">
        <f t="shared" si="87"/>
        <v/>
      </c>
      <c r="D441" s="97" t="str">
        <f t="shared" si="88"/>
        <v/>
      </c>
      <c r="E441" s="58"/>
      <c r="F441" s="59"/>
      <c r="G441" s="106" t="str">
        <f t="shared" si="91"/>
        <v/>
      </c>
      <c r="H441" s="103" t="str">
        <f t="shared" si="89"/>
        <v/>
      </c>
      <c r="I441" s="110" t="str">
        <f t="shared" si="92"/>
        <v/>
      </c>
      <c r="J441" s="100" t="str">
        <f>IF(B441&gt;0,ROUNDUP(VLOOKUP(B441,G011B!$B:$R,16,0),1),"")</f>
        <v/>
      </c>
      <c r="K441" s="100" t="str">
        <f t="shared" si="93"/>
        <v/>
      </c>
      <c r="L441" s="101" t="str">
        <f>IF(B441&lt;&gt;"",VLOOKUP(B441,G011B!$B:$Z,25,0),"")</f>
        <v/>
      </c>
      <c r="M441" s="160" t="str">
        <f t="shared" si="90"/>
        <v/>
      </c>
      <c r="N441" s="43"/>
      <c r="O441" s="43"/>
      <c r="P441" s="43"/>
    </row>
    <row r="442" spans="1:16" ht="20.05" customHeight="1" x14ac:dyDescent="0.25">
      <c r="A442" s="180">
        <v>266</v>
      </c>
      <c r="B442" s="57"/>
      <c r="C442" s="96" t="str">
        <f t="shared" si="87"/>
        <v/>
      </c>
      <c r="D442" s="97" t="str">
        <f t="shared" si="88"/>
        <v/>
      </c>
      <c r="E442" s="58"/>
      <c r="F442" s="59"/>
      <c r="G442" s="106" t="str">
        <f t="shared" si="91"/>
        <v/>
      </c>
      <c r="H442" s="103" t="str">
        <f t="shared" si="89"/>
        <v/>
      </c>
      <c r="I442" s="110" t="str">
        <f t="shared" si="92"/>
        <v/>
      </c>
      <c r="J442" s="100" t="str">
        <f>IF(B442&gt;0,ROUNDUP(VLOOKUP(B442,G011B!$B:$R,16,0),1),"")</f>
        <v/>
      </c>
      <c r="K442" s="100" t="str">
        <f t="shared" si="93"/>
        <v/>
      </c>
      <c r="L442" s="101" t="str">
        <f>IF(B442&lt;&gt;"",VLOOKUP(B442,G011B!$B:$Z,25,0),"")</f>
        <v/>
      </c>
      <c r="M442" s="160" t="str">
        <f t="shared" si="90"/>
        <v/>
      </c>
      <c r="N442" s="43"/>
      <c r="O442" s="43"/>
      <c r="P442" s="43"/>
    </row>
    <row r="443" spans="1:16" ht="20.05" customHeight="1" x14ac:dyDescent="0.25">
      <c r="A443" s="180">
        <v>267</v>
      </c>
      <c r="B443" s="57"/>
      <c r="C443" s="96" t="str">
        <f t="shared" si="87"/>
        <v/>
      </c>
      <c r="D443" s="97" t="str">
        <f t="shared" si="88"/>
        <v/>
      </c>
      <c r="E443" s="58"/>
      <c r="F443" s="59"/>
      <c r="G443" s="106" t="str">
        <f t="shared" si="91"/>
        <v/>
      </c>
      <c r="H443" s="103" t="str">
        <f t="shared" si="89"/>
        <v/>
      </c>
      <c r="I443" s="110" t="str">
        <f t="shared" si="92"/>
        <v/>
      </c>
      <c r="J443" s="100" t="str">
        <f>IF(B443&gt;0,ROUNDUP(VLOOKUP(B443,G011B!$B:$R,16,0),1),"")</f>
        <v/>
      </c>
      <c r="K443" s="100" t="str">
        <f t="shared" si="93"/>
        <v/>
      </c>
      <c r="L443" s="101" t="str">
        <f>IF(B443&lt;&gt;"",VLOOKUP(B443,G011B!$B:$Z,25,0),"")</f>
        <v/>
      </c>
      <c r="M443" s="160" t="str">
        <f t="shared" si="90"/>
        <v/>
      </c>
      <c r="N443" s="43"/>
      <c r="O443" s="43"/>
      <c r="P443" s="43"/>
    </row>
    <row r="444" spans="1:16" ht="20.05" customHeight="1" x14ac:dyDescent="0.25">
      <c r="A444" s="180">
        <v>268</v>
      </c>
      <c r="B444" s="57"/>
      <c r="C444" s="96" t="str">
        <f t="shared" si="87"/>
        <v/>
      </c>
      <c r="D444" s="97" t="str">
        <f t="shared" si="88"/>
        <v/>
      </c>
      <c r="E444" s="58"/>
      <c r="F444" s="59"/>
      <c r="G444" s="106" t="str">
        <f t="shared" si="91"/>
        <v/>
      </c>
      <c r="H444" s="103" t="str">
        <f t="shared" si="89"/>
        <v/>
      </c>
      <c r="I444" s="110" t="str">
        <f t="shared" si="92"/>
        <v/>
      </c>
      <c r="J444" s="100" t="str">
        <f>IF(B444&gt;0,ROUNDUP(VLOOKUP(B444,G011B!$B:$R,16,0),1),"")</f>
        <v/>
      </c>
      <c r="K444" s="100" t="str">
        <f t="shared" si="93"/>
        <v/>
      </c>
      <c r="L444" s="101" t="str">
        <f>IF(B444&lt;&gt;"",VLOOKUP(B444,G011B!$B:$Z,25,0),"")</f>
        <v/>
      </c>
      <c r="M444" s="160" t="str">
        <f t="shared" si="90"/>
        <v/>
      </c>
      <c r="N444" s="43"/>
      <c r="O444" s="43"/>
      <c r="P444" s="43"/>
    </row>
    <row r="445" spans="1:16" ht="20.05" customHeight="1" x14ac:dyDescent="0.25">
      <c r="A445" s="180">
        <v>269</v>
      </c>
      <c r="B445" s="57"/>
      <c r="C445" s="96" t="str">
        <f t="shared" si="87"/>
        <v/>
      </c>
      <c r="D445" s="97" t="str">
        <f t="shared" si="88"/>
        <v/>
      </c>
      <c r="E445" s="58"/>
      <c r="F445" s="59"/>
      <c r="G445" s="106" t="str">
        <f t="shared" si="91"/>
        <v/>
      </c>
      <c r="H445" s="103" t="str">
        <f t="shared" si="89"/>
        <v/>
      </c>
      <c r="I445" s="110" t="str">
        <f t="shared" si="92"/>
        <v/>
      </c>
      <c r="J445" s="100" t="str">
        <f>IF(B445&gt;0,ROUNDUP(VLOOKUP(B445,G011B!$B:$R,16,0),1),"")</f>
        <v/>
      </c>
      <c r="K445" s="100" t="str">
        <f t="shared" si="93"/>
        <v/>
      </c>
      <c r="L445" s="101" t="str">
        <f>IF(B445&lt;&gt;"",VLOOKUP(B445,G011B!$B:$Z,25,0),"")</f>
        <v/>
      </c>
      <c r="M445" s="160" t="str">
        <f t="shared" si="90"/>
        <v/>
      </c>
      <c r="N445" s="43"/>
      <c r="O445" s="43"/>
      <c r="P445" s="43"/>
    </row>
    <row r="446" spans="1:16" ht="20.05" customHeight="1" x14ac:dyDescent="0.25">
      <c r="A446" s="180">
        <v>270</v>
      </c>
      <c r="B446" s="57"/>
      <c r="C446" s="96" t="str">
        <f t="shared" si="87"/>
        <v/>
      </c>
      <c r="D446" s="97" t="str">
        <f t="shared" si="88"/>
        <v/>
      </c>
      <c r="E446" s="58"/>
      <c r="F446" s="59"/>
      <c r="G446" s="106" t="str">
        <f t="shared" si="91"/>
        <v/>
      </c>
      <c r="H446" s="103" t="str">
        <f t="shared" si="89"/>
        <v/>
      </c>
      <c r="I446" s="110" t="str">
        <f t="shared" si="92"/>
        <v/>
      </c>
      <c r="J446" s="100" t="str">
        <f>IF(B446&gt;0,ROUNDUP(VLOOKUP(B446,G011B!$B:$R,16,0),1),"")</f>
        <v/>
      </c>
      <c r="K446" s="100" t="str">
        <f t="shared" si="93"/>
        <v/>
      </c>
      <c r="L446" s="101" t="str">
        <f>IF(B446&lt;&gt;"",VLOOKUP(B446,G011B!$B:$Z,25,0),"")</f>
        <v/>
      </c>
      <c r="M446" s="160" t="str">
        <f t="shared" si="90"/>
        <v/>
      </c>
      <c r="N446" s="43"/>
      <c r="O446" s="43"/>
      <c r="P446" s="43"/>
    </row>
    <row r="447" spans="1:16" ht="20.05" customHeight="1" x14ac:dyDescent="0.25">
      <c r="A447" s="180">
        <v>271</v>
      </c>
      <c r="B447" s="57"/>
      <c r="C447" s="96" t="str">
        <f t="shared" si="87"/>
        <v/>
      </c>
      <c r="D447" s="97" t="str">
        <f t="shared" si="88"/>
        <v/>
      </c>
      <c r="E447" s="58"/>
      <c r="F447" s="59"/>
      <c r="G447" s="106" t="str">
        <f t="shared" si="91"/>
        <v/>
      </c>
      <c r="H447" s="103" t="str">
        <f t="shared" si="89"/>
        <v/>
      </c>
      <c r="I447" s="110" t="str">
        <f t="shared" si="92"/>
        <v/>
      </c>
      <c r="J447" s="100" t="str">
        <f>IF(B447&gt;0,ROUNDUP(VLOOKUP(B447,G011B!$B:$R,16,0),1),"")</f>
        <v/>
      </c>
      <c r="K447" s="100" t="str">
        <f t="shared" si="93"/>
        <v/>
      </c>
      <c r="L447" s="101" t="str">
        <f>IF(B447&lt;&gt;"",VLOOKUP(B447,G011B!$B:$Z,25,0),"")</f>
        <v/>
      </c>
      <c r="M447" s="160" t="str">
        <f t="shared" si="90"/>
        <v/>
      </c>
      <c r="N447" s="43"/>
      <c r="O447" s="43"/>
      <c r="P447" s="43"/>
    </row>
    <row r="448" spans="1:16" ht="20.05" customHeight="1" x14ac:dyDescent="0.25">
      <c r="A448" s="180">
        <v>272</v>
      </c>
      <c r="B448" s="57"/>
      <c r="C448" s="96" t="str">
        <f t="shared" si="87"/>
        <v/>
      </c>
      <c r="D448" s="97" t="str">
        <f t="shared" si="88"/>
        <v/>
      </c>
      <c r="E448" s="58"/>
      <c r="F448" s="59"/>
      <c r="G448" s="106" t="str">
        <f t="shared" si="91"/>
        <v/>
      </c>
      <c r="H448" s="103" t="str">
        <f t="shared" si="89"/>
        <v/>
      </c>
      <c r="I448" s="110" t="str">
        <f t="shared" si="92"/>
        <v/>
      </c>
      <c r="J448" s="100" t="str">
        <f>IF(B448&gt;0,ROUNDUP(VLOOKUP(B448,G011B!$B:$R,16,0),1),"")</f>
        <v/>
      </c>
      <c r="K448" s="100" t="str">
        <f t="shared" si="93"/>
        <v/>
      </c>
      <c r="L448" s="101" t="str">
        <f>IF(B448&lt;&gt;"",VLOOKUP(B448,G011B!$B:$Z,25,0),"")</f>
        <v/>
      </c>
      <c r="M448" s="160" t="str">
        <f t="shared" si="90"/>
        <v/>
      </c>
      <c r="N448" s="43"/>
      <c r="O448" s="43"/>
      <c r="P448" s="43"/>
    </row>
    <row r="449" spans="1:16" ht="20.05" customHeight="1" x14ac:dyDescent="0.25">
      <c r="A449" s="180">
        <v>273</v>
      </c>
      <c r="B449" s="57"/>
      <c r="C449" s="96" t="str">
        <f t="shared" si="87"/>
        <v/>
      </c>
      <c r="D449" s="97" t="str">
        <f t="shared" si="88"/>
        <v/>
      </c>
      <c r="E449" s="58"/>
      <c r="F449" s="59"/>
      <c r="G449" s="106" t="str">
        <f t="shared" si="91"/>
        <v/>
      </c>
      <c r="H449" s="103" t="str">
        <f t="shared" si="89"/>
        <v/>
      </c>
      <c r="I449" s="110" t="str">
        <f t="shared" si="92"/>
        <v/>
      </c>
      <c r="J449" s="100" t="str">
        <f>IF(B449&gt;0,ROUNDUP(VLOOKUP(B449,G011B!$B:$R,16,0),1),"")</f>
        <v/>
      </c>
      <c r="K449" s="100" t="str">
        <f t="shared" si="93"/>
        <v/>
      </c>
      <c r="L449" s="101" t="str">
        <f>IF(B449&lt;&gt;"",VLOOKUP(B449,G011B!$B:$Z,25,0),"")</f>
        <v/>
      </c>
      <c r="M449" s="160" t="str">
        <f t="shared" si="90"/>
        <v/>
      </c>
      <c r="N449" s="43"/>
      <c r="O449" s="43"/>
      <c r="P449" s="43"/>
    </row>
    <row r="450" spans="1:16" ht="20.05" customHeight="1" x14ac:dyDescent="0.25">
      <c r="A450" s="180">
        <v>274</v>
      </c>
      <c r="B450" s="57"/>
      <c r="C450" s="96" t="str">
        <f t="shared" si="87"/>
        <v/>
      </c>
      <c r="D450" s="97" t="str">
        <f t="shared" si="88"/>
        <v/>
      </c>
      <c r="E450" s="58"/>
      <c r="F450" s="59"/>
      <c r="G450" s="106" t="str">
        <f t="shared" si="91"/>
        <v/>
      </c>
      <c r="H450" s="103" t="str">
        <f t="shared" si="89"/>
        <v/>
      </c>
      <c r="I450" s="110" t="str">
        <f t="shared" si="92"/>
        <v/>
      </c>
      <c r="J450" s="100" t="str">
        <f>IF(B450&gt;0,ROUNDUP(VLOOKUP(B450,G011B!$B:$R,16,0),1),"")</f>
        <v/>
      </c>
      <c r="K450" s="100" t="str">
        <f t="shared" si="93"/>
        <v/>
      </c>
      <c r="L450" s="101" t="str">
        <f>IF(B450&lt;&gt;"",VLOOKUP(B450,G011B!$B:$Z,25,0),"")</f>
        <v/>
      </c>
      <c r="M450" s="160" t="str">
        <f t="shared" si="90"/>
        <v/>
      </c>
      <c r="N450" s="43"/>
      <c r="O450" s="43"/>
      <c r="P450" s="43"/>
    </row>
    <row r="451" spans="1:16" ht="20.05" customHeight="1" x14ac:dyDescent="0.25">
      <c r="A451" s="180">
        <v>275</v>
      </c>
      <c r="B451" s="57"/>
      <c r="C451" s="96" t="str">
        <f t="shared" si="87"/>
        <v/>
      </c>
      <c r="D451" s="97" t="str">
        <f t="shared" si="88"/>
        <v/>
      </c>
      <c r="E451" s="58"/>
      <c r="F451" s="59"/>
      <c r="G451" s="106" t="str">
        <f t="shared" si="91"/>
        <v/>
      </c>
      <c r="H451" s="103" t="str">
        <f t="shared" si="89"/>
        <v/>
      </c>
      <c r="I451" s="110" t="str">
        <f t="shared" si="92"/>
        <v/>
      </c>
      <c r="J451" s="100" t="str">
        <f>IF(B451&gt;0,ROUNDUP(VLOOKUP(B451,G011B!$B:$R,16,0),1),"")</f>
        <v/>
      </c>
      <c r="K451" s="100" t="str">
        <f t="shared" si="93"/>
        <v/>
      </c>
      <c r="L451" s="101" t="str">
        <f>IF(B451&lt;&gt;"",VLOOKUP(B451,G011B!$B:$Z,25,0),"")</f>
        <v/>
      </c>
      <c r="M451" s="160" t="str">
        <f t="shared" si="90"/>
        <v/>
      </c>
      <c r="N451" s="43"/>
      <c r="O451" s="43"/>
      <c r="P451" s="43"/>
    </row>
    <row r="452" spans="1:16" ht="20.05" customHeight="1" x14ac:dyDescent="0.25">
      <c r="A452" s="180">
        <v>276</v>
      </c>
      <c r="B452" s="57"/>
      <c r="C452" s="96" t="str">
        <f t="shared" si="87"/>
        <v/>
      </c>
      <c r="D452" s="97" t="str">
        <f t="shared" si="88"/>
        <v/>
      </c>
      <c r="E452" s="58"/>
      <c r="F452" s="59"/>
      <c r="G452" s="106" t="str">
        <f t="shared" si="91"/>
        <v/>
      </c>
      <c r="H452" s="103" t="str">
        <f t="shared" si="89"/>
        <v/>
      </c>
      <c r="I452" s="110" t="str">
        <f t="shared" si="92"/>
        <v/>
      </c>
      <c r="J452" s="100" t="str">
        <f>IF(B452&gt;0,ROUNDUP(VLOOKUP(B452,G011B!$B:$R,16,0),1),"")</f>
        <v/>
      </c>
      <c r="K452" s="100" t="str">
        <f t="shared" si="93"/>
        <v/>
      </c>
      <c r="L452" s="101" t="str">
        <f>IF(B452&lt;&gt;"",VLOOKUP(B452,G011B!$B:$Z,25,0),"")</f>
        <v/>
      </c>
      <c r="M452" s="160" t="str">
        <f t="shared" si="90"/>
        <v/>
      </c>
      <c r="N452" s="43"/>
      <c r="O452" s="43"/>
      <c r="P452" s="43"/>
    </row>
    <row r="453" spans="1:16" ht="20.05" customHeight="1" x14ac:dyDescent="0.25">
      <c r="A453" s="180">
        <v>277</v>
      </c>
      <c r="B453" s="57"/>
      <c r="C453" s="96" t="str">
        <f t="shared" si="87"/>
        <v/>
      </c>
      <c r="D453" s="97" t="str">
        <f t="shared" si="88"/>
        <v/>
      </c>
      <c r="E453" s="58"/>
      <c r="F453" s="59"/>
      <c r="G453" s="106" t="str">
        <f t="shared" si="91"/>
        <v/>
      </c>
      <c r="H453" s="103" t="str">
        <f t="shared" si="89"/>
        <v/>
      </c>
      <c r="I453" s="110" t="str">
        <f t="shared" si="92"/>
        <v/>
      </c>
      <c r="J453" s="100" t="str">
        <f>IF(B453&gt;0,ROUNDUP(VLOOKUP(B453,G011B!$B:$R,16,0),1),"")</f>
        <v/>
      </c>
      <c r="K453" s="100" t="str">
        <f t="shared" si="93"/>
        <v/>
      </c>
      <c r="L453" s="101" t="str">
        <f>IF(B453&lt;&gt;"",VLOOKUP(B453,G011B!$B:$Z,25,0),"")</f>
        <v/>
      </c>
      <c r="M453" s="160" t="str">
        <f t="shared" si="90"/>
        <v/>
      </c>
      <c r="N453" s="43"/>
      <c r="O453" s="43"/>
      <c r="P453" s="43"/>
    </row>
    <row r="454" spans="1:16" ht="20.05" customHeight="1" x14ac:dyDescent="0.25">
      <c r="A454" s="180">
        <v>278</v>
      </c>
      <c r="B454" s="57"/>
      <c r="C454" s="96" t="str">
        <f t="shared" si="87"/>
        <v/>
      </c>
      <c r="D454" s="97" t="str">
        <f t="shared" si="88"/>
        <v/>
      </c>
      <c r="E454" s="58"/>
      <c r="F454" s="59"/>
      <c r="G454" s="106" t="str">
        <f t="shared" si="91"/>
        <v/>
      </c>
      <c r="H454" s="103" t="str">
        <f t="shared" si="89"/>
        <v/>
      </c>
      <c r="I454" s="110" t="str">
        <f t="shared" si="92"/>
        <v/>
      </c>
      <c r="J454" s="100" t="str">
        <f>IF(B454&gt;0,ROUNDUP(VLOOKUP(B454,G011B!$B:$R,16,0),1),"")</f>
        <v/>
      </c>
      <c r="K454" s="100" t="str">
        <f t="shared" si="93"/>
        <v/>
      </c>
      <c r="L454" s="101" t="str">
        <f>IF(B454&lt;&gt;"",VLOOKUP(B454,G011B!$B:$Z,25,0),"")</f>
        <v/>
      </c>
      <c r="M454" s="160" t="str">
        <f t="shared" si="90"/>
        <v/>
      </c>
      <c r="N454" s="43"/>
      <c r="O454" s="43"/>
      <c r="P454" s="43"/>
    </row>
    <row r="455" spans="1:16" ht="20.05" customHeight="1" x14ac:dyDescent="0.25">
      <c r="A455" s="180">
        <v>279</v>
      </c>
      <c r="B455" s="57"/>
      <c r="C455" s="96" t="str">
        <f t="shared" si="87"/>
        <v/>
      </c>
      <c r="D455" s="97" t="str">
        <f t="shared" si="88"/>
        <v/>
      </c>
      <c r="E455" s="58"/>
      <c r="F455" s="59"/>
      <c r="G455" s="106" t="str">
        <f t="shared" si="91"/>
        <v/>
      </c>
      <c r="H455" s="103" t="str">
        <f t="shared" si="89"/>
        <v/>
      </c>
      <c r="I455" s="110" t="str">
        <f t="shared" si="92"/>
        <v/>
      </c>
      <c r="J455" s="100" t="str">
        <f>IF(B455&gt;0,ROUNDUP(VLOOKUP(B455,G011B!$B:$R,16,0),1),"")</f>
        <v/>
      </c>
      <c r="K455" s="100" t="str">
        <f t="shared" si="93"/>
        <v/>
      </c>
      <c r="L455" s="101" t="str">
        <f>IF(B455&lt;&gt;"",VLOOKUP(B455,G011B!$B:$Z,25,0),"")</f>
        <v/>
      </c>
      <c r="M455" s="160" t="str">
        <f t="shared" si="90"/>
        <v/>
      </c>
      <c r="N455" s="43"/>
      <c r="O455" s="43"/>
      <c r="P455" s="43"/>
    </row>
    <row r="456" spans="1:16" ht="20.05" customHeight="1" thickBot="1" x14ac:dyDescent="0.3">
      <c r="A456" s="181">
        <v>280</v>
      </c>
      <c r="B456" s="60"/>
      <c r="C456" s="98" t="str">
        <f t="shared" si="87"/>
        <v/>
      </c>
      <c r="D456" s="99" t="str">
        <f t="shared" si="88"/>
        <v/>
      </c>
      <c r="E456" s="61"/>
      <c r="F456" s="62"/>
      <c r="G456" s="107" t="str">
        <f t="shared" si="91"/>
        <v/>
      </c>
      <c r="H456" s="104" t="str">
        <f t="shared" si="89"/>
        <v/>
      </c>
      <c r="I456" s="111" t="str">
        <f t="shared" si="92"/>
        <v/>
      </c>
      <c r="J456" s="100" t="str">
        <f>IF(B456&gt;0,ROUNDUP(VLOOKUP(B456,G011B!$B:$R,16,0),1),"")</f>
        <v/>
      </c>
      <c r="K456" s="100" t="str">
        <f t="shared" si="93"/>
        <v/>
      </c>
      <c r="L456" s="101" t="str">
        <f>IF(B456&lt;&gt;"",VLOOKUP(B456,G011B!$B:$Z,25,0),"")</f>
        <v/>
      </c>
      <c r="M456" s="160" t="str">
        <f t="shared" si="90"/>
        <v/>
      </c>
      <c r="N456" s="43"/>
      <c r="O456" s="43"/>
      <c r="P456" s="43"/>
    </row>
    <row r="457" spans="1:16" ht="20.05" customHeight="1" thickBot="1" x14ac:dyDescent="0.4">
      <c r="A457" s="360" t="s">
        <v>42</v>
      </c>
      <c r="B457" s="361"/>
      <c r="C457" s="361"/>
      <c r="D457" s="361"/>
      <c r="E457" s="361"/>
      <c r="F457" s="362"/>
      <c r="G457" s="108">
        <f>SUM(G437:G456)</f>
        <v>0</v>
      </c>
      <c r="H457" s="202"/>
      <c r="I457" s="93">
        <f>IF(C435=C402,SUM(I437:I456)+I424,SUM(I437:I456))</f>
        <v>0</v>
      </c>
      <c r="J457" s="43"/>
      <c r="K457" s="43"/>
      <c r="L457" s="43"/>
      <c r="M457" s="43"/>
      <c r="N457" s="112">
        <f>IF(COUNTA(B437:B456)&gt;0,1,0)</f>
        <v>0</v>
      </c>
      <c r="O457" s="43"/>
      <c r="P457" s="43"/>
    </row>
    <row r="458" spans="1:16" ht="20.05" customHeight="1" thickBot="1" x14ac:dyDescent="0.35">
      <c r="A458" s="363" t="s">
        <v>80</v>
      </c>
      <c r="B458" s="364"/>
      <c r="C458" s="364"/>
      <c r="D458" s="365"/>
      <c r="E458" s="86">
        <f>SUM(G:G)/2</f>
        <v>0</v>
      </c>
      <c r="F458" s="366"/>
      <c r="G458" s="367"/>
      <c r="H458" s="368"/>
      <c r="I458" s="92">
        <f>SUM(I437:I456)+I425</f>
        <v>0</v>
      </c>
      <c r="J458" s="43"/>
      <c r="K458" s="43"/>
      <c r="L458" s="43"/>
      <c r="M458" s="43"/>
      <c r="N458" s="43"/>
      <c r="O458" s="43"/>
      <c r="P458" s="43"/>
    </row>
    <row r="459" spans="1:16" x14ac:dyDescent="0.25">
      <c r="A459" s="182" t="s">
        <v>118</v>
      </c>
      <c r="B459" s="43"/>
      <c r="C459" s="43"/>
      <c r="D459" s="43"/>
      <c r="E459" s="43"/>
      <c r="F459" s="43"/>
      <c r="G459" s="43"/>
      <c r="H459" s="43"/>
      <c r="I459" s="43"/>
      <c r="J459" s="43"/>
      <c r="K459" s="43"/>
      <c r="L459" s="43"/>
      <c r="M459" s="43"/>
      <c r="N459" s="43"/>
      <c r="O459" s="43"/>
      <c r="P459" s="43"/>
    </row>
    <row r="460" spans="1:16" x14ac:dyDescent="0.25">
      <c r="A460" s="43"/>
      <c r="B460" s="43"/>
      <c r="C460" s="43"/>
      <c r="D460" s="43"/>
      <c r="E460" s="43"/>
      <c r="F460" s="43"/>
      <c r="G460" s="43"/>
      <c r="H460" s="43"/>
      <c r="I460" s="43"/>
      <c r="J460" s="43"/>
      <c r="K460" s="43"/>
      <c r="L460" s="43"/>
      <c r="M460" s="43"/>
      <c r="N460" s="43"/>
      <c r="O460" s="43"/>
      <c r="P460" s="43"/>
    </row>
    <row r="461" spans="1:16" ht="21.1" x14ac:dyDescent="0.35">
      <c r="A461" s="247" t="s">
        <v>39</v>
      </c>
      <c r="B461" s="248">
        <f ca="1">IF(imzatarihi&gt;0,imzatarihi,"")</f>
        <v>45686</v>
      </c>
      <c r="C461" s="251" t="s">
        <v>40</v>
      </c>
      <c r="D461" s="245" t="str">
        <f>IF(kurulusyetkilisi&gt;0,kurulusyetkilisi,"")</f>
        <v/>
      </c>
      <c r="F461" s="247"/>
      <c r="G461" s="247"/>
      <c r="H461" s="163"/>
      <c r="I461" s="163"/>
      <c r="J461" s="43"/>
      <c r="K461" s="73"/>
      <c r="L461" s="73"/>
      <c r="M461" s="5"/>
      <c r="N461" s="73"/>
      <c r="O461" s="73"/>
      <c r="P461" s="43"/>
    </row>
    <row r="462" spans="1:16" ht="19.7" x14ac:dyDescent="0.35">
      <c r="A462" s="249"/>
      <c r="B462" s="249"/>
      <c r="C462" s="251" t="s">
        <v>41</v>
      </c>
      <c r="D462" s="247"/>
      <c r="E462" s="302"/>
      <c r="F462" s="302"/>
      <c r="G462" s="302"/>
      <c r="H462" s="42"/>
      <c r="I462" s="42"/>
      <c r="J462" s="43"/>
      <c r="K462" s="73"/>
      <c r="L462" s="73"/>
      <c r="M462" s="5"/>
      <c r="N462" s="73"/>
      <c r="O462" s="73"/>
      <c r="P462" s="43"/>
    </row>
    <row r="463" spans="1:16" ht="16.3" x14ac:dyDescent="0.3">
      <c r="A463" s="338" t="s">
        <v>73</v>
      </c>
      <c r="B463" s="338"/>
      <c r="C463" s="338"/>
      <c r="D463" s="338"/>
      <c r="E463" s="338"/>
      <c r="F463" s="338"/>
      <c r="G463" s="338"/>
      <c r="H463" s="338"/>
      <c r="I463" s="338"/>
      <c r="J463" s="43"/>
      <c r="K463" s="43"/>
      <c r="L463" s="43"/>
      <c r="M463" s="43"/>
      <c r="N463" s="43"/>
      <c r="O463" s="43"/>
      <c r="P463" s="43"/>
    </row>
    <row r="464" spans="1:16" x14ac:dyDescent="0.25">
      <c r="A464" s="336" t="str">
        <f>IF(YilDonem&lt;&gt;"",CONCATENATE(YilDonem,". döneme aittir."),"")</f>
        <v/>
      </c>
      <c r="B464" s="336"/>
      <c r="C464" s="336"/>
      <c r="D464" s="336"/>
      <c r="E464" s="336"/>
      <c r="F464" s="336"/>
      <c r="G464" s="336"/>
      <c r="H464" s="336"/>
      <c r="I464" s="336"/>
      <c r="J464" s="43"/>
      <c r="K464" s="43"/>
      <c r="L464" s="43"/>
      <c r="M464" s="43"/>
      <c r="N464" s="43"/>
      <c r="O464" s="43"/>
      <c r="P464" s="43"/>
    </row>
    <row r="465" spans="1:16" ht="19.7" thickBot="1" x14ac:dyDescent="0.4">
      <c r="A465" s="372" t="s">
        <v>82</v>
      </c>
      <c r="B465" s="372"/>
      <c r="C465" s="372"/>
      <c r="D465" s="372"/>
      <c r="E465" s="372"/>
      <c r="F465" s="372"/>
      <c r="G465" s="372"/>
      <c r="H465" s="372"/>
      <c r="I465" s="372"/>
      <c r="J465" s="43"/>
      <c r="K465" s="43"/>
      <c r="L465" s="43"/>
      <c r="M465" s="43"/>
      <c r="N465" s="43"/>
      <c r="O465" s="43"/>
      <c r="P465" s="43"/>
    </row>
    <row r="466" spans="1:16" ht="19.55" customHeight="1" thickBot="1" x14ac:dyDescent="0.3">
      <c r="A466" s="341" t="s">
        <v>1</v>
      </c>
      <c r="B466" s="343"/>
      <c r="C466" s="330" t="str">
        <f>IF(ProjeNo&gt;0,ProjeNo,"")</f>
        <v/>
      </c>
      <c r="D466" s="331"/>
      <c r="E466" s="331"/>
      <c r="F466" s="331"/>
      <c r="G466" s="331"/>
      <c r="H466" s="331"/>
      <c r="I466" s="332"/>
      <c r="J466" s="43"/>
      <c r="K466" s="43"/>
      <c r="L466" s="43"/>
      <c r="M466" s="43"/>
      <c r="N466" s="43"/>
      <c r="O466" s="43"/>
      <c r="P466" s="43"/>
    </row>
    <row r="467" spans="1:16" ht="29.25" customHeight="1" thickBot="1" x14ac:dyDescent="0.3">
      <c r="A467" s="371" t="s">
        <v>11</v>
      </c>
      <c r="B467" s="342"/>
      <c r="C467" s="346" t="str">
        <f>IF(ProjeAdi&gt;0,ProjeAdi,"")</f>
        <v/>
      </c>
      <c r="D467" s="347"/>
      <c r="E467" s="347"/>
      <c r="F467" s="347"/>
      <c r="G467" s="347"/>
      <c r="H467" s="347"/>
      <c r="I467" s="348"/>
      <c r="J467" s="43"/>
      <c r="K467" s="43"/>
      <c r="L467" s="43"/>
      <c r="M467" s="43"/>
      <c r="N467" s="43"/>
      <c r="O467" s="43"/>
      <c r="P467" s="43"/>
    </row>
    <row r="468" spans="1:16" ht="19.55" customHeight="1" thickBot="1" x14ac:dyDescent="0.3">
      <c r="A468" s="341" t="s">
        <v>74</v>
      </c>
      <c r="B468" s="343"/>
      <c r="C468" s="9"/>
      <c r="D468" s="369"/>
      <c r="E468" s="369"/>
      <c r="F468" s="369"/>
      <c r="G468" s="369"/>
      <c r="H468" s="369"/>
      <c r="I468" s="370"/>
      <c r="J468" s="43"/>
      <c r="K468" s="43"/>
      <c r="L468" s="43"/>
      <c r="M468" s="43"/>
      <c r="N468" s="43"/>
      <c r="O468" s="43"/>
      <c r="P468" s="43"/>
    </row>
    <row r="469" spans="1:16" s="2" customFormat="1" ht="29.25" thickBot="1" x14ac:dyDescent="0.3">
      <c r="A469" s="176" t="s">
        <v>7</v>
      </c>
      <c r="B469" s="176" t="s">
        <v>8</v>
      </c>
      <c r="C469" s="176" t="s">
        <v>63</v>
      </c>
      <c r="D469" s="176" t="s">
        <v>119</v>
      </c>
      <c r="E469" s="176" t="s">
        <v>75</v>
      </c>
      <c r="F469" s="176" t="s">
        <v>76</v>
      </c>
      <c r="G469" s="176" t="s">
        <v>77</v>
      </c>
      <c r="H469" s="176" t="s">
        <v>78</v>
      </c>
      <c r="I469" s="176" t="s">
        <v>79</v>
      </c>
      <c r="J469" s="177" t="s">
        <v>83</v>
      </c>
      <c r="K469" s="178" t="s">
        <v>84</v>
      </c>
      <c r="L469" s="178" t="s">
        <v>76</v>
      </c>
      <c r="M469" s="169"/>
      <c r="N469" s="169"/>
      <c r="O469" s="169"/>
      <c r="P469" s="169"/>
    </row>
    <row r="470" spans="1:16" ht="20.05" customHeight="1" x14ac:dyDescent="0.25">
      <c r="A470" s="179">
        <v>281</v>
      </c>
      <c r="B470" s="53"/>
      <c r="C470" s="94" t="str">
        <f t="shared" ref="C470:C489" si="94">IF(B470&lt;&gt;"",VLOOKUP(B470,PersonelTablo,2,0),"")</f>
        <v/>
      </c>
      <c r="D470" s="95" t="str">
        <f t="shared" ref="D470:D489" si="95">IF(B470&lt;&gt;"",VLOOKUP(B470,PersonelTablo,3,0),"")</f>
        <v/>
      </c>
      <c r="E470" s="54"/>
      <c r="F470" s="55"/>
      <c r="G470" s="105" t="str">
        <f>IF(AND(B470&lt;&gt;"",L470&gt;=F470),E470*F470,"")</f>
        <v/>
      </c>
      <c r="H470" s="102" t="str">
        <f t="shared" ref="H470:H489" si="96">IF(B470&lt;&gt;"",VLOOKUP(B470,G011CTablo,14,0),"")</f>
        <v/>
      </c>
      <c r="I470" s="109" t="str">
        <f>IF(AND(B470&lt;&gt;"",J470&gt;=K470,L470&gt;0),G470*H470,"")</f>
        <v/>
      </c>
      <c r="J470" s="100" t="str">
        <f>IF(B470&gt;0,ROUNDUP(VLOOKUP(B470,G011B!$B:$R,16,0),1),"")</f>
        <v/>
      </c>
      <c r="K470" s="100" t="str">
        <f>IF(B470&gt;0,SUMIF($B:$B,B470,$G:$G),"")</f>
        <v/>
      </c>
      <c r="L470" s="101" t="str">
        <f>IF(B470&lt;&gt;"",VLOOKUP(B470,G011B!$B:$Z,25,0),"")</f>
        <v/>
      </c>
      <c r="M470" s="160" t="str">
        <f t="shared" ref="M470:M489" si="97">IF(J470&gt;=K470,"","Personelin bütün iş paketlerindeki Toplam Adam Ay değeri "&amp;K470&amp;" olup, bu değer, G011B formunda beyan edilen Çalışılan Toplam Ay değerini geçemez. Maliyeti hesaplamak için Adam/Ay Oranı veya Çalışılan Ay değerini düzeltiniz. ")</f>
        <v/>
      </c>
      <c r="N470" s="43"/>
      <c r="O470" s="43"/>
      <c r="P470" s="43"/>
    </row>
    <row r="471" spans="1:16" ht="20.05" customHeight="1" x14ac:dyDescent="0.25">
      <c r="A471" s="180">
        <v>282</v>
      </c>
      <c r="B471" s="57"/>
      <c r="C471" s="96" t="str">
        <f t="shared" si="94"/>
        <v/>
      </c>
      <c r="D471" s="97" t="str">
        <f t="shared" si="95"/>
        <v/>
      </c>
      <c r="E471" s="58"/>
      <c r="F471" s="59"/>
      <c r="G471" s="106" t="str">
        <f t="shared" ref="G471:G489" si="98">IF(AND(B471&lt;&gt;"",L471&gt;=F471),E471*F471,"")</f>
        <v/>
      </c>
      <c r="H471" s="103" t="str">
        <f t="shared" si="96"/>
        <v/>
      </c>
      <c r="I471" s="110" t="str">
        <f t="shared" ref="I471:I489" si="99">IF(AND(B471&lt;&gt;"",J471&gt;=K471,L471&gt;0),G471*H471,"")</f>
        <v/>
      </c>
      <c r="J471" s="100" t="str">
        <f>IF(B471&gt;0,ROUNDUP(VLOOKUP(B471,G011B!$B:$R,16,0),1),"")</f>
        <v/>
      </c>
      <c r="K471" s="100" t="str">
        <f t="shared" ref="K471:K489" si="100">IF(B471&gt;0,SUMIF($B:$B,B471,$G:$G),"")</f>
        <v/>
      </c>
      <c r="L471" s="101" t="str">
        <f>IF(B471&lt;&gt;"",VLOOKUP(B471,G011B!$B:$Z,25,0),"")</f>
        <v/>
      </c>
      <c r="M471" s="160" t="str">
        <f t="shared" si="97"/>
        <v/>
      </c>
      <c r="N471" s="43"/>
      <c r="O471" s="43"/>
      <c r="P471" s="43"/>
    </row>
    <row r="472" spans="1:16" ht="20.05" customHeight="1" x14ac:dyDescent="0.25">
      <c r="A472" s="180">
        <v>283</v>
      </c>
      <c r="B472" s="57"/>
      <c r="C472" s="96" t="str">
        <f t="shared" si="94"/>
        <v/>
      </c>
      <c r="D472" s="97" t="str">
        <f t="shared" si="95"/>
        <v/>
      </c>
      <c r="E472" s="58"/>
      <c r="F472" s="59"/>
      <c r="G472" s="106" t="str">
        <f t="shared" si="98"/>
        <v/>
      </c>
      <c r="H472" s="103" t="str">
        <f t="shared" si="96"/>
        <v/>
      </c>
      <c r="I472" s="110" t="str">
        <f t="shared" si="99"/>
        <v/>
      </c>
      <c r="J472" s="100" t="str">
        <f>IF(B472&gt;0,ROUNDUP(VLOOKUP(B472,G011B!$B:$R,16,0),1),"")</f>
        <v/>
      </c>
      <c r="K472" s="100" t="str">
        <f t="shared" si="100"/>
        <v/>
      </c>
      <c r="L472" s="101" t="str">
        <f>IF(B472&lt;&gt;"",VLOOKUP(B472,G011B!$B:$Z,25,0),"")</f>
        <v/>
      </c>
      <c r="M472" s="160" t="str">
        <f t="shared" si="97"/>
        <v/>
      </c>
      <c r="N472" s="43"/>
      <c r="O472" s="43"/>
      <c r="P472" s="43"/>
    </row>
    <row r="473" spans="1:16" ht="20.05" customHeight="1" x14ac:dyDescent="0.25">
      <c r="A473" s="180">
        <v>284</v>
      </c>
      <c r="B473" s="57"/>
      <c r="C473" s="96" t="str">
        <f t="shared" si="94"/>
        <v/>
      </c>
      <c r="D473" s="97" t="str">
        <f t="shared" si="95"/>
        <v/>
      </c>
      <c r="E473" s="58"/>
      <c r="F473" s="59"/>
      <c r="G473" s="106" t="str">
        <f t="shared" si="98"/>
        <v/>
      </c>
      <c r="H473" s="103" t="str">
        <f t="shared" si="96"/>
        <v/>
      </c>
      <c r="I473" s="110" t="str">
        <f t="shared" si="99"/>
        <v/>
      </c>
      <c r="J473" s="100" t="str">
        <f>IF(B473&gt;0,ROUNDUP(VLOOKUP(B473,G011B!$B:$R,16,0),1),"")</f>
        <v/>
      </c>
      <c r="K473" s="100" t="str">
        <f t="shared" si="100"/>
        <v/>
      </c>
      <c r="L473" s="101" t="str">
        <f>IF(B473&lt;&gt;"",VLOOKUP(B473,G011B!$B:$Z,25,0),"")</f>
        <v/>
      </c>
      <c r="M473" s="160" t="str">
        <f t="shared" si="97"/>
        <v/>
      </c>
      <c r="N473" s="43"/>
      <c r="O473" s="43"/>
      <c r="P473" s="43"/>
    </row>
    <row r="474" spans="1:16" ht="20.05" customHeight="1" x14ac:dyDescent="0.25">
      <c r="A474" s="180">
        <v>285</v>
      </c>
      <c r="B474" s="57"/>
      <c r="C474" s="96" t="str">
        <f t="shared" si="94"/>
        <v/>
      </c>
      <c r="D474" s="97" t="str">
        <f t="shared" si="95"/>
        <v/>
      </c>
      <c r="E474" s="58"/>
      <c r="F474" s="59"/>
      <c r="G474" s="106" t="str">
        <f t="shared" si="98"/>
        <v/>
      </c>
      <c r="H474" s="103" t="str">
        <f t="shared" si="96"/>
        <v/>
      </c>
      <c r="I474" s="110" t="str">
        <f t="shared" si="99"/>
        <v/>
      </c>
      <c r="J474" s="100" t="str">
        <f>IF(B474&gt;0,ROUNDUP(VLOOKUP(B474,G011B!$B:$R,16,0),1),"")</f>
        <v/>
      </c>
      <c r="K474" s="100" t="str">
        <f t="shared" si="100"/>
        <v/>
      </c>
      <c r="L474" s="101" t="str">
        <f>IF(B474&lt;&gt;"",VLOOKUP(B474,G011B!$B:$Z,25,0),"")</f>
        <v/>
      </c>
      <c r="M474" s="160" t="str">
        <f t="shared" si="97"/>
        <v/>
      </c>
      <c r="N474" s="43"/>
      <c r="O474" s="43"/>
      <c r="P474" s="43"/>
    </row>
    <row r="475" spans="1:16" ht="20.05" customHeight="1" x14ac:dyDescent="0.25">
      <c r="A475" s="180">
        <v>286</v>
      </c>
      <c r="B475" s="57"/>
      <c r="C475" s="96" t="str">
        <f t="shared" si="94"/>
        <v/>
      </c>
      <c r="D475" s="97" t="str">
        <f t="shared" si="95"/>
        <v/>
      </c>
      <c r="E475" s="58"/>
      <c r="F475" s="59"/>
      <c r="G475" s="106" t="str">
        <f t="shared" si="98"/>
        <v/>
      </c>
      <c r="H475" s="103" t="str">
        <f t="shared" si="96"/>
        <v/>
      </c>
      <c r="I475" s="110" t="str">
        <f t="shared" si="99"/>
        <v/>
      </c>
      <c r="J475" s="100" t="str">
        <f>IF(B475&gt;0,ROUNDUP(VLOOKUP(B475,G011B!$B:$R,16,0),1),"")</f>
        <v/>
      </c>
      <c r="K475" s="100" t="str">
        <f t="shared" si="100"/>
        <v/>
      </c>
      <c r="L475" s="101" t="str">
        <f>IF(B475&lt;&gt;"",VLOOKUP(B475,G011B!$B:$Z,25,0),"")</f>
        <v/>
      </c>
      <c r="M475" s="160" t="str">
        <f t="shared" si="97"/>
        <v/>
      </c>
      <c r="N475" s="43"/>
      <c r="O475" s="43"/>
      <c r="P475" s="43"/>
    </row>
    <row r="476" spans="1:16" ht="20.05" customHeight="1" x14ac:dyDescent="0.25">
      <c r="A476" s="180">
        <v>287</v>
      </c>
      <c r="B476" s="57"/>
      <c r="C476" s="96" t="str">
        <f t="shared" si="94"/>
        <v/>
      </c>
      <c r="D476" s="97" t="str">
        <f t="shared" si="95"/>
        <v/>
      </c>
      <c r="E476" s="58"/>
      <c r="F476" s="59"/>
      <c r="G476" s="106" t="str">
        <f t="shared" si="98"/>
        <v/>
      </c>
      <c r="H476" s="103" t="str">
        <f t="shared" si="96"/>
        <v/>
      </c>
      <c r="I476" s="110" t="str">
        <f t="shared" si="99"/>
        <v/>
      </c>
      <c r="J476" s="100" t="str">
        <f>IF(B476&gt;0,ROUNDUP(VLOOKUP(B476,G011B!$B:$R,16,0),1),"")</f>
        <v/>
      </c>
      <c r="K476" s="100" t="str">
        <f t="shared" si="100"/>
        <v/>
      </c>
      <c r="L476" s="101" t="str">
        <f>IF(B476&lt;&gt;"",VLOOKUP(B476,G011B!$B:$Z,25,0),"")</f>
        <v/>
      </c>
      <c r="M476" s="160" t="str">
        <f t="shared" si="97"/>
        <v/>
      </c>
      <c r="N476" s="43"/>
      <c r="O476" s="43"/>
      <c r="P476" s="43"/>
    </row>
    <row r="477" spans="1:16" ht="20.05" customHeight="1" x14ac:dyDescent="0.25">
      <c r="A477" s="180">
        <v>288</v>
      </c>
      <c r="B477" s="57"/>
      <c r="C477" s="96" t="str">
        <f t="shared" si="94"/>
        <v/>
      </c>
      <c r="D477" s="97" t="str">
        <f t="shared" si="95"/>
        <v/>
      </c>
      <c r="E477" s="58"/>
      <c r="F477" s="59"/>
      <c r="G477" s="106" t="str">
        <f t="shared" si="98"/>
        <v/>
      </c>
      <c r="H477" s="103" t="str">
        <f t="shared" si="96"/>
        <v/>
      </c>
      <c r="I477" s="110" t="str">
        <f t="shared" si="99"/>
        <v/>
      </c>
      <c r="J477" s="100" t="str">
        <f>IF(B477&gt;0,ROUNDUP(VLOOKUP(B477,G011B!$B:$R,16,0),1),"")</f>
        <v/>
      </c>
      <c r="K477" s="100" t="str">
        <f t="shared" si="100"/>
        <v/>
      </c>
      <c r="L477" s="101" t="str">
        <f>IF(B477&lt;&gt;"",VLOOKUP(B477,G011B!$B:$Z,25,0),"")</f>
        <v/>
      </c>
      <c r="M477" s="160" t="str">
        <f t="shared" si="97"/>
        <v/>
      </c>
      <c r="N477" s="43"/>
      <c r="O477" s="43"/>
      <c r="P477" s="43"/>
    </row>
    <row r="478" spans="1:16" ht="20.05" customHeight="1" x14ac:dyDescent="0.25">
      <c r="A478" s="180">
        <v>289</v>
      </c>
      <c r="B478" s="57"/>
      <c r="C478" s="96" t="str">
        <f t="shared" si="94"/>
        <v/>
      </c>
      <c r="D478" s="97" t="str">
        <f t="shared" si="95"/>
        <v/>
      </c>
      <c r="E478" s="58"/>
      <c r="F478" s="59"/>
      <c r="G478" s="106" t="str">
        <f t="shared" si="98"/>
        <v/>
      </c>
      <c r="H478" s="103" t="str">
        <f t="shared" si="96"/>
        <v/>
      </c>
      <c r="I478" s="110" t="str">
        <f t="shared" si="99"/>
        <v/>
      </c>
      <c r="J478" s="100" t="str">
        <f>IF(B478&gt;0,ROUNDUP(VLOOKUP(B478,G011B!$B:$R,16,0),1),"")</f>
        <v/>
      </c>
      <c r="K478" s="100" t="str">
        <f t="shared" si="100"/>
        <v/>
      </c>
      <c r="L478" s="101" t="str">
        <f>IF(B478&lt;&gt;"",VLOOKUP(B478,G011B!$B:$Z,25,0),"")</f>
        <v/>
      </c>
      <c r="M478" s="160" t="str">
        <f t="shared" si="97"/>
        <v/>
      </c>
      <c r="N478" s="43"/>
      <c r="O478" s="43"/>
      <c r="P478" s="43"/>
    </row>
    <row r="479" spans="1:16" ht="20.05" customHeight="1" x14ac:dyDescent="0.25">
      <c r="A479" s="180">
        <v>290</v>
      </c>
      <c r="B479" s="57"/>
      <c r="C479" s="96" t="str">
        <f t="shared" si="94"/>
        <v/>
      </c>
      <c r="D479" s="97" t="str">
        <f t="shared" si="95"/>
        <v/>
      </c>
      <c r="E479" s="58"/>
      <c r="F479" s="59"/>
      <c r="G479" s="106" t="str">
        <f t="shared" si="98"/>
        <v/>
      </c>
      <c r="H479" s="103" t="str">
        <f t="shared" si="96"/>
        <v/>
      </c>
      <c r="I479" s="110" t="str">
        <f t="shared" si="99"/>
        <v/>
      </c>
      <c r="J479" s="100" t="str">
        <f>IF(B479&gt;0,ROUNDUP(VLOOKUP(B479,G011B!$B:$R,16,0),1),"")</f>
        <v/>
      </c>
      <c r="K479" s="100" t="str">
        <f t="shared" si="100"/>
        <v/>
      </c>
      <c r="L479" s="101" t="str">
        <f>IF(B479&lt;&gt;"",VLOOKUP(B479,G011B!$B:$Z,25,0),"")</f>
        <v/>
      </c>
      <c r="M479" s="160" t="str">
        <f t="shared" si="97"/>
        <v/>
      </c>
      <c r="N479" s="43"/>
      <c r="O479" s="43"/>
      <c r="P479" s="43"/>
    </row>
    <row r="480" spans="1:16" ht="20.05" customHeight="1" x14ac:dyDescent="0.25">
      <c r="A480" s="180">
        <v>291</v>
      </c>
      <c r="B480" s="57"/>
      <c r="C480" s="96" t="str">
        <f t="shared" si="94"/>
        <v/>
      </c>
      <c r="D480" s="97" t="str">
        <f t="shared" si="95"/>
        <v/>
      </c>
      <c r="E480" s="58"/>
      <c r="F480" s="59"/>
      <c r="G480" s="106" t="str">
        <f t="shared" si="98"/>
        <v/>
      </c>
      <c r="H480" s="103" t="str">
        <f t="shared" si="96"/>
        <v/>
      </c>
      <c r="I480" s="110" t="str">
        <f t="shared" si="99"/>
        <v/>
      </c>
      <c r="J480" s="100" t="str">
        <f>IF(B480&gt;0,ROUNDUP(VLOOKUP(B480,G011B!$B:$R,16,0),1),"")</f>
        <v/>
      </c>
      <c r="K480" s="100" t="str">
        <f t="shared" si="100"/>
        <v/>
      </c>
      <c r="L480" s="101" t="str">
        <f>IF(B480&lt;&gt;"",VLOOKUP(B480,G011B!$B:$Z,25,0),"")</f>
        <v/>
      </c>
      <c r="M480" s="160" t="str">
        <f t="shared" si="97"/>
        <v/>
      </c>
      <c r="N480" s="43"/>
      <c r="O480" s="43"/>
      <c r="P480" s="43"/>
    </row>
    <row r="481" spans="1:16" ht="20.05" customHeight="1" x14ac:dyDescent="0.25">
      <c r="A481" s="180">
        <v>292</v>
      </c>
      <c r="B481" s="57"/>
      <c r="C481" s="96" t="str">
        <f t="shared" si="94"/>
        <v/>
      </c>
      <c r="D481" s="97" t="str">
        <f t="shared" si="95"/>
        <v/>
      </c>
      <c r="E481" s="58"/>
      <c r="F481" s="59"/>
      <c r="G481" s="106" t="str">
        <f t="shared" si="98"/>
        <v/>
      </c>
      <c r="H481" s="103" t="str">
        <f t="shared" si="96"/>
        <v/>
      </c>
      <c r="I481" s="110" t="str">
        <f t="shared" si="99"/>
        <v/>
      </c>
      <c r="J481" s="100" t="str">
        <f>IF(B481&gt;0,ROUNDUP(VLOOKUP(B481,G011B!$B:$R,16,0),1),"")</f>
        <v/>
      </c>
      <c r="K481" s="100" t="str">
        <f t="shared" si="100"/>
        <v/>
      </c>
      <c r="L481" s="101" t="str">
        <f>IF(B481&lt;&gt;"",VLOOKUP(B481,G011B!$B:$Z,25,0),"")</f>
        <v/>
      </c>
      <c r="M481" s="160" t="str">
        <f t="shared" si="97"/>
        <v/>
      </c>
      <c r="N481" s="43"/>
      <c r="O481" s="43"/>
      <c r="P481" s="43"/>
    </row>
    <row r="482" spans="1:16" ht="20.05" customHeight="1" x14ac:dyDescent="0.25">
      <c r="A482" s="180">
        <v>293</v>
      </c>
      <c r="B482" s="57"/>
      <c r="C482" s="96" t="str">
        <f t="shared" si="94"/>
        <v/>
      </c>
      <c r="D482" s="97" t="str">
        <f t="shared" si="95"/>
        <v/>
      </c>
      <c r="E482" s="58"/>
      <c r="F482" s="59"/>
      <c r="G482" s="106" t="str">
        <f t="shared" si="98"/>
        <v/>
      </c>
      <c r="H482" s="103" t="str">
        <f t="shared" si="96"/>
        <v/>
      </c>
      <c r="I482" s="110" t="str">
        <f t="shared" si="99"/>
        <v/>
      </c>
      <c r="J482" s="100" t="str">
        <f>IF(B482&gt;0,ROUNDUP(VLOOKUP(B482,G011B!$B:$R,16,0),1),"")</f>
        <v/>
      </c>
      <c r="K482" s="100" t="str">
        <f t="shared" si="100"/>
        <v/>
      </c>
      <c r="L482" s="101" t="str">
        <f>IF(B482&lt;&gt;"",VLOOKUP(B482,G011B!$B:$Z,25,0),"")</f>
        <v/>
      </c>
      <c r="M482" s="160" t="str">
        <f t="shared" si="97"/>
        <v/>
      </c>
      <c r="N482" s="43"/>
      <c r="O482" s="43"/>
      <c r="P482" s="43"/>
    </row>
    <row r="483" spans="1:16" ht="20.05" customHeight="1" x14ac:dyDescent="0.25">
      <c r="A483" s="180">
        <v>294</v>
      </c>
      <c r="B483" s="57"/>
      <c r="C483" s="96" t="str">
        <f t="shared" si="94"/>
        <v/>
      </c>
      <c r="D483" s="97" t="str">
        <f t="shared" si="95"/>
        <v/>
      </c>
      <c r="E483" s="58"/>
      <c r="F483" s="59"/>
      <c r="G483" s="106" t="str">
        <f t="shared" si="98"/>
        <v/>
      </c>
      <c r="H483" s="103" t="str">
        <f t="shared" si="96"/>
        <v/>
      </c>
      <c r="I483" s="110" t="str">
        <f t="shared" si="99"/>
        <v/>
      </c>
      <c r="J483" s="100" t="str">
        <f>IF(B483&gt;0,ROUNDUP(VLOOKUP(B483,G011B!$B:$R,16,0),1),"")</f>
        <v/>
      </c>
      <c r="K483" s="100" t="str">
        <f t="shared" si="100"/>
        <v/>
      </c>
      <c r="L483" s="101" t="str">
        <f>IF(B483&lt;&gt;"",VLOOKUP(B483,G011B!$B:$Z,25,0),"")</f>
        <v/>
      </c>
      <c r="M483" s="160" t="str">
        <f t="shared" si="97"/>
        <v/>
      </c>
      <c r="N483" s="43"/>
      <c r="O483" s="43"/>
      <c r="P483" s="43"/>
    </row>
    <row r="484" spans="1:16" ht="20.05" customHeight="1" x14ac:dyDescent="0.25">
      <c r="A484" s="180">
        <v>295</v>
      </c>
      <c r="B484" s="57"/>
      <c r="C484" s="96" t="str">
        <f t="shared" si="94"/>
        <v/>
      </c>
      <c r="D484" s="97" t="str">
        <f t="shared" si="95"/>
        <v/>
      </c>
      <c r="E484" s="58"/>
      <c r="F484" s="59"/>
      <c r="G484" s="106" t="str">
        <f t="shared" si="98"/>
        <v/>
      </c>
      <c r="H484" s="103" t="str">
        <f t="shared" si="96"/>
        <v/>
      </c>
      <c r="I484" s="110" t="str">
        <f t="shared" si="99"/>
        <v/>
      </c>
      <c r="J484" s="100" t="str">
        <f>IF(B484&gt;0,ROUNDUP(VLOOKUP(B484,G011B!$B:$R,16,0),1),"")</f>
        <v/>
      </c>
      <c r="K484" s="100" t="str">
        <f t="shared" si="100"/>
        <v/>
      </c>
      <c r="L484" s="101" t="str">
        <f>IF(B484&lt;&gt;"",VLOOKUP(B484,G011B!$B:$Z,25,0),"")</f>
        <v/>
      </c>
      <c r="M484" s="160" t="str">
        <f t="shared" si="97"/>
        <v/>
      </c>
      <c r="N484" s="43"/>
      <c r="O484" s="43"/>
      <c r="P484" s="43"/>
    </row>
    <row r="485" spans="1:16" ht="20.05" customHeight="1" x14ac:dyDescent="0.25">
      <c r="A485" s="180">
        <v>296</v>
      </c>
      <c r="B485" s="57"/>
      <c r="C485" s="96" t="str">
        <f t="shared" si="94"/>
        <v/>
      </c>
      <c r="D485" s="97" t="str">
        <f t="shared" si="95"/>
        <v/>
      </c>
      <c r="E485" s="58"/>
      <c r="F485" s="59"/>
      <c r="G485" s="106" t="str">
        <f t="shared" si="98"/>
        <v/>
      </c>
      <c r="H485" s="103" t="str">
        <f t="shared" si="96"/>
        <v/>
      </c>
      <c r="I485" s="110" t="str">
        <f t="shared" si="99"/>
        <v/>
      </c>
      <c r="J485" s="100" t="str">
        <f>IF(B485&gt;0,ROUNDUP(VLOOKUP(B485,G011B!$B:$R,16,0),1),"")</f>
        <v/>
      </c>
      <c r="K485" s="100" t="str">
        <f t="shared" si="100"/>
        <v/>
      </c>
      <c r="L485" s="101" t="str">
        <f>IF(B485&lt;&gt;"",VLOOKUP(B485,G011B!$B:$Z,25,0),"")</f>
        <v/>
      </c>
      <c r="M485" s="160" t="str">
        <f t="shared" si="97"/>
        <v/>
      </c>
      <c r="N485" s="43"/>
      <c r="O485" s="43"/>
      <c r="P485" s="43"/>
    </row>
    <row r="486" spans="1:16" ht="20.05" customHeight="1" x14ac:dyDescent="0.25">
      <c r="A486" s="180">
        <v>297</v>
      </c>
      <c r="B486" s="57"/>
      <c r="C486" s="96" t="str">
        <f t="shared" si="94"/>
        <v/>
      </c>
      <c r="D486" s="97" t="str">
        <f t="shared" si="95"/>
        <v/>
      </c>
      <c r="E486" s="58"/>
      <c r="F486" s="59"/>
      <c r="G486" s="106" t="str">
        <f t="shared" si="98"/>
        <v/>
      </c>
      <c r="H486" s="103" t="str">
        <f t="shared" si="96"/>
        <v/>
      </c>
      <c r="I486" s="110" t="str">
        <f t="shared" si="99"/>
        <v/>
      </c>
      <c r="J486" s="100" t="str">
        <f>IF(B486&gt;0,ROUNDUP(VLOOKUP(B486,G011B!$B:$R,16,0),1),"")</f>
        <v/>
      </c>
      <c r="K486" s="100" t="str">
        <f t="shared" si="100"/>
        <v/>
      </c>
      <c r="L486" s="101" t="str">
        <f>IF(B486&lt;&gt;"",VLOOKUP(B486,G011B!$B:$Z,25,0),"")</f>
        <v/>
      </c>
      <c r="M486" s="160" t="str">
        <f t="shared" si="97"/>
        <v/>
      </c>
      <c r="N486" s="43"/>
      <c r="O486" s="43"/>
      <c r="P486" s="43"/>
    </row>
    <row r="487" spans="1:16" ht="20.05" customHeight="1" x14ac:dyDescent="0.25">
      <c r="A487" s="180">
        <v>298</v>
      </c>
      <c r="B487" s="57"/>
      <c r="C487" s="96" t="str">
        <f t="shared" si="94"/>
        <v/>
      </c>
      <c r="D487" s="97" t="str">
        <f t="shared" si="95"/>
        <v/>
      </c>
      <c r="E487" s="58"/>
      <c r="F487" s="59"/>
      <c r="G487" s="106" t="str">
        <f t="shared" si="98"/>
        <v/>
      </c>
      <c r="H487" s="103" t="str">
        <f t="shared" si="96"/>
        <v/>
      </c>
      <c r="I487" s="110" t="str">
        <f t="shared" si="99"/>
        <v/>
      </c>
      <c r="J487" s="100" t="str">
        <f>IF(B487&gt;0,ROUNDUP(VLOOKUP(B487,G011B!$B:$R,16,0),1),"")</f>
        <v/>
      </c>
      <c r="K487" s="100" t="str">
        <f t="shared" si="100"/>
        <v/>
      </c>
      <c r="L487" s="101" t="str">
        <f>IF(B487&lt;&gt;"",VLOOKUP(B487,G011B!$B:$Z,25,0),"")</f>
        <v/>
      </c>
      <c r="M487" s="160" t="str">
        <f t="shared" si="97"/>
        <v/>
      </c>
      <c r="N487" s="43"/>
      <c r="O487" s="43"/>
      <c r="P487" s="43"/>
    </row>
    <row r="488" spans="1:16" ht="20.05" customHeight="1" x14ac:dyDescent="0.25">
      <c r="A488" s="180">
        <v>299</v>
      </c>
      <c r="B488" s="57"/>
      <c r="C488" s="96" t="str">
        <f t="shared" si="94"/>
        <v/>
      </c>
      <c r="D488" s="97" t="str">
        <f t="shared" si="95"/>
        <v/>
      </c>
      <c r="E488" s="58"/>
      <c r="F488" s="59"/>
      <c r="G488" s="106" t="str">
        <f t="shared" si="98"/>
        <v/>
      </c>
      <c r="H488" s="103" t="str">
        <f t="shared" si="96"/>
        <v/>
      </c>
      <c r="I488" s="110" t="str">
        <f t="shared" si="99"/>
        <v/>
      </c>
      <c r="J488" s="100" t="str">
        <f>IF(B488&gt;0,ROUNDUP(VLOOKUP(B488,G011B!$B:$R,16,0),1),"")</f>
        <v/>
      </c>
      <c r="K488" s="100" t="str">
        <f t="shared" si="100"/>
        <v/>
      </c>
      <c r="L488" s="101" t="str">
        <f>IF(B488&lt;&gt;"",VLOOKUP(B488,G011B!$B:$Z,25,0),"")</f>
        <v/>
      </c>
      <c r="M488" s="160" t="str">
        <f t="shared" si="97"/>
        <v/>
      </c>
      <c r="N488" s="43"/>
      <c r="O488" s="43"/>
      <c r="P488" s="43"/>
    </row>
    <row r="489" spans="1:16" ht="20.05" customHeight="1" thickBot="1" x14ac:dyDescent="0.3">
      <c r="A489" s="181">
        <v>300</v>
      </c>
      <c r="B489" s="60"/>
      <c r="C489" s="98" t="str">
        <f t="shared" si="94"/>
        <v/>
      </c>
      <c r="D489" s="99" t="str">
        <f t="shared" si="95"/>
        <v/>
      </c>
      <c r="E489" s="61"/>
      <c r="F489" s="62"/>
      <c r="G489" s="107" t="str">
        <f t="shared" si="98"/>
        <v/>
      </c>
      <c r="H489" s="104" t="str">
        <f t="shared" si="96"/>
        <v/>
      </c>
      <c r="I489" s="111" t="str">
        <f t="shared" si="99"/>
        <v/>
      </c>
      <c r="J489" s="100" t="str">
        <f>IF(B489&gt;0,ROUNDUP(VLOOKUP(B489,G011B!$B:$R,16,0),1),"")</f>
        <v/>
      </c>
      <c r="K489" s="100" t="str">
        <f t="shared" si="100"/>
        <v/>
      </c>
      <c r="L489" s="101" t="str">
        <f>IF(B489&lt;&gt;"",VLOOKUP(B489,G011B!$B:$Z,25,0),"")</f>
        <v/>
      </c>
      <c r="M489" s="160" t="str">
        <f t="shared" si="97"/>
        <v/>
      </c>
      <c r="N489" s="43"/>
      <c r="O489" s="43"/>
      <c r="P489" s="43"/>
    </row>
    <row r="490" spans="1:16" ht="20.05" customHeight="1" thickBot="1" x14ac:dyDescent="0.4">
      <c r="A490" s="360" t="s">
        <v>42</v>
      </c>
      <c r="B490" s="361"/>
      <c r="C490" s="361"/>
      <c r="D490" s="361"/>
      <c r="E490" s="361"/>
      <c r="F490" s="362"/>
      <c r="G490" s="108">
        <f>SUM(G470:G489)</f>
        <v>0</v>
      </c>
      <c r="H490" s="202"/>
      <c r="I490" s="93">
        <f>IF(C468=C435,SUM(I470:I489)+I457,SUM(I470:I489))</f>
        <v>0</v>
      </c>
      <c r="J490" s="43"/>
      <c r="K490" s="43"/>
      <c r="L490" s="43"/>
      <c r="M490" s="43"/>
      <c r="N490" s="112">
        <f>IF(COUNTA(B470:B489)&gt;0,1,0)</f>
        <v>0</v>
      </c>
      <c r="O490" s="43"/>
      <c r="P490" s="43"/>
    </row>
    <row r="491" spans="1:16" ht="20.05" customHeight="1" thickBot="1" x14ac:dyDescent="0.35">
      <c r="A491" s="363" t="s">
        <v>80</v>
      </c>
      <c r="B491" s="364"/>
      <c r="C491" s="364"/>
      <c r="D491" s="365"/>
      <c r="E491" s="86">
        <f>SUM(G:G)/2</f>
        <v>0</v>
      </c>
      <c r="F491" s="366"/>
      <c r="G491" s="367"/>
      <c r="H491" s="368"/>
      <c r="I491" s="92">
        <f>SUM(I470:I489)+I458</f>
        <v>0</v>
      </c>
      <c r="J491" s="43"/>
      <c r="K491" s="43"/>
      <c r="L491" s="43"/>
      <c r="M491" s="43"/>
      <c r="N491" s="43"/>
      <c r="O491" s="43"/>
      <c r="P491" s="43"/>
    </row>
    <row r="492" spans="1:16" x14ac:dyDescent="0.25">
      <c r="A492" s="182" t="s">
        <v>118</v>
      </c>
      <c r="B492" s="43"/>
      <c r="C492" s="43"/>
      <c r="D492" s="43"/>
      <c r="E492" s="43"/>
      <c r="F492" s="43"/>
      <c r="G492" s="43"/>
      <c r="H492" s="43"/>
      <c r="I492" s="43"/>
      <c r="J492" s="43"/>
      <c r="K492" s="43"/>
      <c r="L492" s="43"/>
      <c r="M492" s="43"/>
      <c r="N492" s="43"/>
      <c r="O492" s="43"/>
      <c r="P492" s="43"/>
    </row>
    <row r="493" spans="1:16" x14ac:dyDescent="0.25">
      <c r="A493" s="43"/>
      <c r="B493" s="43"/>
      <c r="C493" s="43"/>
      <c r="D493" s="43"/>
      <c r="E493" s="43"/>
      <c r="F493" s="43"/>
      <c r="G493" s="43"/>
      <c r="H493" s="43"/>
      <c r="I493" s="43"/>
      <c r="J493" s="43"/>
      <c r="K493" s="43"/>
      <c r="L493" s="43"/>
      <c r="M493" s="43"/>
      <c r="N493" s="43"/>
      <c r="O493" s="43"/>
      <c r="P493" s="43"/>
    </row>
    <row r="494" spans="1:16" ht="21.1" x14ac:dyDescent="0.35">
      <c r="A494" s="247" t="s">
        <v>39</v>
      </c>
      <c r="B494" s="248">
        <f ca="1">IF(imzatarihi&gt;0,imzatarihi,"")</f>
        <v>45686</v>
      </c>
      <c r="C494" s="251" t="s">
        <v>40</v>
      </c>
      <c r="D494" s="245" t="str">
        <f>IF(kurulusyetkilisi&gt;0,kurulusyetkilisi,"")</f>
        <v/>
      </c>
      <c r="F494" s="247"/>
      <c r="G494" s="247"/>
      <c r="H494" s="163"/>
      <c r="I494" s="163"/>
      <c r="J494" s="43"/>
      <c r="K494" s="73"/>
      <c r="L494" s="73"/>
      <c r="M494" s="5"/>
      <c r="N494" s="73"/>
      <c r="O494" s="73"/>
      <c r="P494" s="43"/>
    </row>
    <row r="495" spans="1:16" ht="19.7" x14ac:dyDescent="0.35">
      <c r="A495" s="249"/>
      <c r="B495" s="249"/>
      <c r="C495" s="251" t="s">
        <v>41</v>
      </c>
      <c r="D495" s="247"/>
      <c r="E495" s="302"/>
      <c r="F495" s="302"/>
      <c r="G495" s="302"/>
      <c r="H495" s="42"/>
      <c r="I495" s="42"/>
      <c r="J495" s="43"/>
      <c r="K495" s="73"/>
      <c r="L495" s="73"/>
      <c r="M495" s="5"/>
      <c r="N495" s="73"/>
      <c r="O495" s="73"/>
      <c r="P495" s="43"/>
    </row>
    <row r="496" spans="1:16" ht="16.3" x14ac:dyDescent="0.3">
      <c r="A496" s="338" t="s">
        <v>73</v>
      </c>
      <c r="B496" s="338"/>
      <c r="C496" s="338"/>
      <c r="D496" s="338"/>
      <c r="E496" s="338"/>
      <c r="F496" s="338"/>
      <c r="G496" s="338"/>
      <c r="H496" s="338"/>
      <c r="I496" s="338"/>
      <c r="J496" s="43"/>
      <c r="K496" s="43"/>
      <c r="L496" s="43"/>
      <c r="M496" s="43"/>
      <c r="N496" s="43"/>
      <c r="O496" s="43"/>
      <c r="P496" s="43"/>
    </row>
    <row r="497" spans="1:16" x14ac:dyDescent="0.25">
      <c r="A497" s="336" t="str">
        <f>IF(YilDonem&lt;&gt;"",CONCATENATE(YilDonem,". döneme aittir."),"")</f>
        <v/>
      </c>
      <c r="B497" s="336"/>
      <c r="C497" s="336"/>
      <c r="D497" s="336"/>
      <c r="E497" s="336"/>
      <c r="F497" s="336"/>
      <c r="G497" s="336"/>
      <c r="H497" s="336"/>
      <c r="I497" s="336"/>
      <c r="J497" s="43"/>
      <c r="K497" s="43"/>
      <c r="L497" s="43"/>
      <c r="M497" s="43"/>
      <c r="N497" s="43"/>
      <c r="O497" s="43"/>
      <c r="P497" s="43"/>
    </row>
    <row r="498" spans="1:16" ht="19.7" thickBot="1" x14ac:dyDescent="0.4">
      <c r="A498" s="372" t="s">
        <v>82</v>
      </c>
      <c r="B498" s="372"/>
      <c r="C498" s="372"/>
      <c r="D498" s="372"/>
      <c r="E498" s="372"/>
      <c r="F498" s="372"/>
      <c r="G498" s="372"/>
      <c r="H498" s="372"/>
      <c r="I498" s="372"/>
      <c r="J498" s="43"/>
      <c r="K498" s="43"/>
      <c r="L498" s="43"/>
      <c r="M498" s="43"/>
      <c r="N498" s="43"/>
      <c r="O498" s="43"/>
      <c r="P498" s="43"/>
    </row>
    <row r="499" spans="1:16" ht="19.55" customHeight="1" thickBot="1" x14ac:dyDescent="0.3">
      <c r="A499" s="341" t="s">
        <v>1</v>
      </c>
      <c r="B499" s="343"/>
      <c r="C499" s="330" t="str">
        <f>IF(ProjeNo&gt;0,ProjeNo,"")</f>
        <v/>
      </c>
      <c r="D499" s="331"/>
      <c r="E499" s="331"/>
      <c r="F499" s="331"/>
      <c r="G499" s="331"/>
      <c r="H499" s="331"/>
      <c r="I499" s="332"/>
      <c r="J499" s="43"/>
      <c r="K499" s="43"/>
      <c r="L499" s="43"/>
      <c r="M499" s="43"/>
      <c r="N499" s="43"/>
      <c r="O499" s="43"/>
      <c r="P499" s="43"/>
    </row>
    <row r="500" spans="1:16" ht="29.25" customHeight="1" thickBot="1" x14ac:dyDescent="0.3">
      <c r="A500" s="371" t="s">
        <v>11</v>
      </c>
      <c r="B500" s="342"/>
      <c r="C500" s="346" t="str">
        <f>IF(ProjeAdi&gt;0,ProjeAdi,"")</f>
        <v/>
      </c>
      <c r="D500" s="347"/>
      <c r="E500" s="347"/>
      <c r="F500" s="347"/>
      <c r="G500" s="347"/>
      <c r="H500" s="347"/>
      <c r="I500" s="348"/>
      <c r="J500" s="43"/>
      <c r="K500" s="43"/>
      <c r="L500" s="43"/>
      <c r="M500" s="43"/>
      <c r="N500" s="43"/>
      <c r="O500" s="43"/>
      <c r="P500" s="43"/>
    </row>
    <row r="501" spans="1:16" ht="19.55" customHeight="1" thickBot="1" x14ac:dyDescent="0.3">
      <c r="A501" s="341" t="s">
        <v>74</v>
      </c>
      <c r="B501" s="343"/>
      <c r="C501" s="9"/>
      <c r="D501" s="369"/>
      <c r="E501" s="369"/>
      <c r="F501" s="369"/>
      <c r="G501" s="369"/>
      <c r="H501" s="369"/>
      <c r="I501" s="370"/>
      <c r="J501" s="43"/>
      <c r="K501" s="43"/>
      <c r="L501" s="43"/>
      <c r="M501" s="43"/>
      <c r="N501" s="43"/>
      <c r="O501" s="43"/>
      <c r="P501" s="43"/>
    </row>
    <row r="502" spans="1:16" s="2" customFormat="1" ht="29.25" thickBot="1" x14ac:dyDescent="0.3">
      <c r="A502" s="176" t="s">
        <v>7</v>
      </c>
      <c r="B502" s="176" t="s">
        <v>8</v>
      </c>
      <c r="C502" s="176" t="s">
        <v>63</v>
      </c>
      <c r="D502" s="176" t="s">
        <v>119</v>
      </c>
      <c r="E502" s="176" t="s">
        <v>75</v>
      </c>
      <c r="F502" s="176" t="s">
        <v>76</v>
      </c>
      <c r="G502" s="176" t="s">
        <v>77</v>
      </c>
      <c r="H502" s="176" t="s">
        <v>78</v>
      </c>
      <c r="I502" s="176" t="s">
        <v>79</v>
      </c>
      <c r="J502" s="177" t="s">
        <v>83</v>
      </c>
      <c r="K502" s="178" t="s">
        <v>84</v>
      </c>
      <c r="L502" s="178" t="s">
        <v>76</v>
      </c>
      <c r="M502" s="169"/>
      <c r="N502" s="169"/>
      <c r="O502" s="169"/>
      <c r="P502" s="169"/>
    </row>
    <row r="503" spans="1:16" ht="20.05" customHeight="1" x14ac:dyDescent="0.25">
      <c r="A503" s="179">
        <v>301</v>
      </c>
      <c r="B503" s="53"/>
      <c r="C503" s="94" t="str">
        <f t="shared" ref="C503:C522" si="101">IF(B503&lt;&gt;"",VLOOKUP(B503,PersonelTablo,2,0),"")</f>
        <v/>
      </c>
      <c r="D503" s="95" t="str">
        <f t="shared" ref="D503:D522" si="102">IF(B503&lt;&gt;"",VLOOKUP(B503,PersonelTablo,3,0),"")</f>
        <v/>
      </c>
      <c r="E503" s="54"/>
      <c r="F503" s="55"/>
      <c r="G503" s="105" t="str">
        <f>IF(AND(B503&lt;&gt;"",L503&gt;=F503),E503*F503,"")</f>
        <v/>
      </c>
      <c r="H503" s="102" t="str">
        <f t="shared" ref="H503:H522" si="103">IF(B503&lt;&gt;"",VLOOKUP(B503,G011CTablo,14,0),"")</f>
        <v/>
      </c>
      <c r="I503" s="109" t="str">
        <f>IF(AND(B503&lt;&gt;"",J503&gt;=K503,L503&gt;0),G503*H503,"")</f>
        <v/>
      </c>
      <c r="J503" s="100" t="str">
        <f>IF(B503&gt;0,ROUNDUP(VLOOKUP(B503,G011B!$B:$R,16,0),1),"")</f>
        <v/>
      </c>
      <c r="K503" s="100" t="str">
        <f>IF(B503&gt;0,SUMIF($B:$B,B503,$G:$G),"")</f>
        <v/>
      </c>
      <c r="L503" s="101" t="str">
        <f>IF(B503&lt;&gt;"",VLOOKUP(B503,G011B!$B:$Z,25,0),"")</f>
        <v/>
      </c>
      <c r="M503" s="160" t="str">
        <f t="shared" ref="M503:M522" si="104">IF(J503&gt;=K503,"","Personelin bütün iş paketlerindeki Toplam Adam Ay değeri "&amp;K503&amp;" olup, bu değer, G011B formunda beyan edilen Çalışılan Toplam Ay değerini geçemez. Maliyeti hesaplamak için Adam/Ay Oranı veya Çalışılan Ay değerini düzeltiniz. ")</f>
        <v/>
      </c>
      <c r="N503" s="43"/>
      <c r="O503" s="43"/>
      <c r="P503" s="43"/>
    </row>
    <row r="504" spans="1:16" ht="20.05" customHeight="1" x14ac:dyDescent="0.25">
      <c r="A504" s="180">
        <v>302</v>
      </c>
      <c r="B504" s="57"/>
      <c r="C504" s="96" t="str">
        <f t="shared" si="101"/>
        <v/>
      </c>
      <c r="D504" s="97" t="str">
        <f t="shared" si="102"/>
        <v/>
      </c>
      <c r="E504" s="58"/>
      <c r="F504" s="59"/>
      <c r="G504" s="106" t="str">
        <f t="shared" ref="G504:G522" si="105">IF(AND(B504&lt;&gt;"",L504&gt;=F504),E504*F504,"")</f>
        <v/>
      </c>
      <c r="H504" s="103" t="str">
        <f t="shared" si="103"/>
        <v/>
      </c>
      <c r="I504" s="110" t="str">
        <f t="shared" ref="I504:I522" si="106">IF(AND(B504&lt;&gt;"",J504&gt;=K504,L504&gt;0),G504*H504,"")</f>
        <v/>
      </c>
      <c r="J504" s="100" t="str">
        <f>IF(B504&gt;0,ROUNDUP(VLOOKUP(B504,G011B!$B:$R,16,0),1),"")</f>
        <v/>
      </c>
      <c r="K504" s="100" t="str">
        <f t="shared" ref="K504:K522" si="107">IF(B504&gt;0,SUMIF($B:$B,B504,$G:$G),"")</f>
        <v/>
      </c>
      <c r="L504" s="101" t="str">
        <f>IF(B504&lt;&gt;"",VLOOKUP(B504,G011B!$B:$Z,25,0),"")</f>
        <v/>
      </c>
      <c r="M504" s="160" t="str">
        <f t="shared" si="104"/>
        <v/>
      </c>
      <c r="N504" s="43"/>
      <c r="O504" s="43"/>
      <c r="P504" s="43"/>
    </row>
    <row r="505" spans="1:16" ht="20.05" customHeight="1" x14ac:dyDescent="0.25">
      <c r="A505" s="180">
        <v>303</v>
      </c>
      <c r="B505" s="57"/>
      <c r="C505" s="96" t="str">
        <f t="shared" si="101"/>
        <v/>
      </c>
      <c r="D505" s="97" t="str">
        <f t="shared" si="102"/>
        <v/>
      </c>
      <c r="E505" s="58"/>
      <c r="F505" s="59"/>
      <c r="G505" s="106" t="str">
        <f t="shared" si="105"/>
        <v/>
      </c>
      <c r="H505" s="103" t="str">
        <f t="shared" si="103"/>
        <v/>
      </c>
      <c r="I505" s="110" t="str">
        <f t="shared" si="106"/>
        <v/>
      </c>
      <c r="J505" s="100" t="str">
        <f>IF(B505&gt;0,ROUNDUP(VLOOKUP(B505,G011B!$B:$R,16,0),1),"")</f>
        <v/>
      </c>
      <c r="K505" s="100" t="str">
        <f t="shared" si="107"/>
        <v/>
      </c>
      <c r="L505" s="101" t="str">
        <f>IF(B505&lt;&gt;"",VLOOKUP(B505,G011B!$B:$Z,25,0),"")</f>
        <v/>
      </c>
      <c r="M505" s="160" t="str">
        <f t="shared" si="104"/>
        <v/>
      </c>
      <c r="N505" s="43"/>
      <c r="O505" s="43"/>
      <c r="P505" s="43"/>
    </row>
    <row r="506" spans="1:16" ht="20.05" customHeight="1" x14ac:dyDescent="0.25">
      <c r="A506" s="180">
        <v>304</v>
      </c>
      <c r="B506" s="57"/>
      <c r="C506" s="96" t="str">
        <f t="shared" si="101"/>
        <v/>
      </c>
      <c r="D506" s="97" t="str">
        <f t="shared" si="102"/>
        <v/>
      </c>
      <c r="E506" s="58"/>
      <c r="F506" s="59"/>
      <c r="G506" s="106" t="str">
        <f t="shared" si="105"/>
        <v/>
      </c>
      <c r="H506" s="103" t="str">
        <f t="shared" si="103"/>
        <v/>
      </c>
      <c r="I506" s="110" t="str">
        <f t="shared" si="106"/>
        <v/>
      </c>
      <c r="J506" s="100" t="str">
        <f>IF(B506&gt;0,ROUNDUP(VLOOKUP(B506,G011B!$B:$R,16,0),1),"")</f>
        <v/>
      </c>
      <c r="K506" s="100" t="str">
        <f t="shared" si="107"/>
        <v/>
      </c>
      <c r="L506" s="101" t="str">
        <f>IF(B506&lt;&gt;"",VLOOKUP(B506,G011B!$B:$Z,25,0),"")</f>
        <v/>
      </c>
      <c r="M506" s="160" t="str">
        <f t="shared" si="104"/>
        <v/>
      </c>
      <c r="N506" s="43"/>
      <c r="O506" s="43"/>
      <c r="P506" s="43"/>
    </row>
    <row r="507" spans="1:16" ht="20.05" customHeight="1" x14ac:dyDescent="0.25">
      <c r="A507" s="180">
        <v>305</v>
      </c>
      <c r="B507" s="57"/>
      <c r="C507" s="96" t="str">
        <f t="shared" si="101"/>
        <v/>
      </c>
      <c r="D507" s="97" t="str">
        <f t="shared" si="102"/>
        <v/>
      </c>
      <c r="E507" s="58"/>
      <c r="F507" s="59"/>
      <c r="G507" s="106" t="str">
        <f t="shared" si="105"/>
        <v/>
      </c>
      <c r="H507" s="103" t="str">
        <f t="shared" si="103"/>
        <v/>
      </c>
      <c r="I507" s="110" t="str">
        <f t="shared" si="106"/>
        <v/>
      </c>
      <c r="J507" s="100" t="str">
        <f>IF(B507&gt;0,ROUNDUP(VLOOKUP(B507,G011B!$B:$R,16,0),1),"")</f>
        <v/>
      </c>
      <c r="K507" s="100" t="str">
        <f t="shared" si="107"/>
        <v/>
      </c>
      <c r="L507" s="101" t="str">
        <f>IF(B507&lt;&gt;"",VLOOKUP(B507,G011B!$B:$Z,25,0),"")</f>
        <v/>
      </c>
      <c r="M507" s="160" t="str">
        <f t="shared" si="104"/>
        <v/>
      </c>
      <c r="N507" s="43"/>
      <c r="O507" s="43"/>
      <c r="P507" s="43"/>
    </row>
    <row r="508" spans="1:16" ht="20.05" customHeight="1" x14ac:dyDescent="0.25">
      <c r="A508" s="180">
        <v>306</v>
      </c>
      <c r="B508" s="57"/>
      <c r="C508" s="96" t="str">
        <f t="shared" si="101"/>
        <v/>
      </c>
      <c r="D508" s="97" t="str">
        <f t="shared" si="102"/>
        <v/>
      </c>
      <c r="E508" s="58"/>
      <c r="F508" s="59"/>
      <c r="G508" s="106" t="str">
        <f t="shared" si="105"/>
        <v/>
      </c>
      <c r="H508" s="103" t="str">
        <f t="shared" si="103"/>
        <v/>
      </c>
      <c r="I508" s="110" t="str">
        <f t="shared" si="106"/>
        <v/>
      </c>
      <c r="J508" s="100" t="str">
        <f>IF(B508&gt;0,ROUNDUP(VLOOKUP(B508,G011B!$B:$R,16,0),1),"")</f>
        <v/>
      </c>
      <c r="K508" s="100" t="str">
        <f t="shared" si="107"/>
        <v/>
      </c>
      <c r="L508" s="101" t="str">
        <f>IF(B508&lt;&gt;"",VLOOKUP(B508,G011B!$B:$Z,25,0),"")</f>
        <v/>
      </c>
      <c r="M508" s="160" t="str">
        <f t="shared" si="104"/>
        <v/>
      </c>
      <c r="N508" s="43"/>
      <c r="O508" s="43"/>
      <c r="P508" s="43"/>
    </row>
    <row r="509" spans="1:16" ht="20.05" customHeight="1" x14ac:dyDescent="0.25">
      <c r="A509" s="180">
        <v>307</v>
      </c>
      <c r="B509" s="57"/>
      <c r="C509" s="96" t="str">
        <f t="shared" si="101"/>
        <v/>
      </c>
      <c r="D509" s="97" t="str">
        <f t="shared" si="102"/>
        <v/>
      </c>
      <c r="E509" s="58"/>
      <c r="F509" s="59"/>
      <c r="G509" s="106" t="str">
        <f t="shared" si="105"/>
        <v/>
      </c>
      <c r="H509" s="103" t="str">
        <f t="shared" si="103"/>
        <v/>
      </c>
      <c r="I509" s="110" t="str">
        <f t="shared" si="106"/>
        <v/>
      </c>
      <c r="J509" s="100" t="str">
        <f>IF(B509&gt;0,ROUNDUP(VLOOKUP(B509,G011B!$B:$R,16,0),1),"")</f>
        <v/>
      </c>
      <c r="K509" s="100" t="str">
        <f t="shared" si="107"/>
        <v/>
      </c>
      <c r="L509" s="101" t="str">
        <f>IF(B509&lt;&gt;"",VLOOKUP(B509,G011B!$B:$Z,25,0),"")</f>
        <v/>
      </c>
      <c r="M509" s="160" t="str">
        <f t="shared" si="104"/>
        <v/>
      </c>
      <c r="N509" s="43"/>
      <c r="O509" s="43"/>
      <c r="P509" s="43"/>
    </row>
    <row r="510" spans="1:16" ht="20.05" customHeight="1" x14ac:dyDescent="0.25">
      <c r="A510" s="180">
        <v>308</v>
      </c>
      <c r="B510" s="57"/>
      <c r="C510" s="96" t="str">
        <f t="shared" si="101"/>
        <v/>
      </c>
      <c r="D510" s="97" t="str">
        <f t="shared" si="102"/>
        <v/>
      </c>
      <c r="E510" s="58"/>
      <c r="F510" s="59"/>
      <c r="G510" s="106" t="str">
        <f t="shared" si="105"/>
        <v/>
      </c>
      <c r="H510" s="103" t="str">
        <f t="shared" si="103"/>
        <v/>
      </c>
      <c r="I510" s="110" t="str">
        <f t="shared" si="106"/>
        <v/>
      </c>
      <c r="J510" s="100" t="str">
        <f>IF(B510&gt;0,ROUNDUP(VLOOKUP(B510,G011B!$B:$R,16,0),1),"")</f>
        <v/>
      </c>
      <c r="K510" s="100" t="str">
        <f t="shared" si="107"/>
        <v/>
      </c>
      <c r="L510" s="101" t="str">
        <f>IF(B510&lt;&gt;"",VLOOKUP(B510,G011B!$B:$Z,25,0),"")</f>
        <v/>
      </c>
      <c r="M510" s="160" t="str">
        <f t="shared" si="104"/>
        <v/>
      </c>
      <c r="N510" s="43"/>
      <c r="O510" s="43"/>
      <c r="P510" s="43"/>
    </row>
    <row r="511" spans="1:16" ht="20.05" customHeight="1" x14ac:dyDescent="0.25">
      <c r="A511" s="180">
        <v>309</v>
      </c>
      <c r="B511" s="57"/>
      <c r="C511" s="96" t="str">
        <f t="shared" si="101"/>
        <v/>
      </c>
      <c r="D511" s="97" t="str">
        <f t="shared" si="102"/>
        <v/>
      </c>
      <c r="E511" s="58"/>
      <c r="F511" s="59"/>
      <c r="G511" s="106" t="str">
        <f t="shared" si="105"/>
        <v/>
      </c>
      <c r="H511" s="103" t="str">
        <f t="shared" si="103"/>
        <v/>
      </c>
      <c r="I511" s="110" t="str">
        <f t="shared" si="106"/>
        <v/>
      </c>
      <c r="J511" s="100" t="str">
        <f>IF(B511&gt;0,ROUNDUP(VLOOKUP(B511,G011B!$B:$R,16,0),1),"")</f>
        <v/>
      </c>
      <c r="K511" s="100" t="str">
        <f t="shared" si="107"/>
        <v/>
      </c>
      <c r="L511" s="101" t="str">
        <f>IF(B511&lt;&gt;"",VLOOKUP(B511,G011B!$B:$Z,25,0),"")</f>
        <v/>
      </c>
      <c r="M511" s="160" t="str">
        <f t="shared" si="104"/>
        <v/>
      </c>
      <c r="N511" s="43"/>
      <c r="O511" s="43"/>
      <c r="P511" s="43"/>
    </row>
    <row r="512" spans="1:16" ht="20.05" customHeight="1" x14ac:dyDescent="0.25">
      <c r="A512" s="180">
        <v>310</v>
      </c>
      <c r="B512" s="57"/>
      <c r="C512" s="96" t="str">
        <f t="shared" si="101"/>
        <v/>
      </c>
      <c r="D512" s="97" t="str">
        <f t="shared" si="102"/>
        <v/>
      </c>
      <c r="E512" s="58"/>
      <c r="F512" s="59"/>
      <c r="G512" s="106" t="str">
        <f t="shared" si="105"/>
        <v/>
      </c>
      <c r="H512" s="103" t="str">
        <f t="shared" si="103"/>
        <v/>
      </c>
      <c r="I512" s="110" t="str">
        <f t="shared" si="106"/>
        <v/>
      </c>
      <c r="J512" s="100" t="str">
        <f>IF(B512&gt;0,ROUNDUP(VLOOKUP(B512,G011B!$B:$R,16,0),1),"")</f>
        <v/>
      </c>
      <c r="K512" s="100" t="str">
        <f t="shared" si="107"/>
        <v/>
      </c>
      <c r="L512" s="101" t="str">
        <f>IF(B512&lt;&gt;"",VLOOKUP(B512,G011B!$B:$Z,25,0),"")</f>
        <v/>
      </c>
      <c r="M512" s="160" t="str">
        <f t="shared" si="104"/>
        <v/>
      </c>
      <c r="N512" s="43"/>
      <c r="O512" s="43"/>
      <c r="P512" s="43"/>
    </row>
    <row r="513" spans="1:16" ht="20.05" customHeight="1" x14ac:dyDescent="0.25">
      <c r="A513" s="180">
        <v>311</v>
      </c>
      <c r="B513" s="57"/>
      <c r="C513" s="96" t="str">
        <f t="shared" si="101"/>
        <v/>
      </c>
      <c r="D513" s="97" t="str">
        <f t="shared" si="102"/>
        <v/>
      </c>
      <c r="E513" s="58"/>
      <c r="F513" s="59"/>
      <c r="G513" s="106" t="str">
        <f t="shared" si="105"/>
        <v/>
      </c>
      <c r="H513" s="103" t="str">
        <f t="shared" si="103"/>
        <v/>
      </c>
      <c r="I513" s="110" t="str">
        <f t="shared" si="106"/>
        <v/>
      </c>
      <c r="J513" s="100" t="str">
        <f>IF(B513&gt;0,ROUNDUP(VLOOKUP(B513,G011B!$B:$R,16,0),1),"")</f>
        <v/>
      </c>
      <c r="K513" s="100" t="str">
        <f t="shared" si="107"/>
        <v/>
      </c>
      <c r="L513" s="101" t="str">
        <f>IF(B513&lt;&gt;"",VLOOKUP(B513,G011B!$B:$Z,25,0),"")</f>
        <v/>
      </c>
      <c r="M513" s="160" t="str">
        <f t="shared" si="104"/>
        <v/>
      </c>
      <c r="N513" s="43"/>
      <c r="O513" s="43"/>
      <c r="P513" s="43"/>
    </row>
    <row r="514" spans="1:16" ht="20.05" customHeight="1" x14ac:dyDescent="0.25">
      <c r="A514" s="180">
        <v>312</v>
      </c>
      <c r="B514" s="57"/>
      <c r="C514" s="96" t="str">
        <f t="shared" si="101"/>
        <v/>
      </c>
      <c r="D514" s="97" t="str">
        <f t="shared" si="102"/>
        <v/>
      </c>
      <c r="E514" s="58"/>
      <c r="F514" s="59"/>
      <c r="G514" s="106" t="str">
        <f t="shared" si="105"/>
        <v/>
      </c>
      <c r="H514" s="103" t="str">
        <f t="shared" si="103"/>
        <v/>
      </c>
      <c r="I514" s="110" t="str">
        <f t="shared" si="106"/>
        <v/>
      </c>
      <c r="J514" s="100" t="str">
        <f>IF(B514&gt;0,ROUNDUP(VLOOKUP(B514,G011B!$B:$R,16,0),1),"")</f>
        <v/>
      </c>
      <c r="K514" s="100" t="str">
        <f t="shared" si="107"/>
        <v/>
      </c>
      <c r="L514" s="101" t="str">
        <f>IF(B514&lt;&gt;"",VLOOKUP(B514,G011B!$B:$Z,25,0),"")</f>
        <v/>
      </c>
      <c r="M514" s="160" t="str">
        <f t="shared" si="104"/>
        <v/>
      </c>
      <c r="N514" s="43"/>
      <c r="O514" s="43"/>
      <c r="P514" s="43"/>
    </row>
    <row r="515" spans="1:16" ht="20.05" customHeight="1" x14ac:dyDescent="0.25">
      <c r="A515" s="180">
        <v>313</v>
      </c>
      <c r="B515" s="57"/>
      <c r="C515" s="96" t="str">
        <f t="shared" si="101"/>
        <v/>
      </c>
      <c r="D515" s="97" t="str">
        <f t="shared" si="102"/>
        <v/>
      </c>
      <c r="E515" s="58"/>
      <c r="F515" s="59"/>
      <c r="G515" s="106" t="str">
        <f t="shared" si="105"/>
        <v/>
      </c>
      <c r="H515" s="103" t="str">
        <f t="shared" si="103"/>
        <v/>
      </c>
      <c r="I515" s="110" t="str">
        <f t="shared" si="106"/>
        <v/>
      </c>
      <c r="J515" s="100" t="str">
        <f>IF(B515&gt;0,ROUNDUP(VLOOKUP(B515,G011B!$B:$R,16,0),1),"")</f>
        <v/>
      </c>
      <c r="K515" s="100" t="str">
        <f t="shared" si="107"/>
        <v/>
      </c>
      <c r="L515" s="101" t="str">
        <f>IF(B515&lt;&gt;"",VLOOKUP(B515,G011B!$B:$Z,25,0),"")</f>
        <v/>
      </c>
      <c r="M515" s="160" t="str">
        <f t="shared" si="104"/>
        <v/>
      </c>
      <c r="N515" s="43"/>
      <c r="O515" s="43"/>
      <c r="P515" s="43"/>
    </row>
    <row r="516" spans="1:16" ht="20.05" customHeight="1" x14ac:dyDescent="0.25">
      <c r="A516" s="180">
        <v>314</v>
      </c>
      <c r="B516" s="57"/>
      <c r="C516" s="96" t="str">
        <f t="shared" si="101"/>
        <v/>
      </c>
      <c r="D516" s="97" t="str">
        <f t="shared" si="102"/>
        <v/>
      </c>
      <c r="E516" s="58"/>
      <c r="F516" s="59"/>
      <c r="G516" s="106" t="str">
        <f t="shared" si="105"/>
        <v/>
      </c>
      <c r="H516" s="103" t="str">
        <f t="shared" si="103"/>
        <v/>
      </c>
      <c r="I516" s="110" t="str">
        <f t="shared" si="106"/>
        <v/>
      </c>
      <c r="J516" s="100" t="str">
        <f>IF(B516&gt;0,ROUNDUP(VLOOKUP(B516,G011B!$B:$R,16,0),1),"")</f>
        <v/>
      </c>
      <c r="K516" s="100" t="str">
        <f t="shared" si="107"/>
        <v/>
      </c>
      <c r="L516" s="101" t="str">
        <f>IF(B516&lt;&gt;"",VLOOKUP(B516,G011B!$B:$Z,25,0),"")</f>
        <v/>
      </c>
      <c r="M516" s="160" t="str">
        <f t="shared" si="104"/>
        <v/>
      </c>
      <c r="N516" s="43"/>
      <c r="O516" s="43"/>
      <c r="P516" s="43"/>
    </row>
    <row r="517" spans="1:16" ht="20.05" customHeight="1" x14ac:dyDescent="0.25">
      <c r="A517" s="180">
        <v>315</v>
      </c>
      <c r="B517" s="57"/>
      <c r="C517" s="96" t="str">
        <f t="shared" si="101"/>
        <v/>
      </c>
      <c r="D517" s="97" t="str">
        <f t="shared" si="102"/>
        <v/>
      </c>
      <c r="E517" s="58"/>
      <c r="F517" s="59"/>
      <c r="G517" s="106" t="str">
        <f t="shared" si="105"/>
        <v/>
      </c>
      <c r="H517" s="103" t="str">
        <f t="shared" si="103"/>
        <v/>
      </c>
      <c r="I517" s="110" t="str">
        <f t="shared" si="106"/>
        <v/>
      </c>
      <c r="J517" s="100" t="str">
        <f>IF(B517&gt;0,ROUNDUP(VLOOKUP(B517,G011B!$B:$R,16,0),1),"")</f>
        <v/>
      </c>
      <c r="K517" s="100" t="str">
        <f t="shared" si="107"/>
        <v/>
      </c>
      <c r="L517" s="101" t="str">
        <f>IF(B517&lt;&gt;"",VLOOKUP(B517,G011B!$B:$Z,25,0),"")</f>
        <v/>
      </c>
      <c r="M517" s="160" t="str">
        <f t="shared" si="104"/>
        <v/>
      </c>
      <c r="N517" s="43"/>
      <c r="O517" s="43"/>
      <c r="P517" s="43"/>
    </row>
    <row r="518" spans="1:16" ht="20.05" customHeight="1" x14ac:dyDescent="0.25">
      <c r="A518" s="180">
        <v>316</v>
      </c>
      <c r="B518" s="57"/>
      <c r="C518" s="96" t="str">
        <f t="shared" si="101"/>
        <v/>
      </c>
      <c r="D518" s="97" t="str">
        <f t="shared" si="102"/>
        <v/>
      </c>
      <c r="E518" s="58"/>
      <c r="F518" s="59"/>
      <c r="G518" s="106" t="str">
        <f t="shared" si="105"/>
        <v/>
      </c>
      <c r="H518" s="103" t="str">
        <f t="shared" si="103"/>
        <v/>
      </c>
      <c r="I518" s="110" t="str">
        <f t="shared" si="106"/>
        <v/>
      </c>
      <c r="J518" s="100" t="str">
        <f>IF(B518&gt;0,ROUNDUP(VLOOKUP(B518,G011B!$B:$R,16,0),1),"")</f>
        <v/>
      </c>
      <c r="K518" s="100" t="str">
        <f t="shared" si="107"/>
        <v/>
      </c>
      <c r="L518" s="101" t="str">
        <f>IF(B518&lt;&gt;"",VLOOKUP(B518,G011B!$B:$Z,25,0),"")</f>
        <v/>
      </c>
      <c r="M518" s="160" t="str">
        <f t="shared" si="104"/>
        <v/>
      </c>
      <c r="N518" s="43"/>
      <c r="O518" s="43"/>
      <c r="P518" s="43"/>
    </row>
    <row r="519" spans="1:16" ht="20.05" customHeight="1" x14ac:dyDescent="0.25">
      <c r="A519" s="180">
        <v>317</v>
      </c>
      <c r="B519" s="57"/>
      <c r="C519" s="96" t="str">
        <f t="shared" si="101"/>
        <v/>
      </c>
      <c r="D519" s="97" t="str">
        <f t="shared" si="102"/>
        <v/>
      </c>
      <c r="E519" s="58"/>
      <c r="F519" s="59"/>
      <c r="G519" s="106" t="str">
        <f t="shared" si="105"/>
        <v/>
      </c>
      <c r="H519" s="103" t="str">
        <f t="shared" si="103"/>
        <v/>
      </c>
      <c r="I519" s="110" t="str">
        <f t="shared" si="106"/>
        <v/>
      </c>
      <c r="J519" s="100" t="str">
        <f>IF(B519&gt;0,ROUNDUP(VLOOKUP(B519,G011B!$B:$R,16,0),1),"")</f>
        <v/>
      </c>
      <c r="K519" s="100" t="str">
        <f t="shared" si="107"/>
        <v/>
      </c>
      <c r="L519" s="101" t="str">
        <f>IF(B519&lt;&gt;"",VLOOKUP(B519,G011B!$B:$Z,25,0),"")</f>
        <v/>
      </c>
      <c r="M519" s="160" t="str">
        <f t="shared" si="104"/>
        <v/>
      </c>
      <c r="N519" s="43"/>
      <c r="O519" s="43"/>
      <c r="P519" s="43"/>
    </row>
    <row r="520" spans="1:16" ht="20.05" customHeight="1" x14ac:dyDescent="0.25">
      <c r="A520" s="180">
        <v>318</v>
      </c>
      <c r="B520" s="57"/>
      <c r="C520" s="96" t="str">
        <f t="shared" si="101"/>
        <v/>
      </c>
      <c r="D520" s="97" t="str">
        <f t="shared" si="102"/>
        <v/>
      </c>
      <c r="E520" s="58"/>
      <c r="F520" s="59"/>
      <c r="G520" s="106" t="str">
        <f t="shared" si="105"/>
        <v/>
      </c>
      <c r="H520" s="103" t="str">
        <f t="shared" si="103"/>
        <v/>
      </c>
      <c r="I520" s="110" t="str">
        <f t="shared" si="106"/>
        <v/>
      </c>
      <c r="J520" s="100" t="str">
        <f>IF(B520&gt;0,ROUNDUP(VLOOKUP(B520,G011B!$B:$R,16,0),1),"")</f>
        <v/>
      </c>
      <c r="K520" s="100" t="str">
        <f t="shared" si="107"/>
        <v/>
      </c>
      <c r="L520" s="101" t="str">
        <f>IF(B520&lt;&gt;"",VLOOKUP(B520,G011B!$B:$Z,25,0),"")</f>
        <v/>
      </c>
      <c r="M520" s="160" t="str">
        <f t="shared" si="104"/>
        <v/>
      </c>
      <c r="N520" s="43"/>
      <c r="O520" s="43"/>
      <c r="P520" s="43"/>
    </row>
    <row r="521" spans="1:16" ht="20.05" customHeight="1" x14ac:dyDescent="0.25">
      <c r="A521" s="180">
        <v>319</v>
      </c>
      <c r="B521" s="57"/>
      <c r="C521" s="96" t="str">
        <f t="shared" si="101"/>
        <v/>
      </c>
      <c r="D521" s="97" t="str">
        <f t="shared" si="102"/>
        <v/>
      </c>
      <c r="E521" s="58"/>
      <c r="F521" s="59"/>
      <c r="G521" s="106" t="str">
        <f t="shared" si="105"/>
        <v/>
      </c>
      <c r="H521" s="103" t="str">
        <f t="shared" si="103"/>
        <v/>
      </c>
      <c r="I521" s="110" t="str">
        <f t="shared" si="106"/>
        <v/>
      </c>
      <c r="J521" s="100" t="str">
        <f>IF(B521&gt;0,ROUNDUP(VLOOKUP(B521,G011B!$B:$R,16,0),1),"")</f>
        <v/>
      </c>
      <c r="K521" s="100" t="str">
        <f t="shared" si="107"/>
        <v/>
      </c>
      <c r="L521" s="101" t="str">
        <f>IF(B521&lt;&gt;"",VLOOKUP(B521,G011B!$B:$Z,25,0),"")</f>
        <v/>
      </c>
      <c r="M521" s="160" t="str">
        <f t="shared" si="104"/>
        <v/>
      </c>
      <c r="N521" s="43"/>
      <c r="O521" s="43"/>
      <c r="P521" s="43"/>
    </row>
    <row r="522" spans="1:16" ht="20.05" customHeight="1" thickBot="1" x14ac:dyDescent="0.3">
      <c r="A522" s="181">
        <v>320</v>
      </c>
      <c r="B522" s="60"/>
      <c r="C522" s="98" t="str">
        <f t="shared" si="101"/>
        <v/>
      </c>
      <c r="D522" s="99" t="str">
        <f t="shared" si="102"/>
        <v/>
      </c>
      <c r="E522" s="61"/>
      <c r="F522" s="62"/>
      <c r="G522" s="107" t="str">
        <f t="shared" si="105"/>
        <v/>
      </c>
      <c r="H522" s="104" t="str">
        <f t="shared" si="103"/>
        <v/>
      </c>
      <c r="I522" s="111" t="str">
        <f t="shared" si="106"/>
        <v/>
      </c>
      <c r="J522" s="100" t="str">
        <f>IF(B522&gt;0,ROUNDUP(VLOOKUP(B522,G011B!$B:$R,16,0),1),"")</f>
        <v/>
      </c>
      <c r="K522" s="100" t="str">
        <f t="shared" si="107"/>
        <v/>
      </c>
      <c r="L522" s="101" t="str">
        <f>IF(B522&lt;&gt;"",VLOOKUP(B522,G011B!$B:$Z,25,0),"")</f>
        <v/>
      </c>
      <c r="M522" s="160" t="str">
        <f t="shared" si="104"/>
        <v/>
      </c>
      <c r="N522" s="43"/>
      <c r="O522" s="43"/>
      <c r="P522" s="43"/>
    </row>
    <row r="523" spans="1:16" ht="20.05" customHeight="1" thickBot="1" x14ac:dyDescent="0.4">
      <c r="A523" s="360" t="s">
        <v>42</v>
      </c>
      <c r="B523" s="361"/>
      <c r="C523" s="361"/>
      <c r="D523" s="361"/>
      <c r="E523" s="361"/>
      <c r="F523" s="362"/>
      <c r="G523" s="108">
        <f>SUM(G503:G522)</f>
        <v>0</v>
      </c>
      <c r="H523" s="202"/>
      <c r="I523" s="93">
        <f>IF(C501=C468,SUM(I503:I522)+I490,SUM(I503:I522))</f>
        <v>0</v>
      </c>
      <c r="J523" s="43"/>
      <c r="K523" s="43"/>
      <c r="L523" s="43"/>
      <c r="M523" s="43"/>
      <c r="N523" s="112">
        <f>IF(COUNTA(B503:B522)&gt;0,1,0)</f>
        <v>0</v>
      </c>
      <c r="O523" s="43"/>
      <c r="P523" s="43"/>
    </row>
    <row r="524" spans="1:16" ht="20.05" customHeight="1" thickBot="1" x14ac:dyDescent="0.35">
      <c r="A524" s="363" t="s">
        <v>80</v>
      </c>
      <c r="B524" s="364"/>
      <c r="C524" s="364"/>
      <c r="D524" s="365"/>
      <c r="E524" s="86">
        <f>SUM(G:G)/2</f>
        <v>0</v>
      </c>
      <c r="F524" s="366"/>
      <c r="G524" s="367"/>
      <c r="H524" s="368"/>
      <c r="I524" s="92">
        <f>SUM(I503:I522)+I491</f>
        <v>0</v>
      </c>
      <c r="J524" s="43"/>
      <c r="K524" s="43"/>
      <c r="L524" s="43"/>
      <c r="M524" s="43"/>
      <c r="N524" s="43"/>
      <c r="O524" s="43"/>
      <c r="P524" s="43"/>
    </row>
    <row r="525" spans="1:16" x14ac:dyDescent="0.25">
      <c r="A525" s="182" t="s">
        <v>118</v>
      </c>
      <c r="B525" s="43"/>
      <c r="C525" s="43"/>
      <c r="D525" s="43"/>
      <c r="E525" s="43"/>
      <c r="F525" s="43"/>
      <c r="G525" s="43"/>
      <c r="H525" s="43"/>
      <c r="I525" s="43"/>
      <c r="J525" s="43"/>
      <c r="K525" s="43"/>
      <c r="L525" s="43"/>
      <c r="M525" s="43"/>
      <c r="N525" s="43"/>
      <c r="O525" s="43"/>
      <c r="P525" s="43"/>
    </row>
    <row r="526" spans="1:16" x14ac:dyDescent="0.25">
      <c r="A526" s="43"/>
      <c r="B526" s="43"/>
      <c r="C526" s="43"/>
      <c r="D526" s="43"/>
      <c r="E526" s="43"/>
      <c r="F526" s="43"/>
      <c r="G526" s="43"/>
      <c r="H526" s="43"/>
      <c r="I526" s="43"/>
      <c r="J526" s="43"/>
      <c r="K526" s="43"/>
      <c r="L526" s="43"/>
      <c r="M526" s="43"/>
      <c r="N526" s="43"/>
      <c r="O526" s="43"/>
      <c r="P526" s="43"/>
    </row>
    <row r="527" spans="1:16" ht="21.1" x14ac:dyDescent="0.35">
      <c r="A527" s="247" t="s">
        <v>39</v>
      </c>
      <c r="B527" s="248">
        <f ca="1">IF(imzatarihi&gt;0,imzatarihi,"")</f>
        <v>45686</v>
      </c>
      <c r="C527" s="251" t="s">
        <v>40</v>
      </c>
      <c r="D527" s="245" t="str">
        <f>IF(kurulusyetkilisi&gt;0,kurulusyetkilisi,"")</f>
        <v/>
      </c>
      <c r="F527" s="247"/>
      <c r="G527" s="247"/>
      <c r="H527" s="163"/>
      <c r="I527" s="163"/>
      <c r="J527" s="43"/>
      <c r="K527" s="73"/>
      <c r="L527" s="73"/>
      <c r="M527" s="5"/>
      <c r="N527" s="73"/>
      <c r="O527" s="73"/>
      <c r="P527" s="43"/>
    </row>
    <row r="528" spans="1:16" ht="19.7" x14ac:dyDescent="0.35">
      <c r="A528" s="249"/>
      <c r="B528" s="249"/>
      <c r="C528" s="251" t="s">
        <v>41</v>
      </c>
      <c r="D528" s="247"/>
      <c r="E528" s="302"/>
      <c r="F528" s="302"/>
      <c r="G528" s="302"/>
      <c r="H528" s="42"/>
      <c r="I528" s="42"/>
      <c r="J528" s="43"/>
      <c r="K528" s="73"/>
      <c r="L528" s="73"/>
      <c r="M528" s="5"/>
      <c r="N528" s="73"/>
      <c r="O528" s="73"/>
      <c r="P528" s="43"/>
    </row>
    <row r="529" spans="1:16" ht="16.3" x14ac:dyDescent="0.3">
      <c r="A529" s="338" t="s">
        <v>73</v>
      </c>
      <c r="B529" s="338"/>
      <c r="C529" s="338"/>
      <c r="D529" s="338"/>
      <c r="E529" s="338"/>
      <c r="F529" s="338"/>
      <c r="G529" s="338"/>
      <c r="H529" s="338"/>
      <c r="I529" s="338"/>
      <c r="J529" s="43"/>
      <c r="K529" s="43"/>
      <c r="L529" s="43"/>
      <c r="M529" s="43"/>
      <c r="N529" s="43"/>
      <c r="O529" s="43"/>
      <c r="P529" s="43"/>
    </row>
    <row r="530" spans="1:16" x14ac:dyDescent="0.25">
      <c r="A530" s="336" t="str">
        <f>IF(YilDonem&lt;&gt;"",CONCATENATE(YilDonem,". döneme aittir."),"")</f>
        <v/>
      </c>
      <c r="B530" s="336"/>
      <c r="C530" s="336"/>
      <c r="D530" s="336"/>
      <c r="E530" s="336"/>
      <c r="F530" s="336"/>
      <c r="G530" s="336"/>
      <c r="H530" s="336"/>
      <c r="I530" s="336"/>
      <c r="J530" s="43"/>
      <c r="K530" s="43"/>
      <c r="L530" s="43"/>
      <c r="M530" s="43"/>
      <c r="N530" s="43"/>
      <c r="O530" s="43"/>
      <c r="P530" s="43"/>
    </row>
    <row r="531" spans="1:16" ht="19.7" thickBot="1" x14ac:dyDescent="0.4">
      <c r="A531" s="372" t="s">
        <v>82</v>
      </c>
      <c r="B531" s="372"/>
      <c r="C531" s="372"/>
      <c r="D531" s="372"/>
      <c r="E531" s="372"/>
      <c r="F531" s="372"/>
      <c r="G531" s="372"/>
      <c r="H531" s="372"/>
      <c r="I531" s="372"/>
      <c r="J531" s="43"/>
      <c r="K531" s="43"/>
      <c r="L531" s="43"/>
      <c r="M531" s="43"/>
      <c r="N531" s="43"/>
      <c r="O531" s="43"/>
      <c r="P531" s="43"/>
    </row>
    <row r="532" spans="1:16" ht="19.55" customHeight="1" thickBot="1" x14ac:dyDescent="0.3">
      <c r="A532" s="341" t="s">
        <v>1</v>
      </c>
      <c r="B532" s="343"/>
      <c r="C532" s="330" t="str">
        <f>IF(ProjeNo&gt;0,ProjeNo,"")</f>
        <v/>
      </c>
      <c r="D532" s="331"/>
      <c r="E532" s="331"/>
      <c r="F532" s="331"/>
      <c r="G532" s="331"/>
      <c r="H532" s="331"/>
      <c r="I532" s="332"/>
      <c r="J532" s="43"/>
      <c r="K532" s="43"/>
      <c r="L532" s="43"/>
      <c r="M532" s="43"/>
      <c r="N532" s="43"/>
      <c r="O532" s="43"/>
      <c r="P532" s="43"/>
    </row>
    <row r="533" spans="1:16" ht="29.25" customHeight="1" thickBot="1" x14ac:dyDescent="0.3">
      <c r="A533" s="371" t="s">
        <v>11</v>
      </c>
      <c r="B533" s="342"/>
      <c r="C533" s="346" t="str">
        <f>IF(ProjeAdi&gt;0,ProjeAdi,"")</f>
        <v/>
      </c>
      <c r="D533" s="347"/>
      <c r="E533" s="347"/>
      <c r="F533" s="347"/>
      <c r="G533" s="347"/>
      <c r="H533" s="347"/>
      <c r="I533" s="348"/>
      <c r="J533" s="43"/>
      <c r="K533" s="43"/>
      <c r="L533" s="43"/>
      <c r="M533" s="43"/>
      <c r="N533" s="43"/>
      <c r="O533" s="43"/>
      <c r="P533" s="43"/>
    </row>
    <row r="534" spans="1:16" ht="19.55" customHeight="1" thickBot="1" x14ac:dyDescent="0.3">
      <c r="A534" s="341" t="s">
        <v>74</v>
      </c>
      <c r="B534" s="343"/>
      <c r="C534" s="9"/>
      <c r="D534" s="369"/>
      <c r="E534" s="369"/>
      <c r="F534" s="369"/>
      <c r="G534" s="369"/>
      <c r="H534" s="369"/>
      <c r="I534" s="370"/>
      <c r="J534" s="43"/>
      <c r="K534" s="43"/>
      <c r="L534" s="43"/>
      <c r="M534" s="43"/>
      <c r="N534" s="43"/>
      <c r="O534" s="43"/>
      <c r="P534" s="43"/>
    </row>
    <row r="535" spans="1:16" s="2" customFormat="1" ht="29.25" thickBot="1" x14ac:dyDescent="0.3">
      <c r="A535" s="176" t="s">
        <v>7</v>
      </c>
      <c r="B535" s="176" t="s">
        <v>8</v>
      </c>
      <c r="C535" s="176" t="s">
        <v>63</v>
      </c>
      <c r="D535" s="176" t="s">
        <v>119</v>
      </c>
      <c r="E535" s="176" t="s">
        <v>75</v>
      </c>
      <c r="F535" s="176" t="s">
        <v>76</v>
      </c>
      <c r="G535" s="176" t="s">
        <v>77</v>
      </c>
      <c r="H535" s="176" t="s">
        <v>78</v>
      </c>
      <c r="I535" s="176" t="s">
        <v>79</v>
      </c>
      <c r="J535" s="177" t="s">
        <v>83</v>
      </c>
      <c r="K535" s="178" t="s">
        <v>84</v>
      </c>
      <c r="L535" s="178" t="s">
        <v>76</v>
      </c>
      <c r="M535" s="169"/>
      <c r="N535" s="169"/>
      <c r="O535" s="169"/>
      <c r="P535" s="169"/>
    </row>
    <row r="536" spans="1:16" ht="20.05" customHeight="1" x14ac:dyDescent="0.25">
      <c r="A536" s="179">
        <v>321</v>
      </c>
      <c r="B536" s="53"/>
      <c r="C536" s="94" t="str">
        <f t="shared" ref="C536:C555" si="108">IF(B536&lt;&gt;"",VLOOKUP(B536,PersonelTablo,2,0),"")</f>
        <v/>
      </c>
      <c r="D536" s="95" t="str">
        <f t="shared" ref="D536:D555" si="109">IF(B536&lt;&gt;"",VLOOKUP(B536,PersonelTablo,3,0),"")</f>
        <v/>
      </c>
      <c r="E536" s="54"/>
      <c r="F536" s="55"/>
      <c r="G536" s="105" t="str">
        <f>IF(AND(B536&lt;&gt;"",L536&gt;=F536),E536*F536,"")</f>
        <v/>
      </c>
      <c r="H536" s="102" t="str">
        <f t="shared" ref="H536:H555" si="110">IF(B536&lt;&gt;"",VLOOKUP(B536,G011CTablo,14,0),"")</f>
        <v/>
      </c>
      <c r="I536" s="109" t="str">
        <f>IF(AND(B536&lt;&gt;"",J536&gt;=K536,L536&gt;0),G536*H536,"")</f>
        <v/>
      </c>
      <c r="J536" s="100" t="str">
        <f>IF(B536&gt;0,VLOOKUP(B536,G011B!$B:$R,16,0),"")</f>
        <v/>
      </c>
      <c r="K536" s="100" t="str">
        <f>IF(B536&gt;0,SUMIF($B:$B,B536,$G:$G),"")</f>
        <v/>
      </c>
      <c r="L536" s="101" t="str">
        <f>IF(B536&lt;&gt;"",VLOOKUP(B536,G011B!$B:$Z,25,0),"")</f>
        <v/>
      </c>
      <c r="M536" s="160" t="str">
        <f t="shared" ref="M536:M555" si="111">IF(J536&gt;=K536,"","Personelin bütün iş paketlerindeki Toplam Adam Ay değeri "&amp;K536&amp;" olup, bu değer, G011B formunda beyan edilen Çalışılan Toplam Ay değerini geçemez. Maliyeti hesaplamak için Adam/Ay Oranı veya Çalışılan Ay değerini düzeltiniz. ")</f>
        <v/>
      </c>
      <c r="N536" s="43"/>
      <c r="O536" s="43"/>
      <c r="P536" s="43"/>
    </row>
    <row r="537" spans="1:16" ht="20.05" customHeight="1" x14ac:dyDescent="0.25">
      <c r="A537" s="180">
        <v>322</v>
      </c>
      <c r="B537" s="57"/>
      <c r="C537" s="96" t="str">
        <f t="shared" si="108"/>
        <v/>
      </c>
      <c r="D537" s="97" t="str">
        <f t="shared" si="109"/>
        <v/>
      </c>
      <c r="E537" s="58"/>
      <c r="F537" s="59"/>
      <c r="G537" s="106" t="str">
        <f t="shared" ref="G537:G555" si="112">IF(AND(B537&lt;&gt;"",L537&gt;=F537),E537*F537,"")</f>
        <v/>
      </c>
      <c r="H537" s="103" t="str">
        <f t="shared" si="110"/>
        <v/>
      </c>
      <c r="I537" s="110" t="str">
        <f t="shared" ref="I537:I555" si="113">IF(AND(B537&lt;&gt;"",J537&gt;=K537,L537&gt;0),G537*H537,"")</f>
        <v/>
      </c>
      <c r="J537" s="100" t="str">
        <f>IF(B537&gt;0,VLOOKUP(B537,G011B!$B:$R,16,0),"")</f>
        <v/>
      </c>
      <c r="K537" s="100" t="str">
        <f t="shared" ref="K537:K555" si="114">IF(B537&gt;0,SUMIF($B:$B,B537,$G:$G),"")</f>
        <v/>
      </c>
      <c r="L537" s="101" t="str">
        <f>IF(B537&lt;&gt;"",VLOOKUP(B537,G011B!$B:$Z,25,0),"")</f>
        <v/>
      </c>
      <c r="M537" s="160" t="str">
        <f t="shared" si="111"/>
        <v/>
      </c>
      <c r="N537" s="43"/>
      <c r="O537" s="43"/>
      <c r="P537" s="43"/>
    </row>
    <row r="538" spans="1:16" ht="20.05" customHeight="1" x14ac:dyDescent="0.25">
      <c r="A538" s="180">
        <v>323</v>
      </c>
      <c r="B538" s="57"/>
      <c r="C538" s="96" t="str">
        <f t="shared" si="108"/>
        <v/>
      </c>
      <c r="D538" s="97" t="str">
        <f t="shared" si="109"/>
        <v/>
      </c>
      <c r="E538" s="58"/>
      <c r="F538" s="59"/>
      <c r="G538" s="106" t="str">
        <f t="shared" si="112"/>
        <v/>
      </c>
      <c r="H538" s="103" t="str">
        <f t="shared" si="110"/>
        <v/>
      </c>
      <c r="I538" s="110" t="str">
        <f t="shared" si="113"/>
        <v/>
      </c>
      <c r="J538" s="100" t="str">
        <f>IF(B538&gt;0,VLOOKUP(B538,G011B!$B:$R,16,0),"")</f>
        <v/>
      </c>
      <c r="K538" s="100" t="str">
        <f t="shared" si="114"/>
        <v/>
      </c>
      <c r="L538" s="101" t="str">
        <f>IF(B538&lt;&gt;"",VLOOKUP(B538,G011B!$B:$Z,25,0),"")</f>
        <v/>
      </c>
      <c r="M538" s="160" t="str">
        <f t="shared" si="111"/>
        <v/>
      </c>
      <c r="N538" s="43"/>
      <c r="O538" s="43"/>
      <c r="P538" s="43"/>
    </row>
    <row r="539" spans="1:16" ht="20.05" customHeight="1" x14ac:dyDescent="0.25">
      <c r="A539" s="180">
        <v>324</v>
      </c>
      <c r="B539" s="57"/>
      <c r="C539" s="96" t="str">
        <f t="shared" si="108"/>
        <v/>
      </c>
      <c r="D539" s="97" t="str">
        <f t="shared" si="109"/>
        <v/>
      </c>
      <c r="E539" s="58"/>
      <c r="F539" s="59"/>
      <c r="G539" s="106" t="str">
        <f t="shared" si="112"/>
        <v/>
      </c>
      <c r="H539" s="103" t="str">
        <f t="shared" si="110"/>
        <v/>
      </c>
      <c r="I539" s="110" t="str">
        <f t="shared" si="113"/>
        <v/>
      </c>
      <c r="J539" s="100" t="str">
        <f>IF(B539&gt;0,VLOOKUP(B539,G011B!$B:$R,16,0),"")</f>
        <v/>
      </c>
      <c r="K539" s="100" t="str">
        <f t="shared" si="114"/>
        <v/>
      </c>
      <c r="L539" s="101" t="str">
        <f>IF(B539&lt;&gt;"",VLOOKUP(B539,G011B!$B:$Z,25,0),"")</f>
        <v/>
      </c>
      <c r="M539" s="160" t="str">
        <f t="shared" si="111"/>
        <v/>
      </c>
      <c r="N539" s="43"/>
      <c r="O539" s="43"/>
      <c r="P539" s="43"/>
    </row>
    <row r="540" spans="1:16" ht="20.05" customHeight="1" x14ac:dyDescent="0.25">
      <c r="A540" s="180">
        <v>325</v>
      </c>
      <c r="B540" s="57"/>
      <c r="C540" s="96" t="str">
        <f t="shared" si="108"/>
        <v/>
      </c>
      <c r="D540" s="97" t="str">
        <f t="shared" si="109"/>
        <v/>
      </c>
      <c r="E540" s="58"/>
      <c r="F540" s="59"/>
      <c r="G540" s="106" t="str">
        <f t="shared" si="112"/>
        <v/>
      </c>
      <c r="H540" s="103" t="str">
        <f t="shared" si="110"/>
        <v/>
      </c>
      <c r="I540" s="110" t="str">
        <f t="shared" si="113"/>
        <v/>
      </c>
      <c r="J540" s="100" t="str">
        <f>IF(B540&gt;0,VLOOKUP(B540,G011B!$B:$R,16,0),"")</f>
        <v/>
      </c>
      <c r="K540" s="100" t="str">
        <f t="shared" si="114"/>
        <v/>
      </c>
      <c r="L540" s="101" t="str">
        <f>IF(B540&lt;&gt;"",VLOOKUP(B540,G011B!$B:$Z,25,0),"")</f>
        <v/>
      </c>
      <c r="M540" s="160" t="str">
        <f t="shared" si="111"/>
        <v/>
      </c>
      <c r="N540" s="43"/>
      <c r="O540" s="43"/>
      <c r="P540" s="43"/>
    </row>
    <row r="541" spans="1:16" ht="20.05" customHeight="1" x14ac:dyDescent="0.25">
      <c r="A541" s="180">
        <v>326</v>
      </c>
      <c r="B541" s="57"/>
      <c r="C541" s="96" t="str">
        <f t="shared" si="108"/>
        <v/>
      </c>
      <c r="D541" s="97" t="str">
        <f t="shared" si="109"/>
        <v/>
      </c>
      <c r="E541" s="58"/>
      <c r="F541" s="59"/>
      <c r="G541" s="106" t="str">
        <f t="shared" si="112"/>
        <v/>
      </c>
      <c r="H541" s="103" t="str">
        <f t="shared" si="110"/>
        <v/>
      </c>
      <c r="I541" s="110" t="str">
        <f t="shared" si="113"/>
        <v/>
      </c>
      <c r="J541" s="100" t="str">
        <f>IF(B541&gt;0,VLOOKUP(B541,G011B!$B:$R,16,0),"")</f>
        <v/>
      </c>
      <c r="K541" s="100" t="str">
        <f t="shared" si="114"/>
        <v/>
      </c>
      <c r="L541" s="101" t="str">
        <f>IF(B541&lt;&gt;"",VLOOKUP(B541,G011B!$B:$Z,25,0),"")</f>
        <v/>
      </c>
      <c r="M541" s="160" t="str">
        <f t="shared" si="111"/>
        <v/>
      </c>
      <c r="N541" s="43"/>
      <c r="O541" s="43"/>
      <c r="P541" s="43"/>
    </row>
    <row r="542" spans="1:16" ht="20.05" customHeight="1" x14ac:dyDescent="0.25">
      <c r="A542" s="180">
        <v>327</v>
      </c>
      <c r="B542" s="57"/>
      <c r="C542" s="96" t="str">
        <f t="shared" si="108"/>
        <v/>
      </c>
      <c r="D542" s="97" t="str">
        <f t="shared" si="109"/>
        <v/>
      </c>
      <c r="E542" s="58"/>
      <c r="F542" s="59"/>
      <c r="G542" s="106" t="str">
        <f t="shared" si="112"/>
        <v/>
      </c>
      <c r="H542" s="103" t="str">
        <f t="shared" si="110"/>
        <v/>
      </c>
      <c r="I542" s="110" t="str">
        <f t="shared" si="113"/>
        <v/>
      </c>
      <c r="J542" s="100" t="str">
        <f>IF(B542&gt;0,VLOOKUP(B542,G011B!$B:$R,16,0),"")</f>
        <v/>
      </c>
      <c r="K542" s="100" t="str">
        <f t="shared" si="114"/>
        <v/>
      </c>
      <c r="L542" s="101" t="str">
        <f>IF(B542&lt;&gt;"",VLOOKUP(B542,G011B!$B:$Z,25,0),"")</f>
        <v/>
      </c>
      <c r="M542" s="160" t="str">
        <f t="shared" si="111"/>
        <v/>
      </c>
      <c r="N542" s="43"/>
      <c r="O542" s="43"/>
      <c r="P542" s="43"/>
    </row>
    <row r="543" spans="1:16" ht="20.05" customHeight="1" x14ac:dyDescent="0.25">
      <c r="A543" s="180">
        <v>328</v>
      </c>
      <c r="B543" s="57"/>
      <c r="C543" s="96" t="str">
        <f t="shared" si="108"/>
        <v/>
      </c>
      <c r="D543" s="97" t="str">
        <f t="shared" si="109"/>
        <v/>
      </c>
      <c r="E543" s="58"/>
      <c r="F543" s="59"/>
      <c r="G543" s="106" t="str">
        <f t="shared" si="112"/>
        <v/>
      </c>
      <c r="H543" s="103" t="str">
        <f t="shared" si="110"/>
        <v/>
      </c>
      <c r="I543" s="110" t="str">
        <f t="shared" si="113"/>
        <v/>
      </c>
      <c r="J543" s="100" t="str">
        <f>IF(B543&gt;0,VLOOKUP(B543,G011B!$B:$R,16,0),"")</f>
        <v/>
      </c>
      <c r="K543" s="100" t="str">
        <f t="shared" si="114"/>
        <v/>
      </c>
      <c r="L543" s="101" t="str">
        <f>IF(B543&lt;&gt;"",VLOOKUP(B543,G011B!$B:$Z,25,0),"")</f>
        <v/>
      </c>
      <c r="M543" s="160" t="str">
        <f t="shared" si="111"/>
        <v/>
      </c>
      <c r="N543" s="43"/>
      <c r="O543" s="43"/>
      <c r="P543" s="43"/>
    </row>
    <row r="544" spans="1:16" ht="20.05" customHeight="1" x14ac:dyDescent="0.25">
      <c r="A544" s="180">
        <v>329</v>
      </c>
      <c r="B544" s="57"/>
      <c r="C544" s="96" t="str">
        <f t="shared" si="108"/>
        <v/>
      </c>
      <c r="D544" s="97" t="str">
        <f t="shared" si="109"/>
        <v/>
      </c>
      <c r="E544" s="58"/>
      <c r="F544" s="59"/>
      <c r="G544" s="106" t="str">
        <f t="shared" si="112"/>
        <v/>
      </c>
      <c r="H544" s="103" t="str">
        <f t="shared" si="110"/>
        <v/>
      </c>
      <c r="I544" s="110" t="str">
        <f t="shared" si="113"/>
        <v/>
      </c>
      <c r="J544" s="100" t="str">
        <f>IF(B544&gt;0,VLOOKUP(B544,G011B!$B:$R,16,0),"")</f>
        <v/>
      </c>
      <c r="K544" s="100" t="str">
        <f t="shared" si="114"/>
        <v/>
      </c>
      <c r="L544" s="101" t="str">
        <f>IF(B544&lt;&gt;"",VLOOKUP(B544,G011B!$B:$Z,25,0),"")</f>
        <v/>
      </c>
      <c r="M544" s="160" t="str">
        <f t="shared" si="111"/>
        <v/>
      </c>
      <c r="N544" s="43"/>
      <c r="O544" s="43"/>
      <c r="P544" s="43"/>
    </row>
    <row r="545" spans="1:16" ht="20.05" customHeight="1" x14ac:dyDescent="0.25">
      <c r="A545" s="180">
        <v>330</v>
      </c>
      <c r="B545" s="57"/>
      <c r="C545" s="96" t="str">
        <f t="shared" si="108"/>
        <v/>
      </c>
      <c r="D545" s="97" t="str">
        <f t="shared" si="109"/>
        <v/>
      </c>
      <c r="E545" s="58"/>
      <c r="F545" s="59"/>
      <c r="G545" s="106" t="str">
        <f t="shared" si="112"/>
        <v/>
      </c>
      <c r="H545" s="103" t="str">
        <f t="shared" si="110"/>
        <v/>
      </c>
      <c r="I545" s="110" t="str">
        <f t="shared" si="113"/>
        <v/>
      </c>
      <c r="J545" s="100" t="str">
        <f>IF(B545&gt;0,VLOOKUP(B545,G011B!$B:$R,16,0),"")</f>
        <v/>
      </c>
      <c r="K545" s="100" t="str">
        <f t="shared" si="114"/>
        <v/>
      </c>
      <c r="L545" s="101" t="str">
        <f>IF(B545&lt;&gt;"",VLOOKUP(B545,G011B!$B:$Z,25,0),"")</f>
        <v/>
      </c>
      <c r="M545" s="160" t="str">
        <f t="shared" si="111"/>
        <v/>
      </c>
      <c r="N545" s="43"/>
      <c r="O545" s="43"/>
      <c r="P545" s="43"/>
    </row>
    <row r="546" spans="1:16" ht="20.05" customHeight="1" x14ac:dyDescent="0.25">
      <c r="A546" s="180">
        <v>331</v>
      </c>
      <c r="B546" s="57"/>
      <c r="C546" s="96" t="str">
        <f t="shared" si="108"/>
        <v/>
      </c>
      <c r="D546" s="97" t="str">
        <f t="shared" si="109"/>
        <v/>
      </c>
      <c r="E546" s="58"/>
      <c r="F546" s="59"/>
      <c r="G546" s="106" t="str">
        <f t="shared" si="112"/>
        <v/>
      </c>
      <c r="H546" s="103" t="str">
        <f t="shared" si="110"/>
        <v/>
      </c>
      <c r="I546" s="110" t="str">
        <f t="shared" si="113"/>
        <v/>
      </c>
      <c r="J546" s="100" t="str">
        <f>IF(B546&gt;0,VLOOKUP(B546,G011B!$B:$R,16,0),"")</f>
        <v/>
      </c>
      <c r="K546" s="100" t="str">
        <f t="shared" si="114"/>
        <v/>
      </c>
      <c r="L546" s="101" t="str">
        <f>IF(B546&lt;&gt;"",VLOOKUP(B546,G011B!$B:$Z,25,0),"")</f>
        <v/>
      </c>
      <c r="M546" s="160" t="str">
        <f t="shared" si="111"/>
        <v/>
      </c>
      <c r="N546" s="43"/>
      <c r="O546" s="43"/>
      <c r="P546" s="43"/>
    </row>
    <row r="547" spans="1:16" ht="20.05" customHeight="1" x14ac:dyDescent="0.25">
      <c r="A547" s="180">
        <v>332</v>
      </c>
      <c r="B547" s="57"/>
      <c r="C547" s="96" t="str">
        <f t="shared" si="108"/>
        <v/>
      </c>
      <c r="D547" s="97" t="str">
        <f t="shared" si="109"/>
        <v/>
      </c>
      <c r="E547" s="58"/>
      <c r="F547" s="59"/>
      <c r="G547" s="106" t="str">
        <f t="shared" si="112"/>
        <v/>
      </c>
      <c r="H547" s="103" t="str">
        <f t="shared" si="110"/>
        <v/>
      </c>
      <c r="I547" s="110" t="str">
        <f t="shared" si="113"/>
        <v/>
      </c>
      <c r="J547" s="100" t="str">
        <f>IF(B547&gt;0,VLOOKUP(B547,G011B!$B:$R,16,0),"")</f>
        <v/>
      </c>
      <c r="K547" s="100" t="str">
        <f t="shared" si="114"/>
        <v/>
      </c>
      <c r="L547" s="101" t="str">
        <f>IF(B547&lt;&gt;"",VLOOKUP(B547,G011B!$B:$Z,25,0),"")</f>
        <v/>
      </c>
      <c r="M547" s="160" t="str">
        <f t="shared" si="111"/>
        <v/>
      </c>
      <c r="N547" s="43"/>
      <c r="O547" s="43"/>
      <c r="P547" s="43"/>
    </row>
    <row r="548" spans="1:16" ht="20.05" customHeight="1" x14ac:dyDescent="0.25">
      <c r="A548" s="180">
        <v>333</v>
      </c>
      <c r="B548" s="57"/>
      <c r="C548" s="96" t="str">
        <f t="shared" si="108"/>
        <v/>
      </c>
      <c r="D548" s="97" t="str">
        <f t="shared" si="109"/>
        <v/>
      </c>
      <c r="E548" s="58"/>
      <c r="F548" s="59"/>
      <c r="G548" s="106" t="str">
        <f t="shared" si="112"/>
        <v/>
      </c>
      <c r="H548" s="103" t="str">
        <f t="shared" si="110"/>
        <v/>
      </c>
      <c r="I548" s="110" t="str">
        <f t="shared" si="113"/>
        <v/>
      </c>
      <c r="J548" s="100" t="str">
        <f>IF(B548&gt;0,VLOOKUP(B548,G011B!$B:$R,16,0),"")</f>
        <v/>
      </c>
      <c r="K548" s="100" t="str">
        <f t="shared" si="114"/>
        <v/>
      </c>
      <c r="L548" s="101" t="str">
        <f>IF(B548&lt;&gt;"",VLOOKUP(B548,G011B!$B:$Z,25,0),"")</f>
        <v/>
      </c>
      <c r="M548" s="160" t="str">
        <f t="shared" si="111"/>
        <v/>
      </c>
      <c r="N548" s="43"/>
      <c r="O548" s="43"/>
      <c r="P548" s="43"/>
    </row>
    <row r="549" spans="1:16" ht="20.05" customHeight="1" x14ac:dyDescent="0.25">
      <c r="A549" s="180">
        <v>334</v>
      </c>
      <c r="B549" s="57"/>
      <c r="C549" s="96" t="str">
        <f t="shared" si="108"/>
        <v/>
      </c>
      <c r="D549" s="97" t="str">
        <f t="shared" si="109"/>
        <v/>
      </c>
      <c r="E549" s="58"/>
      <c r="F549" s="59"/>
      <c r="G549" s="106" t="str">
        <f t="shared" si="112"/>
        <v/>
      </c>
      <c r="H549" s="103" t="str">
        <f t="shared" si="110"/>
        <v/>
      </c>
      <c r="I549" s="110" t="str">
        <f t="shared" si="113"/>
        <v/>
      </c>
      <c r="J549" s="100" t="str">
        <f>IF(B549&gt;0,VLOOKUP(B549,G011B!$B:$R,16,0),"")</f>
        <v/>
      </c>
      <c r="K549" s="100" t="str">
        <f t="shared" si="114"/>
        <v/>
      </c>
      <c r="L549" s="101" t="str">
        <f>IF(B549&lt;&gt;"",VLOOKUP(B549,G011B!$B:$Z,25,0),"")</f>
        <v/>
      </c>
      <c r="M549" s="160" t="str">
        <f t="shared" si="111"/>
        <v/>
      </c>
      <c r="N549" s="43"/>
      <c r="O549" s="43"/>
      <c r="P549" s="43"/>
    </row>
    <row r="550" spans="1:16" ht="20.05" customHeight="1" x14ac:dyDescent="0.25">
      <c r="A550" s="180">
        <v>335</v>
      </c>
      <c r="B550" s="57"/>
      <c r="C550" s="96" t="str">
        <f t="shared" si="108"/>
        <v/>
      </c>
      <c r="D550" s="97" t="str">
        <f t="shared" si="109"/>
        <v/>
      </c>
      <c r="E550" s="58"/>
      <c r="F550" s="59"/>
      <c r="G550" s="106" t="str">
        <f t="shared" si="112"/>
        <v/>
      </c>
      <c r="H550" s="103" t="str">
        <f t="shared" si="110"/>
        <v/>
      </c>
      <c r="I550" s="110" t="str">
        <f t="shared" si="113"/>
        <v/>
      </c>
      <c r="J550" s="100" t="str">
        <f>IF(B550&gt;0,VLOOKUP(B550,G011B!$B:$R,16,0),"")</f>
        <v/>
      </c>
      <c r="K550" s="100" t="str">
        <f t="shared" si="114"/>
        <v/>
      </c>
      <c r="L550" s="101" t="str">
        <f>IF(B550&lt;&gt;"",VLOOKUP(B550,G011B!$B:$Z,25,0),"")</f>
        <v/>
      </c>
      <c r="M550" s="160" t="str">
        <f t="shared" si="111"/>
        <v/>
      </c>
      <c r="N550" s="43"/>
      <c r="O550" s="43"/>
      <c r="P550" s="43"/>
    </row>
    <row r="551" spans="1:16" ht="20.05" customHeight="1" x14ac:dyDescent="0.25">
      <c r="A551" s="180">
        <v>336</v>
      </c>
      <c r="B551" s="57"/>
      <c r="C551" s="96" t="str">
        <f t="shared" si="108"/>
        <v/>
      </c>
      <c r="D551" s="97" t="str">
        <f t="shared" si="109"/>
        <v/>
      </c>
      <c r="E551" s="58"/>
      <c r="F551" s="59"/>
      <c r="G551" s="106" t="str">
        <f t="shared" si="112"/>
        <v/>
      </c>
      <c r="H551" s="103" t="str">
        <f t="shared" si="110"/>
        <v/>
      </c>
      <c r="I551" s="110" t="str">
        <f t="shared" si="113"/>
        <v/>
      </c>
      <c r="J551" s="100" t="str">
        <f>IF(B551&gt;0,VLOOKUP(B551,G011B!$B:$R,16,0),"")</f>
        <v/>
      </c>
      <c r="K551" s="100" t="str">
        <f t="shared" si="114"/>
        <v/>
      </c>
      <c r="L551" s="101" t="str">
        <f>IF(B551&lt;&gt;"",VLOOKUP(B551,G011B!$B:$Z,25,0),"")</f>
        <v/>
      </c>
      <c r="M551" s="160" t="str">
        <f t="shared" si="111"/>
        <v/>
      </c>
      <c r="N551" s="43"/>
      <c r="O551" s="43"/>
      <c r="P551" s="43"/>
    </row>
    <row r="552" spans="1:16" ht="20.05" customHeight="1" x14ac:dyDescent="0.25">
      <c r="A552" s="180">
        <v>337</v>
      </c>
      <c r="B552" s="57"/>
      <c r="C552" s="96" t="str">
        <f t="shared" si="108"/>
        <v/>
      </c>
      <c r="D552" s="97" t="str">
        <f t="shared" si="109"/>
        <v/>
      </c>
      <c r="E552" s="58"/>
      <c r="F552" s="59"/>
      <c r="G552" s="106" t="str">
        <f t="shared" si="112"/>
        <v/>
      </c>
      <c r="H552" s="103" t="str">
        <f t="shared" si="110"/>
        <v/>
      </c>
      <c r="I552" s="110" t="str">
        <f t="shared" si="113"/>
        <v/>
      </c>
      <c r="J552" s="100" t="str">
        <f>IF(B552&gt;0,VLOOKUP(B552,G011B!$B:$R,16,0),"")</f>
        <v/>
      </c>
      <c r="K552" s="100" t="str">
        <f t="shared" si="114"/>
        <v/>
      </c>
      <c r="L552" s="101" t="str">
        <f>IF(B552&lt;&gt;"",VLOOKUP(B552,G011B!$B:$Z,25,0),"")</f>
        <v/>
      </c>
      <c r="M552" s="160" t="str">
        <f t="shared" si="111"/>
        <v/>
      </c>
      <c r="N552" s="43"/>
      <c r="O552" s="43"/>
      <c r="P552" s="43"/>
    </row>
    <row r="553" spans="1:16" ht="20.05" customHeight="1" x14ac:dyDescent="0.25">
      <c r="A553" s="180">
        <v>338</v>
      </c>
      <c r="B553" s="57"/>
      <c r="C553" s="96" t="str">
        <f t="shared" si="108"/>
        <v/>
      </c>
      <c r="D553" s="97" t="str">
        <f t="shared" si="109"/>
        <v/>
      </c>
      <c r="E553" s="58"/>
      <c r="F553" s="59"/>
      <c r="G553" s="106" t="str">
        <f t="shared" si="112"/>
        <v/>
      </c>
      <c r="H553" s="103" t="str">
        <f t="shared" si="110"/>
        <v/>
      </c>
      <c r="I553" s="110" t="str">
        <f t="shared" si="113"/>
        <v/>
      </c>
      <c r="J553" s="100" t="str">
        <f>IF(B553&gt;0,VLOOKUP(B553,G011B!$B:$R,16,0),"")</f>
        <v/>
      </c>
      <c r="K553" s="100" t="str">
        <f t="shared" si="114"/>
        <v/>
      </c>
      <c r="L553" s="101" t="str">
        <f>IF(B553&lt;&gt;"",VLOOKUP(B553,G011B!$B:$Z,25,0),"")</f>
        <v/>
      </c>
      <c r="M553" s="160" t="str">
        <f t="shared" si="111"/>
        <v/>
      </c>
      <c r="N553" s="43"/>
      <c r="O553" s="43"/>
      <c r="P553" s="43"/>
    </row>
    <row r="554" spans="1:16" ht="20.05" customHeight="1" x14ac:dyDescent="0.25">
      <c r="A554" s="180">
        <v>339</v>
      </c>
      <c r="B554" s="57"/>
      <c r="C554" s="96" t="str">
        <f t="shared" si="108"/>
        <v/>
      </c>
      <c r="D554" s="97" t="str">
        <f t="shared" si="109"/>
        <v/>
      </c>
      <c r="E554" s="58"/>
      <c r="F554" s="59"/>
      <c r="G554" s="106" t="str">
        <f t="shared" si="112"/>
        <v/>
      </c>
      <c r="H554" s="103" t="str">
        <f t="shared" si="110"/>
        <v/>
      </c>
      <c r="I554" s="110" t="str">
        <f t="shared" si="113"/>
        <v/>
      </c>
      <c r="J554" s="100" t="str">
        <f>IF(B554&gt;0,VLOOKUP(B554,G011B!$B:$R,16,0),"")</f>
        <v/>
      </c>
      <c r="K554" s="100" t="str">
        <f t="shared" si="114"/>
        <v/>
      </c>
      <c r="L554" s="101" t="str">
        <f>IF(B554&lt;&gt;"",VLOOKUP(B554,G011B!$B:$Z,25,0),"")</f>
        <v/>
      </c>
      <c r="M554" s="160" t="str">
        <f t="shared" si="111"/>
        <v/>
      </c>
      <c r="N554" s="43"/>
      <c r="O554" s="43"/>
      <c r="P554" s="43"/>
    </row>
    <row r="555" spans="1:16" ht="20.05" customHeight="1" thickBot="1" x14ac:dyDescent="0.3">
      <c r="A555" s="181">
        <v>340</v>
      </c>
      <c r="B555" s="60"/>
      <c r="C555" s="98" t="str">
        <f t="shared" si="108"/>
        <v/>
      </c>
      <c r="D555" s="99" t="str">
        <f t="shared" si="109"/>
        <v/>
      </c>
      <c r="E555" s="61"/>
      <c r="F555" s="62"/>
      <c r="G555" s="107" t="str">
        <f t="shared" si="112"/>
        <v/>
      </c>
      <c r="H555" s="104" t="str">
        <f t="shared" si="110"/>
        <v/>
      </c>
      <c r="I555" s="111" t="str">
        <f t="shared" si="113"/>
        <v/>
      </c>
      <c r="J555" s="100" t="str">
        <f>IF(B555&gt;0,VLOOKUP(B555,G011B!$B:$R,16,0),"")</f>
        <v/>
      </c>
      <c r="K555" s="100" t="str">
        <f t="shared" si="114"/>
        <v/>
      </c>
      <c r="L555" s="101" t="str">
        <f>IF(B555&lt;&gt;"",VLOOKUP(B555,G011B!$B:$Z,25,0),"")</f>
        <v/>
      </c>
      <c r="M555" s="160" t="str">
        <f t="shared" si="111"/>
        <v/>
      </c>
      <c r="N555" s="43"/>
      <c r="O555" s="43"/>
      <c r="P555" s="43"/>
    </row>
    <row r="556" spans="1:16" ht="20.05" customHeight="1" thickBot="1" x14ac:dyDescent="0.4">
      <c r="A556" s="360" t="s">
        <v>42</v>
      </c>
      <c r="B556" s="361"/>
      <c r="C556" s="361"/>
      <c r="D556" s="361"/>
      <c r="E556" s="361"/>
      <c r="F556" s="362"/>
      <c r="G556" s="108">
        <f>SUM(G536:G555)</f>
        <v>0</v>
      </c>
      <c r="H556" s="202"/>
      <c r="I556" s="93">
        <f>IF(C534=C501,SUM(I536:I555)+I523,SUM(I536:I555))</f>
        <v>0</v>
      </c>
      <c r="J556" s="43"/>
      <c r="K556" s="43"/>
      <c r="L556" s="43"/>
      <c r="M556" s="43"/>
      <c r="N556" s="112">
        <f>IF(COUNTA(B536:B555)&gt;0,1,0)</f>
        <v>0</v>
      </c>
      <c r="O556" s="43"/>
      <c r="P556" s="43"/>
    </row>
    <row r="557" spans="1:16" ht="20.05" customHeight="1" thickBot="1" x14ac:dyDescent="0.35">
      <c r="A557" s="363" t="s">
        <v>80</v>
      </c>
      <c r="B557" s="364"/>
      <c r="C557" s="364"/>
      <c r="D557" s="365"/>
      <c r="E557" s="86">
        <f>SUM(G:G)/2</f>
        <v>0</v>
      </c>
      <c r="F557" s="366"/>
      <c r="G557" s="367"/>
      <c r="H557" s="368"/>
      <c r="I557" s="92">
        <f>SUM(I536:I555)+I524</f>
        <v>0</v>
      </c>
      <c r="J557" s="43"/>
      <c r="K557" s="43"/>
      <c r="L557" s="43"/>
      <c r="M557" s="43"/>
      <c r="N557" s="43"/>
      <c r="O557" s="43"/>
      <c r="P557" s="43"/>
    </row>
    <row r="558" spans="1:16" x14ac:dyDescent="0.25">
      <c r="A558" s="182" t="s">
        <v>118</v>
      </c>
      <c r="B558" s="43"/>
      <c r="C558" s="43"/>
      <c r="D558" s="43"/>
      <c r="E558" s="43"/>
      <c r="F558" s="43"/>
      <c r="G558" s="43"/>
      <c r="H558" s="43"/>
      <c r="I558" s="43"/>
      <c r="J558" s="43"/>
      <c r="K558" s="43"/>
      <c r="L558" s="43"/>
      <c r="M558" s="43"/>
      <c r="N558" s="43"/>
      <c r="O558" s="43"/>
      <c r="P558" s="43"/>
    </row>
    <row r="559" spans="1:16" x14ac:dyDescent="0.25">
      <c r="A559" s="43"/>
      <c r="B559" s="43"/>
      <c r="C559" s="43"/>
      <c r="D559" s="43"/>
      <c r="E559" s="43"/>
      <c r="F559" s="43"/>
      <c r="G559" s="43"/>
      <c r="H559" s="43"/>
      <c r="I559" s="43"/>
      <c r="J559" s="43"/>
      <c r="K559" s="43"/>
      <c r="L559" s="43"/>
      <c r="M559" s="43"/>
      <c r="N559" s="43"/>
      <c r="O559" s="43"/>
      <c r="P559" s="43"/>
    </row>
    <row r="560" spans="1:16" ht="21.1" x14ac:dyDescent="0.35">
      <c r="A560" s="247" t="s">
        <v>39</v>
      </c>
      <c r="B560" s="248">
        <f ca="1">IF(imzatarihi&gt;0,imzatarihi,"")</f>
        <v>45686</v>
      </c>
      <c r="C560" s="251" t="s">
        <v>40</v>
      </c>
      <c r="D560" s="245" t="str">
        <f>IF(kurulusyetkilisi&gt;0,kurulusyetkilisi,"")</f>
        <v/>
      </c>
      <c r="F560" s="247"/>
      <c r="G560" s="247"/>
      <c r="H560" s="163"/>
      <c r="I560" s="163"/>
      <c r="J560" s="43"/>
      <c r="K560" s="73"/>
      <c r="L560" s="73"/>
      <c r="M560" s="5"/>
      <c r="N560" s="73"/>
      <c r="O560" s="73"/>
      <c r="P560" s="43"/>
    </row>
    <row r="561" spans="1:16" ht="19.7" x14ac:dyDescent="0.35">
      <c r="A561" s="249"/>
      <c r="B561" s="249"/>
      <c r="C561" s="251" t="s">
        <v>41</v>
      </c>
      <c r="D561" s="247"/>
      <c r="E561" s="302"/>
      <c r="F561" s="302"/>
      <c r="G561" s="302"/>
      <c r="H561" s="42"/>
      <c r="I561" s="42"/>
      <c r="J561" s="43"/>
      <c r="K561" s="73"/>
      <c r="L561" s="73"/>
      <c r="M561" s="5"/>
      <c r="N561" s="73"/>
      <c r="O561" s="73"/>
      <c r="P561" s="43"/>
    </row>
    <row r="562" spans="1:16" ht="16.3" x14ac:dyDescent="0.3">
      <c r="A562" s="338" t="s">
        <v>73</v>
      </c>
      <c r="B562" s="338"/>
      <c r="C562" s="338"/>
      <c r="D562" s="338"/>
      <c r="E562" s="338"/>
      <c r="F562" s="338"/>
      <c r="G562" s="338"/>
      <c r="H562" s="338"/>
      <c r="I562" s="338"/>
      <c r="J562" s="43"/>
      <c r="K562" s="43"/>
      <c r="L562" s="43"/>
      <c r="M562" s="43"/>
      <c r="N562" s="43"/>
      <c r="O562" s="43"/>
      <c r="P562" s="43"/>
    </row>
    <row r="563" spans="1:16" x14ac:dyDescent="0.25">
      <c r="A563" s="336" t="str">
        <f>IF(YilDonem&lt;&gt;"",CONCATENATE(YilDonem,". döneme aittir."),"")</f>
        <v/>
      </c>
      <c r="B563" s="336"/>
      <c r="C563" s="336"/>
      <c r="D563" s="336"/>
      <c r="E563" s="336"/>
      <c r="F563" s="336"/>
      <c r="G563" s="336"/>
      <c r="H563" s="336"/>
      <c r="I563" s="336"/>
      <c r="J563" s="43"/>
      <c r="K563" s="43"/>
      <c r="L563" s="43"/>
      <c r="M563" s="43"/>
      <c r="N563" s="43"/>
      <c r="O563" s="43"/>
      <c r="P563" s="43"/>
    </row>
    <row r="564" spans="1:16" ht="19.7" thickBot="1" x14ac:dyDescent="0.4">
      <c r="A564" s="372" t="s">
        <v>82</v>
      </c>
      <c r="B564" s="372"/>
      <c r="C564" s="372"/>
      <c r="D564" s="372"/>
      <c r="E564" s="372"/>
      <c r="F564" s="372"/>
      <c r="G564" s="372"/>
      <c r="H564" s="372"/>
      <c r="I564" s="372"/>
      <c r="J564" s="43"/>
      <c r="K564" s="43"/>
      <c r="L564" s="43"/>
      <c r="M564" s="43"/>
      <c r="N564" s="43"/>
      <c r="O564" s="43"/>
      <c r="P564" s="43"/>
    </row>
    <row r="565" spans="1:16" ht="19.55" customHeight="1" thickBot="1" x14ac:dyDescent="0.3">
      <c r="A565" s="341" t="s">
        <v>1</v>
      </c>
      <c r="B565" s="343"/>
      <c r="C565" s="330" t="str">
        <f>IF(ProjeNo&gt;0,ProjeNo,"")</f>
        <v/>
      </c>
      <c r="D565" s="331"/>
      <c r="E565" s="331"/>
      <c r="F565" s="331"/>
      <c r="G565" s="331"/>
      <c r="H565" s="331"/>
      <c r="I565" s="332"/>
      <c r="J565" s="43"/>
      <c r="K565" s="43"/>
      <c r="L565" s="43"/>
      <c r="M565" s="43"/>
      <c r="N565" s="43"/>
      <c r="O565" s="43"/>
      <c r="P565" s="43"/>
    </row>
    <row r="566" spans="1:16" ht="29.25" customHeight="1" thickBot="1" x14ac:dyDescent="0.3">
      <c r="A566" s="371" t="s">
        <v>11</v>
      </c>
      <c r="B566" s="342"/>
      <c r="C566" s="346" t="str">
        <f>IF(ProjeAdi&gt;0,ProjeAdi,"")</f>
        <v/>
      </c>
      <c r="D566" s="347"/>
      <c r="E566" s="347"/>
      <c r="F566" s="347"/>
      <c r="G566" s="347"/>
      <c r="H566" s="347"/>
      <c r="I566" s="348"/>
      <c r="J566" s="43"/>
      <c r="K566" s="43"/>
      <c r="L566" s="43"/>
      <c r="M566" s="43"/>
      <c r="N566" s="43"/>
      <c r="O566" s="43"/>
      <c r="P566" s="43"/>
    </row>
    <row r="567" spans="1:16" ht="19.55" customHeight="1" thickBot="1" x14ac:dyDescent="0.3">
      <c r="A567" s="341" t="s">
        <v>74</v>
      </c>
      <c r="B567" s="343"/>
      <c r="C567" s="9"/>
      <c r="D567" s="369"/>
      <c r="E567" s="369"/>
      <c r="F567" s="369"/>
      <c r="G567" s="369"/>
      <c r="H567" s="369"/>
      <c r="I567" s="370"/>
      <c r="J567" s="43"/>
      <c r="K567" s="43"/>
      <c r="L567" s="43"/>
      <c r="M567" s="43"/>
      <c r="N567" s="43"/>
      <c r="O567" s="43"/>
      <c r="P567" s="43"/>
    </row>
    <row r="568" spans="1:16" s="2" customFormat="1" ht="29.25" thickBot="1" x14ac:dyDescent="0.3">
      <c r="A568" s="176" t="s">
        <v>7</v>
      </c>
      <c r="B568" s="176" t="s">
        <v>8</v>
      </c>
      <c r="C568" s="176" t="s">
        <v>63</v>
      </c>
      <c r="D568" s="176" t="s">
        <v>119</v>
      </c>
      <c r="E568" s="176" t="s">
        <v>75</v>
      </c>
      <c r="F568" s="176" t="s">
        <v>76</v>
      </c>
      <c r="G568" s="176" t="s">
        <v>77</v>
      </c>
      <c r="H568" s="176" t="s">
        <v>78</v>
      </c>
      <c r="I568" s="176" t="s">
        <v>79</v>
      </c>
      <c r="J568" s="177" t="s">
        <v>83</v>
      </c>
      <c r="K568" s="178" t="s">
        <v>84</v>
      </c>
      <c r="L568" s="178" t="s">
        <v>76</v>
      </c>
      <c r="M568" s="169"/>
      <c r="N568" s="169"/>
      <c r="O568" s="169"/>
      <c r="P568" s="169"/>
    </row>
    <row r="569" spans="1:16" ht="20.05" customHeight="1" x14ac:dyDescent="0.25">
      <c r="A569" s="179">
        <v>341</v>
      </c>
      <c r="B569" s="53"/>
      <c r="C569" s="94" t="str">
        <f t="shared" ref="C569:C588" si="115">IF(B569&lt;&gt;"",VLOOKUP(B569,PersonelTablo,2,0),"")</f>
        <v/>
      </c>
      <c r="D569" s="95" t="str">
        <f t="shared" ref="D569:D588" si="116">IF(B569&lt;&gt;"",VLOOKUP(B569,PersonelTablo,3,0),"")</f>
        <v/>
      </c>
      <c r="E569" s="54"/>
      <c r="F569" s="55"/>
      <c r="G569" s="105" t="str">
        <f>IF(AND(B569&lt;&gt;"",L569&gt;=F569),E569*F569,"")</f>
        <v/>
      </c>
      <c r="H569" s="102" t="str">
        <f t="shared" ref="H569:H588" si="117">IF(B569&lt;&gt;"",VLOOKUP(B569,G011CTablo,14,0),"")</f>
        <v/>
      </c>
      <c r="I569" s="109" t="str">
        <f>IF(AND(B569&lt;&gt;"",J569&gt;=K569,L569&gt;0),G569*H569,"")</f>
        <v/>
      </c>
      <c r="J569" s="100" t="str">
        <f>IF(B569&gt;0,VLOOKUP(B569,G011B!$B:$R,16,0),"")</f>
        <v/>
      </c>
      <c r="K569" s="100" t="str">
        <f>IF(B569&gt;0,SUMIF($B:$B,B569,$G:$G),"")</f>
        <v/>
      </c>
      <c r="L569" s="101" t="str">
        <f>IF(B569&lt;&gt;"",VLOOKUP(B569,G011B!$B:$Z,25,0),"")</f>
        <v/>
      </c>
      <c r="M569" s="160" t="str">
        <f t="shared" ref="M569:M588" si="118">IF(J569&gt;=K569,"","Personelin bütün iş paketlerindeki Toplam Adam Ay değeri "&amp;K569&amp;" olup, bu değer, G011B formunda beyan edilen Çalışılan Toplam Ay değerini geçemez. Maliyeti hesaplamak için Adam/Ay Oranı veya Çalışılan Ay değerini düzeltiniz. ")</f>
        <v/>
      </c>
      <c r="N569" s="43"/>
      <c r="O569" s="43"/>
      <c r="P569" s="43"/>
    </row>
    <row r="570" spans="1:16" ht="20.05" customHeight="1" x14ac:dyDescent="0.25">
      <c r="A570" s="180">
        <v>342</v>
      </c>
      <c r="B570" s="57"/>
      <c r="C570" s="96" t="str">
        <f t="shared" si="115"/>
        <v/>
      </c>
      <c r="D570" s="97" t="str">
        <f t="shared" si="116"/>
        <v/>
      </c>
      <c r="E570" s="58"/>
      <c r="F570" s="59"/>
      <c r="G570" s="106" t="str">
        <f t="shared" ref="G570:G588" si="119">IF(AND(B570&lt;&gt;"",L570&gt;=F570),E570*F570,"")</f>
        <v/>
      </c>
      <c r="H570" s="103" t="str">
        <f t="shared" si="117"/>
        <v/>
      </c>
      <c r="I570" s="110" t="str">
        <f t="shared" ref="I570:I588" si="120">IF(AND(B570&lt;&gt;"",J570&gt;=K570,L570&gt;0),G570*H570,"")</f>
        <v/>
      </c>
      <c r="J570" s="100" t="str">
        <f>IF(B570&gt;0,VLOOKUP(B570,G011B!$B:$R,16,0),"")</f>
        <v/>
      </c>
      <c r="K570" s="100" t="str">
        <f t="shared" ref="K570:K588" si="121">IF(B570&gt;0,SUMIF($B:$B,B570,$G:$G),"")</f>
        <v/>
      </c>
      <c r="L570" s="101" t="str">
        <f>IF(B570&lt;&gt;"",VLOOKUP(B570,G011B!$B:$Z,25,0),"")</f>
        <v/>
      </c>
      <c r="M570" s="160" t="str">
        <f t="shared" si="118"/>
        <v/>
      </c>
      <c r="N570" s="43"/>
      <c r="O570" s="43"/>
      <c r="P570" s="43"/>
    </row>
    <row r="571" spans="1:16" ht="20.05" customHeight="1" x14ac:dyDescent="0.25">
      <c r="A571" s="180">
        <v>343</v>
      </c>
      <c r="B571" s="57"/>
      <c r="C571" s="96" t="str">
        <f t="shared" si="115"/>
        <v/>
      </c>
      <c r="D571" s="97" t="str">
        <f t="shared" si="116"/>
        <v/>
      </c>
      <c r="E571" s="58"/>
      <c r="F571" s="59"/>
      <c r="G571" s="106" t="str">
        <f t="shared" si="119"/>
        <v/>
      </c>
      <c r="H571" s="103" t="str">
        <f t="shared" si="117"/>
        <v/>
      </c>
      <c r="I571" s="110" t="str">
        <f t="shared" si="120"/>
        <v/>
      </c>
      <c r="J571" s="100" t="str">
        <f>IF(B571&gt;0,VLOOKUP(B571,G011B!$B:$R,16,0),"")</f>
        <v/>
      </c>
      <c r="K571" s="100" t="str">
        <f t="shared" si="121"/>
        <v/>
      </c>
      <c r="L571" s="101" t="str">
        <f>IF(B571&lt;&gt;"",VLOOKUP(B571,G011B!$B:$Z,25,0),"")</f>
        <v/>
      </c>
      <c r="M571" s="160" t="str">
        <f t="shared" si="118"/>
        <v/>
      </c>
      <c r="N571" s="43"/>
      <c r="O571" s="43"/>
      <c r="P571" s="43"/>
    </row>
    <row r="572" spans="1:16" ht="20.05" customHeight="1" x14ac:dyDescent="0.25">
      <c r="A572" s="180">
        <v>344</v>
      </c>
      <c r="B572" s="57"/>
      <c r="C572" s="96" t="str">
        <f t="shared" si="115"/>
        <v/>
      </c>
      <c r="D572" s="97" t="str">
        <f t="shared" si="116"/>
        <v/>
      </c>
      <c r="E572" s="58"/>
      <c r="F572" s="59"/>
      <c r="G572" s="106" t="str">
        <f t="shared" si="119"/>
        <v/>
      </c>
      <c r="H572" s="103" t="str">
        <f t="shared" si="117"/>
        <v/>
      </c>
      <c r="I572" s="110" t="str">
        <f t="shared" si="120"/>
        <v/>
      </c>
      <c r="J572" s="100" t="str">
        <f>IF(B572&gt;0,VLOOKUP(B572,G011B!$B:$R,16,0),"")</f>
        <v/>
      </c>
      <c r="K572" s="100" t="str">
        <f t="shared" si="121"/>
        <v/>
      </c>
      <c r="L572" s="101" t="str">
        <f>IF(B572&lt;&gt;"",VLOOKUP(B572,G011B!$B:$Z,25,0),"")</f>
        <v/>
      </c>
      <c r="M572" s="160" t="str">
        <f t="shared" si="118"/>
        <v/>
      </c>
      <c r="N572" s="43"/>
      <c r="O572" s="43"/>
      <c r="P572" s="43"/>
    </row>
    <row r="573" spans="1:16" ht="20.05" customHeight="1" x14ac:dyDescent="0.25">
      <c r="A573" s="180">
        <v>345</v>
      </c>
      <c r="B573" s="57"/>
      <c r="C573" s="96" t="str">
        <f t="shared" si="115"/>
        <v/>
      </c>
      <c r="D573" s="97" t="str">
        <f t="shared" si="116"/>
        <v/>
      </c>
      <c r="E573" s="58"/>
      <c r="F573" s="59"/>
      <c r="G573" s="106" t="str">
        <f t="shared" si="119"/>
        <v/>
      </c>
      <c r="H573" s="103" t="str">
        <f t="shared" si="117"/>
        <v/>
      </c>
      <c r="I573" s="110" t="str">
        <f t="shared" si="120"/>
        <v/>
      </c>
      <c r="J573" s="100" t="str">
        <f>IF(B573&gt;0,VLOOKUP(B573,G011B!$B:$R,16,0),"")</f>
        <v/>
      </c>
      <c r="K573" s="100" t="str">
        <f t="shared" si="121"/>
        <v/>
      </c>
      <c r="L573" s="101" t="str">
        <f>IF(B573&lt;&gt;"",VLOOKUP(B573,G011B!$B:$Z,25,0),"")</f>
        <v/>
      </c>
      <c r="M573" s="160" t="str">
        <f t="shared" si="118"/>
        <v/>
      </c>
      <c r="N573" s="43"/>
      <c r="O573" s="43"/>
      <c r="P573" s="43"/>
    </row>
    <row r="574" spans="1:16" ht="20.05" customHeight="1" x14ac:dyDescent="0.25">
      <c r="A574" s="180">
        <v>346</v>
      </c>
      <c r="B574" s="57"/>
      <c r="C574" s="96" t="str">
        <f t="shared" si="115"/>
        <v/>
      </c>
      <c r="D574" s="97" t="str">
        <f t="shared" si="116"/>
        <v/>
      </c>
      <c r="E574" s="58"/>
      <c r="F574" s="59"/>
      <c r="G574" s="106" t="str">
        <f t="shared" si="119"/>
        <v/>
      </c>
      <c r="H574" s="103" t="str">
        <f t="shared" si="117"/>
        <v/>
      </c>
      <c r="I574" s="110" t="str">
        <f t="shared" si="120"/>
        <v/>
      </c>
      <c r="J574" s="100" t="str">
        <f>IF(B574&gt;0,VLOOKUP(B574,G011B!$B:$R,16,0),"")</f>
        <v/>
      </c>
      <c r="K574" s="100" t="str">
        <f t="shared" si="121"/>
        <v/>
      </c>
      <c r="L574" s="101" t="str">
        <f>IF(B574&lt;&gt;"",VLOOKUP(B574,G011B!$B:$Z,25,0),"")</f>
        <v/>
      </c>
      <c r="M574" s="160" t="str">
        <f t="shared" si="118"/>
        <v/>
      </c>
      <c r="N574" s="43"/>
      <c r="O574" s="43"/>
      <c r="P574" s="43"/>
    </row>
    <row r="575" spans="1:16" ht="20.05" customHeight="1" x14ac:dyDescent="0.25">
      <c r="A575" s="180">
        <v>347</v>
      </c>
      <c r="B575" s="57"/>
      <c r="C575" s="96" t="str">
        <f t="shared" si="115"/>
        <v/>
      </c>
      <c r="D575" s="97" t="str">
        <f t="shared" si="116"/>
        <v/>
      </c>
      <c r="E575" s="58"/>
      <c r="F575" s="59"/>
      <c r="G575" s="106" t="str">
        <f t="shared" si="119"/>
        <v/>
      </c>
      <c r="H575" s="103" t="str">
        <f t="shared" si="117"/>
        <v/>
      </c>
      <c r="I575" s="110" t="str">
        <f t="shared" si="120"/>
        <v/>
      </c>
      <c r="J575" s="100" t="str">
        <f>IF(B575&gt;0,VLOOKUP(B575,G011B!$B:$R,16,0),"")</f>
        <v/>
      </c>
      <c r="K575" s="100" t="str">
        <f t="shared" si="121"/>
        <v/>
      </c>
      <c r="L575" s="101" t="str">
        <f>IF(B575&lt;&gt;"",VLOOKUP(B575,G011B!$B:$Z,25,0),"")</f>
        <v/>
      </c>
      <c r="M575" s="160" t="str">
        <f t="shared" si="118"/>
        <v/>
      </c>
      <c r="N575" s="43"/>
      <c r="O575" s="43"/>
      <c r="P575" s="43"/>
    </row>
    <row r="576" spans="1:16" ht="20.05" customHeight="1" x14ac:dyDescent="0.25">
      <c r="A576" s="180">
        <v>348</v>
      </c>
      <c r="B576" s="57"/>
      <c r="C576" s="96" t="str">
        <f t="shared" si="115"/>
        <v/>
      </c>
      <c r="D576" s="97" t="str">
        <f t="shared" si="116"/>
        <v/>
      </c>
      <c r="E576" s="58"/>
      <c r="F576" s="59"/>
      <c r="G576" s="106" t="str">
        <f t="shared" si="119"/>
        <v/>
      </c>
      <c r="H576" s="103" t="str">
        <f t="shared" si="117"/>
        <v/>
      </c>
      <c r="I576" s="110" t="str">
        <f t="shared" si="120"/>
        <v/>
      </c>
      <c r="J576" s="100" t="str">
        <f>IF(B576&gt;0,VLOOKUP(B576,G011B!$B:$R,16,0),"")</f>
        <v/>
      </c>
      <c r="K576" s="100" t="str">
        <f t="shared" si="121"/>
        <v/>
      </c>
      <c r="L576" s="101" t="str">
        <f>IF(B576&lt;&gt;"",VLOOKUP(B576,G011B!$B:$Z,25,0),"")</f>
        <v/>
      </c>
      <c r="M576" s="160" t="str">
        <f t="shared" si="118"/>
        <v/>
      </c>
      <c r="N576" s="43"/>
      <c r="O576" s="43"/>
      <c r="P576" s="43"/>
    </row>
    <row r="577" spans="1:16" ht="20.05" customHeight="1" x14ac:dyDescent="0.25">
      <c r="A577" s="180">
        <v>349</v>
      </c>
      <c r="B577" s="57"/>
      <c r="C577" s="96" t="str">
        <f t="shared" si="115"/>
        <v/>
      </c>
      <c r="D577" s="97" t="str">
        <f t="shared" si="116"/>
        <v/>
      </c>
      <c r="E577" s="58"/>
      <c r="F577" s="59"/>
      <c r="G577" s="106" t="str">
        <f t="shared" si="119"/>
        <v/>
      </c>
      <c r="H577" s="103" t="str">
        <f t="shared" si="117"/>
        <v/>
      </c>
      <c r="I577" s="110" t="str">
        <f t="shared" si="120"/>
        <v/>
      </c>
      <c r="J577" s="100" t="str">
        <f>IF(B577&gt;0,VLOOKUP(B577,G011B!$B:$R,16,0),"")</f>
        <v/>
      </c>
      <c r="K577" s="100" t="str">
        <f t="shared" si="121"/>
        <v/>
      </c>
      <c r="L577" s="101" t="str">
        <f>IF(B577&lt;&gt;"",VLOOKUP(B577,G011B!$B:$Z,25,0),"")</f>
        <v/>
      </c>
      <c r="M577" s="160" t="str">
        <f t="shared" si="118"/>
        <v/>
      </c>
      <c r="N577" s="43"/>
      <c r="O577" s="43"/>
      <c r="P577" s="43"/>
    </row>
    <row r="578" spans="1:16" ht="20.05" customHeight="1" x14ac:dyDescent="0.25">
      <c r="A578" s="180">
        <v>350</v>
      </c>
      <c r="B578" s="57"/>
      <c r="C578" s="96" t="str">
        <f t="shared" si="115"/>
        <v/>
      </c>
      <c r="D578" s="97" t="str">
        <f t="shared" si="116"/>
        <v/>
      </c>
      <c r="E578" s="58"/>
      <c r="F578" s="59"/>
      <c r="G578" s="106" t="str">
        <f t="shared" si="119"/>
        <v/>
      </c>
      <c r="H578" s="103" t="str">
        <f t="shared" si="117"/>
        <v/>
      </c>
      <c r="I578" s="110" t="str">
        <f t="shared" si="120"/>
        <v/>
      </c>
      <c r="J578" s="100" t="str">
        <f>IF(B578&gt;0,VLOOKUP(B578,G011B!$B:$R,16,0),"")</f>
        <v/>
      </c>
      <c r="K578" s="100" t="str">
        <f t="shared" si="121"/>
        <v/>
      </c>
      <c r="L578" s="101" t="str">
        <f>IF(B578&lt;&gt;"",VLOOKUP(B578,G011B!$B:$Z,25,0),"")</f>
        <v/>
      </c>
      <c r="M578" s="160" t="str">
        <f t="shared" si="118"/>
        <v/>
      </c>
      <c r="N578" s="43"/>
      <c r="O578" s="43"/>
      <c r="P578" s="43"/>
    </row>
    <row r="579" spans="1:16" ht="20.05" customHeight="1" x14ac:dyDescent="0.25">
      <c r="A579" s="180">
        <v>351</v>
      </c>
      <c r="B579" s="57"/>
      <c r="C579" s="96" t="str">
        <f t="shared" si="115"/>
        <v/>
      </c>
      <c r="D579" s="97" t="str">
        <f t="shared" si="116"/>
        <v/>
      </c>
      <c r="E579" s="58"/>
      <c r="F579" s="59"/>
      <c r="G579" s="106" t="str">
        <f t="shared" si="119"/>
        <v/>
      </c>
      <c r="H579" s="103" t="str">
        <f t="shared" si="117"/>
        <v/>
      </c>
      <c r="I579" s="110" t="str">
        <f t="shared" si="120"/>
        <v/>
      </c>
      <c r="J579" s="100" t="str">
        <f>IF(B579&gt;0,VLOOKUP(B579,G011B!$B:$R,16,0),"")</f>
        <v/>
      </c>
      <c r="K579" s="100" t="str">
        <f t="shared" si="121"/>
        <v/>
      </c>
      <c r="L579" s="101" t="str">
        <f>IF(B579&lt;&gt;"",VLOOKUP(B579,G011B!$B:$Z,25,0),"")</f>
        <v/>
      </c>
      <c r="M579" s="160" t="str">
        <f t="shared" si="118"/>
        <v/>
      </c>
      <c r="N579" s="43"/>
      <c r="O579" s="43"/>
      <c r="P579" s="43"/>
    </row>
    <row r="580" spans="1:16" ht="20.05" customHeight="1" x14ac:dyDescent="0.25">
      <c r="A580" s="180">
        <v>352</v>
      </c>
      <c r="B580" s="57"/>
      <c r="C580" s="96" t="str">
        <f t="shared" si="115"/>
        <v/>
      </c>
      <c r="D580" s="97" t="str">
        <f t="shared" si="116"/>
        <v/>
      </c>
      <c r="E580" s="58"/>
      <c r="F580" s="59"/>
      <c r="G580" s="106" t="str">
        <f t="shared" si="119"/>
        <v/>
      </c>
      <c r="H580" s="103" t="str">
        <f t="shared" si="117"/>
        <v/>
      </c>
      <c r="I580" s="110" t="str">
        <f t="shared" si="120"/>
        <v/>
      </c>
      <c r="J580" s="100" t="str">
        <f>IF(B580&gt;0,VLOOKUP(B580,G011B!$B:$R,16,0),"")</f>
        <v/>
      </c>
      <c r="K580" s="100" t="str">
        <f t="shared" si="121"/>
        <v/>
      </c>
      <c r="L580" s="101" t="str">
        <f>IF(B580&lt;&gt;"",VLOOKUP(B580,G011B!$B:$Z,25,0),"")</f>
        <v/>
      </c>
      <c r="M580" s="160" t="str">
        <f t="shared" si="118"/>
        <v/>
      </c>
      <c r="N580" s="43"/>
      <c r="O580" s="43"/>
      <c r="P580" s="43"/>
    </row>
    <row r="581" spans="1:16" ht="20.05" customHeight="1" x14ac:dyDescent="0.25">
      <c r="A581" s="180">
        <v>353</v>
      </c>
      <c r="B581" s="57"/>
      <c r="C581" s="96" t="str">
        <f t="shared" si="115"/>
        <v/>
      </c>
      <c r="D581" s="97" t="str">
        <f t="shared" si="116"/>
        <v/>
      </c>
      <c r="E581" s="58"/>
      <c r="F581" s="59"/>
      <c r="G581" s="106" t="str">
        <f t="shared" si="119"/>
        <v/>
      </c>
      <c r="H581" s="103" t="str">
        <f t="shared" si="117"/>
        <v/>
      </c>
      <c r="I581" s="110" t="str">
        <f t="shared" si="120"/>
        <v/>
      </c>
      <c r="J581" s="100" t="str">
        <f>IF(B581&gt;0,VLOOKUP(B581,G011B!$B:$R,16,0),"")</f>
        <v/>
      </c>
      <c r="K581" s="100" t="str">
        <f t="shared" si="121"/>
        <v/>
      </c>
      <c r="L581" s="101" t="str">
        <f>IF(B581&lt;&gt;"",VLOOKUP(B581,G011B!$B:$Z,25,0),"")</f>
        <v/>
      </c>
      <c r="M581" s="160" t="str">
        <f t="shared" si="118"/>
        <v/>
      </c>
      <c r="N581" s="43"/>
      <c r="O581" s="43"/>
      <c r="P581" s="43"/>
    </row>
    <row r="582" spans="1:16" ht="20.05" customHeight="1" x14ac:dyDescent="0.25">
      <c r="A582" s="180">
        <v>354</v>
      </c>
      <c r="B582" s="57"/>
      <c r="C582" s="96" t="str">
        <f t="shared" si="115"/>
        <v/>
      </c>
      <c r="D582" s="97" t="str">
        <f t="shared" si="116"/>
        <v/>
      </c>
      <c r="E582" s="58"/>
      <c r="F582" s="59"/>
      <c r="G582" s="106" t="str">
        <f t="shared" si="119"/>
        <v/>
      </c>
      <c r="H582" s="103" t="str">
        <f t="shared" si="117"/>
        <v/>
      </c>
      <c r="I582" s="110" t="str">
        <f t="shared" si="120"/>
        <v/>
      </c>
      <c r="J582" s="100" t="str">
        <f>IF(B582&gt;0,VLOOKUP(B582,G011B!$B:$R,16,0),"")</f>
        <v/>
      </c>
      <c r="K582" s="100" t="str">
        <f t="shared" si="121"/>
        <v/>
      </c>
      <c r="L582" s="101" t="str">
        <f>IF(B582&lt;&gt;"",VLOOKUP(B582,G011B!$B:$Z,25,0),"")</f>
        <v/>
      </c>
      <c r="M582" s="160" t="str">
        <f t="shared" si="118"/>
        <v/>
      </c>
      <c r="N582" s="43"/>
      <c r="O582" s="43"/>
      <c r="P582" s="43"/>
    </row>
    <row r="583" spans="1:16" ht="20.05" customHeight="1" x14ac:dyDescent="0.25">
      <c r="A583" s="180">
        <v>355</v>
      </c>
      <c r="B583" s="57"/>
      <c r="C583" s="96" t="str">
        <f t="shared" si="115"/>
        <v/>
      </c>
      <c r="D583" s="97" t="str">
        <f t="shared" si="116"/>
        <v/>
      </c>
      <c r="E583" s="58"/>
      <c r="F583" s="59"/>
      <c r="G583" s="106" t="str">
        <f t="shared" si="119"/>
        <v/>
      </c>
      <c r="H583" s="103" t="str">
        <f t="shared" si="117"/>
        <v/>
      </c>
      <c r="I583" s="110" t="str">
        <f t="shared" si="120"/>
        <v/>
      </c>
      <c r="J583" s="100" t="str">
        <f>IF(B583&gt;0,VLOOKUP(B583,G011B!$B:$R,16,0),"")</f>
        <v/>
      </c>
      <c r="K583" s="100" t="str">
        <f t="shared" si="121"/>
        <v/>
      </c>
      <c r="L583" s="101" t="str">
        <f>IF(B583&lt;&gt;"",VLOOKUP(B583,G011B!$B:$Z,25,0),"")</f>
        <v/>
      </c>
      <c r="M583" s="160" t="str">
        <f t="shared" si="118"/>
        <v/>
      </c>
      <c r="N583" s="43"/>
      <c r="O583" s="43"/>
      <c r="P583" s="43"/>
    </row>
    <row r="584" spans="1:16" ht="20.05" customHeight="1" x14ac:dyDescent="0.25">
      <c r="A584" s="180">
        <v>356</v>
      </c>
      <c r="B584" s="57"/>
      <c r="C584" s="96" t="str">
        <f t="shared" si="115"/>
        <v/>
      </c>
      <c r="D584" s="97" t="str">
        <f t="shared" si="116"/>
        <v/>
      </c>
      <c r="E584" s="58"/>
      <c r="F584" s="59"/>
      <c r="G584" s="106" t="str">
        <f t="shared" si="119"/>
        <v/>
      </c>
      <c r="H584" s="103" t="str">
        <f t="shared" si="117"/>
        <v/>
      </c>
      <c r="I584" s="110" t="str">
        <f t="shared" si="120"/>
        <v/>
      </c>
      <c r="J584" s="100" t="str">
        <f>IF(B584&gt;0,VLOOKUP(B584,G011B!$B:$R,16,0),"")</f>
        <v/>
      </c>
      <c r="K584" s="100" t="str">
        <f t="shared" si="121"/>
        <v/>
      </c>
      <c r="L584" s="101" t="str">
        <f>IF(B584&lt;&gt;"",VLOOKUP(B584,G011B!$B:$Z,25,0),"")</f>
        <v/>
      </c>
      <c r="M584" s="160" t="str">
        <f t="shared" si="118"/>
        <v/>
      </c>
      <c r="N584" s="43"/>
      <c r="O584" s="43"/>
      <c r="P584" s="43"/>
    </row>
    <row r="585" spans="1:16" ht="20.05" customHeight="1" x14ac:dyDescent="0.25">
      <c r="A585" s="180">
        <v>357</v>
      </c>
      <c r="B585" s="57"/>
      <c r="C585" s="96" t="str">
        <f t="shared" si="115"/>
        <v/>
      </c>
      <c r="D585" s="97" t="str">
        <f t="shared" si="116"/>
        <v/>
      </c>
      <c r="E585" s="58"/>
      <c r="F585" s="59"/>
      <c r="G585" s="106" t="str">
        <f t="shared" si="119"/>
        <v/>
      </c>
      <c r="H585" s="103" t="str">
        <f t="shared" si="117"/>
        <v/>
      </c>
      <c r="I585" s="110" t="str">
        <f t="shared" si="120"/>
        <v/>
      </c>
      <c r="J585" s="100" t="str">
        <f>IF(B585&gt;0,VLOOKUP(B585,G011B!$B:$R,16,0),"")</f>
        <v/>
      </c>
      <c r="K585" s="100" t="str">
        <f t="shared" si="121"/>
        <v/>
      </c>
      <c r="L585" s="101" t="str">
        <f>IF(B585&lt;&gt;"",VLOOKUP(B585,G011B!$B:$Z,25,0),"")</f>
        <v/>
      </c>
      <c r="M585" s="160" t="str">
        <f t="shared" si="118"/>
        <v/>
      </c>
      <c r="N585" s="43"/>
      <c r="O585" s="43"/>
      <c r="P585" s="43"/>
    </row>
    <row r="586" spans="1:16" ht="20.05" customHeight="1" x14ac:dyDescent="0.25">
      <c r="A586" s="180">
        <v>358</v>
      </c>
      <c r="B586" s="57"/>
      <c r="C586" s="96" t="str">
        <f t="shared" si="115"/>
        <v/>
      </c>
      <c r="D586" s="97" t="str">
        <f t="shared" si="116"/>
        <v/>
      </c>
      <c r="E586" s="58"/>
      <c r="F586" s="59"/>
      <c r="G586" s="106" t="str">
        <f t="shared" si="119"/>
        <v/>
      </c>
      <c r="H586" s="103" t="str">
        <f t="shared" si="117"/>
        <v/>
      </c>
      <c r="I586" s="110" t="str">
        <f t="shared" si="120"/>
        <v/>
      </c>
      <c r="J586" s="100" t="str">
        <f>IF(B586&gt;0,VLOOKUP(B586,G011B!$B:$R,16,0),"")</f>
        <v/>
      </c>
      <c r="K586" s="100" t="str">
        <f t="shared" si="121"/>
        <v/>
      </c>
      <c r="L586" s="101" t="str">
        <f>IF(B586&lt;&gt;"",VLOOKUP(B586,G011B!$B:$Z,25,0),"")</f>
        <v/>
      </c>
      <c r="M586" s="160" t="str">
        <f t="shared" si="118"/>
        <v/>
      </c>
      <c r="N586" s="43"/>
      <c r="O586" s="43"/>
      <c r="P586" s="43"/>
    </row>
    <row r="587" spans="1:16" ht="20.05" customHeight="1" x14ac:dyDescent="0.25">
      <c r="A587" s="180">
        <v>359</v>
      </c>
      <c r="B587" s="57"/>
      <c r="C587" s="96" t="str">
        <f t="shared" si="115"/>
        <v/>
      </c>
      <c r="D587" s="97" t="str">
        <f t="shared" si="116"/>
        <v/>
      </c>
      <c r="E587" s="58"/>
      <c r="F587" s="59"/>
      <c r="G587" s="106" t="str">
        <f t="shared" si="119"/>
        <v/>
      </c>
      <c r="H587" s="103" t="str">
        <f t="shared" si="117"/>
        <v/>
      </c>
      <c r="I587" s="110" t="str">
        <f t="shared" si="120"/>
        <v/>
      </c>
      <c r="J587" s="100" t="str">
        <f>IF(B587&gt;0,VLOOKUP(B587,G011B!$B:$R,16,0),"")</f>
        <v/>
      </c>
      <c r="K587" s="100" t="str">
        <f t="shared" si="121"/>
        <v/>
      </c>
      <c r="L587" s="101" t="str">
        <f>IF(B587&lt;&gt;"",VLOOKUP(B587,G011B!$B:$Z,25,0),"")</f>
        <v/>
      </c>
      <c r="M587" s="160" t="str">
        <f t="shared" si="118"/>
        <v/>
      </c>
      <c r="N587" s="43"/>
      <c r="O587" s="43"/>
      <c r="P587" s="43"/>
    </row>
    <row r="588" spans="1:16" ht="20.05" customHeight="1" thickBot="1" x14ac:dyDescent="0.3">
      <c r="A588" s="181">
        <v>360</v>
      </c>
      <c r="B588" s="60"/>
      <c r="C588" s="98" t="str">
        <f t="shared" si="115"/>
        <v/>
      </c>
      <c r="D588" s="99" t="str">
        <f t="shared" si="116"/>
        <v/>
      </c>
      <c r="E588" s="61"/>
      <c r="F588" s="62"/>
      <c r="G588" s="107" t="str">
        <f t="shared" si="119"/>
        <v/>
      </c>
      <c r="H588" s="104" t="str">
        <f t="shared" si="117"/>
        <v/>
      </c>
      <c r="I588" s="111" t="str">
        <f t="shared" si="120"/>
        <v/>
      </c>
      <c r="J588" s="100" t="str">
        <f>IF(B588&gt;0,VLOOKUP(B588,G011B!$B:$R,16,0),"")</f>
        <v/>
      </c>
      <c r="K588" s="100" t="str">
        <f t="shared" si="121"/>
        <v/>
      </c>
      <c r="L588" s="101" t="str">
        <f>IF(B588&lt;&gt;"",VLOOKUP(B588,G011B!$B:$Z,25,0),"")</f>
        <v/>
      </c>
      <c r="M588" s="160" t="str">
        <f t="shared" si="118"/>
        <v/>
      </c>
      <c r="N588" s="43"/>
      <c r="O588" s="43"/>
      <c r="P588" s="43"/>
    </row>
    <row r="589" spans="1:16" ht="20.05" customHeight="1" thickBot="1" x14ac:dyDescent="0.4">
      <c r="A589" s="360" t="s">
        <v>42</v>
      </c>
      <c r="B589" s="361"/>
      <c r="C589" s="361"/>
      <c r="D589" s="361"/>
      <c r="E589" s="361"/>
      <c r="F589" s="362"/>
      <c r="G589" s="108">
        <f>SUM(G569:G588)</f>
        <v>0</v>
      </c>
      <c r="H589" s="202"/>
      <c r="I589" s="93">
        <f>IF(C567=C534,SUM(I569:I588)+I556,SUM(I569:I588))</f>
        <v>0</v>
      </c>
      <c r="J589" s="43"/>
      <c r="K589" s="43"/>
      <c r="L589" s="43"/>
      <c r="M589" s="43"/>
      <c r="N589" s="112">
        <f>IF(COUNTA(B569:B588)&gt;0,1,0)</f>
        <v>0</v>
      </c>
      <c r="O589" s="43"/>
      <c r="P589" s="43"/>
    </row>
    <row r="590" spans="1:16" ht="20.05" customHeight="1" thickBot="1" x14ac:dyDescent="0.35">
      <c r="A590" s="363" t="s">
        <v>80</v>
      </c>
      <c r="B590" s="364"/>
      <c r="C590" s="364"/>
      <c r="D590" s="365"/>
      <c r="E590" s="86">
        <f>SUM(G:G)/2</f>
        <v>0</v>
      </c>
      <c r="F590" s="366"/>
      <c r="G590" s="367"/>
      <c r="H590" s="368"/>
      <c r="I590" s="92">
        <f>SUM(I569:I588)+I557</f>
        <v>0</v>
      </c>
      <c r="J590" s="43"/>
      <c r="K590" s="43"/>
      <c r="L590" s="43"/>
      <c r="M590" s="43"/>
      <c r="N590" s="43"/>
      <c r="O590" s="43"/>
      <c r="P590" s="43"/>
    </row>
    <row r="591" spans="1:16" x14ac:dyDescent="0.25">
      <c r="A591" s="182" t="s">
        <v>118</v>
      </c>
      <c r="B591" s="43"/>
      <c r="C591" s="43"/>
      <c r="D591" s="43"/>
      <c r="E591" s="43"/>
      <c r="F591" s="43"/>
      <c r="G591" s="43"/>
      <c r="H591" s="43"/>
      <c r="I591" s="43"/>
      <c r="J591" s="43"/>
      <c r="K591" s="43"/>
      <c r="L591" s="43"/>
      <c r="M591" s="43"/>
      <c r="N591" s="43"/>
      <c r="O591" s="43"/>
      <c r="P591" s="43"/>
    </row>
    <row r="592" spans="1:16" x14ac:dyDescent="0.25">
      <c r="A592" s="43"/>
      <c r="B592" s="43"/>
      <c r="C592" s="43"/>
      <c r="D592" s="43"/>
      <c r="E592" s="43"/>
      <c r="F592" s="43"/>
      <c r="G592" s="43"/>
      <c r="H592" s="43"/>
      <c r="I592" s="43"/>
      <c r="J592" s="43"/>
      <c r="K592" s="43"/>
      <c r="L592" s="43"/>
      <c r="M592" s="43"/>
      <c r="N592" s="43"/>
      <c r="O592" s="43"/>
      <c r="P592" s="43"/>
    </row>
    <row r="593" spans="1:16" ht="21.1" x14ac:dyDescent="0.35">
      <c r="A593" s="247" t="s">
        <v>39</v>
      </c>
      <c r="B593" s="248">
        <f ca="1">IF(imzatarihi&gt;0,imzatarihi,"")</f>
        <v>45686</v>
      </c>
      <c r="C593" s="251" t="s">
        <v>40</v>
      </c>
      <c r="D593" s="245" t="str">
        <f>IF(kurulusyetkilisi&gt;0,kurulusyetkilisi,"")</f>
        <v/>
      </c>
      <c r="F593" s="247"/>
      <c r="G593" s="247"/>
      <c r="H593" s="163"/>
      <c r="I593" s="163"/>
      <c r="J593" s="43"/>
      <c r="K593" s="73"/>
      <c r="L593" s="73"/>
      <c r="M593" s="5"/>
      <c r="N593" s="73"/>
      <c r="O593" s="73"/>
      <c r="P593" s="43"/>
    </row>
    <row r="594" spans="1:16" ht="19.7" x14ac:dyDescent="0.35">
      <c r="A594" s="249"/>
      <c r="B594" s="249"/>
      <c r="C594" s="251" t="s">
        <v>41</v>
      </c>
      <c r="D594" s="247"/>
      <c r="E594" s="302"/>
      <c r="F594" s="302"/>
      <c r="G594" s="302"/>
      <c r="H594" s="42"/>
      <c r="I594" s="42"/>
      <c r="J594" s="43"/>
      <c r="K594" s="73"/>
      <c r="L594" s="73"/>
      <c r="M594" s="5"/>
      <c r="N594" s="73"/>
      <c r="O594" s="73"/>
      <c r="P594" s="43"/>
    </row>
    <row r="595" spans="1:16" ht="16.3" x14ac:dyDescent="0.3">
      <c r="A595" s="338" t="s">
        <v>73</v>
      </c>
      <c r="B595" s="338"/>
      <c r="C595" s="338"/>
      <c r="D595" s="338"/>
      <c r="E595" s="338"/>
      <c r="F595" s="338"/>
      <c r="G595" s="338"/>
      <c r="H595" s="338"/>
      <c r="I595" s="338"/>
      <c r="J595" s="43"/>
      <c r="K595" s="43"/>
      <c r="L595" s="43"/>
      <c r="M595" s="43"/>
      <c r="N595" s="43"/>
      <c r="O595" s="43"/>
      <c r="P595" s="43"/>
    </row>
    <row r="596" spans="1:16" x14ac:dyDescent="0.25">
      <c r="A596" s="336" t="str">
        <f>IF(YilDonem&lt;&gt;"",CONCATENATE(YilDonem,". döneme aittir."),"")</f>
        <v/>
      </c>
      <c r="B596" s="336"/>
      <c r="C596" s="336"/>
      <c r="D596" s="336"/>
      <c r="E596" s="336"/>
      <c r="F596" s="336"/>
      <c r="G596" s="336"/>
      <c r="H596" s="336"/>
      <c r="I596" s="336"/>
      <c r="J596" s="43"/>
      <c r="K596" s="43"/>
      <c r="L596" s="43"/>
      <c r="M596" s="43"/>
      <c r="N596" s="43"/>
      <c r="O596" s="43"/>
      <c r="P596" s="43"/>
    </row>
    <row r="597" spans="1:16" ht="19.7" thickBot="1" x14ac:dyDescent="0.4">
      <c r="A597" s="372" t="s">
        <v>82</v>
      </c>
      <c r="B597" s="372"/>
      <c r="C597" s="372"/>
      <c r="D597" s="372"/>
      <c r="E597" s="372"/>
      <c r="F597" s="372"/>
      <c r="G597" s="372"/>
      <c r="H597" s="372"/>
      <c r="I597" s="372"/>
      <c r="J597" s="43"/>
      <c r="K597" s="43"/>
      <c r="L597" s="43"/>
      <c r="M597" s="43"/>
      <c r="N597" s="43"/>
      <c r="O597" s="43"/>
      <c r="P597" s="43"/>
    </row>
    <row r="598" spans="1:16" ht="19.55" customHeight="1" thickBot="1" x14ac:dyDescent="0.3">
      <c r="A598" s="341" t="s">
        <v>1</v>
      </c>
      <c r="B598" s="343"/>
      <c r="C598" s="330" t="str">
        <f>IF(ProjeNo&gt;0,ProjeNo,"")</f>
        <v/>
      </c>
      <c r="D598" s="331"/>
      <c r="E598" s="331"/>
      <c r="F598" s="331"/>
      <c r="G598" s="331"/>
      <c r="H598" s="331"/>
      <c r="I598" s="332"/>
      <c r="J598" s="43"/>
      <c r="K598" s="43"/>
      <c r="L598" s="43"/>
      <c r="M598" s="43"/>
      <c r="N598" s="43"/>
      <c r="O598" s="43"/>
      <c r="P598" s="43"/>
    </row>
    <row r="599" spans="1:16" ht="29.25" customHeight="1" thickBot="1" x14ac:dyDescent="0.3">
      <c r="A599" s="371" t="s">
        <v>11</v>
      </c>
      <c r="B599" s="342"/>
      <c r="C599" s="346" t="str">
        <f>IF(ProjeAdi&gt;0,ProjeAdi,"")</f>
        <v/>
      </c>
      <c r="D599" s="347"/>
      <c r="E599" s="347"/>
      <c r="F599" s="347"/>
      <c r="G599" s="347"/>
      <c r="H599" s="347"/>
      <c r="I599" s="348"/>
      <c r="J599" s="43"/>
      <c r="K599" s="43"/>
      <c r="L599" s="43"/>
      <c r="M599" s="43"/>
      <c r="N599" s="43"/>
      <c r="O599" s="43"/>
      <c r="P599" s="43"/>
    </row>
    <row r="600" spans="1:16" ht="19.55" customHeight="1" thickBot="1" x14ac:dyDescent="0.3">
      <c r="A600" s="341" t="s">
        <v>74</v>
      </c>
      <c r="B600" s="343"/>
      <c r="C600" s="9"/>
      <c r="D600" s="369"/>
      <c r="E600" s="369"/>
      <c r="F600" s="369"/>
      <c r="G600" s="369"/>
      <c r="H600" s="369"/>
      <c r="I600" s="370"/>
      <c r="J600" s="43"/>
      <c r="K600" s="43"/>
      <c r="L600" s="43"/>
      <c r="M600" s="43"/>
      <c r="N600" s="43"/>
      <c r="O600" s="43"/>
      <c r="P600" s="43"/>
    </row>
    <row r="601" spans="1:16" s="2" customFormat="1" ht="29.25" thickBot="1" x14ac:dyDescent="0.3">
      <c r="A601" s="176" t="s">
        <v>7</v>
      </c>
      <c r="B601" s="176" t="s">
        <v>8</v>
      </c>
      <c r="C601" s="176" t="s">
        <v>63</v>
      </c>
      <c r="D601" s="176" t="s">
        <v>119</v>
      </c>
      <c r="E601" s="176" t="s">
        <v>75</v>
      </c>
      <c r="F601" s="176" t="s">
        <v>76</v>
      </c>
      <c r="G601" s="176" t="s">
        <v>77</v>
      </c>
      <c r="H601" s="176" t="s">
        <v>78</v>
      </c>
      <c r="I601" s="176" t="s">
        <v>79</v>
      </c>
      <c r="J601" s="177" t="s">
        <v>83</v>
      </c>
      <c r="K601" s="178" t="s">
        <v>84</v>
      </c>
      <c r="L601" s="178" t="s">
        <v>76</v>
      </c>
      <c r="M601" s="169"/>
      <c r="N601" s="169"/>
      <c r="O601" s="169"/>
      <c r="P601" s="169"/>
    </row>
    <row r="602" spans="1:16" ht="20.05" customHeight="1" x14ac:dyDescent="0.25">
      <c r="A602" s="179">
        <v>361</v>
      </c>
      <c r="B602" s="53"/>
      <c r="C602" s="94" t="str">
        <f t="shared" ref="C602:C621" si="122">IF(B602&lt;&gt;"",VLOOKUP(B602,PersonelTablo,2,0),"")</f>
        <v/>
      </c>
      <c r="D602" s="95" t="str">
        <f t="shared" ref="D602:D621" si="123">IF(B602&lt;&gt;"",VLOOKUP(B602,PersonelTablo,3,0),"")</f>
        <v/>
      </c>
      <c r="E602" s="54"/>
      <c r="F602" s="55"/>
      <c r="G602" s="105" t="str">
        <f>IF(AND(B602&lt;&gt;"",L602&gt;=F602),E602*F602,"")</f>
        <v/>
      </c>
      <c r="H602" s="102" t="str">
        <f t="shared" ref="H602:H621" si="124">IF(B602&lt;&gt;"",VLOOKUP(B602,G011CTablo,14,0),"")</f>
        <v/>
      </c>
      <c r="I602" s="109" t="str">
        <f>IF(AND(B602&lt;&gt;"",J602&gt;=K602,L602&gt;0),G602*H602,"")</f>
        <v/>
      </c>
      <c r="J602" s="100" t="str">
        <f>IF(B602&gt;0,VLOOKUP(B602,G011B!$B:$R,16,0),"")</f>
        <v/>
      </c>
      <c r="K602" s="100" t="str">
        <f>IF(B602&gt;0,SUMIF($B:$B,B602,$G:$G),"")</f>
        <v/>
      </c>
      <c r="L602" s="101" t="str">
        <f>IF(B602&lt;&gt;"",VLOOKUP(B602,G011B!$B:$Z,25,0),"")</f>
        <v/>
      </c>
      <c r="M602" s="160" t="str">
        <f t="shared" ref="M602:M621" si="125">IF(J602&gt;=K602,"","Personelin bütün iş paketlerindeki Toplam Adam Ay değeri "&amp;K602&amp;" olup, bu değer, G011B formunda beyan edilen Çalışılan Toplam Ay değerini geçemez. Maliyeti hesaplamak için Adam/Ay Oranı veya Çalışılan Ay değerini düzeltiniz. ")</f>
        <v/>
      </c>
      <c r="N602" s="43"/>
      <c r="O602" s="43"/>
      <c r="P602" s="43"/>
    </row>
    <row r="603" spans="1:16" ht="20.05" customHeight="1" x14ac:dyDescent="0.25">
      <c r="A603" s="180">
        <v>362</v>
      </c>
      <c r="B603" s="57"/>
      <c r="C603" s="96" t="str">
        <f t="shared" si="122"/>
        <v/>
      </c>
      <c r="D603" s="97" t="str">
        <f t="shared" si="123"/>
        <v/>
      </c>
      <c r="E603" s="58"/>
      <c r="F603" s="59"/>
      <c r="G603" s="106" t="str">
        <f t="shared" ref="G603:G621" si="126">IF(AND(B603&lt;&gt;"",L603&gt;=F603),E603*F603,"")</f>
        <v/>
      </c>
      <c r="H603" s="103" t="str">
        <f t="shared" si="124"/>
        <v/>
      </c>
      <c r="I603" s="110" t="str">
        <f t="shared" ref="I603:I621" si="127">IF(AND(B603&lt;&gt;"",J603&gt;=K603,L603&gt;0),G603*H603,"")</f>
        <v/>
      </c>
      <c r="J603" s="100" t="str">
        <f>IF(B603&gt;0,VLOOKUP(B603,G011B!$B:$R,16,0),"")</f>
        <v/>
      </c>
      <c r="K603" s="100" t="str">
        <f t="shared" ref="K603:K621" si="128">IF(B603&gt;0,SUMIF($B:$B,B603,$G:$G),"")</f>
        <v/>
      </c>
      <c r="L603" s="101" t="str">
        <f>IF(B603&lt;&gt;"",VLOOKUP(B603,G011B!$B:$Z,25,0),"")</f>
        <v/>
      </c>
      <c r="M603" s="160" t="str">
        <f t="shared" si="125"/>
        <v/>
      </c>
      <c r="N603" s="43"/>
      <c r="O603" s="43"/>
      <c r="P603" s="43"/>
    </row>
    <row r="604" spans="1:16" ht="20.05" customHeight="1" x14ac:dyDescent="0.25">
      <c r="A604" s="180">
        <v>363</v>
      </c>
      <c r="B604" s="57"/>
      <c r="C604" s="96" t="str">
        <f t="shared" si="122"/>
        <v/>
      </c>
      <c r="D604" s="97" t="str">
        <f t="shared" si="123"/>
        <v/>
      </c>
      <c r="E604" s="58"/>
      <c r="F604" s="59"/>
      <c r="G604" s="106" t="str">
        <f t="shared" si="126"/>
        <v/>
      </c>
      <c r="H604" s="103" t="str">
        <f t="shared" si="124"/>
        <v/>
      </c>
      <c r="I604" s="110" t="str">
        <f t="shared" si="127"/>
        <v/>
      </c>
      <c r="J604" s="100" t="str">
        <f>IF(B604&gt;0,VLOOKUP(B604,G011B!$B:$R,16,0),"")</f>
        <v/>
      </c>
      <c r="K604" s="100" t="str">
        <f t="shared" si="128"/>
        <v/>
      </c>
      <c r="L604" s="101" t="str">
        <f>IF(B604&lt;&gt;"",VLOOKUP(B604,G011B!$B:$Z,25,0),"")</f>
        <v/>
      </c>
      <c r="M604" s="160" t="str">
        <f t="shared" si="125"/>
        <v/>
      </c>
      <c r="N604" s="43"/>
      <c r="O604" s="43"/>
      <c r="P604" s="43"/>
    </row>
    <row r="605" spans="1:16" ht="20.05" customHeight="1" x14ac:dyDescent="0.25">
      <c r="A605" s="180">
        <v>364</v>
      </c>
      <c r="B605" s="57"/>
      <c r="C605" s="96" t="str">
        <f t="shared" si="122"/>
        <v/>
      </c>
      <c r="D605" s="97" t="str">
        <f t="shared" si="123"/>
        <v/>
      </c>
      <c r="E605" s="58"/>
      <c r="F605" s="59"/>
      <c r="G605" s="106" t="str">
        <f t="shared" si="126"/>
        <v/>
      </c>
      <c r="H605" s="103" t="str">
        <f t="shared" si="124"/>
        <v/>
      </c>
      <c r="I605" s="110" t="str">
        <f t="shared" si="127"/>
        <v/>
      </c>
      <c r="J605" s="100" t="str">
        <f>IF(B605&gt;0,VLOOKUP(B605,G011B!$B:$R,16,0),"")</f>
        <v/>
      </c>
      <c r="K605" s="100" t="str">
        <f t="shared" si="128"/>
        <v/>
      </c>
      <c r="L605" s="101" t="str">
        <f>IF(B605&lt;&gt;"",VLOOKUP(B605,G011B!$B:$Z,25,0),"")</f>
        <v/>
      </c>
      <c r="M605" s="160" t="str">
        <f t="shared" si="125"/>
        <v/>
      </c>
      <c r="N605" s="43"/>
      <c r="O605" s="43"/>
      <c r="P605" s="43"/>
    </row>
    <row r="606" spans="1:16" ht="20.05" customHeight="1" x14ac:dyDescent="0.25">
      <c r="A606" s="180">
        <v>365</v>
      </c>
      <c r="B606" s="57"/>
      <c r="C606" s="96" t="str">
        <f t="shared" si="122"/>
        <v/>
      </c>
      <c r="D606" s="97" t="str">
        <f t="shared" si="123"/>
        <v/>
      </c>
      <c r="E606" s="58"/>
      <c r="F606" s="59"/>
      <c r="G606" s="106" t="str">
        <f t="shared" si="126"/>
        <v/>
      </c>
      <c r="H606" s="103" t="str">
        <f t="shared" si="124"/>
        <v/>
      </c>
      <c r="I606" s="110" t="str">
        <f t="shared" si="127"/>
        <v/>
      </c>
      <c r="J606" s="100" t="str">
        <f>IF(B606&gt;0,VLOOKUP(B606,G011B!$B:$R,16,0),"")</f>
        <v/>
      </c>
      <c r="K606" s="100" t="str">
        <f t="shared" si="128"/>
        <v/>
      </c>
      <c r="L606" s="101" t="str">
        <f>IF(B606&lt;&gt;"",VLOOKUP(B606,G011B!$B:$Z,25,0),"")</f>
        <v/>
      </c>
      <c r="M606" s="160" t="str">
        <f t="shared" si="125"/>
        <v/>
      </c>
      <c r="N606" s="43"/>
      <c r="O606" s="43"/>
      <c r="P606" s="43"/>
    </row>
    <row r="607" spans="1:16" ht="20.05" customHeight="1" x14ac:dyDescent="0.25">
      <c r="A607" s="180">
        <v>366</v>
      </c>
      <c r="B607" s="57"/>
      <c r="C607" s="96" t="str">
        <f t="shared" si="122"/>
        <v/>
      </c>
      <c r="D607" s="97" t="str">
        <f t="shared" si="123"/>
        <v/>
      </c>
      <c r="E607" s="58"/>
      <c r="F607" s="59"/>
      <c r="G607" s="106" t="str">
        <f t="shared" si="126"/>
        <v/>
      </c>
      <c r="H607" s="103" t="str">
        <f t="shared" si="124"/>
        <v/>
      </c>
      <c r="I607" s="110" t="str">
        <f t="shared" si="127"/>
        <v/>
      </c>
      <c r="J607" s="100" t="str">
        <f>IF(B607&gt;0,VLOOKUP(B607,G011B!$B:$R,16,0),"")</f>
        <v/>
      </c>
      <c r="K607" s="100" t="str">
        <f t="shared" si="128"/>
        <v/>
      </c>
      <c r="L607" s="101" t="str">
        <f>IF(B607&lt;&gt;"",VLOOKUP(B607,G011B!$B:$Z,25,0),"")</f>
        <v/>
      </c>
      <c r="M607" s="160" t="str">
        <f t="shared" si="125"/>
        <v/>
      </c>
      <c r="N607" s="43"/>
      <c r="O607" s="43"/>
      <c r="P607" s="43"/>
    </row>
    <row r="608" spans="1:16" ht="20.05" customHeight="1" x14ac:dyDescent="0.25">
      <c r="A608" s="180">
        <v>367</v>
      </c>
      <c r="B608" s="57"/>
      <c r="C608" s="96" t="str">
        <f t="shared" si="122"/>
        <v/>
      </c>
      <c r="D608" s="97" t="str">
        <f t="shared" si="123"/>
        <v/>
      </c>
      <c r="E608" s="58"/>
      <c r="F608" s="59"/>
      <c r="G608" s="106" t="str">
        <f t="shared" si="126"/>
        <v/>
      </c>
      <c r="H608" s="103" t="str">
        <f t="shared" si="124"/>
        <v/>
      </c>
      <c r="I608" s="110" t="str">
        <f t="shared" si="127"/>
        <v/>
      </c>
      <c r="J608" s="100" t="str">
        <f>IF(B608&gt;0,VLOOKUP(B608,G011B!$B:$R,16,0),"")</f>
        <v/>
      </c>
      <c r="K608" s="100" t="str">
        <f t="shared" si="128"/>
        <v/>
      </c>
      <c r="L608" s="101" t="str">
        <f>IF(B608&lt;&gt;"",VLOOKUP(B608,G011B!$B:$Z,25,0),"")</f>
        <v/>
      </c>
      <c r="M608" s="160" t="str">
        <f t="shared" si="125"/>
        <v/>
      </c>
      <c r="N608" s="43"/>
      <c r="O608" s="43"/>
      <c r="P608" s="43"/>
    </row>
    <row r="609" spans="1:16" ht="20.05" customHeight="1" x14ac:dyDescent="0.25">
      <c r="A609" s="180">
        <v>368</v>
      </c>
      <c r="B609" s="57"/>
      <c r="C609" s="96" t="str">
        <f t="shared" si="122"/>
        <v/>
      </c>
      <c r="D609" s="97" t="str">
        <f t="shared" si="123"/>
        <v/>
      </c>
      <c r="E609" s="58"/>
      <c r="F609" s="59"/>
      <c r="G609" s="106" t="str">
        <f t="shared" si="126"/>
        <v/>
      </c>
      <c r="H609" s="103" t="str">
        <f t="shared" si="124"/>
        <v/>
      </c>
      <c r="I609" s="110" t="str">
        <f t="shared" si="127"/>
        <v/>
      </c>
      <c r="J609" s="100" t="str">
        <f>IF(B609&gt;0,VLOOKUP(B609,G011B!$B:$R,16,0),"")</f>
        <v/>
      </c>
      <c r="K609" s="100" t="str">
        <f t="shared" si="128"/>
        <v/>
      </c>
      <c r="L609" s="101" t="str">
        <f>IF(B609&lt;&gt;"",VLOOKUP(B609,G011B!$B:$Z,25,0),"")</f>
        <v/>
      </c>
      <c r="M609" s="160" t="str">
        <f t="shared" si="125"/>
        <v/>
      </c>
      <c r="N609" s="43"/>
      <c r="O609" s="43"/>
      <c r="P609" s="43"/>
    </row>
    <row r="610" spans="1:16" ht="20.05" customHeight="1" x14ac:dyDescent="0.25">
      <c r="A610" s="180">
        <v>369</v>
      </c>
      <c r="B610" s="57"/>
      <c r="C610" s="96" t="str">
        <f t="shared" si="122"/>
        <v/>
      </c>
      <c r="D610" s="97" t="str">
        <f t="shared" si="123"/>
        <v/>
      </c>
      <c r="E610" s="58"/>
      <c r="F610" s="59"/>
      <c r="G610" s="106" t="str">
        <f t="shared" si="126"/>
        <v/>
      </c>
      <c r="H610" s="103" t="str">
        <f t="shared" si="124"/>
        <v/>
      </c>
      <c r="I610" s="110" t="str">
        <f t="shared" si="127"/>
        <v/>
      </c>
      <c r="J610" s="100" t="str">
        <f>IF(B610&gt;0,VLOOKUP(B610,G011B!$B:$R,16,0),"")</f>
        <v/>
      </c>
      <c r="K610" s="100" t="str">
        <f t="shared" si="128"/>
        <v/>
      </c>
      <c r="L610" s="101" t="str">
        <f>IF(B610&lt;&gt;"",VLOOKUP(B610,G011B!$B:$Z,25,0),"")</f>
        <v/>
      </c>
      <c r="M610" s="160" t="str">
        <f t="shared" si="125"/>
        <v/>
      </c>
      <c r="N610" s="43"/>
      <c r="O610" s="43"/>
      <c r="P610" s="43"/>
    </row>
    <row r="611" spans="1:16" ht="20.05" customHeight="1" x14ac:dyDescent="0.25">
      <c r="A611" s="180">
        <v>370</v>
      </c>
      <c r="B611" s="57"/>
      <c r="C611" s="96" t="str">
        <f t="shared" si="122"/>
        <v/>
      </c>
      <c r="D611" s="97" t="str">
        <f t="shared" si="123"/>
        <v/>
      </c>
      <c r="E611" s="58"/>
      <c r="F611" s="59"/>
      <c r="G611" s="106" t="str">
        <f t="shared" si="126"/>
        <v/>
      </c>
      <c r="H611" s="103" t="str">
        <f t="shared" si="124"/>
        <v/>
      </c>
      <c r="I611" s="110" t="str">
        <f t="shared" si="127"/>
        <v/>
      </c>
      <c r="J611" s="100" t="str">
        <f>IF(B611&gt;0,VLOOKUP(B611,G011B!$B:$R,16,0),"")</f>
        <v/>
      </c>
      <c r="K611" s="100" t="str">
        <f t="shared" si="128"/>
        <v/>
      </c>
      <c r="L611" s="101" t="str">
        <f>IF(B611&lt;&gt;"",VLOOKUP(B611,G011B!$B:$Z,25,0),"")</f>
        <v/>
      </c>
      <c r="M611" s="160" t="str">
        <f t="shared" si="125"/>
        <v/>
      </c>
      <c r="N611" s="43"/>
      <c r="O611" s="43"/>
      <c r="P611" s="43"/>
    </row>
    <row r="612" spans="1:16" ht="20.05" customHeight="1" x14ac:dyDescent="0.25">
      <c r="A612" s="180">
        <v>371</v>
      </c>
      <c r="B612" s="57"/>
      <c r="C612" s="96" t="str">
        <f t="shared" si="122"/>
        <v/>
      </c>
      <c r="D612" s="97" t="str">
        <f t="shared" si="123"/>
        <v/>
      </c>
      <c r="E612" s="58"/>
      <c r="F612" s="59"/>
      <c r="G612" s="106" t="str">
        <f t="shared" si="126"/>
        <v/>
      </c>
      <c r="H612" s="103" t="str">
        <f t="shared" si="124"/>
        <v/>
      </c>
      <c r="I612" s="110" t="str">
        <f t="shared" si="127"/>
        <v/>
      </c>
      <c r="J612" s="100" t="str">
        <f>IF(B612&gt;0,VLOOKUP(B612,G011B!$B:$R,16,0),"")</f>
        <v/>
      </c>
      <c r="K612" s="100" t="str">
        <f t="shared" si="128"/>
        <v/>
      </c>
      <c r="L612" s="101" t="str">
        <f>IF(B612&lt;&gt;"",VLOOKUP(B612,G011B!$B:$Z,25,0),"")</f>
        <v/>
      </c>
      <c r="M612" s="160" t="str">
        <f t="shared" si="125"/>
        <v/>
      </c>
      <c r="N612" s="43"/>
      <c r="O612" s="43"/>
      <c r="P612" s="43"/>
    </row>
    <row r="613" spans="1:16" ht="20.05" customHeight="1" x14ac:dyDescent="0.25">
      <c r="A613" s="180">
        <v>372</v>
      </c>
      <c r="B613" s="57"/>
      <c r="C613" s="96" t="str">
        <f t="shared" si="122"/>
        <v/>
      </c>
      <c r="D613" s="97" t="str">
        <f t="shared" si="123"/>
        <v/>
      </c>
      <c r="E613" s="58"/>
      <c r="F613" s="59"/>
      <c r="G613" s="106" t="str">
        <f t="shared" si="126"/>
        <v/>
      </c>
      <c r="H613" s="103" t="str">
        <f t="shared" si="124"/>
        <v/>
      </c>
      <c r="I613" s="110" t="str">
        <f t="shared" si="127"/>
        <v/>
      </c>
      <c r="J613" s="100" t="str">
        <f>IF(B613&gt;0,VLOOKUP(B613,G011B!$B:$R,16,0),"")</f>
        <v/>
      </c>
      <c r="K613" s="100" t="str">
        <f t="shared" si="128"/>
        <v/>
      </c>
      <c r="L613" s="101" t="str">
        <f>IF(B613&lt;&gt;"",VLOOKUP(B613,G011B!$B:$Z,25,0),"")</f>
        <v/>
      </c>
      <c r="M613" s="160" t="str">
        <f t="shared" si="125"/>
        <v/>
      </c>
      <c r="N613" s="43"/>
      <c r="O613" s="43"/>
      <c r="P613" s="43"/>
    </row>
    <row r="614" spans="1:16" ht="20.05" customHeight="1" x14ac:dyDescent="0.25">
      <c r="A614" s="180">
        <v>373</v>
      </c>
      <c r="B614" s="57"/>
      <c r="C614" s="96" t="str">
        <f t="shared" si="122"/>
        <v/>
      </c>
      <c r="D614" s="97" t="str">
        <f t="shared" si="123"/>
        <v/>
      </c>
      <c r="E614" s="58"/>
      <c r="F614" s="59"/>
      <c r="G614" s="106" t="str">
        <f t="shared" si="126"/>
        <v/>
      </c>
      <c r="H614" s="103" t="str">
        <f t="shared" si="124"/>
        <v/>
      </c>
      <c r="I614" s="110" t="str">
        <f t="shared" si="127"/>
        <v/>
      </c>
      <c r="J614" s="100" t="str">
        <f>IF(B614&gt;0,VLOOKUP(B614,G011B!$B:$R,16,0),"")</f>
        <v/>
      </c>
      <c r="K614" s="100" t="str">
        <f t="shared" si="128"/>
        <v/>
      </c>
      <c r="L614" s="101" t="str">
        <f>IF(B614&lt;&gt;"",VLOOKUP(B614,G011B!$B:$Z,25,0),"")</f>
        <v/>
      </c>
      <c r="M614" s="160" t="str">
        <f t="shared" si="125"/>
        <v/>
      </c>
      <c r="N614" s="43"/>
      <c r="O614" s="43"/>
      <c r="P614" s="43"/>
    </row>
    <row r="615" spans="1:16" ht="20.05" customHeight="1" x14ac:dyDescent="0.25">
      <c r="A615" s="180">
        <v>374</v>
      </c>
      <c r="B615" s="57"/>
      <c r="C615" s="96" t="str">
        <f t="shared" si="122"/>
        <v/>
      </c>
      <c r="D615" s="97" t="str">
        <f t="shared" si="123"/>
        <v/>
      </c>
      <c r="E615" s="58"/>
      <c r="F615" s="59"/>
      <c r="G615" s="106" t="str">
        <f t="shared" si="126"/>
        <v/>
      </c>
      <c r="H615" s="103" t="str">
        <f t="shared" si="124"/>
        <v/>
      </c>
      <c r="I615" s="110" t="str">
        <f t="shared" si="127"/>
        <v/>
      </c>
      <c r="J615" s="100" t="str">
        <f>IF(B615&gt;0,VLOOKUP(B615,G011B!$B:$R,16,0),"")</f>
        <v/>
      </c>
      <c r="K615" s="100" t="str">
        <f t="shared" si="128"/>
        <v/>
      </c>
      <c r="L615" s="101" t="str">
        <f>IF(B615&lt;&gt;"",VLOOKUP(B615,G011B!$B:$Z,25,0),"")</f>
        <v/>
      </c>
      <c r="M615" s="160" t="str">
        <f t="shared" si="125"/>
        <v/>
      </c>
      <c r="N615" s="43"/>
      <c r="O615" s="43"/>
      <c r="P615" s="43"/>
    </row>
    <row r="616" spans="1:16" ht="20.05" customHeight="1" x14ac:dyDescent="0.25">
      <c r="A616" s="180">
        <v>375</v>
      </c>
      <c r="B616" s="57"/>
      <c r="C616" s="96" t="str">
        <f t="shared" si="122"/>
        <v/>
      </c>
      <c r="D616" s="97" t="str">
        <f t="shared" si="123"/>
        <v/>
      </c>
      <c r="E616" s="58"/>
      <c r="F616" s="59"/>
      <c r="G616" s="106" t="str">
        <f t="shared" si="126"/>
        <v/>
      </c>
      <c r="H616" s="103" t="str">
        <f t="shared" si="124"/>
        <v/>
      </c>
      <c r="I616" s="110" t="str">
        <f t="shared" si="127"/>
        <v/>
      </c>
      <c r="J616" s="100" t="str">
        <f>IF(B616&gt;0,VLOOKUP(B616,G011B!$B:$R,16,0),"")</f>
        <v/>
      </c>
      <c r="K616" s="100" t="str">
        <f t="shared" si="128"/>
        <v/>
      </c>
      <c r="L616" s="101" t="str">
        <f>IF(B616&lt;&gt;"",VLOOKUP(B616,G011B!$B:$Z,25,0),"")</f>
        <v/>
      </c>
      <c r="M616" s="160" t="str">
        <f t="shared" si="125"/>
        <v/>
      </c>
      <c r="N616" s="43"/>
      <c r="O616" s="43"/>
      <c r="P616" s="43"/>
    </row>
    <row r="617" spans="1:16" ht="20.05" customHeight="1" x14ac:dyDescent="0.25">
      <c r="A617" s="180">
        <v>376</v>
      </c>
      <c r="B617" s="57"/>
      <c r="C617" s="96" t="str">
        <f t="shared" si="122"/>
        <v/>
      </c>
      <c r="D617" s="97" t="str">
        <f t="shared" si="123"/>
        <v/>
      </c>
      <c r="E617" s="58"/>
      <c r="F617" s="59"/>
      <c r="G617" s="106" t="str">
        <f t="shared" si="126"/>
        <v/>
      </c>
      <c r="H617" s="103" t="str">
        <f t="shared" si="124"/>
        <v/>
      </c>
      <c r="I617" s="110" t="str">
        <f t="shared" si="127"/>
        <v/>
      </c>
      <c r="J617" s="100" t="str">
        <f>IF(B617&gt;0,VLOOKUP(B617,G011B!$B:$R,16,0),"")</f>
        <v/>
      </c>
      <c r="K617" s="100" t="str">
        <f t="shared" si="128"/>
        <v/>
      </c>
      <c r="L617" s="101" t="str">
        <f>IF(B617&lt;&gt;"",VLOOKUP(B617,G011B!$B:$Z,25,0),"")</f>
        <v/>
      </c>
      <c r="M617" s="160" t="str">
        <f t="shared" si="125"/>
        <v/>
      </c>
      <c r="N617" s="43"/>
      <c r="O617" s="43"/>
      <c r="P617" s="43"/>
    </row>
    <row r="618" spans="1:16" ht="20.05" customHeight="1" x14ac:dyDescent="0.25">
      <c r="A618" s="180">
        <v>377</v>
      </c>
      <c r="B618" s="57"/>
      <c r="C618" s="96" t="str">
        <f t="shared" si="122"/>
        <v/>
      </c>
      <c r="D618" s="97" t="str">
        <f t="shared" si="123"/>
        <v/>
      </c>
      <c r="E618" s="58"/>
      <c r="F618" s="59"/>
      <c r="G618" s="106" t="str">
        <f t="shared" si="126"/>
        <v/>
      </c>
      <c r="H618" s="103" t="str">
        <f t="shared" si="124"/>
        <v/>
      </c>
      <c r="I618" s="110" t="str">
        <f t="shared" si="127"/>
        <v/>
      </c>
      <c r="J618" s="100" t="str">
        <f>IF(B618&gt;0,VLOOKUP(B618,G011B!$B:$R,16,0),"")</f>
        <v/>
      </c>
      <c r="K618" s="100" t="str">
        <f t="shared" si="128"/>
        <v/>
      </c>
      <c r="L618" s="101" t="str">
        <f>IF(B618&lt;&gt;"",VLOOKUP(B618,G011B!$B:$Z,25,0),"")</f>
        <v/>
      </c>
      <c r="M618" s="160" t="str">
        <f t="shared" si="125"/>
        <v/>
      </c>
      <c r="N618" s="43"/>
      <c r="O618" s="43"/>
      <c r="P618" s="43"/>
    </row>
    <row r="619" spans="1:16" ht="20.05" customHeight="1" x14ac:dyDescent="0.25">
      <c r="A619" s="180">
        <v>378</v>
      </c>
      <c r="B619" s="57"/>
      <c r="C619" s="96" t="str">
        <f t="shared" si="122"/>
        <v/>
      </c>
      <c r="D619" s="97" t="str">
        <f t="shared" si="123"/>
        <v/>
      </c>
      <c r="E619" s="58"/>
      <c r="F619" s="59"/>
      <c r="G619" s="106" t="str">
        <f t="shared" si="126"/>
        <v/>
      </c>
      <c r="H619" s="103" t="str">
        <f t="shared" si="124"/>
        <v/>
      </c>
      <c r="I619" s="110" t="str">
        <f t="shared" si="127"/>
        <v/>
      </c>
      <c r="J619" s="100" t="str">
        <f>IF(B619&gt;0,VLOOKUP(B619,G011B!$B:$R,16,0),"")</f>
        <v/>
      </c>
      <c r="K619" s="100" t="str">
        <f t="shared" si="128"/>
        <v/>
      </c>
      <c r="L619" s="101" t="str">
        <f>IF(B619&lt;&gt;"",VLOOKUP(B619,G011B!$B:$Z,25,0),"")</f>
        <v/>
      </c>
      <c r="M619" s="160" t="str">
        <f t="shared" si="125"/>
        <v/>
      </c>
      <c r="N619" s="43"/>
      <c r="O619" s="43"/>
      <c r="P619" s="43"/>
    </row>
    <row r="620" spans="1:16" ht="20.05" customHeight="1" x14ac:dyDescent="0.25">
      <c r="A620" s="180">
        <v>379</v>
      </c>
      <c r="B620" s="57"/>
      <c r="C620" s="96" t="str">
        <f t="shared" si="122"/>
        <v/>
      </c>
      <c r="D620" s="97" t="str">
        <f t="shared" si="123"/>
        <v/>
      </c>
      <c r="E620" s="58"/>
      <c r="F620" s="59"/>
      <c r="G620" s="106" t="str">
        <f t="shared" si="126"/>
        <v/>
      </c>
      <c r="H620" s="103" t="str">
        <f t="shared" si="124"/>
        <v/>
      </c>
      <c r="I620" s="110" t="str">
        <f t="shared" si="127"/>
        <v/>
      </c>
      <c r="J620" s="100" t="str">
        <f>IF(B620&gt;0,VLOOKUP(B620,G011B!$B:$R,16,0),"")</f>
        <v/>
      </c>
      <c r="K620" s="100" t="str">
        <f t="shared" si="128"/>
        <v/>
      </c>
      <c r="L620" s="101" t="str">
        <f>IF(B620&lt;&gt;"",VLOOKUP(B620,G011B!$B:$Z,25,0),"")</f>
        <v/>
      </c>
      <c r="M620" s="160" t="str">
        <f t="shared" si="125"/>
        <v/>
      </c>
      <c r="N620" s="43"/>
      <c r="O620" s="43"/>
      <c r="P620" s="43"/>
    </row>
    <row r="621" spans="1:16" ht="20.05" customHeight="1" thickBot="1" x14ac:dyDescent="0.3">
      <c r="A621" s="181">
        <v>380</v>
      </c>
      <c r="B621" s="60"/>
      <c r="C621" s="98" t="str">
        <f t="shared" si="122"/>
        <v/>
      </c>
      <c r="D621" s="99" t="str">
        <f t="shared" si="123"/>
        <v/>
      </c>
      <c r="E621" s="61"/>
      <c r="F621" s="62"/>
      <c r="G621" s="107" t="str">
        <f t="shared" si="126"/>
        <v/>
      </c>
      <c r="H621" s="104" t="str">
        <f t="shared" si="124"/>
        <v/>
      </c>
      <c r="I621" s="111" t="str">
        <f t="shared" si="127"/>
        <v/>
      </c>
      <c r="J621" s="100" t="str">
        <f>IF(B621&gt;0,VLOOKUP(B621,G011B!$B:$R,16,0),"")</f>
        <v/>
      </c>
      <c r="K621" s="100" t="str">
        <f t="shared" si="128"/>
        <v/>
      </c>
      <c r="L621" s="101" t="str">
        <f>IF(B621&lt;&gt;"",VLOOKUP(B621,G011B!$B:$Z,25,0),"")</f>
        <v/>
      </c>
      <c r="M621" s="160" t="str">
        <f t="shared" si="125"/>
        <v/>
      </c>
      <c r="N621" s="43"/>
      <c r="O621" s="43"/>
      <c r="P621" s="43"/>
    </row>
    <row r="622" spans="1:16" ht="20.05" customHeight="1" thickBot="1" x14ac:dyDescent="0.4">
      <c r="A622" s="360" t="s">
        <v>42</v>
      </c>
      <c r="B622" s="361"/>
      <c r="C622" s="361"/>
      <c r="D622" s="361"/>
      <c r="E622" s="361"/>
      <c r="F622" s="362"/>
      <c r="G622" s="108">
        <f>SUM(G602:G621)</f>
        <v>0</v>
      </c>
      <c r="H622" s="202"/>
      <c r="I622" s="93">
        <f>IF(C600=C567,SUM(I602:I621)+I589,SUM(I602:I621))</f>
        <v>0</v>
      </c>
      <c r="J622" s="43"/>
      <c r="K622" s="43"/>
      <c r="L622" s="43"/>
      <c r="M622" s="43"/>
      <c r="N622" s="112">
        <f>IF(COUNTA(B602:B621)&gt;0,1,0)</f>
        <v>0</v>
      </c>
      <c r="O622" s="43"/>
      <c r="P622" s="43"/>
    </row>
    <row r="623" spans="1:16" ht="20.05" customHeight="1" thickBot="1" x14ac:dyDescent="0.35">
      <c r="A623" s="363" t="s">
        <v>80</v>
      </c>
      <c r="B623" s="364"/>
      <c r="C623" s="364"/>
      <c r="D623" s="365"/>
      <c r="E623" s="86">
        <f>SUM(G:G)/2</f>
        <v>0</v>
      </c>
      <c r="F623" s="366"/>
      <c r="G623" s="367"/>
      <c r="H623" s="368"/>
      <c r="I623" s="92">
        <f>SUM(I602:I621)+I590</f>
        <v>0</v>
      </c>
      <c r="J623" s="43"/>
      <c r="K623" s="43"/>
      <c r="L623" s="43"/>
      <c r="M623" s="43"/>
      <c r="N623" s="43"/>
      <c r="O623" s="43"/>
      <c r="P623" s="43"/>
    </row>
    <row r="624" spans="1:16" x14ac:dyDescent="0.25">
      <c r="A624" s="182" t="s">
        <v>118</v>
      </c>
      <c r="B624" s="43"/>
      <c r="C624" s="43"/>
      <c r="D624" s="43"/>
      <c r="E624" s="43"/>
      <c r="F624" s="43"/>
      <c r="G624" s="43"/>
      <c r="H624" s="43"/>
      <c r="I624" s="43"/>
      <c r="J624" s="43"/>
      <c r="K624" s="43"/>
      <c r="L624" s="43"/>
      <c r="M624" s="43"/>
      <c r="N624" s="43"/>
      <c r="O624" s="43"/>
      <c r="P624" s="43"/>
    </row>
    <row r="625" spans="1:16" x14ac:dyDescent="0.25">
      <c r="A625" s="43"/>
      <c r="B625" s="43"/>
      <c r="C625" s="43"/>
      <c r="D625" s="43"/>
      <c r="E625" s="43"/>
      <c r="F625" s="43"/>
      <c r="G625" s="43"/>
      <c r="H625" s="43"/>
      <c r="I625" s="43"/>
      <c r="J625" s="43"/>
      <c r="K625" s="43"/>
      <c r="L625" s="43"/>
      <c r="M625" s="43"/>
      <c r="N625" s="43"/>
      <c r="O625" s="43"/>
      <c r="P625" s="43"/>
    </row>
    <row r="626" spans="1:16" ht="21.1" x14ac:dyDescent="0.35">
      <c r="A626" s="247" t="s">
        <v>39</v>
      </c>
      <c r="B626" s="248">
        <f ca="1">IF(imzatarihi&gt;0,imzatarihi,"")</f>
        <v>45686</v>
      </c>
      <c r="C626" s="251" t="s">
        <v>40</v>
      </c>
      <c r="D626" s="245" t="str">
        <f>IF(kurulusyetkilisi&gt;0,kurulusyetkilisi,"")</f>
        <v/>
      </c>
      <c r="F626" s="247"/>
      <c r="G626" s="247"/>
      <c r="H626" s="163"/>
      <c r="I626" s="163"/>
      <c r="J626" s="43"/>
      <c r="K626" s="73"/>
      <c r="L626" s="73"/>
      <c r="M626" s="5"/>
      <c r="N626" s="73"/>
      <c r="O626" s="73"/>
      <c r="P626" s="43"/>
    </row>
    <row r="627" spans="1:16" ht="19.7" x14ac:dyDescent="0.35">
      <c r="A627" s="249"/>
      <c r="B627" s="249"/>
      <c r="C627" s="251" t="s">
        <v>41</v>
      </c>
      <c r="D627" s="247"/>
      <c r="E627" s="302"/>
      <c r="F627" s="302"/>
      <c r="G627" s="302"/>
      <c r="H627" s="42"/>
      <c r="I627" s="42"/>
      <c r="J627" s="43"/>
      <c r="K627" s="73"/>
      <c r="L627" s="73"/>
      <c r="M627" s="5"/>
      <c r="N627" s="73"/>
      <c r="O627" s="73"/>
      <c r="P627" s="43"/>
    </row>
    <row r="628" spans="1:16" ht="16.3" x14ac:dyDescent="0.3">
      <c r="A628" s="338" t="s">
        <v>73</v>
      </c>
      <c r="B628" s="338"/>
      <c r="C628" s="338"/>
      <c r="D628" s="338"/>
      <c r="E628" s="338"/>
      <c r="F628" s="338"/>
      <c r="G628" s="338"/>
      <c r="H628" s="338"/>
      <c r="I628" s="338"/>
      <c r="J628" s="43"/>
      <c r="K628" s="43"/>
      <c r="L628" s="43"/>
      <c r="M628" s="43"/>
      <c r="N628" s="43"/>
      <c r="O628" s="43"/>
      <c r="P628" s="43"/>
    </row>
    <row r="629" spans="1:16" x14ac:dyDescent="0.25">
      <c r="A629" s="336" t="str">
        <f>IF(YilDonem&lt;&gt;"",CONCATENATE(YilDonem,". döneme aittir."),"")</f>
        <v/>
      </c>
      <c r="B629" s="336"/>
      <c r="C629" s="336"/>
      <c r="D629" s="336"/>
      <c r="E629" s="336"/>
      <c r="F629" s="336"/>
      <c r="G629" s="336"/>
      <c r="H629" s="336"/>
      <c r="I629" s="336"/>
      <c r="J629" s="43"/>
      <c r="K629" s="43"/>
      <c r="L629" s="43"/>
      <c r="M629" s="43"/>
      <c r="N629" s="43"/>
      <c r="O629" s="43"/>
      <c r="P629" s="43"/>
    </row>
    <row r="630" spans="1:16" ht="19.7" thickBot="1" x14ac:dyDescent="0.4">
      <c r="A630" s="372" t="s">
        <v>82</v>
      </c>
      <c r="B630" s="372"/>
      <c r="C630" s="372"/>
      <c r="D630" s="372"/>
      <c r="E630" s="372"/>
      <c r="F630" s="372"/>
      <c r="G630" s="372"/>
      <c r="H630" s="372"/>
      <c r="I630" s="372"/>
      <c r="J630" s="43"/>
      <c r="K630" s="43"/>
      <c r="L630" s="43"/>
      <c r="M630" s="43"/>
      <c r="N630" s="43"/>
      <c r="O630" s="43"/>
      <c r="P630" s="43"/>
    </row>
    <row r="631" spans="1:16" ht="19.55" customHeight="1" thickBot="1" x14ac:dyDescent="0.3">
      <c r="A631" s="341" t="s">
        <v>1</v>
      </c>
      <c r="B631" s="343"/>
      <c r="C631" s="330" t="str">
        <f>IF(ProjeNo&gt;0,ProjeNo,"")</f>
        <v/>
      </c>
      <c r="D631" s="331"/>
      <c r="E631" s="331"/>
      <c r="F631" s="331"/>
      <c r="G631" s="331"/>
      <c r="H631" s="331"/>
      <c r="I631" s="332"/>
      <c r="J631" s="43"/>
      <c r="K631" s="43"/>
      <c r="L631" s="43"/>
      <c r="M631" s="43"/>
      <c r="N631" s="43"/>
      <c r="O631" s="43"/>
      <c r="P631" s="43"/>
    </row>
    <row r="632" spans="1:16" ht="29.25" customHeight="1" thickBot="1" x14ac:dyDescent="0.3">
      <c r="A632" s="371" t="s">
        <v>11</v>
      </c>
      <c r="B632" s="342"/>
      <c r="C632" s="346" t="str">
        <f>IF(ProjeAdi&gt;0,ProjeAdi,"")</f>
        <v/>
      </c>
      <c r="D632" s="347"/>
      <c r="E632" s="347"/>
      <c r="F632" s="347"/>
      <c r="G632" s="347"/>
      <c r="H632" s="347"/>
      <c r="I632" s="348"/>
      <c r="J632" s="43"/>
      <c r="K632" s="43"/>
      <c r="L632" s="43"/>
      <c r="M632" s="43"/>
      <c r="N632" s="43"/>
      <c r="O632" s="43"/>
      <c r="P632" s="43"/>
    </row>
    <row r="633" spans="1:16" ht="19.55" customHeight="1" thickBot="1" x14ac:dyDescent="0.3">
      <c r="A633" s="341" t="s">
        <v>74</v>
      </c>
      <c r="B633" s="343"/>
      <c r="C633" s="9"/>
      <c r="D633" s="369"/>
      <c r="E633" s="369"/>
      <c r="F633" s="369"/>
      <c r="G633" s="369"/>
      <c r="H633" s="369"/>
      <c r="I633" s="370"/>
      <c r="J633" s="43"/>
      <c r="K633" s="43"/>
      <c r="L633" s="43"/>
      <c r="M633" s="43"/>
      <c r="N633" s="43"/>
      <c r="O633" s="43"/>
      <c r="P633" s="43"/>
    </row>
    <row r="634" spans="1:16" s="2" customFormat="1" ht="29.25" thickBot="1" x14ac:dyDescent="0.3">
      <c r="A634" s="176" t="s">
        <v>7</v>
      </c>
      <c r="B634" s="176" t="s">
        <v>8</v>
      </c>
      <c r="C634" s="176" t="s">
        <v>63</v>
      </c>
      <c r="D634" s="176" t="s">
        <v>119</v>
      </c>
      <c r="E634" s="176" t="s">
        <v>75</v>
      </c>
      <c r="F634" s="176" t="s">
        <v>76</v>
      </c>
      <c r="G634" s="176" t="s">
        <v>77</v>
      </c>
      <c r="H634" s="176" t="s">
        <v>78</v>
      </c>
      <c r="I634" s="176" t="s">
        <v>79</v>
      </c>
      <c r="J634" s="177" t="s">
        <v>83</v>
      </c>
      <c r="K634" s="178" t="s">
        <v>84</v>
      </c>
      <c r="L634" s="178" t="s">
        <v>76</v>
      </c>
      <c r="M634" s="169"/>
      <c r="N634" s="169"/>
      <c r="O634" s="169"/>
      <c r="P634" s="169"/>
    </row>
    <row r="635" spans="1:16" ht="20.05" customHeight="1" x14ac:dyDescent="0.25">
      <c r="A635" s="179">
        <v>381</v>
      </c>
      <c r="B635" s="53"/>
      <c r="C635" s="94" t="str">
        <f t="shared" ref="C635:C654" si="129">IF(B635&lt;&gt;"",VLOOKUP(B635,PersonelTablo,2,0),"")</f>
        <v/>
      </c>
      <c r="D635" s="95" t="str">
        <f t="shared" ref="D635:D654" si="130">IF(B635&lt;&gt;"",VLOOKUP(B635,PersonelTablo,3,0),"")</f>
        <v/>
      </c>
      <c r="E635" s="54"/>
      <c r="F635" s="55"/>
      <c r="G635" s="105" t="str">
        <f>IF(AND(B635&lt;&gt;"",L635&gt;=F635),E635*F635,"")</f>
        <v/>
      </c>
      <c r="H635" s="102" t="str">
        <f t="shared" ref="H635:H654" si="131">IF(B635&lt;&gt;"",VLOOKUP(B635,G011CTablo,14,0),"")</f>
        <v/>
      </c>
      <c r="I635" s="109" t="str">
        <f>IF(AND(B635&lt;&gt;"",J635&gt;=K635,L635&gt;0),G635*H635,"")</f>
        <v/>
      </c>
      <c r="J635" s="100" t="str">
        <f>IF(B635&gt;0,VLOOKUP(B635,G011B!$B:$R,16,0),"")</f>
        <v/>
      </c>
      <c r="K635" s="100" t="str">
        <f>IF(B635&gt;0,SUMIF($B:$B,B635,$G:$G),"")</f>
        <v/>
      </c>
      <c r="L635" s="101" t="str">
        <f>IF(B635&lt;&gt;"",VLOOKUP(B635,G011B!$B:$Z,25,0),"")</f>
        <v/>
      </c>
      <c r="M635" s="160" t="str">
        <f t="shared" ref="M635:M654" si="132">IF(J635&gt;=K635,"","Personelin bütün iş paketlerindeki Toplam Adam Ay değeri "&amp;K635&amp;" olup, bu değer, G011B formunda beyan edilen Çalışılan Toplam Ay değerini geçemez. Maliyeti hesaplamak için Adam/Ay Oranı veya Çalışılan Ay değerini düzeltiniz. ")</f>
        <v/>
      </c>
      <c r="N635" s="43"/>
      <c r="O635" s="43"/>
      <c r="P635" s="43"/>
    </row>
    <row r="636" spans="1:16" ht="20.05" customHeight="1" x14ac:dyDescent="0.25">
      <c r="A636" s="180">
        <v>382</v>
      </c>
      <c r="B636" s="57"/>
      <c r="C636" s="96" t="str">
        <f t="shared" si="129"/>
        <v/>
      </c>
      <c r="D636" s="97" t="str">
        <f t="shared" si="130"/>
        <v/>
      </c>
      <c r="E636" s="58"/>
      <c r="F636" s="59"/>
      <c r="G636" s="106" t="str">
        <f t="shared" ref="G636:G654" si="133">IF(AND(B636&lt;&gt;"",L636&gt;=F636),E636*F636,"")</f>
        <v/>
      </c>
      <c r="H636" s="103" t="str">
        <f t="shared" si="131"/>
        <v/>
      </c>
      <c r="I636" s="110" t="str">
        <f t="shared" ref="I636:I654" si="134">IF(AND(B636&lt;&gt;"",J636&gt;=K636,L636&gt;0),G636*H636,"")</f>
        <v/>
      </c>
      <c r="J636" s="100" t="str">
        <f>IF(B636&gt;0,VLOOKUP(B636,G011B!$B:$R,16,0),"")</f>
        <v/>
      </c>
      <c r="K636" s="100" t="str">
        <f t="shared" ref="K636:K654" si="135">IF(B636&gt;0,SUMIF($B:$B,B636,$G:$G),"")</f>
        <v/>
      </c>
      <c r="L636" s="101" t="str">
        <f>IF(B636&lt;&gt;"",VLOOKUP(B636,G011B!$B:$Z,25,0),"")</f>
        <v/>
      </c>
      <c r="M636" s="160" t="str">
        <f t="shared" si="132"/>
        <v/>
      </c>
      <c r="N636" s="43"/>
      <c r="O636" s="43"/>
      <c r="P636" s="43"/>
    </row>
    <row r="637" spans="1:16" ht="20.05" customHeight="1" x14ac:dyDescent="0.25">
      <c r="A637" s="180">
        <v>383</v>
      </c>
      <c r="B637" s="57"/>
      <c r="C637" s="96" t="str">
        <f t="shared" si="129"/>
        <v/>
      </c>
      <c r="D637" s="97" t="str">
        <f t="shared" si="130"/>
        <v/>
      </c>
      <c r="E637" s="58"/>
      <c r="F637" s="59"/>
      <c r="G637" s="106" t="str">
        <f t="shared" si="133"/>
        <v/>
      </c>
      <c r="H637" s="103" t="str">
        <f t="shared" si="131"/>
        <v/>
      </c>
      <c r="I637" s="110" t="str">
        <f t="shared" si="134"/>
        <v/>
      </c>
      <c r="J637" s="100" t="str">
        <f>IF(B637&gt;0,VLOOKUP(B637,G011B!$B:$R,16,0),"")</f>
        <v/>
      </c>
      <c r="K637" s="100" t="str">
        <f t="shared" si="135"/>
        <v/>
      </c>
      <c r="L637" s="101" t="str">
        <f>IF(B637&lt;&gt;"",VLOOKUP(B637,G011B!$B:$Z,25,0),"")</f>
        <v/>
      </c>
      <c r="M637" s="160" t="str">
        <f t="shared" si="132"/>
        <v/>
      </c>
      <c r="N637" s="43"/>
      <c r="O637" s="43"/>
      <c r="P637" s="43"/>
    </row>
    <row r="638" spans="1:16" ht="20.05" customHeight="1" x14ac:dyDescent="0.25">
      <c r="A638" s="180">
        <v>384</v>
      </c>
      <c r="B638" s="57"/>
      <c r="C638" s="96" t="str">
        <f t="shared" si="129"/>
        <v/>
      </c>
      <c r="D638" s="97" t="str">
        <f t="shared" si="130"/>
        <v/>
      </c>
      <c r="E638" s="58"/>
      <c r="F638" s="59"/>
      <c r="G638" s="106" t="str">
        <f t="shared" si="133"/>
        <v/>
      </c>
      <c r="H638" s="103" t="str">
        <f t="shared" si="131"/>
        <v/>
      </c>
      <c r="I638" s="110" t="str">
        <f t="shared" si="134"/>
        <v/>
      </c>
      <c r="J638" s="100" t="str">
        <f>IF(B638&gt;0,VLOOKUP(B638,G011B!$B:$R,16,0),"")</f>
        <v/>
      </c>
      <c r="K638" s="100" t="str">
        <f t="shared" si="135"/>
        <v/>
      </c>
      <c r="L638" s="101" t="str">
        <f>IF(B638&lt;&gt;"",VLOOKUP(B638,G011B!$B:$Z,25,0),"")</f>
        <v/>
      </c>
      <c r="M638" s="160" t="str">
        <f t="shared" si="132"/>
        <v/>
      </c>
      <c r="N638" s="43"/>
      <c r="O638" s="43"/>
      <c r="P638" s="43"/>
    </row>
    <row r="639" spans="1:16" ht="20.05" customHeight="1" x14ac:dyDescent="0.25">
      <c r="A639" s="180">
        <v>385</v>
      </c>
      <c r="B639" s="57"/>
      <c r="C639" s="96" t="str">
        <f t="shared" si="129"/>
        <v/>
      </c>
      <c r="D639" s="97" t="str">
        <f t="shared" si="130"/>
        <v/>
      </c>
      <c r="E639" s="58"/>
      <c r="F639" s="59"/>
      <c r="G639" s="106" t="str">
        <f t="shared" si="133"/>
        <v/>
      </c>
      <c r="H639" s="103" t="str">
        <f t="shared" si="131"/>
        <v/>
      </c>
      <c r="I639" s="110" t="str">
        <f t="shared" si="134"/>
        <v/>
      </c>
      <c r="J639" s="100" t="str">
        <f>IF(B639&gt;0,VLOOKUP(B639,G011B!$B:$R,16,0),"")</f>
        <v/>
      </c>
      <c r="K639" s="100" t="str">
        <f t="shared" si="135"/>
        <v/>
      </c>
      <c r="L639" s="101" t="str">
        <f>IF(B639&lt;&gt;"",VLOOKUP(B639,G011B!$B:$Z,25,0),"")</f>
        <v/>
      </c>
      <c r="M639" s="160" t="str">
        <f t="shared" si="132"/>
        <v/>
      </c>
      <c r="N639" s="43"/>
      <c r="O639" s="43"/>
      <c r="P639" s="43"/>
    </row>
    <row r="640" spans="1:16" ht="20.05" customHeight="1" x14ac:dyDescent="0.25">
      <c r="A640" s="180">
        <v>386</v>
      </c>
      <c r="B640" s="57"/>
      <c r="C640" s="96" t="str">
        <f t="shared" si="129"/>
        <v/>
      </c>
      <c r="D640" s="97" t="str">
        <f t="shared" si="130"/>
        <v/>
      </c>
      <c r="E640" s="58"/>
      <c r="F640" s="59"/>
      <c r="G640" s="106" t="str">
        <f t="shared" si="133"/>
        <v/>
      </c>
      <c r="H640" s="103" t="str">
        <f t="shared" si="131"/>
        <v/>
      </c>
      <c r="I640" s="110" t="str">
        <f t="shared" si="134"/>
        <v/>
      </c>
      <c r="J640" s="100" t="str">
        <f>IF(B640&gt;0,VLOOKUP(B640,G011B!$B:$R,16,0),"")</f>
        <v/>
      </c>
      <c r="K640" s="100" t="str">
        <f t="shared" si="135"/>
        <v/>
      </c>
      <c r="L640" s="101" t="str">
        <f>IF(B640&lt;&gt;"",VLOOKUP(B640,G011B!$B:$Z,25,0),"")</f>
        <v/>
      </c>
      <c r="M640" s="160" t="str">
        <f t="shared" si="132"/>
        <v/>
      </c>
      <c r="N640" s="43"/>
      <c r="O640" s="43"/>
      <c r="P640" s="43"/>
    </row>
    <row r="641" spans="1:16" ht="20.05" customHeight="1" x14ac:dyDescent="0.25">
      <c r="A641" s="180">
        <v>387</v>
      </c>
      <c r="B641" s="57"/>
      <c r="C641" s="96" t="str">
        <f t="shared" si="129"/>
        <v/>
      </c>
      <c r="D641" s="97" t="str">
        <f t="shared" si="130"/>
        <v/>
      </c>
      <c r="E641" s="58"/>
      <c r="F641" s="59"/>
      <c r="G641" s="106" t="str">
        <f t="shared" si="133"/>
        <v/>
      </c>
      <c r="H641" s="103" t="str">
        <f t="shared" si="131"/>
        <v/>
      </c>
      <c r="I641" s="110" t="str">
        <f t="shared" si="134"/>
        <v/>
      </c>
      <c r="J641" s="100" t="str">
        <f>IF(B641&gt;0,VLOOKUP(B641,G011B!$B:$R,16,0),"")</f>
        <v/>
      </c>
      <c r="K641" s="100" t="str">
        <f t="shared" si="135"/>
        <v/>
      </c>
      <c r="L641" s="101" t="str">
        <f>IF(B641&lt;&gt;"",VLOOKUP(B641,G011B!$B:$Z,25,0),"")</f>
        <v/>
      </c>
      <c r="M641" s="160" t="str">
        <f t="shared" si="132"/>
        <v/>
      </c>
      <c r="N641" s="43"/>
      <c r="O641" s="43"/>
      <c r="P641" s="43"/>
    </row>
    <row r="642" spans="1:16" ht="20.05" customHeight="1" x14ac:dyDescent="0.25">
      <c r="A642" s="180">
        <v>388</v>
      </c>
      <c r="B642" s="57"/>
      <c r="C642" s="96" t="str">
        <f t="shared" si="129"/>
        <v/>
      </c>
      <c r="D642" s="97" t="str">
        <f t="shared" si="130"/>
        <v/>
      </c>
      <c r="E642" s="58"/>
      <c r="F642" s="59"/>
      <c r="G642" s="106" t="str">
        <f t="shared" si="133"/>
        <v/>
      </c>
      <c r="H642" s="103" t="str">
        <f t="shared" si="131"/>
        <v/>
      </c>
      <c r="I642" s="110" t="str">
        <f t="shared" si="134"/>
        <v/>
      </c>
      <c r="J642" s="100" t="str">
        <f>IF(B642&gt;0,VLOOKUP(B642,G011B!$B:$R,16,0),"")</f>
        <v/>
      </c>
      <c r="K642" s="100" t="str">
        <f t="shared" si="135"/>
        <v/>
      </c>
      <c r="L642" s="101" t="str">
        <f>IF(B642&lt;&gt;"",VLOOKUP(B642,G011B!$B:$Z,25,0),"")</f>
        <v/>
      </c>
      <c r="M642" s="160" t="str">
        <f t="shared" si="132"/>
        <v/>
      </c>
      <c r="N642" s="43"/>
      <c r="O642" s="43"/>
      <c r="P642" s="43"/>
    </row>
    <row r="643" spans="1:16" ht="20.05" customHeight="1" x14ac:dyDescent="0.25">
      <c r="A643" s="180">
        <v>389</v>
      </c>
      <c r="B643" s="57"/>
      <c r="C643" s="96" t="str">
        <f t="shared" si="129"/>
        <v/>
      </c>
      <c r="D643" s="97" t="str">
        <f t="shared" si="130"/>
        <v/>
      </c>
      <c r="E643" s="58"/>
      <c r="F643" s="59"/>
      <c r="G643" s="106" t="str">
        <f t="shared" si="133"/>
        <v/>
      </c>
      <c r="H643" s="103" t="str">
        <f t="shared" si="131"/>
        <v/>
      </c>
      <c r="I643" s="110" t="str">
        <f t="shared" si="134"/>
        <v/>
      </c>
      <c r="J643" s="100" t="str">
        <f>IF(B643&gt;0,VLOOKUP(B643,G011B!$B:$R,16,0),"")</f>
        <v/>
      </c>
      <c r="K643" s="100" t="str">
        <f t="shared" si="135"/>
        <v/>
      </c>
      <c r="L643" s="101" t="str">
        <f>IF(B643&lt;&gt;"",VLOOKUP(B643,G011B!$B:$Z,25,0),"")</f>
        <v/>
      </c>
      <c r="M643" s="160" t="str">
        <f t="shared" si="132"/>
        <v/>
      </c>
      <c r="N643" s="43"/>
      <c r="O643" s="43"/>
      <c r="P643" s="43"/>
    </row>
    <row r="644" spans="1:16" ht="20.05" customHeight="1" x14ac:dyDescent="0.25">
      <c r="A644" s="180">
        <v>390</v>
      </c>
      <c r="B644" s="57"/>
      <c r="C644" s="96" t="str">
        <f t="shared" si="129"/>
        <v/>
      </c>
      <c r="D644" s="97" t="str">
        <f t="shared" si="130"/>
        <v/>
      </c>
      <c r="E644" s="58"/>
      <c r="F644" s="59"/>
      <c r="G644" s="106" t="str">
        <f t="shared" si="133"/>
        <v/>
      </c>
      <c r="H644" s="103" t="str">
        <f t="shared" si="131"/>
        <v/>
      </c>
      <c r="I644" s="110" t="str">
        <f t="shared" si="134"/>
        <v/>
      </c>
      <c r="J644" s="100" t="str">
        <f>IF(B644&gt;0,VLOOKUP(B644,G011B!$B:$R,16,0),"")</f>
        <v/>
      </c>
      <c r="K644" s="100" t="str">
        <f t="shared" si="135"/>
        <v/>
      </c>
      <c r="L644" s="101" t="str">
        <f>IF(B644&lt;&gt;"",VLOOKUP(B644,G011B!$B:$Z,25,0),"")</f>
        <v/>
      </c>
      <c r="M644" s="160" t="str">
        <f t="shared" si="132"/>
        <v/>
      </c>
      <c r="N644" s="43"/>
      <c r="O644" s="43"/>
      <c r="P644" s="43"/>
    </row>
    <row r="645" spans="1:16" ht="20.05" customHeight="1" x14ac:dyDescent="0.25">
      <c r="A645" s="180">
        <v>391</v>
      </c>
      <c r="B645" s="57"/>
      <c r="C645" s="96" t="str">
        <f t="shared" si="129"/>
        <v/>
      </c>
      <c r="D645" s="97" t="str">
        <f t="shared" si="130"/>
        <v/>
      </c>
      <c r="E645" s="58"/>
      <c r="F645" s="59"/>
      <c r="G645" s="106" t="str">
        <f t="shared" si="133"/>
        <v/>
      </c>
      <c r="H645" s="103" t="str">
        <f t="shared" si="131"/>
        <v/>
      </c>
      <c r="I645" s="110" t="str">
        <f t="shared" si="134"/>
        <v/>
      </c>
      <c r="J645" s="100" t="str">
        <f>IF(B645&gt;0,VLOOKUP(B645,G011B!$B:$R,16,0),"")</f>
        <v/>
      </c>
      <c r="K645" s="100" t="str">
        <f t="shared" si="135"/>
        <v/>
      </c>
      <c r="L645" s="101" t="str">
        <f>IF(B645&lt;&gt;"",VLOOKUP(B645,G011B!$B:$Z,25,0),"")</f>
        <v/>
      </c>
      <c r="M645" s="160" t="str">
        <f t="shared" si="132"/>
        <v/>
      </c>
      <c r="N645" s="43"/>
      <c r="O645" s="43"/>
      <c r="P645" s="43"/>
    </row>
    <row r="646" spans="1:16" ht="20.05" customHeight="1" x14ac:dyDescent="0.25">
      <c r="A646" s="180">
        <v>392</v>
      </c>
      <c r="B646" s="57"/>
      <c r="C646" s="96" t="str">
        <f t="shared" si="129"/>
        <v/>
      </c>
      <c r="D646" s="97" t="str">
        <f t="shared" si="130"/>
        <v/>
      </c>
      <c r="E646" s="58"/>
      <c r="F646" s="59"/>
      <c r="G646" s="106" t="str">
        <f t="shared" si="133"/>
        <v/>
      </c>
      <c r="H646" s="103" t="str">
        <f t="shared" si="131"/>
        <v/>
      </c>
      <c r="I646" s="110" t="str">
        <f t="shared" si="134"/>
        <v/>
      </c>
      <c r="J646" s="100" t="str">
        <f>IF(B646&gt;0,VLOOKUP(B646,G011B!$B:$R,16,0),"")</f>
        <v/>
      </c>
      <c r="K646" s="100" t="str">
        <f t="shared" si="135"/>
        <v/>
      </c>
      <c r="L646" s="101" t="str">
        <f>IF(B646&lt;&gt;"",VLOOKUP(B646,G011B!$B:$Z,25,0),"")</f>
        <v/>
      </c>
      <c r="M646" s="160" t="str">
        <f t="shared" si="132"/>
        <v/>
      </c>
      <c r="N646" s="43"/>
      <c r="O646" s="43"/>
      <c r="P646" s="43"/>
    </row>
    <row r="647" spans="1:16" ht="20.05" customHeight="1" x14ac:dyDescent="0.25">
      <c r="A647" s="180">
        <v>393</v>
      </c>
      <c r="B647" s="57"/>
      <c r="C647" s="96" t="str">
        <f t="shared" si="129"/>
        <v/>
      </c>
      <c r="D647" s="97" t="str">
        <f t="shared" si="130"/>
        <v/>
      </c>
      <c r="E647" s="58"/>
      <c r="F647" s="59"/>
      <c r="G647" s="106" t="str">
        <f t="shared" si="133"/>
        <v/>
      </c>
      <c r="H647" s="103" t="str">
        <f t="shared" si="131"/>
        <v/>
      </c>
      <c r="I647" s="110" t="str">
        <f t="shared" si="134"/>
        <v/>
      </c>
      <c r="J647" s="100" t="str">
        <f>IF(B647&gt;0,VLOOKUP(B647,G011B!$B:$R,16,0),"")</f>
        <v/>
      </c>
      <c r="K647" s="100" t="str">
        <f t="shared" si="135"/>
        <v/>
      </c>
      <c r="L647" s="101" t="str">
        <f>IF(B647&lt;&gt;"",VLOOKUP(B647,G011B!$B:$Z,25,0),"")</f>
        <v/>
      </c>
      <c r="M647" s="160" t="str">
        <f t="shared" si="132"/>
        <v/>
      </c>
      <c r="N647" s="43"/>
      <c r="O647" s="43"/>
      <c r="P647" s="43"/>
    </row>
    <row r="648" spans="1:16" ht="20.05" customHeight="1" x14ac:dyDescent="0.25">
      <c r="A648" s="180">
        <v>394</v>
      </c>
      <c r="B648" s="57"/>
      <c r="C648" s="96" t="str">
        <f t="shared" si="129"/>
        <v/>
      </c>
      <c r="D648" s="97" t="str">
        <f t="shared" si="130"/>
        <v/>
      </c>
      <c r="E648" s="58"/>
      <c r="F648" s="59"/>
      <c r="G648" s="106" t="str">
        <f t="shared" si="133"/>
        <v/>
      </c>
      <c r="H648" s="103" t="str">
        <f t="shared" si="131"/>
        <v/>
      </c>
      <c r="I648" s="110" t="str">
        <f t="shared" si="134"/>
        <v/>
      </c>
      <c r="J648" s="100" t="str">
        <f>IF(B648&gt;0,VLOOKUP(B648,G011B!$B:$R,16,0),"")</f>
        <v/>
      </c>
      <c r="K648" s="100" t="str">
        <f t="shared" si="135"/>
        <v/>
      </c>
      <c r="L648" s="101" t="str">
        <f>IF(B648&lt;&gt;"",VLOOKUP(B648,G011B!$B:$Z,25,0),"")</f>
        <v/>
      </c>
      <c r="M648" s="160" t="str">
        <f t="shared" si="132"/>
        <v/>
      </c>
      <c r="N648" s="43"/>
      <c r="O648" s="43"/>
      <c r="P648" s="43"/>
    </row>
    <row r="649" spans="1:16" ht="20.05" customHeight="1" x14ac:dyDescent="0.25">
      <c r="A649" s="180">
        <v>395</v>
      </c>
      <c r="B649" s="57"/>
      <c r="C649" s="96" t="str">
        <f t="shared" si="129"/>
        <v/>
      </c>
      <c r="D649" s="97" t="str">
        <f t="shared" si="130"/>
        <v/>
      </c>
      <c r="E649" s="58"/>
      <c r="F649" s="59"/>
      <c r="G649" s="106" t="str">
        <f t="shared" si="133"/>
        <v/>
      </c>
      <c r="H649" s="103" t="str">
        <f t="shared" si="131"/>
        <v/>
      </c>
      <c r="I649" s="110" t="str">
        <f t="shared" si="134"/>
        <v/>
      </c>
      <c r="J649" s="100" t="str">
        <f>IF(B649&gt;0,VLOOKUP(B649,G011B!$B:$R,16,0),"")</f>
        <v/>
      </c>
      <c r="K649" s="100" t="str">
        <f t="shared" si="135"/>
        <v/>
      </c>
      <c r="L649" s="101" t="str">
        <f>IF(B649&lt;&gt;"",VLOOKUP(B649,G011B!$B:$Z,25,0),"")</f>
        <v/>
      </c>
      <c r="M649" s="160" t="str">
        <f t="shared" si="132"/>
        <v/>
      </c>
      <c r="N649" s="43"/>
      <c r="O649" s="43"/>
      <c r="P649" s="43"/>
    </row>
    <row r="650" spans="1:16" ht="20.05" customHeight="1" x14ac:dyDescent="0.25">
      <c r="A650" s="180">
        <v>396</v>
      </c>
      <c r="B650" s="57"/>
      <c r="C650" s="96" t="str">
        <f t="shared" si="129"/>
        <v/>
      </c>
      <c r="D650" s="97" t="str">
        <f t="shared" si="130"/>
        <v/>
      </c>
      <c r="E650" s="58"/>
      <c r="F650" s="59"/>
      <c r="G650" s="106" t="str">
        <f t="shared" si="133"/>
        <v/>
      </c>
      <c r="H650" s="103" t="str">
        <f t="shared" si="131"/>
        <v/>
      </c>
      <c r="I650" s="110" t="str">
        <f t="shared" si="134"/>
        <v/>
      </c>
      <c r="J650" s="100" t="str">
        <f>IF(B650&gt;0,VLOOKUP(B650,G011B!$B:$R,16,0),"")</f>
        <v/>
      </c>
      <c r="K650" s="100" t="str">
        <f t="shared" si="135"/>
        <v/>
      </c>
      <c r="L650" s="101" t="str">
        <f>IF(B650&lt;&gt;"",VLOOKUP(B650,G011B!$B:$Z,25,0),"")</f>
        <v/>
      </c>
      <c r="M650" s="160" t="str">
        <f t="shared" si="132"/>
        <v/>
      </c>
      <c r="N650" s="43"/>
      <c r="O650" s="43"/>
      <c r="P650" s="43"/>
    </row>
    <row r="651" spans="1:16" ht="20.05" customHeight="1" x14ac:dyDescent="0.25">
      <c r="A651" s="180">
        <v>397</v>
      </c>
      <c r="B651" s="57"/>
      <c r="C651" s="96" t="str">
        <f t="shared" si="129"/>
        <v/>
      </c>
      <c r="D651" s="97" t="str">
        <f t="shared" si="130"/>
        <v/>
      </c>
      <c r="E651" s="58"/>
      <c r="F651" s="59"/>
      <c r="G651" s="106" t="str">
        <f t="shared" si="133"/>
        <v/>
      </c>
      <c r="H651" s="103" t="str">
        <f t="shared" si="131"/>
        <v/>
      </c>
      <c r="I651" s="110" t="str">
        <f t="shared" si="134"/>
        <v/>
      </c>
      <c r="J651" s="100" t="str">
        <f>IF(B651&gt;0,VLOOKUP(B651,G011B!$B:$R,16,0),"")</f>
        <v/>
      </c>
      <c r="K651" s="100" t="str">
        <f t="shared" si="135"/>
        <v/>
      </c>
      <c r="L651" s="101" t="str">
        <f>IF(B651&lt;&gt;"",VLOOKUP(B651,G011B!$B:$Z,25,0),"")</f>
        <v/>
      </c>
      <c r="M651" s="160" t="str">
        <f t="shared" si="132"/>
        <v/>
      </c>
      <c r="N651" s="43"/>
      <c r="O651" s="43"/>
      <c r="P651" s="43"/>
    </row>
    <row r="652" spans="1:16" ht="20.05" customHeight="1" x14ac:dyDescent="0.25">
      <c r="A652" s="180">
        <v>398</v>
      </c>
      <c r="B652" s="57"/>
      <c r="C652" s="96" t="str">
        <f t="shared" si="129"/>
        <v/>
      </c>
      <c r="D652" s="97" t="str">
        <f t="shared" si="130"/>
        <v/>
      </c>
      <c r="E652" s="58"/>
      <c r="F652" s="59"/>
      <c r="G652" s="106" t="str">
        <f t="shared" si="133"/>
        <v/>
      </c>
      <c r="H652" s="103" t="str">
        <f t="shared" si="131"/>
        <v/>
      </c>
      <c r="I652" s="110" t="str">
        <f t="shared" si="134"/>
        <v/>
      </c>
      <c r="J652" s="100" t="str">
        <f>IF(B652&gt;0,VLOOKUP(B652,G011B!$B:$R,16,0),"")</f>
        <v/>
      </c>
      <c r="K652" s="100" t="str">
        <f t="shared" si="135"/>
        <v/>
      </c>
      <c r="L652" s="101" t="str">
        <f>IF(B652&lt;&gt;"",VLOOKUP(B652,G011B!$B:$Z,25,0),"")</f>
        <v/>
      </c>
      <c r="M652" s="160" t="str">
        <f t="shared" si="132"/>
        <v/>
      </c>
      <c r="N652" s="43"/>
      <c r="O652" s="43"/>
      <c r="P652" s="43"/>
    </row>
    <row r="653" spans="1:16" ht="20.05" customHeight="1" x14ac:dyDescent="0.25">
      <c r="A653" s="180">
        <v>399</v>
      </c>
      <c r="B653" s="57"/>
      <c r="C653" s="96" t="str">
        <f t="shared" si="129"/>
        <v/>
      </c>
      <c r="D653" s="97" t="str">
        <f t="shared" si="130"/>
        <v/>
      </c>
      <c r="E653" s="58"/>
      <c r="F653" s="59"/>
      <c r="G653" s="106" t="str">
        <f t="shared" si="133"/>
        <v/>
      </c>
      <c r="H653" s="103" t="str">
        <f t="shared" si="131"/>
        <v/>
      </c>
      <c r="I653" s="110" t="str">
        <f t="shared" si="134"/>
        <v/>
      </c>
      <c r="J653" s="100" t="str">
        <f>IF(B653&gt;0,VLOOKUP(B653,G011B!$B:$R,16,0),"")</f>
        <v/>
      </c>
      <c r="K653" s="100" t="str">
        <f t="shared" si="135"/>
        <v/>
      </c>
      <c r="L653" s="101" t="str">
        <f>IF(B653&lt;&gt;"",VLOOKUP(B653,G011B!$B:$Z,25,0),"")</f>
        <v/>
      </c>
      <c r="M653" s="160" t="str">
        <f t="shared" si="132"/>
        <v/>
      </c>
      <c r="N653" s="43"/>
      <c r="O653" s="43"/>
      <c r="P653" s="43"/>
    </row>
    <row r="654" spans="1:16" ht="20.05" customHeight="1" thickBot="1" x14ac:dyDescent="0.3">
      <c r="A654" s="181">
        <v>400</v>
      </c>
      <c r="B654" s="60"/>
      <c r="C654" s="98" t="str">
        <f t="shared" si="129"/>
        <v/>
      </c>
      <c r="D654" s="99" t="str">
        <f t="shared" si="130"/>
        <v/>
      </c>
      <c r="E654" s="61"/>
      <c r="F654" s="62"/>
      <c r="G654" s="107" t="str">
        <f t="shared" si="133"/>
        <v/>
      </c>
      <c r="H654" s="104" t="str">
        <f t="shared" si="131"/>
        <v/>
      </c>
      <c r="I654" s="111" t="str">
        <f t="shared" si="134"/>
        <v/>
      </c>
      <c r="J654" s="100" t="str">
        <f>IF(B654&gt;0,VLOOKUP(B654,G011B!$B:$R,16,0),"")</f>
        <v/>
      </c>
      <c r="K654" s="100" t="str">
        <f t="shared" si="135"/>
        <v/>
      </c>
      <c r="L654" s="101" t="str">
        <f>IF(B654&lt;&gt;"",VLOOKUP(B654,G011B!$B:$Z,25,0),"")</f>
        <v/>
      </c>
      <c r="M654" s="160" t="str">
        <f t="shared" si="132"/>
        <v/>
      </c>
      <c r="N654" s="43"/>
      <c r="O654" s="43"/>
      <c r="P654" s="43"/>
    </row>
    <row r="655" spans="1:16" ht="20.05" customHeight="1" thickBot="1" x14ac:dyDescent="0.4">
      <c r="A655" s="360" t="s">
        <v>42</v>
      </c>
      <c r="B655" s="361"/>
      <c r="C655" s="361"/>
      <c r="D655" s="361"/>
      <c r="E655" s="361"/>
      <c r="F655" s="362"/>
      <c r="G655" s="108">
        <f>SUM(G635:G654)</f>
        <v>0</v>
      </c>
      <c r="H655" s="202"/>
      <c r="I655" s="93">
        <f>IF(C633=C600,SUM(I635:I654)+I622,SUM(I635:I654))</f>
        <v>0</v>
      </c>
      <c r="J655" s="43"/>
      <c r="K655" s="43"/>
      <c r="L655" s="43"/>
      <c r="M655" s="43"/>
      <c r="N655" s="112">
        <f>IF(COUNTA(B635:B654)&gt;0,1,0)</f>
        <v>0</v>
      </c>
      <c r="O655" s="43"/>
      <c r="P655" s="43"/>
    </row>
    <row r="656" spans="1:16" ht="20.05" customHeight="1" thickBot="1" x14ac:dyDescent="0.35">
      <c r="A656" s="363" t="s">
        <v>80</v>
      </c>
      <c r="B656" s="364"/>
      <c r="C656" s="364"/>
      <c r="D656" s="365"/>
      <c r="E656" s="86">
        <f>SUM(G:G)/2</f>
        <v>0</v>
      </c>
      <c r="F656" s="366"/>
      <c r="G656" s="367"/>
      <c r="H656" s="368"/>
      <c r="I656" s="92">
        <f>SUM(I635:I654)+I623</f>
        <v>0</v>
      </c>
      <c r="J656" s="43"/>
      <c r="K656" s="43"/>
      <c r="L656" s="43"/>
      <c r="M656" s="43"/>
      <c r="N656" s="43"/>
      <c r="O656" s="43"/>
      <c r="P656" s="43"/>
    </row>
    <row r="657" spans="1:16" x14ac:dyDescent="0.25">
      <c r="A657" s="182" t="s">
        <v>118</v>
      </c>
      <c r="B657" s="43"/>
      <c r="C657" s="43"/>
      <c r="D657" s="43"/>
      <c r="E657" s="43"/>
      <c r="F657" s="43"/>
      <c r="G657" s="43"/>
      <c r="H657" s="43"/>
      <c r="I657" s="43"/>
      <c r="J657" s="43"/>
      <c r="K657" s="43"/>
      <c r="L657" s="43"/>
      <c r="M657" s="43"/>
      <c r="N657" s="43"/>
      <c r="O657" s="43"/>
      <c r="P657" s="43"/>
    </row>
    <row r="658" spans="1:16" x14ac:dyDescent="0.25">
      <c r="A658" s="43"/>
      <c r="B658" s="43"/>
      <c r="C658" s="43"/>
      <c r="D658" s="43"/>
      <c r="E658" s="43"/>
      <c r="F658" s="43"/>
      <c r="G658" s="43"/>
      <c r="H658" s="43"/>
      <c r="I658" s="43"/>
      <c r="J658" s="43"/>
      <c r="K658" s="43"/>
      <c r="L658" s="43"/>
      <c r="M658" s="43"/>
      <c r="N658" s="43"/>
      <c r="O658" s="43"/>
      <c r="P658" s="43"/>
    </row>
    <row r="659" spans="1:16" ht="21.1" x14ac:dyDescent="0.35">
      <c r="A659" s="247" t="s">
        <v>39</v>
      </c>
      <c r="B659" s="248">
        <f ca="1">IF(imzatarihi&gt;0,imzatarihi,"")</f>
        <v>45686</v>
      </c>
      <c r="C659" s="251" t="s">
        <v>40</v>
      </c>
      <c r="D659" s="245" t="str">
        <f>IF(kurulusyetkilisi&gt;0,kurulusyetkilisi,"")</f>
        <v/>
      </c>
      <c r="F659" s="247"/>
      <c r="G659" s="247"/>
      <c r="H659" s="163"/>
      <c r="I659" s="163"/>
      <c r="J659" s="43"/>
      <c r="K659" s="73"/>
      <c r="L659" s="73"/>
      <c r="M659" s="5"/>
      <c r="N659" s="73"/>
      <c r="O659" s="73"/>
      <c r="P659" s="43"/>
    </row>
    <row r="660" spans="1:16" ht="19.7" x14ac:dyDescent="0.35">
      <c r="A660" s="249"/>
      <c r="B660" s="249"/>
      <c r="C660" s="251" t="s">
        <v>41</v>
      </c>
      <c r="D660" s="247"/>
      <c r="E660" s="302"/>
      <c r="F660" s="302"/>
      <c r="G660" s="302"/>
      <c r="H660" s="42"/>
      <c r="I660" s="42"/>
      <c r="J660" s="43"/>
      <c r="K660" s="73"/>
      <c r="L660" s="73"/>
      <c r="M660" s="5"/>
      <c r="N660" s="73"/>
      <c r="O660" s="73"/>
      <c r="P660" s="43"/>
    </row>
    <row r="661" spans="1:16" ht="16.3" x14ac:dyDescent="0.3">
      <c r="A661" s="338" t="s">
        <v>73</v>
      </c>
      <c r="B661" s="338"/>
      <c r="C661" s="338"/>
      <c r="D661" s="338"/>
      <c r="E661" s="338"/>
      <c r="F661" s="338"/>
      <c r="G661" s="338"/>
      <c r="H661" s="338"/>
      <c r="I661" s="338"/>
      <c r="J661" s="43"/>
      <c r="K661" s="43"/>
      <c r="L661" s="43"/>
      <c r="M661" s="43"/>
      <c r="N661" s="43"/>
      <c r="O661" s="43"/>
      <c r="P661" s="43"/>
    </row>
    <row r="662" spans="1:16" x14ac:dyDescent="0.25">
      <c r="A662" s="336" t="str">
        <f>IF(YilDonem&lt;&gt;"",CONCATENATE(YilDonem,". döneme aittir."),"")</f>
        <v/>
      </c>
      <c r="B662" s="336"/>
      <c r="C662" s="336"/>
      <c r="D662" s="336"/>
      <c r="E662" s="336"/>
      <c r="F662" s="336"/>
      <c r="G662" s="336"/>
      <c r="H662" s="336"/>
      <c r="I662" s="336"/>
      <c r="J662" s="43"/>
      <c r="K662" s="43"/>
      <c r="L662" s="43"/>
      <c r="M662" s="43"/>
      <c r="N662" s="43"/>
      <c r="O662" s="43"/>
      <c r="P662" s="43"/>
    </row>
    <row r="663" spans="1:16" ht="19.7" thickBot="1" x14ac:dyDescent="0.4">
      <c r="A663" s="372" t="s">
        <v>82</v>
      </c>
      <c r="B663" s="372"/>
      <c r="C663" s="372"/>
      <c r="D663" s="372"/>
      <c r="E663" s="372"/>
      <c r="F663" s="372"/>
      <c r="G663" s="372"/>
      <c r="H663" s="372"/>
      <c r="I663" s="372"/>
      <c r="J663" s="43"/>
      <c r="K663" s="43"/>
      <c r="L663" s="43"/>
      <c r="M663" s="43"/>
      <c r="N663" s="43"/>
      <c r="O663" s="43"/>
      <c r="P663" s="43"/>
    </row>
    <row r="664" spans="1:16" ht="19.55" customHeight="1" thickBot="1" x14ac:dyDescent="0.3">
      <c r="A664" s="341" t="s">
        <v>1</v>
      </c>
      <c r="B664" s="343"/>
      <c r="C664" s="330" t="str">
        <f>IF(ProjeNo&gt;0,ProjeNo,"")</f>
        <v/>
      </c>
      <c r="D664" s="331"/>
      <c r="E664" s="331"/>
      <c r="F664" s="331"/>
      <c r="G664" s="331"/>
      <c r="H664" s="331"/>
      <c r="I664" s="332"/>
      <c r="J664" s="43"/>
      <c r="K664" s="43"/>
      <c r="L664" s="43"/>
      <c r="M664" s="43"/>
      <c r="N664" s="43"/>
      <c r="O664" s="43"/>
      <c r="P664" s="43"/>
    </row>
    <row r="665" spans="1:16" ht="29.25" customHeight="1" thickBot="1" x14ac:dyDescent="0.3">
      <c r="A665" s="371" t="s">
        <v>11</v>
      </c>
      <c r="B665" s="342"/>
      <c r="C665" s="346" t="str">
        <f>IF(ProjeAdi&gt;0,ProjeAdi,"")</f>
        <v/>
      </c>
      <c r="D665" s="347"/>
      <c r="E665" s="347"/>
      <c r="F665" s="347"/>
      <c r="G665" s="347"/>
      <c r="H665" s="347"/>
      <c r="I665" s="348"/>
      <c r="J665" s="43"/>
      <c r="K665" s="43"/>
      <c r="L665" s="43"/>
      <c r="M665" s="43"/>
      <c r="N665" s="43"/>
      <c r="O665" s="43"/>
      <c r="P665" s="43"/>
    </row>
    <row r="666" spans="1:16" ht="19.55" customHeight="1" thickBot="1" x14ac:dyDescent="0.3">
      <c r="A666" s="341" t="s">
        <v>74</v>
      </c>
      <c r="B666" s="343"/>
      <c r="C666" s="9"/>
      <c r="D666" s="369"/>
      <c r="E666" s="369"/>
      <c r="F666" s="369"/>
      <c r="G666" s="369"/>
      <c r="H666" s="369"/>
      <c r="I666" s="370"/>
      <c r="J666" s="43"/>
      <c r="K666" s="43"/>
      <c r="L666" s="43"/>
      <c r="M666" s="43"/>
      <c r="N666" s="43"/>
      <c r="O666" s="43"/>
      <c r="P666" s="43"/>
    </row>
    <row r="667" spans="1:16" s="2" customFormat="1" ht="29.25" thickBot="1" x14ac:dyDescent="0.3">
      <c r="A667" s="176" t="s">
        <v>7</v>
      </c>
      <c r="B667" s="176" t="s">
        <v>8</v>
      </c>
      <c r="C667" s="176" t="s">
        <v>63</v>
      </c>
      <c r="D667" s="176" t="s">
        <v>119</v>
      </c>
      <c r="E667" s="176" t="s">
        <v>75</v>
      </c>
      <c r="F667" s="176" t="s">
        <v>76</v>
      </c>
      <c r="G667" s="176" t="s">
        <v>77</v>
      </c>
      <c r="H667" s="176" t="s">
        <v>78</v>
      </c>
      <c r="I667" s="176" t="s">
        <v>79</v>
      </c>
      <c r="J667" s="177" t="s">
        <v>83</v>
      </c>
      <c r="K667" s="178" t="s">
        <v>84</v>
      </c>
      <c r="L667" s="178" t="s">
        <v>76</v>
      </c>
      <c r="M667" s="169"/>
      <c r="N667" s="169"/>
      <c r="O667" s="169"/>
      <c r="P667" s="169"/>
    </row>
    <row r="668" spans="1:16" ht="20.05" customHeight="1" x14ac:dyDescent="0.25">
      <c r="A668" s="179">
        <v>401</v>
      </c>
      <c r="B668" s="53"/>
      <c r="C668" s="94" t="str">
        <f t="shared" ref="C668:C687" si="136">IF(B668&lt;&gt;"",VLOOKUP(B668,PersonelTablo,2,0),"")</f>
        <v/>
      </c>
      <c r="D668" s="95" t="str">
        <f t="shared" ref="D668:D687" si="137">IF(B668&lt;&gt;"",VLOOKUP(B668,PersonelTablo,3,0),"")</f>
        <v/>
      </c>
      <c r="E668" s="54"/>
      <c r="F668" s="55"/>
      <c r="G668" s="105" t="str">
        <f>IF(AND(B668&lt;&gt;"",L668&gt;=F668),E668*F668,"")</f>
        <v/>
      </c>
      <c r="H668" s="102" t="str">
        <f t="shared" ref="H668:H687" si="138">IF(B668&lt;&gt;"",VLOOKUP(B668,G011CTablo,14,0),"")</f>
        <v/>
      </c>
      <c r="I668" s="109" t="str">
        <f>IF(AND(B668&lt;&gt;"",J668&gt;=K668,L668&gt;0),G668*H668,"")</f>
        <v/>
      </c>
      <c r="J668" s="100" t="str">
        <f>IF(B668&gt;0,VLOOKUP(B668,G011B!$B:$R,16,0),"")</f>
        <v/>
      </c>
      <c r="K668" s="100" t="str">
        <f>IF(B668&gt;0,SUMIF($B:$B,B668,$G:$G),"")</f>
        <v/>
      </c>
      <c r="L668" s="101" t="str">
        <f>IF(B668&lt;&gt;"",VLOOKUP(B668,G011B!$B:$Z,25,0),"")</f>
        <v/>
      </c>
      <c r="M668" s="160" t="str">
        <f t="shared" ref="M668:M687" si="139">IF(J668&gt;=K668,"","Personelin bütün iş paketlerindeki Toplam Adam Ay değeri "&amp;K668&amp;" olup, bu değer, G011B formunda beyan edilen Çalışılan Toplam Ay değerini geçemez. Maliyeti hesaplamak için Adam/Ay Oranı veya Çalışılan Ay değerini düzeltiniz. ")</f>
        <v/>
      </c>
      <c r="N668" s="43"/>
      <c r="O668" s="43"/>
      <c r="P668" s="43"/>
    </row>
    <row r="669" spans="1:16" ht="20.05" customHeight="1" x14ac:dyDescent="0.25">
      <c r="A669" s="180">
        <v>402</v>
      </c>
      <c r="B669" s="57"/>
      <c r="C669" s="96" t="str">
        <f t="shared" si="136"/>
        <v/>
      </c>
      <c r="D669" s="97" t="str">
        <f t="shared" si="137"/>
        <v/>
      </c>
      <c r="E669" s="58"/>
      <c r="F669" s="59"/>
      <c r="G669" s="106" t="str">
        <f t="shared" ref="G669:G687" si="140">IF(AND(B669&lt;&gt;"",L669&gt;=F669),E669*F669,"")</f>
        <v/>
      </c>
      <c r="H669" s="103" t="str">
        <f t="shared" si="138"/>
        <v/>
      </c>
      <c r="I669" s="110" t="str">
        <f t="shared" ref="I669:I687" si="141">IF(AND(B669&lt;&gt;"",J669&gt;=K669,L669&gt;0),G669*H669,"")</f>
        <v/>
      </c>
      <c r="J669" s="100" t="str">
        <f>IF(B669&gt;0,VLOOKUP(B669,G011B!$B:$R,16,0),"")</f>
        <v/>
      </c>
      <c r="K669" s="100" t="str">
        <f t="shared" ref="K669:K687" si="142">IF(B669&gt;0,SUMIF($B:$B,B669,$G:$G),"")</f>
        <v/>
      </c>
      <c r="L669" s="101" t="str">
        <f>IF(B669&lt;&gt;"",VLOOKUP(B669,G011B!$B:$Z,25,0),"")</f>
        <v/>
      </c>
      <c r="M669" s="160" t="str">
        <f t="shared" si="139"/>
        <v/>
      </c>
      <c r="N669" s="43"/>
      <c r="O669" s="43"/>
      <c r="P669" s="43"/>
    </row>
    <row r="670" spans="1:16" ht="20.05" customHeight="1" x14ac:dyDescent="0.25">
      <c r="A670" s="180">
        <v>403</v>
      </c>
      <c r="B670" s="57"/>
      <c r="C670" s="96" t="str">
        <f t="shared" si="136"/>
        <v/>
      </c>
      <c r="D670" s="97" t="str">
        <f t="shared" si="137"/>
        <v/>
      </c>
      <c r="E670" s="58"/>
      <c r="F670" s="59"/>
      <c r="G670" s="106" t="str">
        <f t="shared" si="140"/>
        <v/>
      </c>
      <c r="H670" s="103" t="str">
        <f t="shared" si="138"/>
        <v/>
      </c>
      <c r="I670" s="110" t="str">
        <f t="shared" si="141"/>
        <v/>
      </c>
      <c r="J670" s="100" t="str">
        <f>IF(B670&gt;0,VLOOKUP(B670,G011B!$B:$R,16,0),"")</f>
        <v/>
      </c>
      <c r="K670" s="100" t="str">
        <f t="shared" si="142"/>
        <v/>
      </c>
      <c r="L670" s="101" t="str">
        <f>IF(B670&lt;&gt;"",VLOOKUP(B670,G011B!$B:$Z,25,0),"")</f>
        <v/>
      </c>
      <c r="M670" s="160" t="str">
        <f t="shared" si="139"/>
        <v/>
      </c>
      <c r="N670" s="43"/>
      <c r="O670" s="43"/>
      <c r="P670" s="43"/>
    </row>
    <row r="671" spans="1:16" ht="20.05" customHeight="1" x14ac:dyDescent="0.25">
      <c r="A671" s="180">
        <v>404</v>
      </c>
      <c r="B671" s="57"/>
      <c r="C671" s="96" t="str">
        <f t="shared" si="136"/>
        <v/>
      </c>
      <c r="D671" s="97" t="str">
        <f t="shared" si="137"/>
        <v/>
      </c>
      <c r="E671" s="58"/>
      <c r="F671" s="59"/>
      <c r="G671" s="106" t="str">
        <f t="shared" si="140"/>
        <v/>
      </c>
      <c r="H671" s="103" t="str">
        <f t="shared" si="138"/>
        <v/>
      </c>
      <c r="I671" s="110" t="str">
        <f t="shared" si="141"/>
        <v/>
      </c>
      <c r="J671" s="100" t="str">
        <f>IF(B671&gt;0,VLOOKUP(B671,G011B!$B:$R,16,0),"")</f>
        <v/>
      </c>
      <c r="K671" s="100" t="str">
        <f t="shared" si="142"/>
        <v/>
      </c>
      <c r="L671" s="101" t="str">
        <f>IF(B671&lt;&gt;"",VLOOKUP(B671,G011B!$B:$Z,25,0),"")</f>
        <v/>
      </c>
      <c r="M671" s="160" t="str">
        <f t="shared" si="139"/>
        <v/>
      </c>
      <c r="N671" s="43"/>
      <c r="O671" s="43"/>
      <c r="P671" s="43"/>
    </row>
    <row r="672" spans="1:16" ht="20.05" customHeight="1" x14ac:dyDescent="0.25">
      <c r="A672" s="180">
        <v>405</v>
      </c>
      <c r="B672" s="57"/>
      <c r="C672" s="96" t="str">
        <f t="shared" si="136"/>
        <v/>
      </c>
      <c r="D672" s="97" t="str">
        <f t="shared" si="137"/>
        <v/>
      </c>
      <c r="E672" s="58"/>
      <c r="F672" s="59"/>
      <c r="G672" s="106" t="str">
        <f t="shared" si="140"/>
        <v/>
      </c>
      <c r="H672" s="103" t="str">
        <f t="shared" si="138"/>
        <v/>
      </c>
      <c r="I672" s="110" t="str">
        <f t="shared" si="141"/>
        <v/>
      </c>
      <c r="J672" s="100" t="str">
        <f>IF(B672&gt;0,VLOOKUP(B672,G011B!$B:$R,16,0),"")</f>
        <v/>
      </c>
      <c r="K672" s="100" t="str">
        <f t="shared" si="142"/>
        <v/>
      </c>
      <c r="L672" s="101" t="str">
        <f>IF(B672&lt;&gt;"",VLOOKUP(B672,G011B!$B:$Z,25,0),"")</f>
        <v/>
      </c>
      <c r="M672" s="160" t="str">
        <f t="shared" si="139"/>
        <v/>
      </c>
      <c r="N672" s="43"/>
      <c r="O672" s="43"/>
      <c r="P672" s="43"/>
    </row>
    <row r="673" spans="1:16" ht="20.05" customHeight="1" x14ac:dyDescent="0.25">
      <c r="A673" s="180">
        <v>406</v>
      </c>
      <c r="B673" s="57"/>
      <c r="C673" s="96" t="str">
        <f t="shared" si="136"/>
        <v/>
      </c>
      <c r="D673" s="97" t="str">
        <f t="shared" si="137"/>
        <v/>
      </c>
      <c r="E673" s="58"/>
      <c r="F673" s="59"/>
      <c r="G673" s="106" t="str">
        <f t="shared" si="140"/>
        <v/>
      </c>
      <c r="H673" s="103" t="str">
        <f t="shared" si="138"/>
        <v/>
      </c>
      <c r="I673" s="110" t="str">
        <f t="shared" si="141"/>
        <v/>
      </c>
      <c r="J673" s="100" t="str">
        <f>IF(B673&gt;0,VLOOKUP(B673,G011B!$B:$R,16,0),"")</f>
        <v/>
      </c>
      <c r="K673" s="100" t="str">
        <f t="shared" si="142"/>
        <v/>
      </c>
      <c r="L673" s="101" t="str">
        <f>IF(B673&lt;&gt;"",VLOOKUP(B673,G011B!$B:$Z,25,0),"")</f>
        <v/>
      </c>
      <c r="M673" s="160" t="str">
        <f t="shared" si="139"/>
        <v/>
      </c>
      <c r="N673" s="43"/>
      <c r="O673" s="43"/>
      <c r="P673" s="43"/>
    </row>
    <row r="674" spans="1:16" ht="20.05" customHeight="1" x14ac:dyDescent="0.25">
      <c r="A674" s="180">
        <v>407</v>
      </c>
      <c r="B674" s="57"/>
      <c r="C674" s="96" t="str">
        <f t="shared" si="136"/>
        <v/>
      </c>
      <c r="D674" s="97" t="str">
        <f t="shared" si="137"/>
        <v/>
      </c>
      <c r="E674" s="58"/>
      <c r="F674" s="59"/>
      <c r="G674" s="106" t="str">
        <f t="shared" si="140"/>
        <v/>
      </c>
      <c r="H674" s="103" t="str">
        <f t="shared" si="138"/>
        <v/>
      </c>
      <c r="I674" s="110" t="str">
        <f t="shared" si="141"/>
        <v/>
      </c>
      <c r="J674" s="100" t="str">
        <f>IF(B674&gt;0,VLOOKUP(B674,G011B!$B:$R,16,0),"")</f>
        <v/>
      </c>
      <c r="K674" s="100" t="str">
        <f t="shared" si="142"/>
        <v/>
      </c>
      <c r="L674" s="101" t="str">
        <f>IF(B674&lt;&gt;"",VLOOKUP(B674,G011B!$B:$Z,25,0),"")</f>
        <v/>
      </c>
      <c r="M674" s="160" t="str">
        <f t="shared" si="139"/>
        <v/>
      </c>
      <c r="N674" s="43"/>
      <c r="O674" s="43"/>
      <c r="P674" s="43"/>
    </row>
    <row r="675" spans="1:16" ht="20.05" customHeight="1" x14ac:dyDescent="0.25">
      <c r="A675" s="180">
        <v>408</v>
      </c>
      <c r="B675" s="57"/>
      <c r="C675" s="96" t="str">
        <f t="shared" si="136"/>
        <v/>
      </c>
      <c r="D675" s="97" t="str">
        <f t="shared" si="137"/>
        <v/>
      </c>
      <c r="E675" s="58"/>
      <c r="F675" s="59"/>
      <c r="G675" s="106" t="str">
        <f t="shared" si="140"/>
        <v/>
      </c>
      <c r="H675" s="103" t="str">
        <f t="shared" si="138"/>
        <v/>
      </c>
      <c r="I675" s="110" t="str">
        <f t="shared" si="141"/>
        <v/>
      </c>
      <c r="J675" s="100" t="str">
        <f>IF(B675&gt;0,VLOOKUP(B675,G011B!$B:$R,16,0),"")</f>
        <v/>
      </c>
      <c r="K675" s="100" t="str">
        <f t="shared" si="142"/>
        <v/>
      </c>
      <c r="L675" s="101" t="str">
        <f>IF(B675&lt;&gt;"",VLOOKUP(B675,G011B!$B:$Z,25,0),"")</f>
        <v/>
      </c>
      <c r="M675" s="160" t="str">
        <f t="shared" si="139"/>
        <v/>
      </c>
      <c r="N675" s="43"/>
      <c r="O675" s="43"/>
      <c r="P675" s="43"/>
    </row>
    <row r="676" spans="1:16" ht="20.05" customHeight="1" x14ac:dyDescent="0.25">
      <c r="A676" s="180">
        <v>409</v>
      </c>
      <c r="B676" s="57"/>
      <c r="C676" s="96" t="str">
        <f t="shared" si="136"/>
        <v/>
      </c>
      <c r="D676" s="97" t="str">
        <f t="shared" si="137"/>
        <v/>
      </c>
      <c r="E676" s="58"/>
      <c r="F676" s="59"/>
      <c r="G676" s="106" t="str">
        <f t="shared" si="140"/>
        <v/>
      </c>
      <c r="H676" s="103" t="str">
        <f t="shared" si="138"/>
        <v/>
      </c>
      <c r="I676" s="110" t="str">
        <f t="shared" si="141"/>
        <v/>
      </c>
      <c r="J676" s="100" t="str">
        <f>IF(B676&gt;0,VLOOKUP(B676,G011B!$B:$R,16,0),"")</f>
        <v/>
      </c>
      <c r="K676" s="100" t="str">
        <f t="shared" si="142"/>
        <v/>
      </c>
      <c r="L676" s="101" t="str">
        <f>IF(B676&lt;&gt;"",VLOOKUP(B676,G011B!$B:$Z,25,0),"")</f>
        <v/>
      </c>
      <c r="M676" s="160" t="str">
        <f t="shared" si="139"/>
        <v/>
      </c>
      <c r="N676" s="43"/>
      <c r="O676" s="43"/>
      <c r="P676" s="43"/>
    </row>
    <row r="677" spans="1:16" ht="20.05" customHeight="1" x14ac:dyDescent="0.25">
      <c r="A677" s="180">
        <v>410</v>
      </c>
      <c r="B677" s="57"/>
      <c r="C677" s="96" t="str">
        <f t="shared" si="136"/>
        <v/>
      </c>
      <c r="D677" s="97" t="str">
        <f t="shared" si="137"/>
        <v/>
      </c>
      <c r="E677" s="58"/>
      <c r="F677" s="59"/>
      <c r="G677" s="106" t="str">
        <f t="shared" si="140"/>
        <v/>
      </c>
      <c r="H677" s="103" t="str">
        <f t="shared" si="138"/>
        <v/>
      </c>
      <c r="I677" s="110" t="str">
        <f t="shared" si="141"/>
        <v/>
      </c>
      <c r="J677" s="100" t="str">
        <f>IF(B677&gt;0,VLOOKUP(B677,G011B!$B:$R,16,0),"")</f>
        <v/>
      </c>
      <c r="K677" s="100" t="str">
        <f t="shared" si="142"/>
        <v/>
      </c>
      <c r="L677" s="101" t="str">
        <f>IF(B677&lt;&gt;"",VLOOKUP(B677,G011B!$B:$Z,25,0),"")</f>
        <v/>
      </c>
      <c r="M677" s="160" t="str">
        <f t="shared" si="139"/>
        <v/>
      </c>
      <c r="N677" s="43"/>
      <c r="O677" s="43"/>
      <c r="P677" s="43"/>
    </row>
    <row r="678" spans="1:16" ht="20.05" customHeight="1" x14ac:dyDescent="0.25">
      <c r="A678" s="180">
        <v>411</v>
      </c>
      <c r="B678" s="57"/>
      <c r="C678" s="96" t="str">
        <f t="shared" si="136"/>
        <v/>
      </c>
      <c r="D678" s="97" t="str">
        <f t="shared" si="137"/>
        <v/>
      </c>
      <c r="E678" s="58"/>
      <c r="F678" s="59"/>
      <c r="G678" s="106" t="str">
        <f t="shared" si="140"/>
        <v/>
      </c>
      <c r="H678" s="103" t="str">
        <f t="shared" si="138"/>
        <v/>
      </c>
      <c r="I678" s="110" t="str">
        <f t="shared" si="141"/>
        <v/>
      </c>
      <c r="J678" s="100" t="str">
        <f>IF(B678&gt;0,VLOOKUP(B678,G011B!$B:$R,16,0),"")</f>
        <v/>
      </c>
      <c r="K678" s="100" t="str">
        <f t="shared" si="142"/>
        <v/>
      </c>
      <c r="L678" s="101" t="str">
        <f>IF(B678&lt;&gt;"",VLOOKUP(B678,G011B!$B:$Z,25,0),"")</f>
        <v/>
      </c>
      <c r="M678" s="160" t="str">
        <f t="shared" si="139"/>
        <v/>
      </c>
      <c r="N678" s="43"/>
      <c r="O678" s="43"/>
      <c r="P678" s="43"/>
    </row>
    <row r="679" spans="1:16" ht="20.05" customHeight="1" x14ac:dyDescent="0.25">
      <c r="A679" s="180">
        <v>412</v>
      </c>
      <c r="B679" s="57"/>
      <c r="C679" s="96" t="str">
        <f t="shared" si="136"/>
        <v/>
      </c>
      <c r="D679" s="97" t="str">
        <f t="shared" si="137"/>
        <v/>
      </c>
      <c r="E679" s="58"/>
      <c r="F679" s="59"/>
      <c r="G679" s="106" t="str">
        <f t="shared" si="140"/>
        <v/>
      </c>
      <c r="H679" s="103" t="str">
        <f t="shared" si="138"/>
        <v/>
      </c>
      <c r="I679" s="110" t="str">
        <f t="shared" si="141"/>
        <v/>
      </c>
      <c r="J679" s="100" t="str">
        <f>IF(B679&gt;0,VLOOKUP(B679,G011B!$B:$R,16,0),"")</f>
        <v/>
      </c>
      <c r="K679" s="100" t="str">
        <f t="shared" si="142"/>
        <v/>
      </c>
      <c r="L679" s="101" t="str">
        <f>IF(B679&lt;&gt;"",VLOOKUP(B679,G011B!$B:$Z,25,0),"")</f>
        <v/>
      </c>
      <c r="M679" s="160" t="str">
        <f t="shared" si="139"/>
        <v/>
      </c>
      <c r="N679" s="43"/>
      <c r="O679" s="43"/>
      <c r="P679" s="43"/>
    </row>
    <row r="680" spans="1:16" ht="20.05" customHeight="1" x14ac:dyDescent="0.25">
      <c r="A680" s="180">
        <v>413</v>
      </c>
      <c r="B680" s="57"/>
      <c r="C680" s="96" t="str">
        <f t="shared" si="136"/>
        <v/>
      </c>
      <c r="D680" s="97" t="str">
        <f t="shared" si="137"/>
        <v/>
      </c>
      <c r="E680" s="58"/>
      <c r="F680" s="59"/>
      <c r="G680" s="106" t="str">
        <f t="shared" si="140"/>
        <v/>
      </c>
      <c r="H680" s="103" t="str">
        <f t="shared" si="138"/>
        <v/>
      </c>
      <c r="I680" s="110" t="str">
        <f t="shared" si="141"/>
        <v/>
      </c>
      <c r="J680" s="100" t="str">
        <f>IF(B680&gt;0,VLOOKUP(B680,G011B!$B:$R,16,0),"")</f>
        <v/>
      </c>
      <c r="K680" s="100" t="str">
        <f t="shared" si="142"/>
        <v/>
      </c>
      <c r="L680" s="101" t="str">
        <f>IF(B680&lt;&gt;"",VLOOKUP(B680,G011B!$B:$Z,25,0),"")</f>
        <v/>
      </c>
      <c r="M680" s="160" t="str">
        <f t="shared" si="139"/>
        <v/>
      </c>
      <c r="N680" s="43"/>
      <c r="O680" s="43"/>
      <c r="P680" s="43"/>
    </row>
    <row r="681" spans="1:16" ht="20.05" customHeight="1" x14ac:dyDescent="0.25">
      <c r="A681" s="180">
        <v>414</v>
      </c>
      <c r="B681" s="57"/>
      <c r="C681" s="96" t="str">
        <f t="shared" si="136"/>
        <v/>
      </c>
      <c r="D681" s="97" t="str">
        <f t="shared" si="137"/>
        <v/>
      </c>
      <c r="E681" s="58"/>
      <c r="F681" s="59"/>
      <c r="G681" s="106" t="str">
        <f t="shared" si="140"/>
        <v/>
      </c>
      <c r="H681" s="103" t="str">
        <f t="shared" si="138"/>
        <v/>
      </c>
      <c r="I681" s="110" t="str">
        <f t="shared" si="141"/>
        <v/>
      </c>
      <c r="J681" s="100" t="str">
        <f>IF(B681&gt;0,VLOOKUP(B681,G011B!$B:$R,16,0),"")</f>
        <v/>
      </c>
      <c r="K681" s="100" t="str">
        <f t="shared" si="142"/>
        <v/>
      </c>
      <c r="L681" s="101" t="str">
        <f>IF(B681&lt;&gt;"",VLOOKUP(B681,G011B!$B:$Z,25,0),"")</f>
        <v/>
      </c>
      <c r="M681" s="160" t="str">
        <f t="shared" si="139"/>
        <v/>
      </c>
      <c r="N681" s="43"/>
      <c r="O681" s="43"/>
      <c r="P681" s="43"/>
    </row>
    <row r="682" spans="1:16" ht="20.05" customHeight="1" x14ac:dyDescent="0.25">
      <c r="A682" s="180">
        <v>415</v>
      </c>
      <c r="B682" s="57"/>
      <c r="C682" s="96" t="str">
        <f t="shared" si="136"/>
        <v/>
      </c>
      <c r="D682" s="97" t="str">
        <f t="shared" si="137"/>
        <v/>
      </c>
      <c r="E682" s="58"/>
      <c r="F682" s="59"/>
      <c r="G682" s="106" t="str">
        <f t="shared" si="140"/>
        <v/>
      </c>
      <c r="H682" s="103" t="str">
        <f t="shared" si="138"/>
        <v/>
      </c>
      <c r="I682" s="110" t="str">
        <f t="shared" si="141"/>
        <v/>
      </c>
      <c r="J682" s="100" t="str">
        <f>IF(B682&gt;0,VLOOKUP(B682,G011B!$B:$R,16,0),"")</f>
        <v/>
      </c>
      <c r="K682" s="100" t="str">
        <f t="shared" si="142"/>
        <v/>
      </c>
      <c r="L682" s="101" t="str">
        <f>IF(B682&lt;&gt;"",VLOOKUP(B682,G011B!$B:$Z,25,0),"")</f>
        <v/>
      </c>
      <c r="M682" s="160" t="str">
        <f t="shared" si="139"/>
        <v/>
      </c>
      <c r="N682" s="43"/>
      <c r="O682" s="43"/>
      <c r="P682" s="43"/>
    </row>
    <row r="683" spans="1:16" ht="20.05" customHeight="1" x14ac:dyDescent="0.25">
      <c r="A683" s="180">
        <v>416</v>
      </c>
      <c r="B683" s="57"/>
      <c r="C683" s="96" t="str">
        <f t="shared" si="136"/>
        <v/>
      </c>
      <c r="D683" s="97" t="str">
        <f t="shared" si="137"/>
        <v/>
      </c>
      <c r="E683" s="58"/>
      <c r="F683" s="59"/>
      <c r="G683" s="106" t="str">
        <f t="shared" si="140"/>
        <v/>
      </c>
      <c r="H683" s="103" t="str">
        <f t="shared" si="138"/>
        <v/>
      </c>
      <c r="I683" s="110" t="str">
        <f t="shared" si="141"/>
        <v/>
      </c>
      <c r="J683" s="100" t="str">
        <f>IF(B683&gt;0,VLOOKUP(B683,G011B!$B:$R,16,0),"")</f>
        <v/>
      </c>
      <c r="K683" s="100" t="str">
        <f t="shared" si="142"/>
        <v/>
      </c>
      <c r="L683" s="101" t="str">
        <f>IF(B683&lt;&gt;"",VLOOKUP(B683,G011B!$B:$Z,25,0),"")</f>
        <v/>
      </c>
      <c r="M683" s="160" t="str">
        <f t="shared" si="139"/>
        <v/>
      </c>
      <c r="N683" s="43"/>
      <c r="O683" s="43"/>
      <c r="P683" s="43"/>
    </row>
    <row r="684" spans="1:16" ht="20.05" customHeight="1" x14ac:dyDescent="0.25">
      <c r="A684" s="180">
        <v>417</v>
      </c>
      <c r="B684" s="57"/>
      <c r="C684" s="96" t="str">
        <f t="shared" si="136"/>
        <v/>
      </c>
      <c r="D684" s="97" t="str">
        <f t="shared" si="137"/>
        <v/>
      </c>
      <c r="E684" s="58"/>
      <c r="F684" s="59"/>
      <c r="G684" s="106" t="str">
        <f t="shared" si="140"/>
        <v/>
      </c>
      <c r="H684" s="103" t="str">
        <f t="shared" si="138"/>
        <v/>
      </c>
      <c r="I684" s="110" t="str">
        <f t="shared" si="141"/>
        <v/>
      </c>
      <c r="J684" s="100" t="str">
        <f>IF(B684&gt;0,VLOOKUP(B684,G011B!$B:$R,16,0),"")</f>
        <v/>
      </c>
      <c r="K684" s="100" t="str">
        <f t="shared" si="142"/>
        <v/>
      </c>
      <c r="L684" s="101" t="str">
        <f>IF(B684&lt;&gt;"",VLOOKUP(B684,G011B!$B:$Z,25,0),"")</f>
        <v/>
      </c>
      <c r="M684" s="160" t="str">
        <f t="shared" si="139"/>
        <v/>
      </c>
      <c r="N684" s="43"/>
      <c r="O684" s="43"/>
      <c r="P684" s="43"/>
    </row>
    <row r="685" spans="1:16" ht="20.05" customHeight="1" x14ac:dyDescent="0.25">
      <c r="A685" s="180">
        <v>418</v>
      </c>
      <c r="B685" s="57"/>
      <c r="C685" s="96" t="str">
        <f t="shared" si="136"/>
        <v/>
      </c>
      <c r="D685" s="97" t="str">
        <f t="shared" si="137"/>
        <v/>
      </c>
      <c r="E685" s="58"/>
      <c r="F685" s="59"/>
      <c r="G685" s="106" t="str">
        <f t="shared" si="140"/>
        <v/>
      </c>
      <c r="H685" s="103" t="str">
        <f t="shared" si="138"/>
        <v/>
      </c>
      <c r="I685" s="110" t="str">
        <f t="shared" si="141"/>
        <v/>
      </c>
      <c r="J685" s="100" t="str">
        <f>IF(B685&gt;0,VLOOKUP(B685,G011B!$B:$R,16,0),"")</f>
        <v/>
      </c>
      <c r="K685" s="100" t="str">
        <f t="shared" si="142"/>
        <v/>
      </c>
      <c r="L685" s="101" t="str">
        <f>IF(B685&lt;&gt;"",VLOOKUP(B685,G011B!$B:$Z,25,0),"")</f>
        <v/>
      </c>
      <c r="M685" s="160" t="str">
        <f t="shared" si="139"/>
        <v/>
      </c>
      <c r="N685" s="43"/>
      <c r="O685" s="43"/>
      <c r="P685" s="43"/>
    </row>
    <row r="686" spans="1:16" ht="20.05" customHeight="1" x14ac:dyDescent="0.25">
      <c r="A686" s="180">
        <v>419</v>
      </c>
      <c r="B686" s="57"/>
      <c r="C686" s="96" t="str">
        <f t="shared" si="136"/>
        <v/>
      </c>
      <c r="D686" s="97" t="str">
        <f t="shared" si="137"/>
        <v/>
      </c>
      <c r="E686" s="58"/>
      <c r="F686" s="59"/>
      <c r="G686" s="106" t="str">
        <f t="shared" si="140"/>
        <v/>
      </c>
      <c r="H686" s="103" t="str">
        <f t="shared" si="138"/>
        <v/>
      </c>
      <c r="I686" s="110" t="str">
        <f t="shared" si="141"/>
        <v/>
      </c>
      <c r="J686" s="100" t="str">
        <f>IF(B686&gt;0,VLOOKUP(B686,G011B!$B:$R,16,0),"")</f>
        <v/>
      </c>
      <c r="K686" s="100" t="str">
        <f t="shared" si="142"/>
        <v/>
      </c>
      <c r="L686" s="101" t="str">
        <f>IF(B686&lt;&gt;"",VLOOKUP(B686,G011B!$B:$Z,25,0),"")</f>
        <v/>
      </c>
      <c r="M686" s="160" t="str">
        <f t="shared" si="139"/>
        <v/>
      </c>
      <c r="N686" s="43"/>
      <c r="O686" s="43"/>
      <c r="P686" s="43"/>
    </row>
    <row r="687" spans="1:16" ht="20.05" customHeight="1" thickBot="1" x14ac:dyDescent="0.3">
      <c r="A687" s="181">
        <v>420</v>
      </c>
      <c r="B687" s="60"/>
      <c r="C687" s="98" t="str">
        <f t="shared" si="136"/>
        <v/>
      </c>
      <c r="D687" s="99" t="str">
        <f t="shared" si="137"/>
        <v/>
      </c>
      <c r="E687" s="61"/>
      <c r="F687" s="62"/>
      <c r="G687" s="107" t="str">
        <f t="shared" si="140"/>
        <v/>
      </c>
      <c r="H687" s="104" t="str">
        <f t="shared" si="138"/>
        <v/>
      </c>
      <c r="I687" s="111" t="str">
        <f t="shared" si="141"/>
        <v/>
      </c>
      <c r="J687" s="100" t="str">
        <f>IF(B687&gt;0,VLOOKUP(B687,G011B!$B:$R,16,0),"")</f>
        <v/>
      </c>
      <c r="K687" s="100" t="str">
        <f t="shared" si="142"/>
        <v/>
      </c>
      <c r="L687" s="101" t="str">
        <f>IF(B687&lt;&gt;"",VLOOKUP(B687,G011B!$B:$Z,25,0),"")</f>
        <v/>
      </c>
      <c r="M687" s="160" t="str">
        <f t="shared" si="139"/>
        <v/>
      </c>
      <c r="N687" s="43"/>
      <c r="O687" s="43"/>
      <c r="P687" s="43"/>
    </row>
    <row r="688" spans="1:16" ht="20.05" customHeight="1" thickBot="1" x14ac:dyDescent="0.4">
      <c r="A688" s="360" t="s">
        <v>42</v>
      </c>
      <c r="B688" s="361"/>
      <c r="C688" s="361"/>
      <c r="D688" s="361"/>
      <c r="E688" s="361"/>
      <c r="F688" s="362"/>
      <c r="G688" s="108">
        <f>SUM(G668:G687)</f>
        <v>0</v>
      </c>
      <c r="H688" s="202"/>
      <c r="I688" s="93">
        <f>IF(C666=C633,SUM(I668:I687)+I655,SUM(I668:I687))</f>
        <v>0</v>
      </c>
      <c r="J688" s="43"/>
      <c r="K688" s="43"/>
      <c r="L688" s="43"/>
      <c r="M688" s="43"/>
      <c r="N688" s="112">
        <f>IF(COUNTA(B668:B687)&gt;0,1,0)</f>
        <v>0</v>
      </c>
      <c r="O688" s="43"/>
      <c r="P688" s="43"/>
    </row>
    <row r="689" spans="1:16" ht="20.05" customHeight="1" thickBot="1" x14ac:dyDescent="0.35">
      <c r="A689" s="363" t="s">
        <v>80</v>
      </c>
      <c r="B689" s="364"/>
      <c r="C689" s="364"/>
      <c r="D689" s="365"/>
      <c r="E689" s="86">
        <f>SUM(G:G)/2</f>
        <v>0</v>
      </c>
      <c r="F689" s="366"/>
      <c r="G689" s="367"/>
      <c r="H689" s="368"/>
      <c r="I689" s="92">
        <f>SUM(I668:I687)+I656</f>
        <v>0</v>
      </c>
      <c r="J689" s="43"/>
      <c r="K689" s="43"/>
      <c r="L689" s="43"/>
      <c r="M689" s="43"/>
      <c r="N689" s="43"/>
      <c r="O689" s="43"/>
      <c r="P689" s="43"/>
    </row>
    <row r="690" spans="1:16" x14ac:dyDescent="0.25">
      <c r="A690" s="182" t="s">
        <v>118</v>
      </c>
      <c r="B690" s="43"/>
      <c r="C690" s="43"/>
      <c r="D690" s="43"/>
      <c r="E690" s="43"/>
      <c r="F690" s="43"/>
      <c r="G690" s="43"/>
      <c r="H690" s="43"/>
      <c r="I690" s="43"/>
      <c r="J690" s="43"/>
      <c r="K690" s="43"/>
      <c r="L690" s="43"/>
      <c r="M690" s="43"/>
      <c r="N690" s="43"/>
      <c r="O690" s="43"/>
      <c r="P690" s="43"/>
    </row>
    <row r="691" spans="1:16" x14ac:dyDescent="0.25">
      <c r="A691" s="43"/>
      <c r="B691" s="43"/>
      <c r="C691" s="43"/>
      <c r="D691" s="43"/>
      <c r="E691" s="43"/>
      <c r="F691" s="43"/>
      <c r="G691" s="43"/>
      <c r="H691" s="43"/>
      <c r="I691" s="43"/>
      <c r="J691" s="43"/>
      <c r="K691" s="43"/>
      <c r="L691" s="43"/>
      <c r="M691" s="43"/>
      <c r="N691" s="43"/>
      <c r="O691" s="43"/>
      <c r="P691" s="43"/>
    </row>
    <row r="692" spans="1:16" ht="21.1" x14ac:dyDescent="0.35">
      <c r="A692" s="247" t="s">
        <v>39</v>
      </c>
      <c r="B692" s="248">
        <f ca="1">IF(imzatarihi&gt;0,imzatarihi,"")</f>
        <v>45686</v>
      </c>
      <c r="C692" s="251" t="s">
        <v>40</v>
      </c>
      <c r="D692" s="245" t="str">
        <f>IF(kurulusyetkilisi&gt;0,kurulusyetkilisi,"")</f>
        <v/>
      </c>
      <c r="F692" s="247"/>
      <c r="G692" s="247"/>
      <c r="H692" s="163"/>
      <c r="I692" s="163"/>
      <c r="J692" s="43"/>
      <c r="K692" s="73"/>
      <c r="L692" s="73"/>
      <c r="M692" s="5"/>
      <c r="N692" s="73"/>
      <c r="O692" s="73"/>
      <c r="P692" s="43"/>
    </row>
    <row r="693" spans="1:16" ht="19.7" x14ac:dyDescent="0.35">
      <c r="A693" s="249"/>
      <c r="B693" s="249"/>
      <c r="C693" s="251" t="s">
        <v>41</v>
      </c>
      <c r="D693" s="247"/>
      <c r="E693" s="302"/>
      <c r="F693" s="302"/>
      <c r="G693" s="302"/>
      <c r="H693" s="42"/>
      <c r="I693" s="42"/>
      <c r="J693" s="43"/>
      <c r="K693" s="73"/>
      <c r="L693" s="73"/>
      <c r="M693" s="5"/>
      <c r="N693" s="73"/>
      <c r="O693" s="73"/>
      <c r="P693" s="43"/>
    </row>
    <row r="694" spans="1:16" ht="16.3" x14ac:dyDescent="0.3">
      <c r="A694" s="338" t="s">
        <v>73</v>
      </c>
      <c r="B694" s="338"/>
      <c r="C694" s="338"/>
      <c r="D694" s="338"/>
      <c r="E694" s="338"/>
      <c r="F694" s="338"/>
      <c r="G694" s="338"/>
      <c r="H694" s="338"/>
      <c r="I694" s="338"/>
      <c r="J694" s="43"/>
      <c r="K694" s="43"/>
      <c r="L694" s="43"/>
      <c r="M694" s="43"/>
      <c r="N694" s="43"/>
      <c r="O694" s="43"/>
      <c r="P694" s="43"/>
    </row>
    <row r="695" spans="1:16" x14ac:dyDescent="0.25">
      <c r="A695" s="336" t="str">
        <f>IF(YilDonem&lt;&gt;"",CONCATENATE(YilDonem,". döneme aittir."),"")</f>
        <v/>
      </c>
      <c r="B695" s="336"/>
      <c r="C695" s="336"/>
      <c r="D695" s="336"/>
      <c r="E695" s="336"/>
      <c r="F695" s="336"/>
      <c r="G695" s="336"/>
      <c r="H695" s="336"/>
      <c r="I695" s="336"/>
      <c r="J695" s="43"/>
      <c r="K695" s="43"/>
      <c r="L695" s="43"/>
      <c r="M695" s="43"/>
      <c r="N695" s="43"/>
      <c r="O695" s="43"/>
      <c r="P695" s="43"/>
    </row>
    <row r="696" spans="1:16" ht="19.7" thickBot="1" x14ac:dyDescent="0.4">
      <c r="A696" s="372" t="s">
        <v>82</v>
      </c>
      <c r="B696" s="372"/>
      <c r="C696" s="372"/>
      <c r="D696" s="372"/>
      <c r="E696" s="372"/>
      <c r="F696" s="372"/>
      <c r="G696" s="372"/>
      <c r="H696" s="372"/>
      <c r="I696" s="372"/>
      <c r="J696" s="43"/>
      <c r="K696" s="43"/>
      <c r="L696" s="43"/>
      <c r="M696" s="43"/>
      <c r="N696" s="43"/>
      <c r="O696" s="43"/>
      <c r="P696" s="43"/>
    </row>
    <row r="697" spans="1:16" ht="19.55" customHeight="1" thickBot="1" x14ac:dyDescent="0.3">
      <c r="A697" s="341" t="s">
        <v>1</v>
      </c>
      <c r="B697" s="343"/>
      <c r="C697" s="330" t="str">
        <f>IF(ProjeNo&gt;0,ProjeNo,"")</f>
        <v/>
      </c>
      <c r="D697" s="331"/>
      <c r="E697" s="331"/>
      <c r="F697" s="331"/>
      <c r="G697" s="331"/>
      <c r="H697" s="331"/>
      <c r="I697" s="332"/>
      <c r="J697" s="43"/>
      <c r="K697" s="43"/>
      <c r="L697" s="43"/>
      <c r="M697" s="43"/>
      <c r="N697" s="43"/>
      <c r="O697" s="43"/>
      <c r="P697" s="43"/>
    </row>
    <row r="698" spans="1:16" ht="29.25" customHeight="1" thickBot="1" x14ac:dyDescent="0.3">
      <c r="A698" s="371" t="s">
        <v>11</v>
      </c>
      <c r="B698" s="342"/>
      <c r="C698" s="346" t="str">
        <f>IF(ProjeAdi&gt;0,ProjeAdi,"")</f>
        <v/>
      </c>
      <c r="D698" s="347"/>
      <c r="E698" s="347"/>
      <c r="F698" s="347"/>
      <c r="G698" s="347"/>
      <c r="H698" s="347"/>
      <c r="I698" s="348"/>
      <c r="J698" s="43"/>
      <c r="K698" s="43"/>
      <c r="L698" s="43"/>
      <c r="M698" s="43"/>
      <c r="N698" s="43"/>
      <c r="O698" s="43"/>
      <c r="P698" s="43"/>
    </row>
    <row r="699" spans="1:16" ht="19.55" customHeight="1" thickBot="1" x14ac:dyDescent="0.3">
      <c r="A699" s="341" t="s">
        <v>74</v>
      </c>
      <c r="B699" s="343"/>
      <c r="C699" s="9"/>
      <c r="D699" s="369"/>
      <c r="E699" s="369"/>
      <c r="F699" s="369"/>
      <c r="G699" s="369"/>
      <c r="H699" s="369"/>
      <c r="I699" s="370"/>
      <c r="J699" s="43"/>
      <c r="K699" s="43"/>
      <c r="L699" s="43"/>
      <c r="M699" s="43"/>
      <c r="N699" s="43"/>
      <c r="O699" s="43"/>
      <c r="P699" s="43"/>
    </row>
    <row r="700" spans="1:16" s="2" customFormat="1" ht="29.25" thickBot="1" x14ac:dyDescent="0.3">
      <c r="A700" s="176" t="s">
        <v>7</v>
      </c>
      <c r="B700" s="176" t="s">
        <v>8</v>
      </c>
      <c r="C700" s="176" t="s">
        <v>63</v>
      </c>
      <c r="D700" s="176" t="s">
        <v>119</v>
      </c>
      <c r="E700" s="176" t="s">
        <v>75</v>
      </c>
      <c r="F700" s="176" t="s">
        <v>76</v>
      </c>
      <c r="G700" s="176" t="s">
        <v>77</v>
      </c>
      <c r="H700" s="176" t="s">
        <v>78</v>
      </c>
      <c r="I700" s="176" t="s">
        <v>79</v>
      </c>
      <c r="J700" s="177" t="s">
        <v>83</v>
      </c>
      <c r="K700" s="178" t="s">
        <v>84</v>
      </c>
      <c r="L700" s="178" t="s">
        <v>76</v>
      </c>
      <c r="M700" s="169"/>
      <c r="N700" s="169"/>
      <c r="O700" s="169"/>
      <c r="P700" s="169"/>
    </row>
    <row r="701" spans="1:16" ht="20.05" customHeight="1" x14ac:dyDescent="0.25">
      <c r="A701" s="179">
        <v>421</v>
      </c>
      <c r="B701" s="53"/>
      <c r="C701" s="94" t="str">
        <f t="shared" ref="C701:C720" si="143">IF(B701&lt;&gt;"",VLOOKUP(B701,PersonelTablo,2,0),"")</f>
        <v/>
      </c>
      <c r="D701" s="95" t="str">
        <f t="shared" ref="D701:D720" si="144">IF(B701&lt;&gt;"",VLOOKUP(B701,PersonelTablo,3,0),"")</f>
        <v/>
      </c>
      <c r="E701" s="54"/>
      <c r="F701" s="55"/>
      <c r="G701" s="105" t="str">
        <f>IF(AND(B701&lt;&gt;"",L701&gt;=F701),E701*F701,"")</f>
        <v/>
      </c>
      <c r="H701" s="102" t="str">
        <f t="shared" ref="H701:H720" si="145">IF(B701&lt;&gt;"",VLOOKUP(B701,G011CTablo,14,0),"")</f>
        <v/>
      </c>
      <c r="I701" s="109" t="str">
        <f>IF(AND(B701&lt;&gt;"",J701&gt;=K701,L701&gt;0),G701*H701,"")</f>
        <v/>
      </c>
      <c r="J701" s="100" t="str">
        <f>IF(B701&gt;0,VLOOKUP(B701,G011B!$B:$R,16,0),"")</f>
        <v/>
      </c>
      <c r="K701" s="100" t="str">
        <f>IF(B701&gt;0,SUMIF($B:$B,B701,$G:$G),"")</f>
        <v/>
      </c>
      <c r="L701" s="101" t="str">
        <f>IF(B701&lt;&gt;"",VLOOKUP(B701,G011B!$B:$Z,25,0),"")</f>
        <v/>
      </c>
      <c r="M701" s="160" t="str">
        <f t="shared" ref="M701:M720" si="146">IF(J701&gt;=K701,"","Personelin bütün iş paketlerindeki Toplam Adam Ay değeri "&amp;K701&amp;" olup, bu değer, G011B formunda beyan edilen Çalışılan Toplam Ay değerini geçemez. Maliyeti hesaplamak için Adam/Ay Oranı veya Çalışılan Ay değerini düzeltiniz. ")</f>
        <v/>
      </c>
      <c r="N701" s="43"/>
      <c r="O701" s="43"/>
      <c r="P701" s="43"/>
    </row>
    <row r="702" spans="1:16" ht="20.05" customHeight="1" x14ac:dyDescent="0.25">
      <c r="A702" s="180">
        <v>422</v>
      </c>
      <c r="B702" s="57"/>
      <c r="C702" s="96" t="str">
        <f t="shared" si="143"/>
        <v/>
      </c>
      <c r="D702" s="97" t="str">
        <f t="shared" si="144"/>
        <v/>
      </c>
      <c r="E702" s="58"/>
      <c r="F702" s="59"/>
      <c r="G702" s="106" t="str">
        <f t="shared" ref="G702:G720" si="147">IF(AND(B702&lt;&gt;"",L702&gt;=F702),E702*F702,"")</f>
        <v/>
      </c>
      <c r="H702" s="103" t="str">
        <f t="shared" si="145"/>
        <v/>
      </c>
      <c r="I702" s="110" t="str">
        <f t="shared" ref="I702:I720" si="148">IF(AND(B702&lt;&gt;"",J702&gt;=K702,L702&gt;0),G702*H702,"")</f>
        <v/>
      </c>
      <c r="J702" s="100" t="str">
        <f>IF(B702&gt;0,VLOOKUP(B702,G011B!$B:$R,16,0),"")</f>
        <v/>
      </c>
      <c r="K702" s="100" t="str">
        <f t="shared" ref="K702:K720" si="149">IF(B702&gt;0,SUMIF($B:$B,B702,$G:$G),"")</f>
        <v/>
      </c>
      <c r="L702" s="101" t="str">
        <f>IF(B702&lt;&gt;"",VLOOKUP(B702,G011B!$B:$Z,25,0),"")</f>
        <v/>
      </c>
      <c r="M702" s="160" t="str">
        <f t="shared" si="146"/>
        <v/>
      </c>
      <c r="N702" s="43"/>
      <c r="O702" s="43"/>
      <c r="P702" s="43"/>
    </row>
    <row r="703" spans="1:16" ht="20.05" customHeight="1" x14ac:dyDescent="0.25">
      <c r="A703" s="180">
        <v>423</v>
      </c>
      <c r="B703" s="57"/>
      <c r="C703" s="96" t="str">
        <f t="shared" si="143"/>
        <v/>
      </c>
      <c r="D703" s="97" t="str">
        <f t="shared" si="144"/>
        <v/>
      </c>
      <c r="E703" s="58"/>
      <c r="F703" s="59"/>
      <c r="G703" s="106" t="str">
        <f t="shared" si="147"/>
        <v/>
      </c>
      <c r="H703" s="103" t="str">
        <f t="shared" si="145"/>
        <v/>
      </c>
      <c r="I703" s="110" t="str">
        <f t="shared" si="148"/>
        <v/>
      </c>
      <c r="J703" s="100" t="str">
        <f>IF(B703&gt;0,VLOOKUP(B703,G011B!$B:$R,16,0),"")</f>
        <v/>
      </c>
      <c r="K703" s="100" t="str">
        <f t="shared" si="149"/>
        <v/>
      </c>
      <c r="L703" s="101" t="str">
        <f>IF(B703&lt;&gt;"",VLOOKUP(B703,G011B!$B:$Z,25,0),"")</f>
        <v/>
      </c>
      <c r="M703" s="160" t="str">
        <f t="shared" si="146"/>
        <v/>
      </c>
      <c r="N703" s="43"/>
      <c r="O703" s="43"/>
      <c r="P703" s="43"/>
    </row>
    <row r="704" spans="1:16" ht="20.05" customHeight="1" x14ac:dyDescent="0.25">
      <c r="A704" s="180">
        <v>424</v>
      </c>
      <c r="B704" s="57"/>
      <c r="C704" s="96" t="str">
        <f t="shared" si="143"/>
        <v/>
      </c>
      <c r="D704" s="97" t="str">
        <f t="shared" si="144"/>
        <v/>
      </c>
      <c r="E704" s="58"/>
      <c r="F704" s="59"/>
      <c r="G704" s="106" t="str">
        <f t="shared" si="147"/>
        <v/>
      </c>
      <c r="H704" s="103" t="str">
        <f t="shared" si="145"/>
        <v/>
      </c>
      <c r="I704" s="110" t="str">
        <f t="shared" si="148"/>
        <v/>
      </c>
      <c r="J704" s="100" t="str">
        <f>IF(B704&gt;0,VLOOKUP(B704,G011B!$B:$R,16,0),"")</f>
        <v/>
      </c>
      <c r="K704" s="100" t="str">
        <f t="shared" si="149"/>
        <v/>
      </c>
      <c r="L704" s="101" t="str">
        <f>IF(B704&lt;&gt;"",VLOOKUP(B704,G011B!$B:$Z,25,0),"")</f>
        <v/>
      </c>
      <c r="M704" s="160" t="str">
        <f t="shared" si="146"/>
        <v/>
      </c>
      <c r="N704" s="43"/>
      <c r="O704" s="43"/>
      <c r="P704" s="43"/>
    </row>
    <row r="705" spans="1:16" ht="20.05" customHeight="1" x14ac:dyDescent="0.25">
      <c r="A705" s="180">
        <v>425</v>
      </c>
      <c r="B705" s="57"/>
      <c r="C705" s="96" t="str">
        <f t="shared" si="143"/>
        <v/>
      </c>
      <c r="D705" s="97" t="str">
        <f t="shared" si="144"/>
        <v/>
      </c>
      <c r="E705" s="58"/>
      <c r="F705" s="59"/>
      <c r="G705" s="106" t="str">
        <f t="shared" si="147"/>
        <v/>
      </c>
      <c r="H705" s="103" t="str">
        <f t="shared" si="145"/>
        <v/>
      </c>
      <c r="I705" s="110" t="str">
        <f t="shared" si="148"/>
        <v/>
      </c>
      <c r="J705" s="100" t="str">
        <f>IF(B705&gt;0,VLOOKUP(B705,G011B!$B:$R,16,0),"")</f>
        <v/>
      </c>
      <c r="K705" s="100" t="str">
        <f t="shared" si="149"/>
        <v/>
      </c>
      <c r="L705" s="101" t="str">
        <f>IF(B705&lt;&gt;"",VLOOKUP(B705,G011B!$B:$Z,25,0),"")</f>
        <v/>
      </c>
      <c r="M705" s="160" t="str">
        <f t="shared" si="146"/>
        <v/>
      </c>
      <c r="N705" s="43"/>
      <c r="O705" s="43"/>
      <c r="P705" s="43"/>
    </row>
    <row r="706" spans="1:16" ht="20.05" customHeight="1" x14ac:dyDescent="0.25">
      <c r="A706" s="180">
        <v>426</v>
      </c>
      <c r="B706" s="57"/>
      <c r="C706" s="96" t="str">
        <f t="shared" si="143"/>
        <v/>
      </c>
      <c r="D706" s="97" t="str">
        <f t="shared" si="144"/>
        <v/>
      </c>
      <c r="E706" s="58"/>
      <c r="F706" s="59"/>
      <c r="G706" s="106" t="str">
        <f t="shared" si="147"/>
        <v/>
      </c>
      <c r="H706" s="103" t="str">
        <f t="shared" si="145"/>
        <v/>
      </c>
      <c r="I706" s="110" t="str">
        <f t="shared" si="148"/>
        <v/>
      </c>
      <c r="J706" s="100" t="str">
        <f>IF(B706&gt;0,VLOOKUP(B706,G011B!$B:$R,16,0),"")</f>
        <v/>
      </c>
      <c r="K706" s="100" t="str">
        <f t="shared" si="149"/>
        <v/>
      </c>
      <c r="L706" s="101" t="str">
        <f>IF(B706&lt;&gt;"",VLOOKUP(B706,G011B!$B:$Z,25,0),"")</f>
        <v/>
      </c>
      <c r="M706" s="160" t="str">
        <f t="shared" si="146"/>
        <v/>
      </c>
      <c r="N706" s="43"/>
      <c r="O706" s="43"/>
      <c r="P706" s="43"/>
    </row>
    <row r="707" spans="1:16" ht="20.05" customHeight="1" x14ac:dyDescent="0.25">
      <c r="A707" s="180">
        <v>427</v>
      </c>
      <c r="B707" s="57"/>
      <c r="C707" s="96" t="str">
        <f t="shared" si="143"/>
        <v/>
      </c>
      <c r="D707" s="97" t="str">
        <f t="shared" si="144"/>
        <v/>
      </c>
      <c r="E707" s="58"/>
      <c r="F707" s="59"/>
      <c r="G707" s="106" t="str">
        <f t="shared" si="147"/>
        <v/>
      </c>
      <c r="H707" s="103" t="str">
        <f t="shared" si="145"/>
        <v/>
      </c>
      <c r="I707" s="110" t="str">
        <f t="shared" si="148"/>
        <v/>
      </c>
      <c r="J707" s="100" t="str">
        <f>IF(B707&gt;0,VLOOKUP(B707,G011B!$B:$R,16,0),"")</f>
        <v/>
      </c>
      <c r="K707" s="100" t="str">
        <f t="shared" si="149"/>
        <v/>
      </c>
      <c r="L707" s="101" t="str">
        <f>IF(B707&lt;&gt;"",VLOOKUP(B707,G011B!$B:$Z,25,0),"")</f>
        <v/>
      </c>
      <c r="M707" s="160" t="str">
        <f t="shared" si="146"/>
        <v/>
      </c>
      <c r="N707" s="43"/>
      <c r="O707" s="43"/>
      <c r="P707" s="43"/>
    </row>
    <row r="708" spans="1:16" ht="20.05" customHeight="1" x14ac:dyDescent="0.25">
      <c r="A708" s="180">
        <v>428</v>
      </c>
      <c r="B708" s="57"/>
      <c r="C708" s="96" t="str">
        <f t="shared" si="143"/>
        <v/>
      </c>
      <c r="D708" s="97" t="str">
        <f t="shared" si="144"/>
        <v/>
      </c>
      <c r="E708" s="58"/>
      <c r="F708" s="59"/>
      <c r="G708" s="106" t="str">
        <f t="shared" si="147"/>
        <v/>
      </c>
      <c r="H708" s="103" t="str">
        <f t="shared" si="145"/>
        <v/>
      </c>
      <c r="I708" s="110" t="str">
        <f t="shared" si="148"/>
        <v/>
      </c>
      <c r="J708" s="100" t="str">
        <f>IF(B708&gt;0,VLOOKUP(B708,G011B!$B:$R,16,0),"")</f>
        <v/>
      </c>
      <c r="K708" s="100" t="str">
        <f t="shared" si="149"/>
        <v/>
      </c>
      <c r="L708" s="101" t="str">
        <f>IF(B708&lt;&gt;"",VLOOKUP(B708,G011B!$B:$Z,25,0),"")</f>
        <v/>
      </c>
      <c r="M708" s="160" t="str">
        <f t="shared" si="146"/>
        <v/>
      </c>
      <c r="N708" s="43"/>
      <c r="O708" s="43"/>
      <c r="P708" s="43"/>
    </row>
    <row r="709" spans="1:16" ht="20.05" customHeight="1" x14ac:dyDescent="0.25">
      <c r="A709" s="180">
        <v>429</v>
      </c>
      <c r="B709" s="57"/>
      <c r="C709" s="96" t="str">
        <f t="shared" si="143"/>
        <v/>
      </c>
      <c r="D709" s="97" t="str">
        <f t="shared" si="144"/>
        <v/>
      </c>
      <c r="E709" s="58"/>
      <c r="F709" s="59"/>
      <c r="G709" s="106" t="str">
        <f t="shared" si="147"/>
        <v/>
      </c>
      <c r="H709" s="103" t="str">
        <f t="shared" si="145"/>
        <v/>
      </c>
      <c r="I709" s="110" t="str">
        <f t="shared" si="148"/>
        <v/>
      </c>
      <c r="J709" s="100" t="str">
        <f>IF(B709&gt;0,VLOOKUP(B709,G011B!$B:$R,16,0),"")</f>
        <v/>
      </c>
      <c r="K709" s="100" t="str">
        <f t="shared" si="149"/>
        <v/>
      </c>
      <c r="L709" s="101" t="str">
        <f>IF(B709&lt;&gt;"",VLOOKUP(B709,G011B!$B:$Z,25,0),"")</f>
        <v/>
      </c>
      <c r="M709" s="160" t="str">
        <f t="shared" si="146"/>
        <v/>
      </c>
      <c r="N709" s="43"/>
      <c r="O709" s="43"/>
      <c r="P709" s="43"/>
    </row>
    <row r="710" spans="1:16" ht="20.05" customHeight="1" x14ac:dyDescent="0.25">
      <c r="A710" s="180">
        <v>430</v>
      </c>
      <c r="B710" s="57"/>
      <c r="C710" s="96" t="str">
        <f t="shared" si="143"/>
        <v/>
      </c>
      <c r="D710" s="97" t="str">
        <f t="shared" si="144"/>
        <v/>
      </c>
      <c r="E710" s="58"/>
      <c r="F710" s="59"/>
      <c r="G710" s="106" t="str">
        <f t="shared" si="147"/>
        <v/>
      </c>
      <c r="H710" s="103" t="str">
        <f t="shared" si="145"/>
        <v/>
      </c>
      <c r="I710" s="110" t="str">
        <f t="shared" si="148"/>
        <v/>
      </c>
      <c r="J710" s="100" t="str">
        <f>IF(B710&gt;0,VLOOKUP(B710,G011B!$B:$R,16,0),"")</f>
        <v/>
      </c>
      <c r="K710" s="100" t="str">
        <f t="shared" si="149"/>
        <v/>
      </c>
      <c r="L710" s="101" t="str">
        <f>IF(B710&lt;&gt;"",VLOOKUP(B710,G011B!$B:$Z,25,0),"")</f>
        <v/>
      </c>
      <c r="M710" s="160" t="str">
        <f t="shared" si="146"/>
        <v/>
      </c>
      <c r="N710" s="43"/>
      <c r="O710" s="43"/>
      <c r="P710" s="43"/>
    </row>
    <row r="711" spans="1:16" ht="20.05" customHeight="1" x14ac:dyDescent="0.25">
      <c r="A711" s="180">
        <v>431</v>
      </c>
      <c r="B711" s="57"/>
      <c r="C711" s="96" t="str">
        <f t="shared" si="143"/>
        <v/>
      </c>
      <c r="D711" s="97" t="str">
        <f t="shared" si="144"/>
        <v/>
      </c>
      <c r="E711" s="58"/>
      <c r="F711" s="59"/>
      <c r="G711" s="106" t="str">
        <f t="shared" si="147"/>
        <v/>
      </c>
      <c r="H711" s="103" t="str">
        <f t="shared" si="145"/>
        <v/>
      </c>
      <c r="I711" s="110" t="str">
        <f t="shared" si="148"/>
        <v/>
      </c>
      <c r="J711" s="100" t="str">
        <f>IF(B711&gt;0,VLOOKUP(B711,G011B!$B:$R,16,0),"")</f>
        <v/>
      </c>
      <c r="K711" s="100" t="str">
        <f t="shared" si="149"/>
        <v/>
      </c>
      <c r="L711" s="101" t="str">
        <f>IF(B711&lt;&gt;"",VLOOKUP(B711,G011B!$B:$Z,25,0),"")</f>
        <v/>
      </c>
      <c r="M711" s="160" t="str">
        <f t="shared" si="146"/>
        <v/>
      </c>
      <c r="N711" s="43"/>
      <c r="O711" s="43"/>
      <c r="P711" s="43"/>
    </row>
    <row r="712" spans="1:16" ht="20.05" customHeight="1" x14ac:dyDescent="0.25">
      <c r="A712" s="180">
        <v>432</v>
      </c>
      <c r="B712" s="57"/>
      <c r="C712" s="96" t="str">
        <f t="shared" si="143"/>
        <v/>
      </c>
      <c r="D712" s="97" t="str">
        <f t="shared" si="144"/>
        <v/>
      </c>
      <c r="E712" s="58"/>
      <c r="F712" s="59"/>
      <c r="G712" s="106" t="str">
        <f t="shared" si="147"/>
        <v/>
      </c>
      <c r="H712" s="103" t="str">
        <f t="shared" si="145"/>
        <v/>
      </c>
      <c r="I712" s="110" t="str">
        <f t="shared" si="148"/>
        <v/>
      </c>
      <c r="J712" s="100" t="str">
        <f>IF(B712&gt;0,VLOOKUP(B712,G011B!$B:$R,16,0),"")</f>
        <v/>
      </c>
      <c r="K712" s="100" t="str">
        <f t="shared" si="149"/>
        <v/>
      </c>
      <c r="L712" s="101" t="str">
        <f>IF(B712&lt;&gt;"",VLOOKUP(B712,G011B!$B:$Z,25,0),"")</f>
        <v/>
      </c>
      <c r="M712" s="160" t="str">
        <f t="shared" si="146"/>
        <v/>
      </c>
      <c r="N712" s="43"/>
      <c r="O712" s="43"/>
      <c r="P712" s="43"/>
    </row>
    <row r="713" spans="1:16" ht="20.05" customHeight="1" x14ac:dyDescent="0.25">
      <c r="A713" s="180">
        <v>433</v>
      </c>
      <c r="B713" s="57"/>
      <c r="C713" s="96" t="str">
        <f t="shared" si="143"/>
        <v/>
      </c>
      <c r="D713" s="97" t="str">
        <f t="shared" si="144"/>
        <v/>
      </c>
      <c r="E713" s="58"/>
      <c r="F713" s="59"/>
      <c r="G713" s="106" t="str">
        <f t="shared" si="147"/>
        <v/>
      </c>
      <c r="H713" s="103" t="str">
        <f t="shared" si="145"/>
        <v/>
      </c>
      <c r="I713" s="110" t="str">
        <f t="shared" si="148"/>
        <v/>
      </c>
      <c r="J713" s="100" t="str">
        <f>IF(B713&gt;0,VLOOKUP(B713,G011B!$B:$R,16,0),"")</f>
        <v/>
      </c>
      <c r="K713" s="100" t="str">
        <f t="shared" si="149"/>
        <v/>
      </c>
      <c r="L713" s="101" t="str">
        <f>IF(B713&lt;&gt;"",VLOOKUP(B713,G011B!$B:$Z,25,0),"")</f>
        <v/>
      </c>
      <c r="M713" s="160" t="str">
        <f t="shared" si="146"/>
        <v/>
      </c>
      <c r="N713" s="43"/>
      <c r="O713" s="43"/>
      <c r="P713" s="43"/>
    </row>
    <row r="714" spans="1:16" ht="20.05" customHeight="1" x14ac:dyDescent="0.25">
      <c r="A714" s="180">
        <v>434</v>
      </c>
      <c r="B714" s="57"/>
      <c r="C714" s="96" t="str">
        <f t="shared" si="143"/>
        <v/>
      </c>
      <c r="D714" s="97" t="str">
        <f t="shared" si="144"/>
        <v/>
      </c>
      <c r="E714" s="58"/>
      <c r="F714" s="59"/>
      <c r="G714" s="106" t="str">
        <f t="shared" si="147"/>
        <v/>
      </c>
      <c r="H714" s="103" t="str">
        <f t="shared" si="145"/>
        <v/>
      </c>
      <c r="I714" s="110" t="str">
        <f t="shared" si="148"/>
        <v/>
      </c>
      <c r="J714" s="100" t="str">
        <f>IF(B714&gt;0,VLOOKUP(B714,G011B!$B:$R,16,0),"")</f>
        <v/>
      </c>
      <c r="K714" s="100" t="str">
        <f t="shared" si="149"/>
        <v/>
      </c>
      <c r="L714" s="101" t="str">
        <f>IF(B714&lt;&gt;"",VLOOKUP(B714,G011B!$B:$Z,25,0),"")</f>
        <v/>
      </c>
      <c r="M714" s="160" t="str">
        <f t="shared" si="146"/>
        <v/>
      </c>
      <c r="N714" s="43"/>
      <c r="O714" s="43"/>
      <c r="P714" s="43"/>
    </row>
    <row r="715" spans="1:16" ht="20.05" customHeight="1" x14ac:dyDescent="0.25">
      <c r="A715" s="180">
        <v>435</v>
      </c>
      <c r="B715" s="57"/>
      <c r="C715" s="96" t="str">
        <f t="shared" si="143"/>
        <v/>
      </c>
      <c r="D715" s="97" t="str">
        <f t="shared" si="144"/>
        <v/>
      </c>
      <c r="E715" s="58"/>
      <c r="F715" s="59"/>
      <c r="G715" s="106" t="str">
        <f t="shared" si="147"/>
        <v/>
      </c>
      <c r="H715" s="103" t="str">
        <f t="shared" si="145"/>
        <v/>
      </c>
      <c r="I715" s="110" t="str">
        <f t="shared" si="148"/>
        <v/>
      </c>
      <c r="J715" s="100" t="str">
        <f>IF(B715&gt;0,VLOOKUP(B715,G011B!$B:$R,16,0),"")</f>
        <v/>
      </c>
      <c r="K715" s="100" t="str">
        <f t="shared" si="149"/>
        <v/>
      </c>
      <c r="L715" s="101" t="str">
        <f>IF(B715&lt;&gt;"",VLOOKUP(B715,G011B!$B:$Z,25,0),"")</f>
        <v/>
      </c>
      <c r="M715" s="160" t="str">
        <f t="shared" si="146"/>
        <v/>
      </c>
      <c r="N715" s="43"/>
      <c r="O715" s="43"/>
      <c r="P715" s="43"/>
    </row>
    <row r="716" spans="1:16" ht="20.05" customHeight="1" x14ac:dyDescent="0.25">
      <c r="A716" s="180">
        <v>436</v>
      </c>
      <c r="B716" s="57"/>
      <c r="C716" s="96" t="str">
        <f t="shared" si="143"/>
        <v/>
      </c>
      <c r="D716" s="97" t="str">
        <f t="shared" si="144"/>
        <v/>
      </c>
      <c r="E716" s="58"/>
      <c r="F716" s="59"/>
      <c r="G716" s="106" t="str">
        <f t="shared" si="147"/>
        <v/>
      </c>
      <c r="H716" s="103" t="str">
        <f t="shared" si="145"/>
        <v/>
      </c>
      <c r="I716" s="110" t="str">
        <f t="shared" si="148"/>
        <v/>
      </c>
      <c r="J716" s="100" t="str">
        <f>IF(B716&gt;0,VLOOKUP(B716,G011B!$B:$R,16,0),"")</f>
        <v/>
      </c>
      <c r="K716" s="100" t="str">
        <f t="shared" si="149"/>
        <v/>
      </c>
      <c r="L716" s="101" t="str">
        <f>IF(B716&lt;&gt;"",VLOOKUP(B716,G011B!$B:$Z,25,0),"")</f>
        <v/>
      </c>
      <c r="M716" s="160" t="str">
        <f t="shared" si="146"/>
        <v/>
      </c>
      <c r="N716" s="43"/>
      <c r="O716" s="43"/>
      <c r="P716" s="43"/>
    </row>
    <row r="717" spans="1:16" ht="20.05" customHeight="1" x14ac:dyDescent="0.25">
      <c r="A717" s="180">
        <v>437</v>
      </c>
      <c r="B717" s="57"/>
      <c r="C717" s="96" t="str">
        <f t="shared" si="143"/>
        <v/>
      </c>
      <c r="D717" s="97" t="str">
        <f t="shared" si="144"/>
        <v/>
      </c>
      <c r="E717" s="58"/>
      <c r="F717" s="59"/>
      <c r="G717" s="106" t="str">
        <f t="shared" si="147"/>
        <v/>
      </c>
      <c r="H717" s="103" t="str">
        <f t="shared" si="145"/>
        <v/>
      </c>
      <c r="I717" s="110" t="str">
        <f t="shared" si="148"/>
        <v/>
      </c>
      <c r="J717" s="100" t="str">
        <f>IF(B717&gt;0,VLOOKUP(B717,G011B!$B:$R,16,0),"")</f>
        <v/>
      </c>
      <c r="K717" s="100" t="str">
        <f t="shared" si="149"/>
        <v/>
      </c>
      <c r="L717" s="101" t="str">
        <f>IF(B717&lt;&gt;"",VLOOKUP(B717,G011B!$B:$Z,25,0),"")</f>
        <v/>
      </c>
      <c r="M717" s="160" t="str">
        <f t="shared" si="146"/>
        <v/>
      </c>
      <c r="N717" s="43"/>
      <c r="O717" s="43"/>
      <c r="P717" s="43"/>
    </row>
    <row r="718" spans="1:16" ht="20.05" customHeight="1" x14ac:dyDescent="0.25">
      <c r="A718" s="180">
        <v>438</v>
      </c>
      <c r="B718" s="57"/>
      <c r="C718" s="96" t="str">
        <f t="shared" si="143"/>
        <v/>
      </c>
      <c r="D718" s="97" t="str">
        <f t="shared" si="144"/>
        <v/>
      </c>
      <c r="E718" s="58"/>
      <c r="F718" s="59"/>
      <c r="G718" s="106" t="str">
        <f t="shared" si="147"/>
        <v/>
      </c>
      <c r="H718" s="103" t="str">
        <f t="shared" si="145"/>
        <v/>
      </c>
      <c r="I718" s="110" t="str">
        <f t="shared" si="148"/>
        <v/>
      </c>
      <c r="J718" s="100" t="str">
        <f>IF(B718&gt;0,VLOOKUP(B718,G011B!$B:$R,16,0),"")</f>
        <v/>
      </c>
      <c r="K718" s="100" t="str">
        <f t="shared" si="149"/>
        <v/>
      </c>
      <c r="L718" s="101" t="str">
        <f>IF(B718&lt;&gt;"",VLOOKUP(B718,G011B!$B:$Z,25,0),"")</f>
        <v/>
      </c>
      <c r="M718" s="160" t="str">
        <f t="shared" si="146"/>
        <v/>
      </c>
      <c r="N718" s="43"/>
      <c r="O718" s="43"/>
      <c r="P718" s="43"/>
    </row>
    <row r="719" spans="1:16" ht="20.05" customHeight="1" x14ac:dyDescent="0.25">
      <c r="A719" s="180">
        <v>439</v>
      </c>
      <c r="B719" s="57"/>
      <c r="C719" s="96" t="str">
        <f t="shared" si="143"/>
        <v/>
      </c>
      <c r="D719" s="97" t="str">
        <f t="shared" si="144"/>
        <v/>
      </c>
      <c r="E719" s="58"/>
      <c r="F719" s="59"/>
      <c r="G719" s="106" t="str">
        <f t="shared" si="147"/>
        <v/>
      </c>
      <c r="H719" s="103" t="str">
        <f t="shared" si="145"/>
        <v/>
      </c>
      <c r="I719" s="110" t="str">
        <f t="shared" si="148"/>
        <v/>
      </c>
      <c r="J719" s="100" t="str">
        <f>IF(B719&gt;0,VLOOKUP(B719,G011B!$B:$R,16,0),"")</f>
        <v/>
      </c>
      <c r="K719" s="100" t="str">
        <f t="shared" si="149"/>
        <v/>
      </c>
      <c r="L719" s="101" t="str">
        <f>IF(B719&lt;&gt;"",VLOOKUP(B719,G011B!$B:$Z,25,0),"")</f>
        <v/>
      </c>
      <c r="M719" s="160" t="str">
        <f t="shared" si="146"/>
        <v/>
      </c>
      <c r="N719" s="43"/>
      <c r="O719" s="43"/>
      <c r="P719" s="43"/>
    </row>
    <row r="720" spans="1:16" ht="20.05" customHeight="1" thickBot="1" x14ac:dyDescent="0.3">
      <c r="A720" s="181">
        <v>440</v>
      </c>
      <c r="B720" s="60"/>
      <c r="C720" s="98" t="str">
        <f t="shared" si="143"/>
        <v/>
      </c>
      <c r="D720" s="99" t="str">
        <f t="shared" si="144"/>
        <v/>
      </c>
      <c r="E720" s="61"/>
      <c r="F720" s="62"/>
      <c r="G720" s="107" t="str">
        <f t="shared" si="147"/>
        <v/>
      </c>
      <c r="H720" s="104" t="str">
        <f t="shared" si="145"/>
        <v/>
      </c>
      <c r="I720" s="111" t="str">
        <f t="shared" si="148"/>
        <v/>
      </c>
      <c r="J720" s="100" t="str">
        <f>IF(B720&gt;0,VLOOKUP(B720,G011B!$B:$R,16,0),"")</f>
        <v/>
      </c>
      <c r="K720" s="100" t="str">
        <f t="shared" si="149"/>
        <v/>
      </c>
      <c r="L720" s="101" t="str">
        <f>IF(B720&lt;&gt;"",VLOOKUP(B720,G011B!$B:$Z,25,0),"")</f>
        <v/>
      </c>
      <c r="M720" s="160" t="str">
        <f t="shared" si="146"/>
        <v/>
      </c>
      <c r="N720" s="43"/>
      <c r="O720" s="43"/>
      <c r="P720" s="43"/>
    </row>
    <row r="721" spans="1:16" ht="20.05" customHeight="1" thickBot="1" x14ac:dyDescent="0.4">
      <c r="A721" s="360" t="s">
        <v>42</v>
      </c>
      <c r="B721" s="361"/>
      <c r="C721" s="361"/>
      <c r="D721" s="361"/>
      <c r="E721" s="361"/>
      <c r="F721" s="362"/>
      <c r="G721" s="108">
        <f>SUM(G701:G720)</f>
        <v>0</v>
      </c>
      <c r="H721" s="202"/>
      <c r="I721" s="93">
        <f>IF(C699=C666,SUM(I701:I720)+I688,SUM(I701:I720))</f>
        <v>0</v>
      </c>
      <c r="J721" s="43"/>
      <c r="K721" s="43"/>
      <c r="L721" s="43"/>
      <c r="M721" s="43"/>
      <c r="N721" s="112">
        <f>IF(COUNTA(B701:B720)&gt;0,1,0)</f>
        <v>0</v>
      </c>
      <c r="O721" s="43"/>
      <c r="P721" s="43"/>
    </row>
    <row r="722" spans="1:16" ht="20.05" customHeight="1" thickBot="1" x14ac:dyDescent="0.35">
      <c r="A722" s="363" t="s">
        <v>80</v>
      </c>
      <c r="B722" s="364"/>
      <c r="C722" s="364"/>
      <c r="D722" s="365"/>
      <c r="E722" s="86">
        <f>SUM(G:G)/2</f>
        <v>0</v>
      </c>
      <c r="F722" s="366"/>
      <c r="G722" s="367"/>
      <c r="H722" s="368"/>
      <c r="I722" s="92">
        <f>SUM(I701:I720)+I689</f>
        <v>0</v>
      </c>
      <c r="J722" s="43"/>
      <c r="K722" s="43"/>
      <c r="L722" s="43"/>
      <c r="M722" s="43"/>
      <c r="N722" s="43"/>
      <c r="O722" s="43"/>
      <c r="P722" s="43"/>
    </row>
    <row r="723" spans="1:16" x14ac:dyDescent="0.25">
      <c r="A723" s="182" t="s">
        <v>118</v>
      </c>
      <c r="B723" s="43"/>
      <c r="C723" s="43"/>
      <c r="D723" s="43"/>
      <c r="E723" s="43"/>
      <c r="F723" s="43"/>
      <c r="G723" s="43"/>
      <c r="H723" s="43"/>
      <c r="I723" s="43"/>
      <c r="J723" s="43"/>
      <c r="K723" s="43"/>
      <c r="L723" s="43"/>
      <c r="M723" s="43"/>
      <c r="N723" s="43"/>
      <c r="O723" s="43"/>
      <c r="P723" s="43"/>
    </row>
    <row r="724" spans="1:16" x14ac:dyDescent="0.25">
      <c r="A724" s="43"/>
      <c r="B724" s="43"/>
      <c r="C724" s="43"/>
      <c r="D724" s="43"/>
      <c r="E724" s="43"/>
      <c r="F724" s="43"/>
      <c r="G724" s="43"/>
      <c r="H724" s="43"/>
      <c r="I724" s="43"/>
      <c r="J724" s="43"/>
      <c r="K724" s="43"/>
      <c r="L724" s="43"/>
      <c r="M724" s="43"/>
      <c r="N724" s="43"/>
      <c r="O724" s="43"/>
      <c r="P724" s="43"/>
    </row>
    <row r="725" spans="1:16" ht="21.1" x14ac:dyDescent="0.35">
      <c r="A725" s="247" t="s">
        <v>39</v>
      </c>
      <c r="B725" s="248">
        <f ca="1">IF(imzatarihi&gt;0,imzatarihi,"")</f>
        <v>45686</v>
      </c>
      <c r="C725" s="251" t="s">
        <v>40</v>
      </c>
      <c r="D725" s="245" t="str">
        <f>IF(kurulusyetkilisi&gt;0,kurulusyetkilisi,"")</f>
        <v/>
      </c>
      <c r="F725" s="247"/>
      <c r="G725" s="247"/>
      <c r="H725" s="163"/>
      <c r="I725" s="163"/>
      <c r="J725" s="43"/>
      <c r="K725" s="73"/>
      <c r="L725" s="73"/>
      <c r="M725" s="5"/>
      <c r="N725" s="73"/>
      <c r="O725" s="73"/>
      <c r="P725" s="43"/>
    </row>
    <row r="726" spans="1:16" ht="19.7" x14ac:dyDescent="0.35">
      <c r="A726" s="249"/>
      <c r="B726" s="249"/>
      <c r="C726" s="251" t="s">
        <v>41</v>
      </c>
      <c r="D726" s="247"/>
      <c r="E726" s="302"/>
      <c r="F726" s="302"/>
      <c r="G726" s="302"/>
      <c r="H726" s="42"/>
      <c r="I726" s="42"/>
      <c r="J726" s="43"/>
      <c r="K726" s="73"/>
      <c r="L726" s="73"/>
      <c r="M726" s="5"/>
      <c r="N726" s="73"/>
      <c r="O726" s="73"/>
      <c r="P726" s="43"/>
    </row>
    <row r="727" spans="1:16" ht="16.3" x14ac:dyDescent="0.3">
      <c r="A727" s="338" t="s">
        <v>73</v>
      </c>
      <c r="B727" s="338"/>
      <c r="C727" s="338"/>
      <c r="D727" s="338"/>
      <c r="E727" s="338"/>
      <c r="F727" s="338"/>
      <c r="G727" s="338"/>
      <c r="H727" s="338"/>
      <c r="I727" s="338"/>
      <c r="J727" s="43"/>
      <c r="K727" s="43"/>
      <c r="L727" s="43"/>
      <c r="M727" s="43"/>
      <c r="N727" s="43"/>
      <c r="O727" s="43"/>
      <c r="P727" s="43"/>
    </row>
    <row r="728" spans="1:16" x14ac:dyDescent="0.25">
      <c r="A728" s="336" t="str">
        <f>IF(YilDonem&lt;&gt;"",CONCATENATE(YilDonem,". döneme aittir."),"")</f>
        <v/>
      </c>
      <c r="B728" s="336"/>
      <c r="C728" s="336"/>
      <c r="D728" s="336"/>
      <c r="E728" s="336"/>
      <c r="F728" s="336"/>
      <c r="G728" s="336"/>
      <c r="H728" s="336"/>
      <c r="I728" s="336"/>
      <c r="J728" s="43"/>
      <c r="K728" s="43"/>
      <c r="L728" s="43"/>
      <c r="M728" s="43"/>
      <c r="N728" s="43"/>
      <c r="O728" s="43"/>
      <c r="P728" s="43"/>
    </row>
    <row r="729" spans="1:16" ht="19.7" thickBot="1" x14ac:dyDescent="0.4">
      <c r="A729" s="372" t="s">
        <v>82</v>
      </c>
      <c r="B729" s="372"/>
      <c r="C729" s="372"/>
      <c r="D729" s="372"/>
      <c r="E729" s="372"/>
      <c r="F729" s="372"/>
      <c r="G729" s="372"/>
      <c r="H729" s="372"/>
      <c r="I729" s="372"/>
      <c r="J729" s="43"/>
      <c r="K729" s="43"/>
      <c r="L729" s="43"/>
      <c r="M729" s="43"/>
      <c r="N729" s="43"/>
      <c r="O729" s="43"/>
      <c r="P729" s="43"/>
    </row>
    <row r="730" spans="1:16" ht="19.55" customHeight="1" thickBot="1" x14ac:dyDescent="0.3">
      <c r="A730" s="341" t="s">
        <v>1</v>
      </c>
      <c r="B730" s="343"/>
      <c r="C730" s="330" t="str">
        <f>IF(ProjeNo&gt;0,ProjeNo,"")</f>
        <v/>
      </c>
      <c r="D730" s="331"/>
      <c r="E730" s="331"/>
      <c r="F730" s="331"/>
      <c r="G730" s="331"/>
      <c r="H730" s="331"/>
      <c r="I730" s="332"/>
      <c r="J730" s="43"/>
      <c r="K730" s="43"/>
      <c r="L730" s="43"/>
      <c r="M730" s="43"/>
      <c r="N730" s="43"/>
      <c r="O730" s="43"/>
      <c r="P730" s="43"/>
    </row>
    <row r="731" spans="1:16" ht="29.25" customHeight="1" thickBot="1" x14ac:dyDescent="0.3">
      <c r="A731" s="371" t="s">
        <v>11</v>
      </c>
      <c r="B731" s="342"/>
      <c r="C731" s="346" t="str">
        <f>IF(ProjeAdi&gt;0,ProjeAdi,"")</f>
        <v/>
      </c>
      <c r="D731" s="347"/>
      <c r="E731" s="347"/>
      <c r="F731" s="347"/>
      <c r="G731" s="347"/>
      <c r="H731" s="347"/>
      <c r="I731" s="348"/>
      <c r="J731" s="43"/>
      <c r="K731" s="43"/>
      <c r="L731" s="43"/>
      <c r="M731" s="43"/>
      <c r="N731" s="43"/>
      <c r="O731" s="43"/>
      <c r="P731" s="43"/>
    </row>
    <row r="732" spans="1:16" ht="19.55" customHeight="1" thickBot="1" x14ac:dyDescent="0.3">
      <c r="A732" s="341" t="s">
        <v>74</v>
      </c>
      <c r="B732" s="343"/>
      <c r="C732" s="9"/>
      <c r="D732" s="369"/>
      <c r="E732" s="369"/>
      <c r="F732" s="369"/>
      <c r="G732" s="369"/>
      <c r="H732" s="369"/>
      <c r="I732" s="370"/>
      <c r="J732" s="43"/>
      <c r="K732" s="43"/>
      <c r="L732" s="43"/>
      <c r="M732" s="43"/>
      <c r="N732" s="43"/>
      <c r="O732" s="43"/>
      <c r="P732" s="43"/>
    </row>
    <row r="733" spans="1:16" s="2" customFormat="1" ht="29.25" thickBot="1" x14ac:dyDescent="0.3">
      <c r="A733" s="176" t="s">
        <v>7</v>
      </c>
      <c r="B733" s="176" t="s">
        <v>8</v>
      </c>
      <c r="C733" s="176" t="s">
        <v>63</v>
      </c>
      <c r="D733" s="176" t="s">
        <v>119</v>
      </c>
      <c r="E733" s="176" t="s">
        <v>75</v>
      </c>
      <c r="F733" s="176" t="s">
        <v>76</v>
      </c>
      <c r="G733" s="176" t="s">
        <v>77</v>
      </c>
      <c r="H733" s="176" t="s">
        <v>78</v>
      </c>
      <c r="I733" s="176" t="s">
        <v>79</v>
      </c>
      <c r="J733" s="177" t="s">
        <v>83</v>
      </c>
      <c r="K733" s="178" t="s">
        <v>84</v>
      </c>
      <c r="L733" s="178" t="s">
        <v>76</v>
      </c>
      <c r="M733" s="169"/>
      <c r="N733" s="169"/>
      <c r="O733" s="169"/>
      <c r="P733" s="169"/>
    </row>
    <row r="734" spans="1:16" ht="20.05" customHeight="1" x14ac:dyDescent="0.25">
      <c r="A734" s="179">
        <v>441</v>
      </c>
      <c r="B734" s="53"/>
      <c r="C734" s="94" t="str">
        <f t="shared" ref="C734:C753" si="150">IF(B734&lt;&gt;"",VLOOKUP(B734,PersonelTablo,2,0),"")</f>
        <v/>
      </c>
      <c r="D734" s="95" t="str">
        <f t="shared" ref="D734:D753" si="151">IF(B734&lt;&gt;"",VLOOKUP(B734,PersonelTablo,3,0),"")</f>
        <v/>
      </c>
      <c r="E734" s="54"/>
      <c r="F734" s="55"/>
      <c r="G734" s="105" t="str">
        <f>IF(AND(B734&lt;&gt;"",L734&gt;=F734),E734*F734,"")</f>
        <v/>
      </c>
      <c r="H734" s="102" t="str">
        <f t="shared" ref="H734:H753" si="152">IF(B734&lt;&gt;"",VLOOKUP(B734,G011CTablo,14,0),"")</f>
        <v/>
      </c>
      <c r="I734" s="109" t="str">
        <f>IF(AND(B734&lt;&gt;"",J734&gt;=K734,L734&gt;0),G734*H734,"")</f>
        <v/>
      </c>
      <c r="J734" s="100" t="str">
        <f>IF(B734&gt;0,VLOOKUP(B734,G011B!$B:$R,16,0),"")</f>
        <v/>
      </c>
      <c r="K734" s="100" t="str">
        <f>IF(B734&gt;0,SUMIF($B:$B,B734,$G:$G),"")</f>
        <v/>
      </c>
      <c r="L734" s="101" t="str">
        <f>IF(B734&lt;&gt;"",VLOOKUP(B734,G011B!$B:$Z,25,0),"")</f>
        <v/>
      </c>
      <c r="M734" s="160" t="str">
        <f t="shared" ref="M734:M753" si="153">IF(J734&gt;=K734,"","Personelin bütün iş paketlerindeki Toplam Adam Ay değeri "&amp;K734&amp;" olup, bu değer, G011B formunda beyan edilen Çalışılan Toplam Ay değerini geçemez. Maliyeti hesaplamak için Adam/Ay Oranı veya Çalışılan Ay değerini düzeltiniz. ")</f>
        <v/>
      </c>
      <c r="N734" s="43"/>
      <c r="O734" s="43"/>
      <c r="P734" s="43"/>
    </row>
    <row r="735" spans="1:16" ht="20.05" customHeight="1" x14ac:dyDescent="0.25">
      <c r="A735" s="180">
        <v>442</v>
      </c>
      <c r="B735" s="57"/>
      <c r="C735" s="96" t="str">
        <f t="shared" si="150"/>
        <v/>
      </c>
      <c r="D735" s="97" t="str">
        <f t="shared" si="151"/>
        <v/>
      </c>
      <c r="E735" s="58"/>
      <c r="F735" s="59"/>
      <c r="G735" s="106" t="str">
        <f t="shared" ref="G735:G753" si="154">IF(AND(B735&lt;&gt;"",L735&gt;=F735),E735*F735,"")</f>
        <v/>
      </c>
      <c r="H735" s="103" t="str">
        <f t="shared" si="152"/>
        <v/>
      </c>
      <c r="I735" s="110" t="str">
        <f t="shared" ref="I735:I753" si="155">IF(AND(B735&lt;&gt;"",J735&gt;=K735,L735&gt;0),G735*H735,"")</f>
        <v/>
      </c>
      <c r="J735" s="100" t="str">
        <f>IF(B735&gt;0,VLOOKUP(B735,G011B!$B:$R,16,0),"")</f>
        <v/>
      </c>
      <c r="K735" s="100" t="str">
        <f t="shared" ref="K735:K753" si="156">IF(B735&gt;0,SUMIF($B:$B,B735,$G:$G),"")</f>
        <v/>
      </c>
      <c r="L735" s="101" t="str">
        <f>IF(B735&lt;&gt;"",VLOOKUP(B735,G011B!$B:$Z,25,0),"")</f>
        <v/>
      </c>
      <c r="M735" s="160" t="str">
        <f t="shared" si="153"/>
        <v/>
      </c>
      <c r="N735" s="43"/>
      <c r="O735" s="43"/>
      <c r="P735" s="43"/>
    </row>
    <row r="736" spans="1:16" ht="20.05" customHeight="1" x14ac:dyDescent="0.25">
      <c r="A736" s="180">
        <v>443</v>
      </c>
      <c r="B736" s="57"/>
      <c r="C736" s="96" t="str">
        <f t="shared" si="150"/>
        <v/>
      </c>
      <c r="D736" s="97" t="str">
        <f t="shared" si="151"/>
        <v/>
      </c>
      <c r="E736" s="58"/>
      <c r="F736" s="59"/>
      <c r="G736" s="106" t="str">
        <f t="shared" si="154"/>
        <v/>
      </c>
      <c r="H736" s="103" t="str">
        <f t="shared" si="152"/>
        <v/>
      </c>
      <c r="I736" s="110" t="str">
        <f t="shared" si="155"/>
        <v/>
      </c>
      <c r="J736" s="100" t="str">
        <f>IF(B736&gt;0,VLOOKUP(B736,G011B!$B:$R,16,0),"")</f>
        <v/>
      </c>
      <c r="K736" s="100" t="str">
        <f t="shared" si="156"/>
        <v/>
      </c>
      <c r="L736" s="101" t="str">
        <f>IF(B736&lt;&gt;"",VLOOKUP(B736,G011B!$B:$Z,25,0),"")</f>
        <v/>
      </c>
      <c r="M736" s="160" t="str">
        <f t="shared" si="153"/>
        <v/>
      </c>
      <c r="N736" s="43"/>
      <c r="O736" s="43"/>
      <c r="P736" s="43"/>
    </row>
    <row r="737" spans="1:16" ht="20.05" customHeight="1" x14ac:dyDescent="0.25">
      <c r="A737" s="180">
        <v>444</v>
      </c>
      <c r="B737" s="57"/>
      <c r="C737" s="96" t="str">
        <f t="shared" si="150"/>
        <v/>
      </c>
      <c r="D737" s="97" t="str">
        <f t="shared" si="151"/>
        <v/>
      </c>
      <c r="E737" s="58"/>
      <c r="F737" s="59"/>
      <c r="G737" s="106" t="str">
        <f t="shared" si="154"/>
        <v/>
      </c>
      <c r="H737" s="103" t="str">
        <f t="shared" si="152"/>
        <v/>
      </c>
      <c r="I737" s="110" t="str">
        <f t="shared" si="155"/>
        <v/>
      </c>
      <c r="J737" s="100" t="str">
        <f>IF(B737&gt;0,VLOOKUP(B737,G011B!$B:$R,16,0),"")</f>
        <v/>
      </c>
      <c r="K737" s="100" t="str">
        <f t="shared" si="156"/>
        <v/>
      </c>
      <c r="L737" s="101" t="str">
        <f>IF(B737&lt;&gt;"",VLOOKUP(B737,G011B!$B:$Z,25,0),"")</f>
        <v/>
      </c>
      <c r="M737" s="160" t="str">
        <f t="shared" si="153"/>
        <v/>
      </c>
      <c r="N737" s="43"/>
      <c r="O737" s="43"/>
      <c r="P737" s="43"/>
    </row>
    <row r="738" spans="1:16" ht="20.05" customHeight="1" x14ac:dyDescent="0.25">
      <c r="A738" s="180">
        <v>445</v>
      </c>
      <c r="B738" s="57"/>
      <c r="C738" s="96" t="str">
        <f t="shared" si="150"/>
        <v/>
      </c>
      <c r="D738" s="97" t="str">
        <f t="shared" si="151"/>
        <v/>
      </c>
      <c r="E738" s="58"/>
      <c r="F738" s="59"/>
      <c r="G738" s="106" t="str">
        <f t="shared" si="154"/>
        <v/>
      </c>
      <c r="H738" s="103" t="str">
        <f t="shared" si="152"/>
        <v/>
      </c>
      <c r="I738" s="110" t="str">
        <f t="shared" si="155"/>
        <v/>
      </c>
      <c r="J738" s="100" t="str">
        <f>IF(B738&gt;0,VLOOKUP(B738,G011B!$B:$R,16,0),"")</f>
        <v/>
      </c>
      <c r="K738" s="100" t="str">
        <f t="shared" si="156"/>
        <v/>
      </c>
      <c r="L738" s="101" t="str">
        <f>IF(B738&lt;&gt;"",VLOOKUP(B738,G011B!$B:$Z,25,0),"")</f>
        <v/>
      </c>
      <c r="M738" s="160" t="str">
        <f t="shared" si="153"/>
        <v/>
      </c>
      <c r="N738" s="43"/>
      <c r="O738" s="43"/>
      <c r="P738" s="43"/>
    </row>
    <row r="739" spans="1:16" ht="20.05" customHeight="1" x14ac:dyDescent="0.25">
      <c r="A739" s="180">
        <v>446</v>
      </c>
      <c r="B739" s="57"/>
      <c r="C739" s="96" t="str">
        <f t="shared" si="150"/>
        <v/>
      </c>
      <c r="D739" s="97" t="str">
        <f t="shared" si="151"/>
        <v/>
      </c>
      <c r="E739" s="58"/>
      <c r="F739" s="59"/>
      <c r="G739" s="106" t="str">
        <f t="shared" si="154"/>
        <v/>
      </c>
      <c r="H739" s="103" t="str">
        <f t="shared" si="152"/>
        <v/>
      </c>
      <c r="I739" s="110" t="str">
        <f t="shared" si="155"/>
        <v/>
      </c>
      <c r="J739" s="100" t="str">
        <f>IF(B739&gt;0,VLOOKUP(B739,G011B!$B:$R,16,0),"")</f>
        <v/>
      </c>
      <c r="K739" s="100" t="str">
        <f t="shared" si="156"/>
        <v/>
      </c>
      <c r="L739" s="101" t="str">
        <f>IF(B739&lt;&gt;"",VLOOKUP(B739,G011B!$B:$Z,25,0),"")</f>
        <v/>
      </c>
      <c r="M739" s="160" t="str">
        <f t="shared" si="153"/>
        <v/>
      </c>
      <c r="N739" s="43"/>
      <c r="O739" s="43"/>
      <c r="P739" s="43"/>
    </row>
    <row r="740" spans="1:16" ht="20.05" customHeight="1" x14ac:dyDescent="0.25">
      <c r="A740" s="180">
        <v>447</v>
      </c>
      <c r="B740" s="57"/>
      <c r="C740" s="96" t="str">
        <f t="shared" si="150"/>
        <v/>
      </c>
      <c r="D740" s="97" t="str">
        <f t="shared" si="151"/>
        <v/>
      </c>
      <c r="E740" s="58"/>
      <c r="F740" s="59"/>
      <c r="G740" s="106" t="str">
        <f t="shared" si="154"/>
        <v/>
      </c>
      <c r="H740" s="103" t="str">
        <f t="shared" si="152"/>
        <v/>
      </c>
      <c r="I740" s="110" t="str">
        <f t="shared" si="155"/>
        <v/>
      </c>
      <c r="J740" s="100" t="str">
        <f>IF(B740&gt;0,VLOOKUP(B740,G011B!$B:$R,16,0),"")</f>
        <v/>
      </c>
      <c r="K740" s="100" t="str">
        <f t="shared" si="156"/>
        <v/>
      </c>
      <c r="L740" s="101" t="str">
        <f>IF(B740&lt;&gt;"",VLOOKUP(B740,G011B!$B:$Z,25,0),"")</f>
        <v/>
      </c>
      <c r="M740" s="160" t="str">
        <f t="shared" si="153"/>
        <v/>
      </c>
      <c r="N740" s="43"/>
      <c r="O740" s="43"/>
      <c r="P740" s="43"/>
    </row>
    <row r="741" spans="1:16" ht="20.05" customHeight="1" x14ac:dyDescent="0.25">
      <c r="A741" s="180">
        <v>448</v>
      </c>
      <c r="B741" s="57"/>
      <c r="C741" s="96" t="str">
        <f t="shared" si="150"/>
        <v/>
      </c>
      <c r="D741" s="97" t="str">
        <f t="shared" si="151"/>
        <v/>
      </c>
      <c r="E741" s="58"/>
      <c r="F741" s="59"/>
      <c r="G741" s="106" t="str">
        <f t="shared" si="154"/>
        <v/>
      </c>
      <c r="H741" s="103" t="str">
        <f t="shared" si="152"/>
        <v/>
      </c>
      <c r="I741" s="110" t="str">
        <f t="shared" si="155"/>
        <v/>
      </c>
      <c r="J741" s="100" t="str">
        <f>IF(B741&gt;0,VLOOKUP(B741,G011B!$B:$R,16,0),"")</f>
        <v/>
      </c>
      <c r="K741" s="100" t="str">
        <f t="shared" si="156"/>
        <v/>
      </c>
      <c r="L741" s="101" t="str">
        <f>IF(B741&lt;&gt;"",VLOOKUP(B741,G011B!$B:$Z,25,0),"")</f>
        <v/>
      </c>
      <c r="M741" s="160" t="str">
        <f t="shared" si="153"/>
        <v/>
      </c>
      <c r="N741" s="43"/>
      <c r="O741" s="43"/>
      <c r="P741" s="43"/>
    </row>
    <row r="742" spans="1:16" ht="20.05" customHeight="1" x14ac:dyDescent="0.25">
      <c r="A742" s="180">
        <v>449</v>
      </c>
      <c r="B742" s="57"/>
      <c r="C742" s="96" t="str">
        <f t="shared" si="150"/>
        <v/>
      </c>
      <c r="D742" s="97" t="str">
        <f t="shared" si="151"/>
        <v/>
      </c>
      <c r="E742" s="58"/>
      <c r="F742" s="59"/>
      <c r="G742" s="106" t="str">
        <f t="shared" si="154"/>
        <v/>
      </c>
      <c r="H742" s="103" t="str">
        <f t="shared" si="152"/>
        <v/>
      </c>
      <c r="I742" s="110" t="str">
        <f t="shared" si="155"/>
        <v/>
      </c>
      <c r="J742" s="100" t="str">
        <f>IF(B742&gt;0,VLOOKUP(B742,G011B!$B:$R,16,0),"")</f>
        <v/>
      </c>
      <c r="K742" s="100" t="str">
        <f t="shared" si="156"/>
        <v/>
      </c>
      <c r="L742" s="101" t="str">
        <f>IF(B742&lt;&gt;"",VLOOKUP(B742,G011B!$B:$Z,25,0),"")</f>
        <v/>
      </c>
      <c r="M742" s="160" t="str">
        <f t="shared" si="153"/>
        <v/>
      </c>
      <c r="N742" s="43"/>
      <c r="O742" s="43"/>
      <c r="P742" s="43"/>
    </row>
    <row r="743" spans="1:16" ht="20.05" customHeight="1" x14ac:dyDescent="0.25">
      <c r="A743" s="180">
        <v>450</v>
      </c>
      <c r="B743" s="57"/>
      <c r="C743" s="96" t="str">
        <f t="shared" si="150"/>
        <v/>
      </c>
      <c r="D743" s="97" t="str">
        <f t="shared" si="151"/>
        <v/>
      </c>
      <c r="E743" s="58"/>
      <c r="F743" s="59"/>
      <c r="G743" s="106" t="str">
        <f t="shared" si="154"/>
        <v/>
      </c>
      <c r="H743" s="103" t="str">
        <f t="shared" si="152"/>
        <v/>
      </c>
      <c r="I743" s="110" t="str">
        <f t="shared" si="155"/>
        <v/>
      </c>
      <c r="J743" s="100" t="str">
        <f>IF(B743&gt;0,VLOOKUP(B743,G011B!$B:$R,16,0),"")</f>
        <v/>
      </c>
      <c r="K743" s="100" t="str">
        <f t="shared" si="156"/>
        <v/>
      </c>
      <c r="L743" s="101" t="str">
        <f>IF(B743&lt;&gt;"",VLOOKUP(B743,G011B!$B:$Z,25,0),"")</f>
        <v/>
      </c>
      <c r="M743" s="160" t="str">
        <f t="shared" si="153"/>
        <v/>
      </c>
      <c r="N743" s="43"/>
      <c r="O743" s="43"/>
      <c r="P743" s="43"/>
    </row>
    <row r="744" spans="1:16" ht="20.05" customHeight="1" x14ac:dyDescent="0.25">
      <c r="A744" s="180">
        <v>451</v>
      </c>
      <c r="B744" s="57"/>
      <c r="C744" s="96" t="str">
        <f t="shared" si="150"/>
        <v/>
      </c>
      <c r="D744" s="97" t="str">
        <f t="shared" si="151"/>
        <v/>
      </c>
      <c r="E744" s="58"/>
      <c r="F744" s="59"/>
      <c r="G744" s="106" t="str">
        <f t="shared" si="154"/>
        <v/>
      </c>
      <c r="H744" s="103" t="str">
        <f t="shared" si="152"/>
        <v/>
      </c>
      <c r="I744" s="110" t="str">
        <f t="shared" si="155"/>
        <v/>
      </c>
      <c r="J744" s="100" t="str">
        <f>IF(B744&gt;0,VLOOKUP(B744,G011B!$B:$R,16,0),"")</f>
        <v/>
      </c>
      <c r="K744" s="100" t="str">
        <f t="shared" si="156"/>
        <v/>
      </c>
      <c r="L744" s="101" t="str">
        <f>IF(B744&lt;&gt;"",VLOOKUP(B744,G011B!$B:$Z,25,0),"")</f>
        <v/>
      </c>
      <c r="M744" s="160" t="str">
        <f t="shared" si="153"/>
        <v/>
      </c>
      <c r="N744" s="43"/>
      <c r="O744" s="43"/>
      <c r="P744" s="43"/>
    </row>
    <row r="745" spans="1:16" ht="20.05" customHeight="1" x14ac:dyDescent="0.25">
      <c r="A745" s="180">
        <v>452</v>
      </c>
      <c r="B745" s="57"/>
      <c r="C745" s="96" t="str">
        <f t="shared" si="150"/>
        <v/>
      </c>
      <c r="D745" s="97" t="str">
        <f t="shared" si="151"/>
        <v/>
      </c>
      <c r="E745" s="58"/>
      <c r="F745" s="59"/>
      <c r="G745" s="106" t="str">
        <f t="shared" si="154"/>
        <v/>
      </c>
      <c r="H745" s="103" t="str">
        <f t="shared" si="152"/>
        <v/>
      </c>
      <c r="I745" s="110" t="str">
        <f t="shared" si="155"/>
        <v/>
      </c>
      <c r="J745" s="100" t="str">
        <f>IF(B745&gt;0,VLOOKUP(B745,G011B!$B:$R,16,0),"")</f>
        <v/>
      </c>
      <c r="K745" s="100" t="str">
        <f t="shared" si="156"/>
        <v/>
      </c>
      <c r="L745" s="101" t="str">
        <f>IF(B745&lt;&gt;"",VLOOKUP(B745,G011B!$B:$Z,25,0),"")</f>
        <v/>
      </c>
      <c r="M745" s="160" t="str">
        <f t="shared" si="153"/>
        <v/>
      </c>
      <c r="N745" s="43"/>
      <c r="O745" s="43"/>
      <c r="P745" s="43"/>
    </row>
    <row r="746" spans="1:16" ht="20.05" customHeight="1" x14ac:dyDescent="0.25">
      <c r="A746" s="180">
        <v>453</v>
      </c>
      <c r="B746" s="57"/>
      <c r="C746" s="96" t="str">
        <f t="shared" si="150"/>
        <v/>
      </c>
      <c r="D746" s="97" t="str">
        <f t="shared" si="151"/>
        <v/>
      </c>
      <c r="E746" s="58"/>
      <c r="F746" s="59"/>
      <c r="G746" s="106" t="str">
        <f t="shared" si="154"/>
        <v/>
      </c>
      <c r="H746" s="103" t="str">
        <f t="shared" si="152"/>
        <v/>
      </c>
      <c r="I746" s="110" t="str">
        <f t="shared" si="155"/>
        <v/>
      </c>
      <c r="J746" s="100" t="str">
        <f>IF(B746&gt;0,VLOOKUP(B746,G011B!$B:$R,16,0),"")</f>
        <v/>
      </c>
      <c r="K746" s="100" t="str">
        <f t="shared" si="156"/>
        <v/>
      </c>
      <c r="L746" s="101" t="str">
        <f>IF(B746&lt;&gt;"",VLOOKUP(B746,G011B!$B:$Z,25,0),"")</f>
        <v/>
      </c>
      <c r="M746" s="160" t="str">
        <f t="shared" si="153"/>
        <v/>
      </c>
      <c r="N746" s="43"/>
      <c r="O746" s="43"/>
      <c r="P746" s="43"/>
    </row>
    <row r="747" spans="1:16" ht="20.05" customHeight="1" x14ac:dyDescent="0.25">
      <c r="A747" s="180">
        <v>454</v>
      </c>
      <c r="B747" s="57"/>
      <c r="C747" s="96" t="str">
        <f t="shared" si="150"/>
        <v/>
      </c>
      <c r="D747" s="97" t="str">
        <f t="shared" si="151"/>
        <v/>
      </c>
      <c r="E747" s="58"/>
      <c r="F747" s="59"/>
      <c r="G747" s="106" t="str">
        <f t="shared" si="154"/>
        <v/>
      </c>
      <c r="H747" s="103" t="str">
        <f t="shared" si="152"/>
        <v/>
      </c>
      <c r="I747" s="110" t="str">
        <f t="shared" si="155"/>
        <v/>
      </c>
      <c r="J747" s="100" t="str">
        <f>IF(B747&gt;0,VLOOKUP(B747,G011B!$B:$R,16,0),"")</f>
        <v/>
      </c>
      <c r="K747" s="100" t="str">
        <f t="shared" si="156"/>
        <v/>
      </c>
      <c r="L747" s="101" t="str">
        <f>IF(B747&lt;&gt;"",VLOOKUP(B747,G011B!$B:$Z,25,0),"")</f>
        <v/>
      </c>
      <c r="M747" s="160" t="str">
        <f t="shared" si="153"/>
        <v/>
      </c>
      <c r="N747" s="43"/>
      <c r="O747" s="43"/>
      <c r="P747" s="43"/>
    </row>
    <row r="748" spans="1:16" ht="20.05" customHeight="1" x14ac:dyDescent="0.25">
      <c r="A748" s="180">
        <v>455</v>
      </c>
      <c r="B748" s="57"/>
      <c r="C748" s="96" t="str">
        <f t="shared" si="150"/>
        <v/>
      </c>
      <c r="D748" s="97" t="str">
        <f t="shared" si="151"/>
        <v/>
      </c>
      <c r="E748" s="58"/>
      <c r="F748" s="59"/>
      <c r="G748" s="106" t="str">
        <f t="shared" si="154"/>
        <v/>
      </c>
      <c r="H748" s="103" t="str">
        <f t="shared" si="152"/>
        <v/>
      </c>
      <c r="I748" s="110" t="str">
        <f t="shared" si="155"/>
        <v/>
      </c>
      <c r="J748" s="100" t="str">
        <f>IF(B748&gt;0,VLOOKUP(B748,G011B!$B:$R,16,0),"")</f>
        <v/>
      </c>
      <c r="K748" s="100" t="str">
        <f t="shared" si="156"/>
        <v/>
      </c>
      <c r="L748" s="101" t="str">
        <f>IF(B748&lt;&gt;"",VLOOKUP(B748,G011B!$B:$Z,25,0),"")</f>
        <v/>
      </c>
      <c r="M748" s="160" t="str">
        <f t="shared" si="153"/>
        <v/>
      </c>
      <c r="N748" s="43"/>
      <c r="O748" s="43"/>
      <c r="P748" s="43"/>
    </row>
    <row r="749" spans="1:16" ht="20.05" customHeight="1" x14ac:dyDescent="0.25">
      <c r="A749" s="180">
        <v>456</v>
      </c>
      <c r="B749" s="57"/>
      <c r="C749" s="96" t="str">
        <f t="shared" si="150"/>
        <v/>
      </c>
      <c r="D749" s="97" t="str">
        <f t="shared" si="151"/>
        <v/>
      </c>
      <c r="E749" s="58"/>
      <c r="F749" s="59"/>
      <c r="G749" s="106" t="str">
        <f t="shared" si="154"/>
        <v/>
      </c>
      <c r="H749" s="103" t="str">
        <f t="shared" si="152"/>
        <v/>
      </c>
      <c r="I749" s="110" t="str">
        <f t="shared" si="155"/>
        <v/>
      </c>
      <c r="J749" s="100" t="str">
        <f>IF(B749&gt;0,VLOOKUP(B749,G011B!$B:$R,16,0),"")</f>
        <v/>
      </c>
      <c r="K749" s="100" t="str">
        <f t="shared" si="156"/>
        <v/>
      </c>
      <c r="L749" s="101" t="str">
        <f>IF(B749&lt;&gt;"",VLOOKUP(B749,G011B!$B:$Z,25,0),"")</f>
        <v/>
      </c>
      <c r="M749" s="160" t="str">
        <f t="shared" si="153"/>
        <v/>
      </c>
      <c r="N749" s="43"/>
      <c r="O749" s="43"/>
      <c r="P749" s="43"/>
    </row>
    <row r="750" spans="1:16" ht="20.05" customHeight="1" x14ac:dyDescent="0.25">
      <c r="A750" s="180">
        <v>457</v>
      </c>
      <c r="B750" s="57"/>
      <c r="C750" s="96" t="str">
        <f t="shared" si="150"/>
        <v/>
      </c>
      <c r="D750" s="97" t="str">
        <f t="shared" si="151"/>
        <v/>
      </c>
      <c r="E750" s="58"/>
      <c r="F750" s="59"/>
      <c r="G750" s="106" t="str">
        <f t="shared" si="154"/>
        <v/>
      </c>
      <c r="H750" s="103" t="str">
        <f t="shared" si="152"/>
        <v/>
      </c>
      <c r="I750" s="110" t="str">
        <f t="shared" si="155"/>
        <v/>
      </c>
      <c r="J750" s="100" t="str">
        <f>IF(B750&gt;0,VLOOKUP(B750,G011B!$B:$R,16,0),"")</f>
        <v/>
      </c>
      <c r="K750" s="100" t="str">
        <f t="shared" si="156"/>
        <v/>
      </c>
      <c r="L750" s="101" t="str">
        <f>IF(B750&lt;&gt;"",VLOOKUP(B750,G011B!$B:$Z,25,0),"")</f>
        <v/>
      </c>
      <c r="M750" s="160" t="str">
        <f t="shared" si="153"/>
        <v/>
      </c>
      <c r="N750" s="43"/>
      <c r="O750" s="43"/>
      <c r="P750" s="43"/>
    </row>
    <row r="751" spans="1:16" ht="20.05" customHeight="1" x14ac:dyDescent="0.25">
      <c r="A751" s="180">
        <v>458</v>
      </c>
      <c r="B751" s="57"/>
      <c r="C751" s="96" t="str">
        <f t="shared" si="150"/>
        <v/>
      </c>
      <c r="D751" s="97" t="str">
        <f t="shared" si="151"/>
        <v/>
      </c>
      <c r="E751" s="58"/>
      <c r="F751" s="59"/>
      <c r="G751" s="106" t="str">
        <f t="shared" si="154"/>
        <v/>
      </c>
      <c r="H751" s="103" t="str">
        <f t="shared" si="152"/>
        <v/>
      </c>
      <c r="I751" s="110" t="str">
        <f t="shared" si="155"/>
        <v/>
      </c>
      <c r="J751" s="100" t="str">
        <f>IF(B751&gt;0,VLOOKUP(B751,G011B!$B:$R,16,0),"")</f>
        <v/>
      </c>
      <c r="K751" s="100" t="str">
        <f t="shared" si="156"/>
        <v/>
      </c>
      <c r="L751" s="101" t="str">
        <f>IF(B751&lt;&gt;"",VLOOKUP(B751,G011B!$B:$Z,25,0),"")</f>
        <v/>
      </c>
      <c r="M751" s="160" t="str">
        <f t="shared" si="153"/>
        <v/>
      </c>
      <c r="N751" s="43"/>
      <c r="O751" s="43"/>
      <c r="P751" s="43"/>
    </row>
    <row r="752" spans="1:16" ht="20.05" customHeight="1" x14ac:dyDescent="0.25">
      <c r="A752" s="180">
        <v>459</v>
      </c>
      <c r="B752" s="57"/>
      <c r="C752" s="96" t="str">
        <f t="shared" si="150"/>
        <v/>
      </c>
      <c r="D752" s="97" t="str">
        <f t="shared" si="151"/>
        <v/>
      </c>
      <c r="E752" s="58"/>
      <c r="F752" s="59"/>
      <c r="G752" s="106" t="str">
        <f t="shared" si="154"/>
        <v/>
      </c>
      <c r="H752" s="103" t="str">
        <f t="shared" si="152"/>
        <v/>
      </c>
      <c r="I752" s="110" t="str">
        <f t="shared" si="155"/>
        <v/>
      </c>
      <c r="J752" s="100" t="str">
        <f>IF(B752&gt;0,VLOOKUP(B752,G011B!$B:$R,16,0),"")</f>
        <v/>
      </c>
      <c r="K752" s="100" t="str">
        <f t="shared" si="156"/>
        <v/>
      </c>
      <c r="L752" s="101" t="str">
        <f>IF(B752&lt;&gt;"",VLOOKUP(B752,G011B!$B:$Z,25,0),"")</f>
        <v/>
      </c>
      <c r="M752" s="160" t="str">
        <f t="shared" si="153"/>
        <v/>
      </c>
      <c r="N752" s="43"/>
      <c r="O752" s="43"/>
      <c r="P752" s="43"/>
    </row>
    <row r="753" spans="1:16" ht="20.05" customHeight="1" thickBot="1" x14ac:dyDescent="0.3">
      <c r="A753" s="181">
        <v>460</v>
      </c>
      <c r="B753" s="60"/>
      <c r="C753" s="98" t="str">
        <f t="shared" si="150"/>
        <v/>
      </c>
      <c r="D753" s="99" t="str">
        <f t="shared" si="151"/>
        <v/>
      </c>
      <c r="E753" s="61"/>
      <c r="F753" s="62"/>
      <c r="G753" s="107" t="str">
        <f t="shared" si="154"/>
        <v/>
      </c>
      <c r="H753" s="104" t="str">
        <f t="shared" si="152"/>
        <v/>
      </c>
      <c r="I753" s="111" t="str">
        <f t="shared" si="155"/>
        <v/>
      </c>
      <c r="J753" s="100" t="str">
        <f>IF(B753&gt;0,VLOOKUP(B753,G011B!$B:$R,16,0),"")</f>
        <v/>
      </c>
      <c r="K753" s="100" t="str">
        <f t="shared" si="156"/>
        <v/>
      </c>
      <c r="L753" s="101" t="str">
        <f>IF(B753&lt;&gt;"",VLOOKUP(B753,G011B!$B:$Z,25,0),"")</f>
        <v/>
      </c>
      <c r="M753" s="160" t="str">
        <f t="shared" si="153"/>
        <v/>
      </c>
      <c r="N753" s="43"/>
      <c r="O753" s="43"/>
      <c r="P753" s="43"/>
    </row>
    <row r="754" spans="1:16" ht="20.05" customHeight="1" thickBot="1" x14ac:dyDescent="0.4">
      <c r="A754" s="360" t="s">
        <v>42</v>
      </c>
      <c r="B754" s="361"/>
      <c r="C754" s="361"/>
      <c r="D754" s="361"/>
      <c r="E754" s="361"/>
      <c r="F754" s="362"/>
      <c r="G754" s="108">
        <f>SUM(G734:G753)</f>
        <v>0</v>
      </c>
      <c r="H754" s="202"/>
      <c r="I754" s="93">
        <f>IF(C732=C699,SUM(I734:I753)+I721,SUM(I734:I753))</f>
        <v>0</v>
      </c>
      <c r="J754" s="43"/>
      <c r="K754" s="43"/>
      <c r="L754" s="43"/>
      <c r="M754" s="43"/>
      <c r="N754" s="112">
        <f>IF(COUNTA(B734:B753)&gt;0,1,0)</f>
        <v>0</v>
      </c>
      <c r="O754" s="43"/>
      <c r="P754" s="43"/>
    </row>
    <row r="755" spans="1:16" ht="20.05" customHeight="1" thickBot="1" x14ac:dyDescent="0.35">
      <c r="A755" s="363" t="s">
        <v>80</v>
      </c>
      <c r="B755" s="364"/>
      <c r="C755" s="364"/>
      <c r="D755" s="365"/>
      <c r="E755" s="86">
        <f>SUM(G:G)/2</f>
        <v>0</v>
      </c>
      <c r="F755" s="366"/>
      <c r="G755" s="367"/>
      <c r="H755" s="368"/>
      <c r="I755" s="92">
        <f>SUM(I734:I753)+I722</f>
        <v>0</v>
      </c>
      <c r="J755" s="43"/>
      <c r="K755" s="43"/>
      <c r="L755" s="43"/>
      <c r="M755" s="43"/>
      <c r="N755" s="43"/>
      <c r="O755" s="43"/>
      <c r="P755" s="43"/>
    </row>
    <row r="756" spans="1:16" x14ac:dyDescent="0.25">
      <c r="A756" s="182" t="s">
        <v>118</v>
      </c>
      <c r="B756" s="43"/>
      <c r="C756" s="43"/>
      <c r="D756" s="43"/>
      <c r="E756" s="43"/>
      <c r="F756" s="43"/>
      <c r="G756" s="43"/>
      <c r="H756" s="43"/>
      <c r="I756" s="43"/>
      <c r="J756" s="43"/>
      <c r="K756" s="43"/>
      <c r="L756" s="43"/>
      <c r="M756" s="43"/>
      <c r="N756" s="43"/>
      <c r="O756" s="43"/>
      <c r="P756" s="43"/>
    </row>
    <row r="757" spans="1:16" x14ac:dyDescent="0.25">
      <c r="A757" s="43"/>
      <c r="B757" s="43"/>
      <c r="C757" s="43"/>
      <c r="D757" s="43"/>
      <c r="E757" s="43"/>
      <c r="F757" s="43"/>
      <c r="G757" s="43"/>
      <c r="H757" s="43"/>
      <c r="I757" s="43"/>
      <c r="J757" s="43"/>
      <c r="K757" s="43"/>
      <c r="L757" s="43"/>
      <c r="M757" s="43"/>
      <c r="N757" s="43"/>
      <c r="O757" s="43"/>
      <c r="P757" s="43"/>
    </row>
    <row r="758" spans="1:16" ht="21.1" x14ac:dyDescent="0.35">
      <c r="A758" s="247" t="s">
        <v>39</v>
      </c>
      <c r="B758" s="248">
        <f ca="1">IF(imzatarihi&gt;0,imzatarihi,"")</f>
        <v>45686</v>
      </c>
      <c r="C758" s="251" t="s">
        <v>40</v>
      </c>
      <c r="D758" s="245" t="str">
        <f>IF(kurulusyetkilisi&gt;0,kurulusyetkilisi,"")</f>
        <v/>
      </c>
      <c r="F758" s="247"/>
      <c r="G758" s="247"/>
      <c r="H758" s="163"/>
      <c r="I758" s="163"/>
      <c r="J758" s="43"/>
      <c r="K758" s="73"/>
      <c r="L758" s="73"/>
      <c r="M758" s="5"/>
      <c r="N758" s="73"/>
      <c r="O758" s="73"/>
      <c r="P758" s="43"/>
    </row>
    <row r="759" spans="1:16" ht="19.7" x14ac:dyDescent="0.35">
      <c r="A759" s="249"/>
      <c r="B759" s="249"/>
      <c r="C759" s="251" t="s">
        <v>41</v>
      </c>
      <c r="D759" s="247"/>
      <c r="E759" s="302"/>
      <c r="F759" s="302"/>
      <c r="G759" s="302"/>
      <c r="H759" s="42"/>
      <c r="I759" s="42"/>
      <c r="J759" s="43"/>
      <c r="K759" s="73"/>
      <c r="L759" s="73"/>
      <c r="M759" s="5"/>
      <c r="N759" s="73"/>
      <c r="O759" s="73"/>
      <c r="P759" s="43"/>
    </row>
    <row r="760" spans="1:16" ht="16.3" x14ac:dyDescent="0.3">
      <c r="A760" s="338" t="s">
        <v>73</v>
      </c>
      <c r="B760" s="338"/>
      <c r="C760" s="338"/>
      <c r="D760" s="338"/>
      <c r="E760" s="338"/>
      <c r="F760" s="338"/>
      <c r="G760" s="338"/>
      <c r="H760" s="338"/>
      <c r="I760" s="338"/>
      <c r="J760" s="43"/>
      <c r="K760" s="43"/>
      <c r="L760" s="43"/>
      <c r="M760" s="43"/>
      <c r="N760" s="43"/>
      <c r="O760" s="43"/>
      <c r="P760" s="43"/>
    </row>
    <row r="761" spans="1:16" x14ac:dyDescent="0.25">
      <c r="A761" s="336" t="str">
        <f>IF(YilDonem&lt;&gt;"",CONCATENATE(YilDonem,". döneme aittir."),"")</f>
        <v/>
      </c>
      <c r="B761" s="336"/>
      <c r="C761" s="336"/>
      <c r="D761" s="336"/>
      <c r="E761" s="336"/>
      <c r="F761" s="336"/>
      <c r="G761" s="336"/>
      <c r="H761" s="336"/>
      <c r="I761" s="336"/>
      <c r="J761" s="43"/>
      <c r="K761" s="43"/>
      <c r="L761" s="43"/>
      <c r="M761" s="43"/>
      <c r="N761" s="43"/>
      <c r="O761" s="43"/>
      <c r="P761" s="43"/>
    </row>
    <row r="762" spans="1:16" ht="19.7" thickBot="1" x14ac:dyDescent="0.4">
      <c r="A762" s="372" t="s">
        <v>82</v>
      </c>
      <c r="B762" s="372"/>
      <c r="C762" s="372"/>
      <c r="D762" s="372"/>
      <c r="E762" s="372"/>
      <c r="F762" s="372"/>
      <c r="G762" s="372"/>
      <c r="H762" s="372"/>
      <c r="I762" s="372"/>
      <c r="J762" s="43"/>
      <c r="K762" s="43"/>
      <c r="L762" s="43"/>
      <c r="M762" s="43"/>
      <c r="N762" s="43"/>
      <c r="O762" s="43"/>
      <c r="P762" s="43"/>
    </row>
    <row r="763" spans="1:16" ht="19.55" customHeight="1" thickBot="1" x14ac:dyDescent="0.3">
      <c r="A763" s="341" t="s">
        <v>1</v>
      </c>
      <c r="B763" s="343"/>
      <c r="C763" s="330" t="str">
        <f>IF(ProjeNo&gt;0,ProjeNo,"")</f>
        <v/>
      </c>
      <c r="D763" s="331"/>
      <c r="E763" s="331"/>
      <c r="F763" s="331"/>
      <c r="G763" s="331"/>
      <c r="H763" s="331"/>
      <c r="I763" s="332"/>
      <c r="J763" s="43"/>
      <c r="K763" s="43"/>
      <c r="L763" s="43"/>
      <c r="M763" s="43"/>
      <c r="N763" s="43"/>
      <c r="O763" s="43"/>
      <c r="P763" s="43"/>
    </row>
    <row r="764" spans="1:16" ht="29.25" customHeight="1" thickBot="1" x14ac:dyDescent="0.3">
      <c r="A764" s="371" t="s">
        <v>11</v>
      </c>
      <c r="B764" s="342"/>
      <c r="C764" s="346" t="str">
        <f>IF(ProjeAdi&gt;0,ProjeAdi,"")</f>
        <v/>
      </c>
      <c r="D764" s="347"/>
      <c r="E764" s="347"/>
      <c r="F764" s="347"/>
      <c r="G764" s="347"/>
      <c r="H764" s="347"/>
      <c r="I764" s="348"/>
      <c r="J764" s="43"/>
      <c r="K764" s="43"/>
      <c r="L764" s="43"/>
      <c r="M764" s="43"/>
      <c r="N764" s="43"/>
      <c r="O764" s="43"/>
      <c r="P764" s="43"/>
    </row>
    <row r="765" spans="1:16" ht="19.55" customHeight="1" thickBot="1" x14ac:dyDescent="0.3">
      <c r="A765" s="341" t="s">
        <v>74</v>
      </c>
      <c r="B765" s="343"/>
      <c r="C765" s="9"/>
      <c r="D765" s="369"/>
      <c r="E765" s="369"/>
      <c r="F765" s="369"/>
      <c r="G765" s="369"/>
      <c r="H765" s="369"/>
      <c r="I765" s="370"/>
      <c r="J765" s="43"/>
      <c r="K765" s="43"/>
      <c r="L765" s="43"/>
      <c r="M765" s="43"/>
      <c r="N765" s="43"/>
      <c r="O765" s="43"/>
      <c r="P765" s="43"/>
    </row>
    <row r="766" spans="1:16" s="2" customFormat="1" ht="29.25" thickBot="1" x14ac:dyDescent="0.3">
      <c r="A766" s="176" t="s">
        <v>7</v>
      </c>
      <c r="B766" s="176" t="s">
        <v>8</v>
      </c>
      <c r="C766" s="176" t="s">
        <v>63</v>
      </c>
      <c r="D766" s="176" t="s">
        <v>119</v>
      </c>
      <c r="E766" s="176" t="s">
        <v>75</v>
      </c>
      <c r="F766" s="176" t="s">
        <v>76</v>
      </c>
      <c r="G766" s="176" t="s">
        <v>77</v>
      </c>
      <c r="H766" s="176" t="s">
        <v>78</v>
      </c>
      <c r="I766" s="176" t="s">
        <v>79</v>
      </c>
      <c r="J766" s="177" t="s">
        <v>83</v>
      </c>
      <c r="K766" s="178" t="s">
        <v>84</v>
      </c>
      <c r="L766" s="178" t="s">
        <v>76</v>
      </c>
      <c r="M766" s="169"/>
      <c r="N766" s="169"/>
      <c r="O766" s="169"/>
      <c r="P766" s="169"/>
    </row>
    <row r="767" spans="1:16" ht="20.05" customHeight="1" x14ac:dyDescent="0.25">
      <c r="A767" s="179">
        <v>461</v>
      </c>
      <c r="B767" s="53"/>
      <c r="C767" s="94" t="str">
        <f t="shared" ref="C767:C786" si="157">IF(B767&lt;&gt;"",VLOOKUP(B767,PersonelTablo,2,0),"")</f>
        <v/>
      </c>
      <c r="D767" s="95" t="str">
        <f t="shared" ref="D767:D786" si="158">IF(B767&lt;&gt;"",VLOOKUP(B767,PersonelTablo,3,0),"")</f>
        <v/>
      </c>
      <c r="E767" s="54"/>
      <c r="F767" s="55"/>
      <c r="G767" s="105" t="str">
        <f>IF(AND(B767&lt;&gt;"",L767&gt;=F767),E767*F767,"")</f>
        <v/>
      </c>
      <c r="H767" s="102" t="str">
        <f t="shared" ref="H767:H786" si="159">IF(B767&lt;&gt;"",VLOOKUP(B767,G011CTablo,14,0),"")</f>
        <v/>
      </c>
      <c r="I767" s="109" t="str">
        <f>IF(AND(B767&lt;&gt;"",J767&gt;=K767,L767&gt;0),G767*H767,"")</f>
        <v/>
      </c>
      <c r="J767" s="100" t="str">
        <f>IF(B767&gt;0,VLOOKUP(B767,G011B!$B:$R,16,0),"")</f>
        <v/>
      </c>
      <c r="K767" s="100" t="str">
        <f>IF(B767&gt;0,SUMIF($B:$B,B767,$G:$G),"")</f>
        <v/>
      </c>
      <c r="L767" s="101" t="str">
        <f>IF(B767&lt;&gt;"",VLOOKUP(B767,G011B!$B:$Z,25,0),"")</f>
        <v/>
      </c>
      <c r="M767" s="160" t="str">
        <f t="shared" ref="M767:M786" si="160">IF(J767&gt;=K767,"","Personelin bütün iş paketlerindeki Toplam Adam Ay değeri "&amp;K767&amp;" olup, bu değer, G011B formunda beyan edilen Çalışılan Toplam Ay değerini geçemez. Maliyeti hesaplamak için Adam/Ay Oranı veya Çalışılan Ay değerini düzeltiniz. ")</f>
        <v/>
      </c>
      <c r="N767" s="43"/>
      <c r="O767" s="43"/>
      <c r="P767" s="43"/>
    </row>
    <row r="768" spans="1:16" ht="20.05" customHeight="1" x14ac:dyDescent="0.25">
      <c r="A768" s="180">
        <v>462</v>
      </c>
      <c r="B768" s="57"/>
      <c r="C768" s="96" t="str">
        <f t="shared" si="157"/>
        <v/>
      </c>
      <c r="D768" s="97" t="str">
        <f t="shared" si="158"/>
        <v/>
      </c>
      <c r="E768" s="58"/>
      <c r="F768" s="59"/>
      <c r="G768" s="106" t="str">
        <f t="shared" ref="G768:G786" si="161">IF(AND(B768&lt;&gt;"",L768&gt;=F768),E768*F768,"")</f>
        <v/>
      </c>
      <c r="H768" s="103" t="str">
        <f t="shared" si="159"/>
        <v/>
      </c>
      <c r="I768" s="110" t="str">
        <f t="shared" ref="I768:I786" si="162">IF(AND(B768&lt;&gt;"",J768&gt;=K768,L768&gt;0),G768*H768,"")</f>
        <v/>
      </c>
      <c r="J768" s="100" t="str">
        <f>IF(B768&gt;0,VLOOKUP(B768,G011B!$B:$R,16,0),"")</f>
        <v/>
      </c>
      <c r="K768" s="100" t="str">
        <f t="shared" ref="K768:K786" si="163">IF(B768&gt;0,SUMIF($B:$B,B768,$G:$G),"")</f>
        <v/>
      </c>
      <c r="L768" s="101" t="str">
        <f>IF(B768&lt;&gt;"",VLOOKUP(B768,G011B!$B:$Z,25,0),"")</f>
        <v/>
      </c>
      <c r="M768" s="160" t="str">
        <f t="shared" si="160"/>
        <v/>
      </c>
      <c r="N768" s="43"/>
      <c r="O768" s="43"/>
      <c r="P768" s="43"/>
    </row>
    <row r="769" spans="1:16" ht="20.05" customHeight="1" x14ac:dyDescent="0.25">
      <c r="A769" s="180">
        <v>463</v>
      </c>
      <c r="B769" s="57"/>
      <c r="C769" s="96" t="str">
        <f t="shared" si="157"/>
        <v/>
      </c>
      <c r="D769" s="97" t="str">
        <f t="shared" si="158"/>
        <v/>
      </c>
      <c r="E769" s="58"/>
      <c r="F769" s="59"/>
      <c r="G769" s="106" t="str">
        <f t="shared" si="161"/>
        <v/>
      </c>
      <c r="H769" s="103" t="str">
        <f t="shared" si="159"/>
        <v/>
      </c>
      <c r="I769" s="110" t="str">
        <f t="shared" si="162"/>
        <v/>
      </c>
      <c r="J769" s="100" t="str">
        <f>IF(B769&gt;0,VLOOKUP(B769,G011B!$B:$R,16,0),"")</f>
        <v/>
      </c>
      <c r="K769" s="100" t="str">
        <f t="shared" si="163"/>
        <v/>
      </c>
      <c r="L769" s="101" t="str">
        <f>IF(B769&lt;&gt;"",VLOOKUP(B769,G011B!$B:$Z,25,0),"")</f>
        <v/>
      </c>
      <c r="M769" s="160" t="str">
        <f t="shared" si="160"/>
        <v/>
      </c>
      <c r="N769" s="43"/>
      <c r="O769" s="43"/>
      <c r="P769" s="43"/>
    </row>
    <row r="770" spans="1:16" ht="20.05" customHeight="1" x14ac:dyDescent="0.25">
      <c r="A770" s="180">
        <v>464</v>
      </c>
      <c r="B770" s="57"/>
      <c r="C770" s="96" t="str">
        <f t="shared" si="157"/>
        <v/>
      </c>
      <c r="D770" s="97" t="str">
        <f t="shared" si="158"/>
        <v/>
      </c>
      <c r="E770" s="58"/>
      <c r="F770" s="59"/>
      <c r="G770" s="106" t="str">
        <f t="shared" si="161"/>
        <v/>
      </c>
      <c r="H770" s="103" t="str">
        <f t="shared" si="159"/>
        <v/>
      </c>
      <c r="I770" s="110" t="str">
        <f t="shared" si="162"/>
        <v/>
      </c>
      <c r="J770" s="100" t="str">
        <f>IF(B770&gt;0,VLOOKUP(B770,G011B!$B:$R,16,0),"")</f>
        <v/>
      </c>
      <c r="K770" s="100" t="str">
        <f t="shared" si="163"/>
        <v/>
      </c>
      <c r="L770" s="101" t="str">
        <f>IF(B770&lt;&gt;"",VLOOKUP(B770,G011B!$B:$Z,25,0),"")</f>
        <v/>
      </c>
      <c r="M770" s="160" t="str">
        <f t="shared" si="160"/>
        <v/>
      </c>
      <c r="N770" s="43"/>
      <c r="O770" s="43"/>
      <c r="P770" s="43"/>
    </row>
    <row r="771" spans="1:16" ht="20.05" customHeight="1" x14ac:dyDescent="0.25">
      <c r="A771" s="180">
        <v>465</v>
      </c>
      <c r="B771" s="57"/>
      <c r="C771" s="96" t="str">
        <f t="shared" si="157"/>
        <v/>
      </c>
      <c r="D771" s="97" t="str">
        <f t="shared" si="158"/>
        <v/>
      </c>
      <c r="E771" s="58"/>
      <c r="F771" s="59"/>
      <c r="G771" s="106" t="str">
        <f t="shared" si="161"/>
        <v/>
      </c>
      <c r="H771" s="103" t="str">
        <f t="shared" si="159"/>
        <v/>
      </c>
      <c r="I771" s="110" t="str">
        <f t="shared" si="162"/>
        <v/>
      </c>
      <c r="J771" s="100" t="str">
        <f>IF(B771&gt;0,VLOOKUP(B771,G011B!$B:$R,16,0),"")</f>
        <v/>
      </c>
      <c r="K771" s="100" t="str">
        <f t="shared" si="163"/>
        <v/>
      </c>
      <c r="L771" s="101" t="str">
        <f>IF(B771&lt;&gt;"",VLOOKUP(B771,G011B!$B:$Z,25,0),"")</f>
        <v/>
      </c>
      <c r="M771" s="160" t="str">
        <f t="shared" si="160"/>
        <v/>
      </c>
      <c r="N771" s="43"/>
      <c r="O771" s="43"/>
      <c r="P771" s="43"/>
    </row>
    <row r="772" spans="1:16" ht="20.05" customHeight="1" x14ac:dyDescent="0.25">
      <c r="A772" s="180">
        <v>466</v>
      </c>
      <c r="B772" s="57"/>
      <c r="C772" s="96" t="str">
        <f t="shared" si="157"/>
        <v/>
      </c>
      <c r="D772" s="97" t="str">
        <f t="shared" si="158"/>
        <v/>
      </c>
      <c r="E772" s="58"/>
      <c r="F772" s="59"/>
      <c r="G772" s="106" t="str">
        <f t="shared" si="161"/>
        <v/>
      </c>
      <c r="H772" s="103" t="str">
        <f t="shared" si="159"/>
        <v/>
      </c>
      <c r="I772" s="110" t="str">
        <f t="shared" si="162"/>
        <v/>
      </c>
      <c r="J772" s="100" t="str">
        <f>IF(B772&gt;0,VLOOKUP(B772,G011B!$B:$R,16,0),"")</f>
        <v/>
      </c>
      <c r="K772" s="100" t="str">
        <f t="shared" si="163"/>
        <v/>
      </c>
      <c r="L772" s="101" t="str">
        <f>IF(B772&lt;&gt;"",VLOOKUP(B772,G011B!$B:$Z,25,0),"")</f>
        <v/>
      </c>
      <c r="M772" s="160" t="str">
        <f t="shared" si="160"/>
        <v/>
      </c>
      <c r="N772" s="43"/>
      <c r="O772" s="43"/>
      <c r="P772" s="43"/>
    </row>
    <row r="773" spans="1:16" ht="20.05" customHeight="1" x14ac:dyDescent="0.25">
      <c r="A773" s="180">
        <v>467</v>
      </c>
      <c r="B773" s="57"/>
      <c r="C773" s="96" t="str">
        <f t="shared" si="157"/>
        <v/>
      </c>
      <c r="D773" s="97" t="str">
        <f t="shared" si="158"/>
        <v/>
      </c>
      <c r="E773" s="58"/>
      <c r="F773" s="59"/>
      <c r="G773" s="106" t="str">
        <f t="shared" si="161"/>
        <v/>
      </c>
      <c r="H773" s="103" t="str">
        <f t="shared" si="159"/>
        <v/>
      </c>
      <c r="I773" s="110" t="str">
        <f t="shared" si="162"/>
        <v/>
      </c>
      <c r="J773" s="100" t="str">
        <f>IF(B773&gt;0,VLOOKUP(B773,G011B!$B:$R,16,0),"")</f>
        <v/>
      </c>
      <c r="K773" s="100" t="str">
        <f t="shared" si="163"/>
        <v/>
      </c>
      <c r="L773" s="101" t="str">
        <f>IF(B773&lt;&gt;"",VLOOKUP(B773,G011B!$B:$Z,25,0),"")</f>
        <v/>
      </c>
      <c r="M773" s="160" t="str">
        <f t="shared" si="160"/>
        <v/>
      </c>
      <c r="N773" s="43"/>
      <c r="O773" s="43"/>
      <c r="P773" s="43"/>
    </row>
    <row r="774" spans="1:16" ht="20.05" customHeight="1" x14ac:dyDescent="0.25">
      <c r="A774" s="180">
        <v>468</v>
      </c>
      <c r="B774" s="57"/>
      <c r="C774" s="96" t="str">
        <f t="shared" si="157"/>
        <v/>
      </c>
      <c r="D774" s="97" t="str">
        <f t="shared" si="158"/>
        <v/>
      </c>
      <c r="E774" s="58"/>
      <c r="F774" s="59"/>
      <c r="G774" s="106" t="str">
        <f t="shared" si="161"/>
        <v/>
      </c>
      <c r="H774" s="103" t="str">
        <f t="shared" si="159"/>
        <v/>
      </c>
      <c r="I774" s="110" t="str">
        <f t="shared" si="162"/>
        <v/>
      </c>
      <c r="J774" s="100" t="str">
        <f>IF(B774&gt;0,VLOOKUP(B774,G011B!$B:$R,16,0),"")</f>
        <v/>
      </c>
      <c r="K774" s="100" t="str">
        <f t="shared" si="163"/>
        <v/>
      </c>
      <c r="L774" s="101" t="str">
        <f>IF(B774&lt;&gt;"",VLOOKUP(B774,G011B!$B:$Z,25,0),"")</f>
        <v/>
      </c>
      <c r="M774" s="160" t="str">
        <f t="shared" si="160"/>
        <v/>
      </c>
      <c r="N774" s="43"/>
      <c r="O774" s="43"/>
      <c r="P774" s="43"/>
    </row>
    <row r="775" spans="1:16" ht="20.05" customHeight="1" x14ac:dyDescent="0.25">
      <c r="A775" s="180">
        <v>469</v>
      </c>
      <c r="B775" s="57"/>
      <c r="C775" s="96" t="str">
        <f t="shared" si="157"/>
        <v/>
      </c>
      <c r="D775" s="97" t="str">
        <f t="shared" si="158"/>
        <v/>
      </c>
      <c r="E775" s="58"/>
      <c r="F775" s="59"/>
      <c r="G775" s="106" t="str">
        <f t="shared" si="161"/>
        <v/>
      </c>
      <c r="H775" s="103" t="str">
        <f t="shared" si="159"/>
        <v/>
      </c>
      <c r="I775" s="110" t="str">
        <f t="shared" si="162"/>
        <v/>
      </c>
      <c r="J775" s="100" t="str">
        <f>IF(B775&gt;0,VLOOKUP(B775,G011B!$B:$R,16,0),"")</f>
        <v/>
      </c>
      <c r="K775" s="100" t="str">
        <f t="shared" si="163"/>
        <v/>
      </c>
      <c r="L775" s="101" t="str">
        <f>IF(B775&lt;&gt;"",VLOOKUP(B775,G011B!$B:$Z,25,0),"")</f>
        <v/>
      </c>
      <c r="M775" s="160" t="str">
        <f t="shared" si="160"/>
        <v/>
      </c>
      <c r="N775" s="43"/>
      <c r="O775" s="43"/>
      <c r="P775" s="43"/>
    </row>
    <row r="776" spans="1:16" ht="20.05" customHeight="1" x14ac:dyDescent="0.25">
      <c r="A776" s="180">
        <v>470</v>
      </c>
      <c r="B776" s="57"/>
      <c r="C776" s="96" t="str">
        <f t="shared" si="157"/>
        <v/>
      </c>
      <c r="D776" s="97" t="str">
        <f t="shared" si="158"/>
        <v/>
      </c>
      <c r="E776" s="58"/>
      <c r="F776" s="59"/>
      <c r="G776" s="106" t="str">
        <f t="shared" si="161"/>
        <v/>
      </c>
      <c r="H776" s="103" t="str">
        <f t="shared" si="159"/>
        <v/>
      </c>
      <c r="I776" s="110" t="str">
        <f t="shared" si="162"/>
        <v/>
      </c>
      <c r="J776" s="100" t="str">
        <f>IF(B776&gt;0,VLOOKUP(B776,G011B!$B:$R,16,0),"")</f>
        <v/>
      </c>
      <c r="K776" s="100" t="str">
        <f t="shared" si="163"/>
        <v/>
      </c>
      <c r="L776" s="101" t="str">
        <f>IF(B776&lt;&gt;"",VLOOKUP(B776,G011B!$B:$Z,25,0),"")</f>
        <v/>
      </c>
      <c r="M776" s="160" t="str">
        <f t="shared" si="160"/>
        <v/>
      </c>
      <c r="N776" s="43"/>
      <c r="O776" s="43"/>
      <c r="P776" s="43"/>
    </row>
    <row r="777" spans="1:16" ht="20.05" customHeight="1" x14ac:dyDescent="0.25">
      <c r="A777" s="180">
        <v>471</v>
      </c>
      <c r="B777" s="57"/>
      <c r="C777" s="96" t="str">
        <f t="shared" si="157"/>
        <v/>
      </c>
      <c r="D777" s="97" t="str">
        <f t="shared" si="158"/>
        <v/>
      </c>
      <c r="E777" s="58"/>
      <c r="F777" s="59"/>
      <c r="G777" s="106" t="str">
        <f t="shared" si="161"/>
        <v/>
      </c>
      <c r="H777" s="103" t="str">
        <f t="shared" si="159"/>
        <v/>
      </c>
      <c r="I777" s="110" t="str">
        <f t="shared" si="162"/>
        <v/>
      </c>
      <c r="J777" s="100" t="str">
        <f>IF(B777&gt;0,VLOOKUP(B777,G011B!$B:$R,16,0),"")</f>
        <v/>
      </c>
      <c r="K777" s="100" t="str">
        <f t="shared" si="163"/>
        <v/>
      </c>
      <c r="L777" s="101" t="str">
        <f>IF(B777&lt;&gt;"",VLOOKUP(B777,G011B!$B:$Z,25,0),"")</f>
        <v/>
      </c>
      <c r="M777" s="160" t="str">
        <f t="shared" si="160"/>
        <v/>
      </c>
      <c r="N777" s="43"/>
      <c r="O777" s="43"/>
      <c r="P777" s="43"/>
    </row>
    <row r="778" spans="1:16" ht="20.05" customHeight="1" x14ac:dyDescent="0.25">
      <c r="A778" s="180">
        <v>472</v>
      </c>
      <c r="B778" s="57"/>
      <c r="C778" s="96" t="str">
        <f t="shared" si="157"/>
        <v/>
      </c>
      <c r="D778" s="97" t="str">
        <f t="shared" si="158"/>
        <v/>
      </c>
      <c r="E778" s="58"/>
      <c r="F778" s="59"/>
      <c r="G778" s="106" t="str">
        <f t="shared" si="161"/>
        <v/>
      </c>
      <c r="H778" s="103" t="str">
        <f t="shared" si="159"/>
        <v/>
      </c>
      <c r="I778" s="110" t="str">
        <f t="shared" si="162"/>
        <v/>
      </c>
      <c r="J778" s="100" t="str">
        <f>IF(B778&gt;0,VLOOKUP(B778,G011B!$B:$R,16,0),"")</f>
        <v/>
      </c>
      <c r="K778" s="100" t="str">
        <f t="shared" si="163"/>
        <v/>
      </c>
      <c r="L778" s="101" t="str">
        <f>IF(B778&lt;&gt;"",VLOOKUP(B778,G011B!$B:$Z,25,0),"")</f>
        <v/>
      </c>
      <c r="M778" s="160" t="str">
        <f t="shared" si="160"/>
        <v/>
      </c>
      <c r="N778" s="43"/>
      <c r="O778" s="43"/>
      <c r="P778" s="43"/>
    </row>
    <row r="779" spans="1:16" ht="20.05" customHeight="1" x14ac:dyDescent="0.25">
      <c r="A779" s="180">
        <v>473</v>
      </c>
      <c r="B779" s="57"/>
      <c r="C779" s="96" t="str">
        <f t="shared" si="157"/>
        <v/>
      </c>
      <c r="D779" s="97" t="str">
        <f t="shared" si="158"/>
        <v/>
      </c>
      <c r="E779" s="58"/>
      <c r="F779" s="59"/>
      <c r="G779" s="106" t="str">
        <f t="shared" si="161"/>
        <v/>
      </c>
      <c r="H779" s="103" t="str">
        <f t="shared" si="159"/>
        <v/>
      </c>
      <c r="I779" s="110" t="str">
        <f t="shared" si="162"/>
        <v/>
      </c>
      <c r="J779" s="100" t="str">
        <f>IF(B779&gt;0,VLOOKUP(B779,G011B!$B:$R,16,0),"")</f>
        <v/>
      </c>
      <c r="K779" s="100" t="str">
        <f t="shared" si="163"/>
        <v/>
      </c>
      <c r="L779" s="101" t="str">
        <f>IF(B779&lt;&gt;"",VLOOKUP(B779,G011B!$B:$Z,25,0),"")</f>
        <v/>
      </c>
      <c r="M779" s="160" t="str">
        <f t="shared" si="160"/>
        <v/>
      </c>
      <c r="N779" s="43"/>
      <c r="O779" s="43"/>
      <c r="P779" s="43"/>
    </row>
    <row r="780" spans="1:16" ht="20.05" customHeight="1" x14ac:dyDescent="0.25">
      <c r="A780" s="180">
        <v>474</v>
      </c>
      <c r="B780" s="57"/>
      <c r="C780" s="96" t="str">
        <f t="shared" si="157"/>
        <v/>
      </c>
      <c r="D780" s="97" t="str">
        <f t="shared" si="158"/>
        <v/>
      </c>
      <c r="E780" s="58"/>
      <c r="F780" s="59"/>
      <c r="G780" s="106" t="str">
        <f t="shared" si="161"/>
        <v/>
      </c>
      <c r="H780" s="103" t="str">
        <f t="shared" si="159"/>
        <v/>
      </c>
      <c r="I780" s="110" t="str">
        <f t="shared" si="162"/>
        <v/>
      </c>
      <c r="J780" s="100" t="str">
        <f>IF(B780&gt;0,VLOOKUP(B780,G011B!$B:$R,16,0),"")</f>
        <v/>
      </c>
      <c r="K780" s="100" t="str">
        <f t="shared" si="163"/>
        <v/>
      </c>
      <c r="L780" s="101" t="str">
        <f>IF(B780&lt;&gt;"",VLOOKUP(B780,G011B!$B:$Z,25,0),"")</f>
        <v/>
      </c>
      <c r="M780" s="160" t="str">
        <f t="shared" si="160"/>
        <v/>
      </c>
      <c r="N780" s="43"/>
      <c r="O780" s="43"/>
      <c r="P780" s="43"/>
    </row>
    <row r="781" spans="1:16" ht="20.05" customHeight="1" x14ac:dyDescent="0.25">
      <c r="A781" s="180">
        <v>475</v>
      </c>
      <c r="B781" s="57"/>
      <c r="C781" s="96" t="str">
        <f t="shared" si="157"/>
        <v/>
      </c>
      <c r="D781" s="97" t="str">
        <f t="shared" si="158"/>
        <v/>
      </c>
      <c r="E781" s="58"/>
      <c r="F781" s="59"/>
      <c r="G781" s="106" t="str">
        <f t="shared" si="161"/>
        <v/>
      </c>
      <c r="H781" s="103" t="str">
        <f t="shared" si="159"/>
        <v/>
      </c>
      <c r="I781" s="110" t="str">
        <f t="shared" si="162"/>
        <v/>
      </c>
      <c r="J781" s="100" t="str">
        <f>IF(B781&gt;0,VLOOKUP(B781,G011B!$B:$R,16,0),"")</f>
        <v/>
      </c>
      <c r="K781" s="100" t="str">
        <f t="shared" si="163"/>
        <v/>
      </c>
      <c r="L781" s="101" t="str">
        <f>IF(B781&lt;&gt;"",VLOOKUP(B781,G011B!$B:$Z,25,0),"")</f>
        <v/>
      </c>
      <c r="M781" s="160" t="str">
        <f t="shared" si="160"/>
        <v/>
      </c>
      <c r="N781" s="43"/>
      <c r="O781" s="43"/>
      <c r="P781" s="43"/>
    </row>
    <row r="782" spans="1:16" ht="20.05" customHeight="1" x14ac:dyDescent="0.25">
      <c r="A782" s="180">
        <v>476</v>
      </c>
      <c r="B782" s="57"/>
      <c r="C782" s="96" t="str">
        <f t="shared" si="157"/>
        <v/>
      </c>
      <c r="D782" s="97" t="str">
        <f t="shared" si="158"/>
        <v/>
      </c>
      <c r="E782" s="58"/>
      <c r="F782" s="59"/>
      <c r="G782" s="106" t="str">
        <f t="shared" si="161"/>
        <v/>
      </c>
      <c r="H782" s="103" t="str">
        <f t="shared" si="159"/>
        <v/>
      </c>
      <c r="I782" s="110" t="str">
        <f t="shared" si="162"/>
        <v/>
      </c>
      <c r="J782" s="100" t="str">
        <f>IF(B782&gt;0,VLOOKUP(B782,G011B!$B:$R,16,0),"")</f>
        <v/>
      </c>
      <c r="K782" s="100" t="str">
        <f t="shared" si="163"/>
        <v/>
      </c>
      <c r="L782" s="101" t="str">
        <f>IF(B782&lt;&gt;"",VLOOKUP(B782,G011B!$B:$Z,25,0),"")</f>
        <v/>
      </c>
      <c r="M782" s="160" t="str">
        <f t="shared" si="160"/>
        <v/>
      </c>
      <c r="N782" s="43"/>
      <c r="O782" s="43"/>
      <c r="P782" s="43"/>
    </row>
    <row r="783" spans="1:16" ht="20.05" customHeight="1" x14ac:dyDescent="0.25">
      <c r="A783" s="180">
        <v>477</v>
      </c>
      <c r="B783" s="57"/>
      <c r="C783" s="96" t="str">
        <f t="shared" si="157"/>
        <v/>
      </c>
      <c r="D783" s="97" t="str">
        <f t="shared" si="158"/>
        <v/>
      </c>
      <c r="E783" s="58"/>
      <c r="F783" s="59"/>
      <c r="G783" s="106" t="str">
        <f t="shared" si="161"/>
        <v/>
      </c>
      <c r="H783" s="103" t="str">
        <f t="shared" si="159"/>
        <v/>
      </c>
      <c r="I783" s="110" t="str">
        <f t="shared" si="162"/>
        <v/>
      </c>
      <c r="J783" s="100" t="str">
        <f>IF(B783&gt;0,VLOOKUP(B783,G011B!$B:$R,16,0),"")</f>
        <v/>
      </c>
      <c r="K783" s="100" t="str">
        <f t="shared" si="163"/>
        <v/>
      </c>
      <c r="L783" s="101" t="str">
        <f>IF(B783&lt;&gt;"",VLOOKUP(B783,G011B!$B:$Z,25,0),"")</f>
        <v/>
      </c>
      <c r="M783" s="160" t="str">
        <f t="shared" si="160"/>
        <v/>
      </c>
      <c r="N783" s="43"/>
      <c r="O783" s="43"/>
      <c r="P783" s="43"/>
    </row>
    <row r="784" spans="1:16" ht="20.05" customHeight="1" x14ac:dyDescent="0.25">
      <c r="A784" s="180">
        <v>478</v>
      </c>
      <c r="B784" s="57"/>
      <c r="C784" s="96" t="str">
        <f t="shared" si="157"/>
        <v/>
      </c>
      <c r="D784" s="97" t="str">
        <f t="shared" si="158"/>
        <v/>
      </c>
      <c r="E784" s="58"/>
      <c r="F784" s="59"/>
      <c r="G784" s="106" t="str">
        <f t="shared" si="161"/>
        <v/>
      </c>
      <c r="H784" s="103" t="str">
        <f t="shared" si="159"/>
        <v/>
      </c>
      <c r="I784" s="110" t="str">
        <f t="shared" si="162"/>
        <v/>
      </c>
      <c r="J784" s="100" t="str">
        <f>IF(B784&gt;0,VLOOKUP(B784,G011B!$B:$R,16,0),"")</f>
        <v/>
      </c>
      <c r="K784" s="100" t="str">
        <f t="shared" si="163"/>
        <v/>
      </c>
      <c r="L784" s="101" t="str">
        <f>IF(B784&lt;&gt;"",VLOOKUP(B784,G011B!$B:$Z,25,0),"")</f>
        <v/>
      </c>
      <c r="M784" s="160" t="str">
        <f t="shared" si="160"/>
        <v/>
      </c>
      <c r="N784" s="43"/>
      <c r="O784" s="43"/>
      <c r="P784" s="43"/>
    </row>
    <row r="785" spans="1:16" ht="20.05" customHeight="1" x14ac:dyDescent="0.25">
      <c r="A785" s="180">
        <v>479</v>
      </c>
      <c r="B785" s="57"/>
      <c r="C785" s="96" t="str">
        <f t="shared" si="157"/>
        <v/>
      </c>
      <c r="D785" s="97" t="str">
        <f t="shared" si="158"/>
        <v/>
      </c>
      <c r="E785" s="58"/>
      <c r="F785" s="59"/>
      <c r="G785" s="106" t="str">
        <f t="shared" si="161"/>
        <v/>
      </c>
      <c r="H785" s="103" t="str">
        <f t="shared" si="159"/>
        <v/>
      </c>
      <c r="I785" s="110" t="str">
        <f t="shared" si="162"/>
        <v/>
      </c>
      <c r="J785" s="100" t="str">
        <f>IF(B785&gt;0,VLOOKUP(B785,G011B!$B:$R,16,0),"")</f>
        <v/>
      </c>
      <c r="K785" s="100" t="str">
        <f t="shared" si="163"/>
        <v/>
      </c>
      <c r="L785" s="101" t="str">
        <f>IF(B785&lt;&gt;"",VLOOKUP(B785,G011B!$B:$Z,25,0),"")</f>
        <v/>
      </c>
      <c r="M785" s="160" t="str">
        <f t="shared" si="160"/>
        <v/>
      </c>
      <c r="N785" s="43"/>
      <c r="O785" s="43"/>
      <c r="P785" s="43"/>
    </row>
    <row r="786" spans="1:16" ht="20.05" customHeight="1" thickBot="1" x14ac:dyDescent="0.3">
      <c r="A786" s="181">
        <v>480</v>
      </c>
      <c r="B786" s="60"/>
      <c r="C786" s="98" t="str">
        <f t="shared" si="157"/>
        <v/>
      </c>
      <c r="D786" s="99" t="str">
        <f t="shared" si="158"/>
        <v/>
      </c>
      <c r="E786" s="61"/>
      <c r="F786" s="62"/>
      <c r="G786" s="107" t="str">
        <f t="shared" si="161"/>
        <v/>
      </c>
      <c r="H786" s="104" t="str">
        <f t="shared" si="159"/>
        <v/>
      </c>
      <c r="I786" s="111" t="str">
        <f t="shared" si="162"/>
        <v/>
      </c>
      <c r="J786" s="100" t="str">
        <f>IF(B786&gt;0,VLOOKUP(B786,G011B!$B:$R,16,0),"")</f>
        <v/>
      </c>
      <c r="K786" s="100" t="str">
        <f t="shared" si="163"/>
        <v/>
      </c>
      <c r="L786" s="101" t="str">
        <f>IF(B786&lt;&gt;"",VLOOKUP(B786,G011B!$B:$Z,25,0),"")</f>
        <v/>
      </c>
      <c r="M786" s="160" t="str">
        <f t="shared" si="160"/>
        <v/>
      </c>
      <c r="N786" s="43"/>
      <c r="O786" s="43"/>
      <c r="P786" s="43"/>
    </row>
    <row r="787" spans="1:16" ht="20.05" customHeight="1" thickBot="1" x14ac:dyDescent="0.4">
      <c r="A787" s="360" t="s">
        <v>42</v>
      </c>
      <c r="B787" s="361"/>
      <c r="C787" s="361"/>
      <c r="D787" s="361"/>
      <c r="E787" s="361"/>
      <c r="F787" s="362"/>
      <c r="G787" s="108">
        <f>SUM(G767:G786)</f>
        <v>0</v>
      </c>
      <c r="H787" s="202"/>
      <c r="I787" s="93">
        <f>IF(C765=C732,SUM(I767:I786)+I754,SUM(I767:I786))</f>
        <v>0</v>
      </c>
      <c r="J787" s="43"/>
      <c r="K787" s="43"/>
      <c r="L787" s="43"/>
      <c r="M787" s="43"/>
      <c r="N787" s="112">
        <f>IF(COUNTA(B767:B786)&gt;0,1,0)</f>
        <v>0</v>
      </c>
      <c r="O787" s="43"/>
      <c r="P787" s="43"/>
    </row>
    <row r="788" spans="1:16" ht="20.05" customHeight="1" thickBot="1" x14ac:dyDescent="0.35">
      <c r="A788" s="363" t="s">
        <v>80</v>
      </c>
      <c r="B788" s="364"/>
      <c r="C788" s="364"/>
      <c r="D788" s="365"/>
      <c r="E788" s="86">
        <f>SUM(G:G)/2</f>
        <v>0</v>
      </c>
      <c r="F788" s="366"/>
      <c r="G788" s="367"/>
      <c r="H788" s="368"/>
      <c r="I788" s="92">
        <f>SUM(I767:I786)+I755</f>
        <v>0</v>
      </c>
      <c r="J788" s="43"/>
      <c r="K788" s="43"/>
      <c r="L788" s="43"/>
      <c r="M788" s="43"/>
      <c r="N788" s="43"/>
      <c r="O788" s="43"/>
      <c r="P788" s="43"/>
    </row>
    <row r="789" spans="1:16" x14ac:dyDescent="0.25">
      <c r="A789" s="182" t="s">
        <v>118</v>
      </c>
      <c r="B789" s="43"/>
      <c r="C789" s="43"/>
      <c r="D789" s="43"/>
      <c r="E789" s="43"/>
      <c r="F789" s="43"/>
      <c r="G789" s="43"/>
      <c r="H789" s="43"/>
      <c r="I789" s="43"/>
      <c r="J789" s="43"/>
      <c r="K789" s="43"/>
      <c r="L789" s="43"/>
      <c r="M789" s="43"/>
      <c r="N789" s="43"/>
      <c r="O789" s="43"/>
      <c r="P789" s="43"/>
    </row>
    <row r="790" spans="1:16" x14ac:dyDescent="0.25">
      <c r="A790" s="43"/>
      <c r="B790" s="43"/>
      <c r="C790" s="43"/>
      <c r="D790" s="43"/>
      <c r="E790" s="43"/>
      <c r="F790" s="43"/>
      <c r="G790" s="43"/>
      <c r="H790" s="43"/>
      <c r="I790" s="43"/>
      <c r="J790" s="43"/>
      <c r="K790" s="43"/>
      <c r="L790" s="43"/>
      <c r="M790" s="43"/>
      <c r="N790" s="43"/>
      <c r="O790" s="43"/>
      <c r="P790" s="43"/>
    </row>
    <row r="791" spans="1:16" ht="21.1" x14ac:dyDescent="0.35">
      <c r="A791" s="247" t="s">
        <v>39</v>
      </c>
      <c r="B791" s="248">
        <f ca="1">IF(imzatarihi&gt;0,imzatarihi,"")</f>
        <v>45686</v>
      </c>
      <c r="C791" s="251" t="s">
        <v>40</v>
      </c>
      <c r="D791" s="245" t="str">
        <f>IF(kurulusyetkilisi&gt;0,kurulusyetkilisi,"")</f>
        <v/>
      </c>
      <c r="F791" s="247"/>
      <c r="G791" s="247"/>
      <c r="H791" s="163"/>
      <c r="I791" s="163"/>
      <c r="J791" s="43"/>
      <c r="K791" s="73"/>
      <c r="L791" s="73"/>
      <c r="M791" s="5"/>
      <c r="N791" s="73"/>
      <c r="O791" s="73"/>
      <c r="P791" s="43"/>
    </row>
    <row r="792" spans="1:16" ht="19.7" x14ac:dyDescent="0.35">
      <c r="A792" s="249"/>
      <c r="B792" s="249"/>
      <c r="C792" s="251" t="s">
        <v>41</v>
      </c>
      <c r="D792" s="247"/>
      <c r="E792" s="302"/>
      <c r="F792" s="302"/>
      <c r="G792" s="302"/>
      <c r="H792" s="42"/>
      <c r="I792" s="42"/>
      <c r="J792" s="43"/>
      <c r="K792" s="73"/>
      <c r="L792" s="73"/>
      <c r="M792" s="5"/>
      <c r="N792" s="73"/>
      <c r="O792" s="73"/>
      <c r="P792" s="43"/>
    </row>
    <row r="793" spans="1:16" ht="16.3" x14ac:dyDescent="0.3">
      <c r="A793" s="338" t="s">
        <v>73</v>
      </c>
      <c r="B793" s="338"/>
      <c r="C793" s="338"/>
      <c r="D793" s="338"/>
      <c r="E793" s="338"/>
      <c r="F793" s="338"/>
      <c r="G793" s="338"/>
      <c r="H793" s="338"/>
      <c r="I793" s="338"/>
      <c r="J793" s="43"/>
      <c r="K793" s="43"/>
      <c r="L793" s="43"/>
      <c r="M793" s="43"/>
      <c r="N793" s="43"/>
      <c r="O793" s="43"/>
      <c r="P793" s="43"/>
    </row>
    <row r="794" spans="1:16" x14ac:dyDescent="0.25">
      <c r="A794" s="336" t="str">
        <f>IF(YilDonem&lt;&gt;"",CONCATENATE(YilDonem,". döneme aittir."),"")</f>
        <v/>
      </c>
      <c r="B794" s="336"/>
      <c r="C794" s="336"/>
      <c r="D794" s="336"/>
      <c r="E794" s="336"/>
      <c r="F794" s="336"/>
      <c r="G794" s="336"/>
      <c r="H794" s="336"/>
      <c r="I794" s="336"/>
      <c r="J794" s="43"/>
      <c r="K794" s="43"/>
      <c r="L794" s="43"/>
      <c r="M794" s="43"/>
      <c r="N794" s="43"/>
      <c r="O794" s="43"/>
      <c r="P794" s="43"/>
    </row>
    <row r="795" spans="1:16" ht="19.7" thickBot="1" x14ac:dyDescent="0.4">
      <c r="A795" s="372" t="s">
        <v>82</v>
      </c>
      <c r="B795" s="372"/>
      <c r="C795" s="372"/>
      <c r="D795" s="372"/>
      <c r="E795" s="372"/>
      <c r="F795" s="372"/>
      <c r="G795" s="372"/>
      <c r="H795" s="372"/>
      <c r="I795" s="372"/>
      <c r="J795" s="43"/>
      <c r="K795" s="43"/>
      <c r="L795" s="43"/>
      <c r="M795" s="43"/>
      <c r="N795" s="43"/>
      <c r="O795" s="43"/>
      <c r="P795" s="43"/>
    </row>
    <row r="796" spans="1:16" ht="19.55" customHeight="1" thickBot="1" x14ac:dyDescent="0.3">
      <c r="A796" s="341" t="s">
        <v>1</v>
      </c>
      <c r="B796" s="343"/>
      <c r="C796" s="330" t="str">
        <f>IF(ProjeNo&gt;0,ProjeNo,"")</f>
        <v/>
      </c>
      <c r="D796" s="331"/>
      <c r="E796" s="331"/>
      <c r="F796" s="331"/>
      <c r="G796" s="331"/>
      <c r="H796" s="331"/>
      <c r="I796" s="332"/>
      <c r="J796" s="43"/>
      <c r="K796" s="43"/>
      <c r="L796" s="43"/>
      <c r="M796" s="43"/>
      <c r="N796" s="43"/>
      <c r="O796" s="43"/>
      <c r="P796" s="43"/>
    </row>
    <row r="797" spans="1:16" ht="29.25" customHeight="1" thickBot="1" x14ac:dyDescent="0.3">
      <c r="A797" s="371" t="s">
        <v>11</v>
      </c>
      <c r="B797" s="342"/>
      <c r="C797" s="346" t="str">
        <f>IF(ProjeAdi&gt;0,ProjeAdi,"")</f>
        <v/>
      </c>
      <c r="D797" s="347"/>
      <c r="E797" s="347"/>
      <c r="F797" s="347"/>
      <c r="G797" s="347"/>
      <c r="H797" s="347"/>
      <c r="I797" s="348"/>
      <c r="J797" s="43"/>
      <c r="K797" s="43"/>
      <c r="L797" s="43"/>
      <c r="M797" s="43"/>
      <c r="N797" s="43"/>
      <c r="O797" s="43"/>
      <c r="P797" s="43"/>
    </row>
    <row r="798" spans="1:16" ht="19.55" customHeight="1" thickBot="1" x14ac:dyDescent="0.3">
      <c r="A798" s="341" t="s">
        <v>74</v>
      </c>
      <c r="B798" s="343"/>
      <c r="C798" s="9"/>
      <c r="D798" s="369"/>
      <c r="E798" s="369"/>
      <c r="F798" s="369"/>
      <c r="G798" s="369"/>
      <c r="H798" s="369"/>
      <c r="I798" s="370"/>
      <c r="J798" s="43"/>
      <c r="K798" s="43"/>
      <c r="L798" s="43"/>
      <c r="M798" s="43"/>
      <c r="N798" s="43"/>
      <c r="O798" s="43"/>
      <c r="P798" s="43"/>
    </row>
    <row r="799" spans="1:16" s="2" customFormat="1" ht="29.25" thickBot="1" x14ac:dyDescent="0.3">
      <c r="A799" s="176" t="s">
        <v>7</v>
      </c>
      <c r="B799" s="176" t="s">
        <v>8</v>
      </c>
      <c r="C799" s="176" t="s">
        <v>63</v>
      </c>
      <c r="D799" s="176" t="s">
        <v>119</v>
      </c>
      <c r="E799" s="176" t="s">
        <v>75</v>
      </c>
      <c r="F799" s="176" t="s">
        <v>76</v>
      </c>
      <c r="G799" s="176" t="s">
        <v>77</v>
      </c>
      <c r="H799" s="176" t="s">
        <v>78</v>
      </c>
      <c r="I799" s="176" t="s">
        <v>79</v>
      </c>
      <c r="J799" s="177" t="s">
        <v>83</v>
      </c>
      <c r="K799" s="178" t="s">
        <v>84</v>
      </c>
      <c r="L799" s="178" t="s">
        <v>76</v>
      </c>
      <c r="M799" s="169"/>
      <c r="N799" s="169"/>
      <c r="O799" s="169"/>
      <c r="P799" s="169"/>
    </row>
    <row r="800" spans="1:16" ht="20.05" customHeight="1" x14ac:dyDescent="0.25">
      <c r="A800" s="179">
        <v>481</v>
      </c>
      <c r="B800" s="53"/>
      <c r="C800" s="94" t="str">
        <f t="shared" ref="C800:C819" si="164">IF(B800&lt;&gt;"",VLOOKUP(B800,PersonelTablo,2,0),"")</f>
        <v/>
      </c>
      <c r="D800" s="95" t="str">
        <f t="shared" ref="D800:D819" si="165">IF(B800&lt;&gt;"",VLOOKUP(B800,PersonelTablo,3,0),"")</f>
        <v/>
      </c>
      <c r="E800" s="54"/>
      <c r="F800" s="55"/>
      <c r="G800" s="105" t="str">
        <f>IF(AND(B800&lt;&gt;"",L800&gt;=F800),E800*F800,"")</f>
        <v/>
      </c>
      <c r="H800" s="102" t="str">
        <f t="shared" ref="H800:H819" si="166">IF(B800&lt;&gt;"",VLOOKUP(B800,G011CTablo,14,0),"")</f>
        <v/>
      </c>
      <c r="I800" s="109" t="str">
        <f>IF(AND(B800&lt;&gt;"",J800&gt;=K800,L800&gt;0),G800*H800,"")</f>
        <v/>
      </c>
      <c r="J800" s="100" t="str">
        <f>IF(B800&gt;0,VLOOKUP(B800,G011B!$B:$R,16,0),"")</f>
        <v/>
      </c>
      <c r="K800" s="100" t="str">
        <f>IF(B800&gt;0,SUMIF($B:$B,B800,$G:$G),"")</f>
        <v/>
      </c>
      <c r="L800" s="101" t="str">
        <f>IF(B800&lt;&gt;"",VLOOKUP(B800,G011B!$B:$Z,25,0),"")</f>
        <v/>
      </c>
      <c r="M800" s="160" t="str">
        <f t="shared" ref="M800:M819" si="167">IF(J800&gt;=K800,"","Personelin bütün iş paketlerindeki Toplam Adam Ay değeri "&amp;K800&amp;" olup, bu değer, G011B formunda beyan edilen Çalışılan Toplam Ay değerini geçemez. Maliyeti hesaplamak için Adam/Ay Oranı veya Çalışılan Ay değerini düzeltiniz. ")</f>
        <v/>
      </c>
      <c r="N800" s="43"/>
      <c r="O800" s="43"/>
      <c r="P800" s="43"/>
    </row>
    <row r="801" spans="1:16" ht="20.05" customHeight="1" x14ac:dyDescent="0.25">
      <c r="A801" s="180">
        <v>482</v>
      </c>
      <c r="B801" s="57"/>
      <c r="C801" s="96" t="str">
        <f t="shared" si="164"/>
        <v/>
      </c>
      <c r="D801" s="97" t="str">
        <f t="shared" si="165"/>
        <v/>
      </c>
      <c r="E801" s="58"/>
      <c r="F801" s="59"/>
      <c r="G801" s="106" t="str">
        <f t="shared" ref="G801:G819" si="168">IF(AND(B801&lt;&gt;"",L801&gt;=F801),E801*F801,"")</f>
        <v/>
      </c>
      <c r="H801" s="103" t="str">
        <f t="shared" si="166"/>
        <v/>
      </c>
      <c r="I801" s="110" t="str">
        <f t="shared" ref="I801:I819" si="169">IF(AND(B801&lt;&gt;"",J801&gt;=K801,L801&gt;0),G801*H801,"")</f>
        <v/>
      </c>
      <c r="J801" s="100" t="str">
        <f>IF(B801&gt;0,VLOOKUP(B801,G011B!$B:$R,16,0),"")</f>
        <v/>
      </c>
      <c r="K801" s="100" t="str">
        <f t="shared" ref="K801:K819" si="170">IF(B801&gt;0,SUMIF($B:$B,B801,$G:$G),"")</f>
        <v/>
      </c>
      <c r="L801" s="101" t="str">
        <f>IF(B801&lt;&gt;"",VLOOKUP(B801,G011B!$B:$Z,25,0),"")</f>
        <v/>
      </c>
      <c r="M801" s="160" t="str">
        <f t="shared" si="167"/>
        <v/>
      </c>
      <c r="N801" s="43"/>
      <c r="O801" s="43"/>
      <c r="P801" s="43"/>
    </row>
    <row r="802" spans="1:16" ht="20.05" customHeight="1" x14ac:dyDescent="0.25">
      <c r="A802" s="180">
        <v>483</v>
      </c>
      <c r="B802" s="57"/>
      <c r="C802" s="96" t="str">
        <f t="shared" si="164"/>
        <v/>
      </c>
      <c r="D802" s="97" t="str">
        <f t="shared" si="165"/>
        <v/>
      </c>
      <c r="E802" s="58"/>
      <c r="F802" s="59"/>
      <c r="G802" s="106" t="str">
        <f t="shared" si="168"/>
        <v/>
      </c>
      <c r="H802" s="103" t="str">
        <f t="shared" si="166"/>
        <v/>
      </c>
      <c r="I802" s="110" t="str">
        <f t="shared" si="169"/>
        <v/>
      </c>
      <c r="J802" s="100" t="str">
        <f>IF(B802&gt;0,VLOOKUP(B802,G011B!$B:$R,16,0),"")</f>
        <v/>
      </c>
      <c r="K802" s="100" t="str">
        <f t="shared" si="170"/>
        <v/>
      </c>
      <c r="L802" s="101" t="str">
        <f>IF(B802&lt;&gt;"",VLOOKUP(B802,G011B!$B:$Z,25,0),"")</f>
        <v/>
      </c>
      <c r="M802" s="160" t="str">
        <f t="shared" si="167"/>
        <v/>
      </c>
      <c r="N802" s="43"/>
      <c r="O802" s="43"/>
      <c r="P802" s="43"/>
    </row>
    <row r="803" spans="1:16" ht="20.05" customHeight="1" x14ac:dyDescent="0.25">
      <c r="A803" s="180">
        <v>484</v>
      </c>
      <c r="B803" s="57"/>
      <c r="C803" s="96" t="str">
        <f t="shared" si="164"/>
        <v/>
      </c>
      <c r="D803" s="97" t="str">
        <f t="shared" si="165"/>
        <v/>
      </c>
      <c r="E803" s="58"/>
      <c r="F803" s="59"/>
      <c r="G803" s="106" t="str">
        <f t="shared" si="168"/>
        <v/>
      </c>
      <c r="H803" s="103" t="str">
        <f t="shared" si="166"/>
        <v/>
      </c>
      <c r="I803" s="110" t="str">
        <f t="shared" si="169"/>
        <v/>
      </c>
      <c r="J803" s="100" t="str">
        <f>IF(B803&gt;0,VLOOKUP(B803,G011B!$B:$R,16,0),"")</f>
        <v/>
      </c>
      <c r="K803" s="100" t="str">
        <f t="shared" si="170"/>
        <v/>
      </c>
      <c r="L803" s="101" t="str">
        <f>IF(B803&lt;&gt;"",VLOOKUP(B803,G011B!$B:$Z,25,0),"")</f>
        <v/>
      </c>
      <c r="M803" s="160" t="str">
        <f t="shared" si="167"/>
        <v/>
      </c>
      <c r="N803" s="43"/>
      <c r="O803" s="43"/>
      <c r="P803" s="43"/>
    </row>
    <row r="804" spans="1:16" ht="20.05" customHeight="1" x14ac:dyDescent="0.25">
      <c r="A804" s="180">
        <v>485</v>
      </c>
      <c r="B804" s="57"/>
      <c r="C804" s="96" t="str">
        <f t="shared" si="164"/>
        <v/>
      </c>
      <c r="D804" s="97" t="str">
        <f t="shared" si="165"/>
        <v/>
      </c>
      <c r="E804" s="58"/>
      <c r="F804" s="59"/>
      <c r="G804" s="106" t="str">
        <f t="shared" si="168"/>
        <v/>
      </c>
      <c r="H804" s="103" t="str">
        <f t="shared" si="166"/>
        <v/>
      </c>
      <c r="I804" s="110" t="str">
        <f t="shared" si="169"/>
        <v/>
      </c>
      <c r="J804" s="100" t="str">
        <f>IF(B804&gt;0,VLOOKUP(B804,G011B!$B:$R,16,0),"")</f>
        <v/>
      </c>
      <c r="K804" s="100" t="str">
        <f t="shared" si="170"/>
        <v/>
      </c>
      <c r="L804" s="101" t="str">
        <f>IF(B804&lt;&gt;"",VLOOKUP(B804,G011B!$B:$Z,25,0),"")</f>
        <v/>
      </c>
      <c r="M804" s="160" t="str">
        <f t="shared" si="167"/>
        <v/>
      </c>
      <c r="N804" s="43"/>
      <c r="O804" s="43"/>
      <c r="P804" s="43"/>
    </row>
    <row r="805" spans="1:16" ht="20.05" customHeight="1" x14ac:dyDescent="0.25">
      <c r="A805" s="180">
        <v>486</v>
      </c>
      <c r="B805" s="57"/>
      <c r="C805" s="96" t="str">
        <f t="shared" si="164"/>
        <v/>
      </c>
      <c r="D805" s="97" t="str">
        <f t="shared" si="165"/>
        <v/>
      </c>
      <c r="E805" s="58"/>
      <c r="F805" s="59"/>
      <c r="G805" s="106" t="str">
        <f t="shared" si="168"/>
        <v/>
      </c>
      <c r="H805" s="103" t="str">
        <f t="shared" si="166"/>
        <v/>
      </c>
      <c r="I805" s="110" t="str">
        <f t="shared" si="169"/>
        <v/>
      </c>
      <c r="J805" s="100" t="str">
        <f>IF(B805&gt;0,VLOOKUP(B805,G011B!$B:$R,16,0),"")</f>
        <v/>
      </c>
      <c r="K805" s="100" t="str">
        <f t="shared" si="170"/>
        <v/>
      </c>
      <c r="L805" s="101" t="str">
        <f>IF(B805&lt;&gt;"",VLOOKUP(B805,G011B!$B:$Z,25,0),"")</f>
        <v/>
      </c>
      <c r="M805" s="160" t="str">
        <f t="shared" si="167"/>
        <v/>
      </c>
      <c r="N805" s="43"/>
      <c r="O805" s="43"/>
      <c r="P805" s="43"/>
    </row>
    <row r="806" spans="1:16" ht="20.05" customHeight="1" x14ac:dyDescent="0.25">
      <c r="A806" s="180">
        <v>487</v>
      </c>
      <c r="B806" s="57"/>
      <c r="C806" s="96" t="str">
        <f t="shared" si="164"/>
        <v/>
      </c>
      <c r="D806" s="97" t="str">
        <f t="shared" si="165"/>
        <v/>
      </c>
      <c r="E806" s="58"/>
      <c r="F806" s="59"/>
      <c r="G806" s="106" t="str">
        <f t="shared" si="168"/>
        <v/>
      </c>
      <c r="H806" s="103" t="str">
        <f t="shared" si="166"/>
        <v/>
      </c>
      <c r="I806" s="110" t="str">
        <f t="shared" si="169"/>
        <v/>
      </c>
      <c r="J806" s="100" t="str">
        <f>IF(B806&gt;0,VLOOKUP(B806,G011B!$B:$R,16,0),"")</f>
        <v/>
      </c>
      <c r="K806" s="100" t="str">
        <f t="shared" si="170"/>
        <v/>
      </c>
      <c r="L806" s="101" t="str">
        <f>IF(B806&lt;&gt;"",VLOOKUP(B806,G011B!$B:$Z,25,0),"")</f>
        <v/>
      </c>
      <c r="M806" s="160" t="str">
        <f t="shared" si="167"/>
        <v/>
      </c>
      <c r="N806" s="43"/>
      <c r="O806" s="43"/>
      <c r="P806" s="43"/>
    </row>
    <row r="807" spans="1:16" ht="20.05" customHeight="1" x14ac:dyDescent="0.25">
      <c r="A807" s="180">
        <v>488</v>
      </c>
      <c r="B807" s="57"/>
      <c r="C807" s="96" t="str">
        <f t="shared" si="164"/>
        <v/>
      </c>
      <c r="D807" s="97" t="str">
        <f t="shared" si="165"/>
        <v/>
      </c>
      <c r="E807" s="58"/>
      <c r="F807" s="59"/>
      <c r="G807" s="106" t="str">
        <f t="shared" si="168"/>
        <v/>
      </c>
      <c r="H807" s="103" t="str">
        <f t="shared" si="166"/>
        <v/>
      </c>
      <c r="I807" s="110" t="str">
        <f t="shared" si="169"/>
        <v/>
      </c>
      <c r="J807" s="100" t="str">
        <f>IF(B807&gt;0,VLOOKUP(B807,G011B!$B:$R,16,0),"")</f>
        <v/>
      </c>
      <c r="K807" s="100" t="str">
        <f t="shared" si="170"/>
        <v/>
      </c>
      <c r="L807" s="101" t="str">
        <f>IF(B807&lt;&gt;"",VLOOKUP(B807,G011B!$B:$Z,25,0),"")</f>
        <v/>
      </c>
      <c r="M807" s="160" t="str">
        <f t="shared" si="167"/>
        <v/>
      </c>
      <c r="N807" s="43"/>
      <c r="O807" s="43"/>
      <c r="P807" s="43"/>
    </row>
    <row r="808" spans="1:16" ht="20.05" customHeight="1" x14ac:dyDescent="0.25">
      <c r="A808" s="180">
        <v>489</v>
      </c>
      <c r="B808" s="57"/>
      <c r="C808" s="96" t="str">
        <f t="shared" si="164"/>
        <v/>
      </c>
      <c r="D808" s="97" t="str">
        <f t="shared" si="165"/>
        <v/>
      </c>
      <c r="E808" s="58"/>
      <c r="F808" s="59"/>
      <c r="G808" s="106" t="str">
        <f t="shared" si="168"/>
        <v/>
      </c>
      <c r="H808" s="103" t="str">
        <f t="shared" si="166"/>
        <v/>
      </c>
      <c r="I808" s="110" t="str">
        <f t="shared" si="169"/>
        <v/>
      </c>
      <c r="J808" s="100" t="str">
        <f>IF(B808&gt;0,VLOOKUP(B808,G011B!$B:$R,16,0),"")</f>
        <v/>
      </c>
      <c r="K808" s="100" t="str">
        <f t="shared" si="170"/>
        <v/>
      </c>
      <c r="L808" s="101" t="str">
        <f>IF(B808&lt;&gt;"",VLOOKUP(B808,G011B!$B:$Z,25,0),"")</f>
        <v/>
      </c>
      <c r="M808" s="160" t="str">
        <f t="shared" si="167"/>
        <v/>
      </c>
      <c r="N808" s="43"/>
      <c r="O808" s="43"/>
      <c r="P808" s="43"/>
    </row>
    <row r="809" spans="1:16" ht="20.05" customHeight="1" x14ac:dyDescent="0.25">
      <c r="A809" s="180">
        <v>490</v>
      </c>
      <c r="B809" s="57"/>
      <c r="C809" s="96" t="str">
        <f t="shared" si="164"/>
        <v/>
      </c>
      <c r="D809" s="97" t="str">
        <f t="shared" si="165"/>
        <v/>
      </c>
      <c r="E809" s="58"/>
      <c r="F809" s="59"/>
      <c r="G809" s="106" t="str">
        <f t="shared" si="168"/>
        <v/>
      </c>
      <c r="H809" s="103" t="str">
        <f t="shared" si="166"/>
        <v/>
      </c>
      <c r="I809" s="110" t="str">
        <f t="shared" si="169"/>
        <v/>
      </c>
      <c r="J809" s="100" t="str">
        <f>IF(B809&gt;0,VLOOKUP(B809,G011B!$B:$R,16,0),"")</f>
        <v/>
      </c>
      <c r="K809" s="100" t="str">
        <f t="shared" si="170"/>
        <v/>
      </c>
      <c r="L809" s="101" t="str">
        <f>IF(B809&lt;&gt;"",VLOOKUP(B809,G011B!$B:$Z,25,0),"")</f>
        <v/>
      </c>
      <c r="M809" s="160" t="str">
        <f t="shared" si="167"/>
        <v/>
      </c>
      <c r="N809" s="43"/>
      <c r="O809" s="43"/>
      <c r="P809" s="43"/>
    </row>
    <row r="810" spans="1:16" ht="20.05" customHeight="1" x14ac:dyDescent="0.25">
      <c r="A810" s="180">
        <v>491</v>
      </c>
      <c r="B810" s="57"/>
      <c r="C810" s="96" t="str">
        <f t="shared" si="164"/>
        <v/>
      </c>
      <c r="D810" s="97" t="str">
        <f t="shared" si="165"/>
        <v/>
      </c>
      <c r="E810" s="58"/>
      <c r="F810" s="59"/>
      <c r="G810" s="106" t="str">
        <f t="shared" si="168"/>
        <v/>
      </c>
      <c r="H810" s="103" t="str">
        <f t="shared" si="166"/>
        <v/>
      </c>
      <c r="I810" s="110" t="str">
        <f t="shared" si="169"/>
        <v/>
      </c>
      <c r="J810" s="100" t="str">
        <f>IF(B810&gt;0,VLOOKUP(B810,G011B!$B:$R,16,0),"")</f>
        <v/>
      </c>
      <c r="K810" s="100" t="str">
        <f t="shared" si="170"/>
        <v/>
      </c>
      <c r="L810" s="101" t="str">
        <f>IF(B810&lt;&gt;"",VLOOKUP(B810,G011B!$B:$Z,25,0),"")</f>
        <v/>
      </c>
      <c r="M810" s="160" t="str">
        <f t="shared" si="167"/>
        <v/>
      </c>
      <c r="N810" s="43"/>
      <c r="O810" s="43"/>
      <c r="P810" s="43"/>
    </row>
    <row r="811" spans="1:16" ht="20.05" customHeight="1" x14ac:dyDescent="0.25">
      <c r="A811" s="180">
        <v>492</v>
      </c>
      <c r="B811" s="57"/>
      <c r="C811" s="96" t="str">
        <f t="shared" si="164"/>
        <v/>
      </c>
      <c r="D811" s="97" t="str">
        <f t="shared" si="165"/>
        <v/>
      </c>
      <c r="E811" s="58"/>
      <c r="F811" s="59"/>
      <c r="G811" s="106" t="str">
        <f t="shared" si="168"/>
        <v/>
      </c>
      <c r="H811" s="103" t="str">
        <f t="shared" si="166"/>
        <v/>
      </c>
      <c r="I811" s="110" t="str">
        <f t="shared" si="169"/>
        <v/>
      </c>
      <c r="J811" s="100" t="str">
        <f>IF(B811&gt;0,VLOOKUP(B811,G011B!$B:$R,16,0),"")</f>
        <v/>
      </c>
      <c r="K811" s="100" t="str">
        <f t="shared" si="170"/>
        <v/>
      </c>
      <c r="L811" s="101" t="str">
        <f>IF(B811&lt;&gt;"",VLOOKUP(B811,G011B!$B:$Z,25,0),"")</f>
        <v/>
      </c>
      <c r="M811" s="160" t="str">
        <f t="shared" si="167"/>
        <v/>
      </c>
      <c r="N811" s="43"/>
      <c r="O811" s="43"/>
      <c r="P811" s="43"/>
    </row>
    <row r="812" spans="1:16" ht="20.05" customHeight="1" x14ac:dyDescent="0.25">
      <c r="A812" s="180">
        <v>493</v>
      </c>
      <c r="B812" s="57"/>
      <c r="C812" s="96" t="str">
        <f t="shared" si="164"/>
        <v/>
      </c>
      <c r="D812" s="97" t="str">
        <f t="shared" si="165"/>
        <v/>
      </c>
      <c r="E812" s="58"/>
      <c r="F812" s="59"/>
      <c r="G812" s="106" t="str">
        <f t="shared" si="168"/>
        <v/>
      </c>
      <c r="H812" s="103" t="str">
        <f t="shared" si="166"/>
        <v/>
      </c>
      <c r="I812" s="110" t="str">
        <f t="shared" si="169"/>
        <v/>
      </c>
      <c r="J812" s="100" t="str">
        <f>IF(B812&gt;0,VLOOKUP(B812,G011B!$B:$R,16,0),"")</f>
        <v/>
      </c>
      <c r="K812" s="100" t="str">
        <f t="shared" si="170"/>
        <v/>
      </c>
      <c r="L812" s="101" t="str">
        <f>IF(B812&lt;&gt;"",VLOOKUP(B812,G011B!$B:$Z,25,0),"")</f>
        <v/>
      </c>
      <c r="M812" s="160" t="str">
        <f t="shared" si="167"/>
        <v/>
      </c>
      <c r="N812" s="43"/>
      <c r="O812" s="43"/>
      <c r="P812" s="43"/>
    </row>
    <row r="813" spans="1:16" ht="20.05" customHeight="1" x14ac:dyDescent="0.25">
      <c r="A813" s="180">
        <v>494</v>
      </c>
      <c r="B813" s="57"/>
      <c r="C813" s="96" t="str">
        <f t="shared" si="164"/>
        <v/>
      </c>
      <c r="D813" s="97" t="str">
        <f t="shared" si="165"/>
        <v/>
      </c>
      <c r="E813" s="58"/>
      <c r="F813" s="59"/>
      <c r="G813" s="106" t="str">
        <f t="shared" si="168"/>
        <v/>
      </c>
      <c r="H813" s="103" t="str">
        <f t="shared" si="166"/>
        <v/>
      </c>
      <c r="I813" s="110" t="str">
        <f t="shared" si="169"/>
        <v/>
      </c>
      <c r="J813" s="100" t="str">
        <f>IF(B813&gt;0,VLOOKUP(B813,G011B!$B:$R,16,0),"")</f>
        <v/>
      </c>
      <c r="K813" s="100" t="str">
        <f t="shared" si="170"/>
        <v/>
      </c>
      <c r="L813" s="101" t="str">
        <f>IF(B813&lt;&gt;"",VLOOKUP(B813,G011B!$B:$Z,25,0),"")</f>
        <v/>
      </c>
      <c r="M813" s="160" t="str">
        <f t="shared" si="167"/>
        <v/>
      </c>
      <c r="N813" s="43"/>
      <c r="O813" s="43"/>
      <c r="P813" s="43"/>
    </row>
    <row r="814" spans="1:16" ht="20.05" customHeight="1" x14ac:dyDescent="0.25">
      <c r="A814" s="180">
        <v>495</v>
      </c>
      <c r="B814" s="57"/>
      <c r="C814" s="96" t="str">
        <f t="shared" si="164"/>
        <v/>
      </c>
      <c r="D814" s="97" t="str">
        <f t="shared" si="165"/>
        <v/>
      </c>
      <c r="E814" s="58"/>
      <c r="F814" s="59"/>
      <c r="G814" s="106" t="str">
        <f t="shared" si="168"/>
        <v/>
      </c>
      <c r="H814" s="103" t="str">
        <f t="shared" si="166"/>
        <v/>
      </c>
      <c r="I814" s="110" t="str">
        <f t="shared" si="169"/>
        <v/>
      </c>
      <c r="J814" s="100" t="str">
        <f>IF(B814&gt;0,VLOOKUP(B814,G011B!$B:$R,16,0),"")</f>
        <v/>
      </c>
      <c r="K814" s="100" t="str">
        <f t="shared" si="170"/>
        <v/>
      </c>
      <c r="L814" s="101" t="str">
        <f>IF(B814&lt;&gt;"",VLOOKUP(B814,G011B!$B:$Z,25,0),"")</f>
        <v/>
      </c>
      <c r="M814" s="160" t="str">
        <f t="shared" si="167"/>
        <v/>
      </c>
      <c r="N814" s="43"/>
      <c r="O814" s="43"/>
      <c r="P814" s="43"/>
    </row>
    <row r="815" spans="1:16" ht="20.05" customHeight="1" x14ac:dyDescent="0.25">
      <c r="A815" s="180">
        <v>496</v>
      </c>
      <c r="B815" s="57"/>
      <c r="C815" s="96" t="str">
        <f t="shared" si="164"/>
        <v/>
      </c>
      <c r="D815" s="97" t="str">
        <f t="shared" si="165"/>
        <v/>
      </c>
      <c r="E815" s="58"/>
      <c r="F815" s="59"/>
      <c r="G815" s="106" t="str">
        <f t="shared" si="168"/>
        <v/>
      </c>
      <c r="H815" s="103" t="str">
        <f t="shared" si="166"/>
        <v/>
      </c>
      <c r="I815" s="110" t="str">
        <f t="shared" si="169"/>
        <v/>
      </c>
      <c r="J815" s="100" t="str">
        <f>IF(B815&gt;0,VLOOKUP(B815,G011B!$B:$R,16,0),"")</f>
        <v/>
      </c>
      <c r="K815" s="100" t="str">
        <f t="shared" si="170"/>
        <v/>
      </c>
      <c r="L815" s="101" t="str">
        <f>IF(B815&lt;&gt;"",VLOOKUP(B815,G011B!$B:$Z,25,0),"")</f>
        <v/>
      </c>
      <c r="M815" s="160" t="str">
        <f t="shared" si="167"/>
        <v/>
      </c>
      <c r="N815" s="43"/>
      <c r="O815" s="43"/>
      <c r="P815" s="43"/>
    </row>
    <row r="816" spans="1:16" ht="20.05" customHeight="1" x14ac:dyDescent="0.25">
      <c r="A816" s="180">
        <v>497</v>
      </c>
      <c r="B816" s="57"/>
      <c r="C816" s="96" t="str">
        <f t="shared" si="164"/>
        <v/>
      </c>
      <c r="D816" s="97" t="str">
        <f t="shared" si="165"/>
        <v/>
      </c>
      <c r="E816" s="58"/>
      <c r="F816" s="59"/>
      <c r="G816" s="106" t="str">
        <f t="shared" si="168"/>
        <v/>
      </c>
      <c r="H816" s="103" t="str">
        <f t="shared" si="166"/>
        <v/>
      </c>
      <c r="I816" s="110" t="str">
        <f t="shared" si="169"/>
        <v/>
      </c>
      <c r="J816" s="100" t="str">
        <f>IF(B816&gt;0,VLOOKUP(B816,G011B!$B:$R,16,0),"")</f>
        <v/>
      </c>
      <c r="K816" s="100" t="str">
        <f t="shared" si="170"/>
        <v/>
      </c>
      <c r="L816" s="101" t="str">
        <f>IF(B816&lt;&gt;"",VLOOKUP(B816,G011B!$B:$Z,25,0),"")</f>
        <v/>
      </c>
      <c r="M816" s="160" t="str">
        <f t="shared" si="167"/>
        <v/>
      </c>
      <c r="N816" s="43"/>
      <c r="O816" s="43"/>
      <c r="P816" s="43"/>
    </row>
    <row r="817" spans="1:16" ht="20.05" customHeight="1" x14ac:dyDescent="0.25">
      <c r="A817" s="180">
        <v>498</v>
      </c>
      <c r="B817" s="57"/>
      <c r="C817" s="96" t="str">
        <f t="shared" si="164"/>
        <v/>
      </c>
      <c r="D817" s="97" t="str">
        <f t="shared" si="165"/>
        <v/>
      </c>
      <c r="E817" s="58"/>
      <c r="F817" s="59"/>
      <c r="G817" s="106" t="str">
        <f t="shared" si="168"/>
        <v/>
      </c>
      <c r="H817" s="103" t="str">
        <f t="shared" si="166"/>
        <v/>
      </c>
      <c r="I817" s="110" t="str">
        <f t="shared" si="169"/>
        <v/>
      </c>
      <c r="J817" s="100" t="str">
        <f>IF(B817&gt;0,VLOOKUP(B817,G011B!$B:$R,16,0),"")</f>
        <v/>
      </c>
      <c r="K817" s="100" t="str">
        <f t="shared" si="170"/>
        <v/>
      </c>
      <c r="L817" s="101" t="str">
        <f>IF(B817&lt;&gt;"",VLOOKUP(B817,G011B!$B:$Z,25,0),"")</f>
        <v/>
      </c>
      <c r="M817" s="160" t="str">
        <f t="shared" si="167"/>
        <v/>
      </c>
      <c r="N817" s="43"/>
      <c r="O817" s="43"/>
      <c r="P817" s="43"/>
    </row>
    <row r="818" spans="1:16" ht="20.05" customHeight="1" x14ac:dyDescent="0.25">
      <c r="A818" s="180">
        <v>499</v>
      </c>
      <c r="B818" s="57"/>
      <c r="C818" s="96" t="str">
        <f t="shared" si="164"/>
        <v/>
      </c>
      <c r="D818" s="97" t="str">
        <f t="shared" si="165"/>
        <v/>
      </c>
      <c r="E818" s="58"/>
      <c r="F818" s="59"/>
      <c r="G818" s="106" t="str">
        <f t="shared" si="168"/>
        <v/>
      </c>
      <c r="H818" s="103" t="str">
        <f t="shared" si="166"/>
        <v/>
      </c>
      <c r="I818" s="110" t="str">
        <f t="shared" si="169"/>
        <v/>
      </c>
      <c r="J818" s="100" t="str">
        <f>IF(B818&gt;0,VLOOKUP(B818,G011B!$B:$R,16,0),"")</f>
        <v/>
      </c>
      <c r="K818" s="100" t="str">
        <f t="shared" si="170"/>
        <v/>
      </c>
      <c r="L818" s="101" t="str">
        <f>IF(B818&lt;&gt;"",VLOOKUP(B818,G011B!$B:$Z,25,0),"")</f>
        <v/>
      </c>
      <c r="M818" s="160" t="str">
        <f t="shared" si="167"/>
        <v/>
      </c>
      <c r="N818" s="43"/>
      <c r="O818" s="43"/>
      <c r="P818" s="43"/>
    </row>
    <row r="819" spans="1:16" ht="20.05" customHeight="1" thickBot="1" x14ac:dyDescent="0.3">
      <c r="A819" s="181">
        <v>500</v>
      </c>
      <c r="B819" s="60"/>
      <c r="C819" s="98" t="str">
        <f t="shared" si="164"/>
        <v/>
      </c>
      <c r="D819" s="99" t="str">
        <f t="shared" si="165"/>
        <v/>
      </c>
      <c r="E819" s="61"/>
      <c r="F819" s="62"/>
      <c r="G819" s="107" t="str">
        <f t="shared" si="168"/>
        <v/>
      </c>
      <c r="H819" s="104" t="str">
        <f t="shared" si="166"/>
        <v/>
      </c>
      <c r="I819" s="111" t="str">
        <f t="shared" si="169"/>
        <v/>
      </c>
      <c r="J819" s="100" t="str">
        <f>IF(B819&gt;0,VLOOKUP(B819,G011B!$B:$R,16,0),"")</f>
        <v/>
      </c>
      <c r="K819" s="100" t="str">
        <f t="shared" si="170"/>
        <v/>
      </c>
      <c r="L819" s="101" t="str">
        <f>IF(B819&lt;&gt;"",VLOOKUP(B819,G011B!$B:$Z,25,0),"")</f>
        <v/>
      </c>
      <c r="M819" s="160" t="str">
        <f t="shared" si="167"/>
        <v/>
      </c>
      <c r="N819" s="43"/>
      <c r="O819" s="43"/>
      <c r="P819" s="43"/>
    </row>
    <row r="820" spans="1:16" ht="20.05" customHeight="1" thickBot="1" x14ac:dyDescent="0.4">
      <c r="A820" s="360" t="s">
        <v>42</v>
      </c>
      <c r="B820" s="361"/>
      <c r="C820" s="361"/>
      <c r="D820" s="361"/>
      <c r="E820" s="361"/>
      <c r="F820" s="362"/>
      <c r="G820" s="108">
        <f>SUM(G800:G819)</f>
        <v>0</v>
      </c>
      <c r="H820" s="202"/>
      <c r="I820" s="93">
        <f>IF(C798=C765,SUM(I800:I819)+I787,SUM(I800:I819))</f>
        <v>0</v>
      </c>
      <c r="J820" s="43"/>
      <c r="K820" s="43"/>
      <c r="L820" s="43"/>
      <c r="M820" s="43"/>
      <c r="N820" s="112">
        <f>IF(COUNTA(B800:B819)&gt;0,1,0)</f>
        <v>0</v>
      </c>
      <c r="O820" s="43"/>
      <c r="P820" s="43"/>
    </row>
    <row r="821" spans="1:16" ht="20.05" customHeight="1" thickBot="1" x14ac:dyDescent="0.35">
      <c r="A821" s="363" t="s">
        <v>80</v>
      </c>
      <c r="B821" s="364"/>
      <c r="C821" s="364"/>
      <c r="D821" s="365"/>
      <c r="E821" s="86">
        <f>SUM(G:G)/2</f>
        <v>0</v>
      </c>
      <c r="F821" s="366"/>
      <c r="G821" s="367"/>
      <c r="H821" s="368"/>
      <c r="I821" s="92">
        <f>SUM(I800:I819)+I788</f>
        <v>0</v>
      </c>
      <c r="J821" s="43"/>
      <c r="K821" s="43"/>
      <c r="L821" s="43"/>
      <c r="M821" s="43"/>
      <c r="N821" s="43"/>
      <c r="O821" s="43"/>
      <c r="P821" s="43"/>
    </row>
    <row r="822" spans="1:16" x14ac:dyDescent="0.25">
      <c r="A822" s="182" t="s">
        <v>118</v>
      </c>
      <c r="B822" s="43"/>
      <c r="C822" s="43"/>
      <c r="D822" s="43"/>
      <c r="E822" s="43"/>
      <c r="F822" s="43"/>
      <c r="G822" s="43"/>
      <c r="H822" s="43"/>
      <c r="I822" s="43"/>
      <c r="J822" s="43"/>
      <c r="K822" s="43"/>
      <c r="L822" s="43"/>
      <c r="M822" s="43"/>
      <c r="N822" s="43"/>
      <c r="O822" s="43"/>
      <c r="P822" s="43"/>
    </row>
    <row r="823" spans="1:16" x14ac:dyDescent="0.25">
      <c r="A823" s="43"/>
      <c r="B823" s="43"/>
      <c r="C823" s="43"/>
      <c r="D823" s="43"/>
      <c r="E823" s="43"/>
      <c r="F823" s="43"/>
      <c r="G823" s="43"/>
      <c r="H823" s="43"/>
      <c r="I823" s="43"/>
      <c r="J823" s="43"/>
      <c r="K823" s="43"/>
      <c r="L823" s="43"/>
      <c r="M823" s="43"/>
      <c r="N823" s="43"/>
      <c r="O823" s="43"/>
      <c r="P823" s="43"/>
    </row>
    <row r="824" spans="1:16" ht="21.1" x14ac:dyDescent="0.35">
      <c r="A824" s="247" t="s">
        <v>39</v>
      </c>
      <c r="B824" s="248">
        <f ca="1">IF(imzatarihi&gt;0,imzatarihi,"")</f>
        <v>45686</v>
      </c>
      <c r="C824" s="251" t="s">
        <v>40</v>
      </c>
      <c r="D824" s="245" t="str">
        <f>IF(kurulusyetkilisi&gt;0,kurulusyetkilisi,"")</f>
        <v/>
      </c>
      <c r="F824" s="247"/>
      <c r="G824" s="247"/>
      <c r="H824" s="163"/>
      <c r="I824" s="163"/>
      <c r="J824" s="43"/>
      <c r="K824" s="73"/>
      <c r="L824" s="73"/>
      <c r="M824" s="5"/>
      <c r="N824" s="73"/>
      <c r="O824" s="73"/>
      <c r="P824" s="43"/>
    </row>
    <row r="825" spans="1:16" ht="19.7" x14ac:dyDescent="0.35">
      <c r="A825" s="249"/>
      <c r="B825" s="249"/>
      <c r="C825" s="251" t="s">
        <v>41</v>
      </c>
      <c r="D825" s="247"/>
      <c r="E825" s="302"/>
      <c r="F825" s="302"/>
      <c r="G825" s="302"/>
      <c r="H825" s="42"/>
      <c r="I825" s="42"/>
      <c r="J825" s="43"/>
      <c r="K825" s="73"/>
      <c r="L825" s="73"/>
      <c r="M825" s="5"/>
      <c r="N825" s="73"/>
      <c r="O825" s="73"/>
      <c r="P825" s="43"/>
    </row>
  </sheetData>
  <sheetProtection algorithmName="SHA-512" hashValue="wkULz0Wu97OG5hJxa3Eochvg56iQ2GJGSQ+nGxUIbLxr4s3mao/9xekGaEEeN1IocBJePKLBLCRdVv9gU434eQ==" saltValue="Eydx0ugqtL8yMIa9+LKOXw==" spinCount="100000" sheet="1" objects="1" scenarios="1"/>
  <mergeCells count="325">
    <mergeCell ref="A821:D821"/>
    <mergeCell ref="F821:H821"/>
    <mergeCell ref="E825:G825"/>
    <mergeCell ref="A797:B797"/>
    <mergeCell ref="C797:I797"/>
    <mergeCell ref="A798:B798"/>
    <mergeCell ref="A820:F820"/>
    <mergeCell ref="D798:I798"/>
    <mergeCell ref="A793:I793"/>
    <mergeCell ref="A794:I794"/>
    <mergeCell ref="A795:I795"/>
    <mergeCell ref="A796:B796"/>
    <mergeCell ref="C796:I796"/>
    <mergeCell ref="A788:D788"/>
    <mergeCell ref="F788:H788"/>
    <mergeCell ref="E792:G792"/>
    <mergeCell ref="A764:B764"/>
    <mergeCell ref="C764:I764"/>
    <mergeCell ref="A765:B765"/>
    <mergeCell ref="A787:F787"/>
    <mergeCell ref="D765:I765"/>
    <mergeCell ref="A760:I760"/>
    <mergeCell ref="A761:I761"/>
    <mergeCell ref="A762:I762"/>
    <mergeCell ref="A763:B763"/>
    <mergeCell ref="C763:I763"/>
    <mergeCell ref="A755:D755"/>
    <mergeCell ref="F755:H755"/>
    <mergeCell ref="E759:G759"/>
    <mergeCell ref="A731:B731"/>
    <mergeCell ref="C731:I731"/>
    <mergeCell ref="A732:B732"/>
    <mergeCell ref="A754:F754"/>
    <mergeCell ref="D732:I732"/>
    <mergeCell ref="A727:I727"/>
    <mergeCell ref="A728:I728"/>
    <mergeCell ref="A729:I729"/>
    <mergeCell ref="A730:B730"/>
    <mergeCell ref="C730:I730"/>
    <mergeCell ref="A722:D722"/>
    <mergeCell ref="F722:H722"/>
    <mergeCell ref="E726:G726"/>
    <mergeCell ref="A698:B698"/>
    <mergeCell ref="C698:I698"/>
    <mergeCell ref="A699:B699"/>
    <mergeCell ref="A721:F721"/>
    <mergeCell ref="D699:I699"/>
    <mergeCell ref="A694:I694"/>
    <mergeCell ref="A695:I695"/>
    <mergeCell ref="A696:I696"/>
    <mergeCell ref="A697:B697"/>
    <mergeCell ref="C697:I697"/>
    <mergeCell ref="A689:D689"/>
    <mergeCell ref="F689:H689"/>
    <mergeCell ref="E693:G693"/>
    <mergeCell ref="A665:B665"/>
    <mergeCell ref="C665:I665"/>
    <mergeCell ref="A666:B666"/>
    <mergeCell ref="A688:F688"/>
    <mergeCell ref="D666:I666"/>
    <mergeCell ref="A661:I661"/>
    <mergeCell ref="A662:I662"/>
    <mergeCell ref="A663:I663"/>
    <mergeCell ref="A664:B664"/>
    <mergeCell ref="C664:I664"/>
    <mergeCell ref="A656:D656"/>
    <mergeCell ref="F656:H656"/>
    <mergeCell ref="E660:G660"/>
    <mergeCell ref="A632:B632"/>
    <mergeCell ref="C632:I632"/>
    <mergeCell ref="A633:B633"/>
    <mergeCell ref="A655:F655"/>
    <mergeCell ref="D633:I633"/>
    <mergeCell ref="A628:I628"/>
    <mergeCell ref="A629:I629"/>
    <mergeCell ref="A630:I630"/>
    <mergeCell ref="A631:B631"/>
    <mergeCell ref="C631:I631"/>
    <mergeCell ref="A623:D623"/>
    <mergeCell ref="F623:H623"/>
    <mergeCell ref="E627:G627"/>
    <mergeCell ref="A599:B599"/>
    <mergeCell ref="C599:I599"/>
    <mergeCell ref="A600:B600"/>
    <mergeCell ref="A622:F622"/>
    <mergeCell ref="D600:I600"/>
    <mergeCell ref="A595:I595"/>
    <mergeCell ref="A596:I596"/>
    <mergeCell ref="A597:I597"/>
    <mergeCell ref="A598:B598"/>
    <mergeCell ref="C598:I598"/>
    <mergeCell ref="A590:D590"/>
    <mergeCell ref="F590:H590"/>
    <mergeCell ref="E594:G594"/>
    <mergeCell ref="A566:B566"/>
    <mergeCell ref="C566:I566"/>
    <mergeCell ref="A567:B567"/>
    <mergeCell ref="A589:F589"/>
    <mergeCell ref="D567:I567"/>
    <mergeCell ref="A562:I562"/>
    <mergeCell ref="A563:I563"/>
    <mergeCell ref="A564:I564"/>
    <mergeCell ref="A565:B565"/>
    <mergeCell ref="C565:I565"/>
    <mergeCell ref="A557:D557"/>
    <mergeCell ref="F557:H557"/>
    <mergeCell ref="E561:G561"/>
    <mergeCell ref="A533:B533"/>
    <mergeCell ref="C533:I533"/>
    <mergeCell ref="A534:B534"/>
    <mergeCell ref="A556:F556"/>
    <mergeCell ref="D534:I534"/>
    <mergeCell ref="A529:I529"/>
    <mergeCell ref="A530:I530"/>
    <mergeCell ref="A531:I531"/>
    <mergeCell ref="A532:B532"/>
    <mergeCell ref="C532:I532"/>
    <mergeCell ref="A524:D524"/>
    <mergeCell ref="F524:H524"/>
    <mergeCell ref="E528:G528"/>
    <mergeCell ref="A500:B500"/>
    <mergeCell ref="C500:I500"/>
    <mergeCell ref="A501:B501"/>
    <mergeCell ref="A523:F523"/>
    <mergeCell ref="D501:I501"/>
    <mergeCell ref="A496:I496"/>
    <mergeCell ref="A497:I497"/>
    <mergeCell ref="A498:I498"/>
    <mergeCell ref="A499:B499"/>
    <mergeCell ref="C499:I499"/>
    <mergeCell ref="A491:D491"/>
    <mergeCell ref="F491:H491"/>
    <mergeCell ref="E495:G495"/>
    <mergeCell ref="A467:B467"/>
    <mergeCell ref="C467:I467"/>
    <mergeCell ref="A468:B468"/>
    <mergeCell ref="A490:F490"/>
    <mergeCell ref="D468:I468"/>
    <mergeCell ref="A463:I463"/>
    <mergeCell ref="A464:I464"/>
    <mergeCell ref="A465:I465"/>
    <mergeCell ref="A466:B466"/>
    <mergeCell ref="C466:I466"/>
    <mergeCell ref="A458:D458"/>
    <mergeCell ref="F458:H458"/>
    <mergeCell ref="E462:G462"/>
    <mergeCell ref="A434:B434"/>
    <mergeCell ref="C434:I434"/>
    <mergeCell ref="A435:B435"/>
    <mergeCell ref="A457:F457"/>
    <mergeCell ref="D435:I435"/>
    <mergeCell ref="A430:I430"/>
    <mergeCell ref="A431:I431"/>
    <mergeCell ref="A432:I432"/>
    <mergeCell ref="A433:B433"/>
    <mergeCell ref="C433:I433"/>
    <mergeCell ref="A425:D425"/>
    <mergeCell ref="F425:H425"/>
    <mergeCell ref="E429:G429"/>
    <mergeCell ref="A401:B401"/>
    <mergeCell ref="C401:I401"/>
    <mergeCell ref="A402:B402"/>
    <mergeCell ref="A424:F424"/>
    <mergeCell ref="D402:I402"/>
    <mergeCell ref="A397:I397"/>
    <mergeCell ref="A398:I398"/>
    <mergeCell ref="A399:I399"/>
    <mergeCell ref="A400:B400"/>
    <mergeCell ref="C400:I400"/>
    <mergeCell ref="A392:D392"/>
    <mergeCell ref="F392:H392"/>
    <mergeCell ref="E396:G396"/>
    <mergeCell ref="A368:B368"/>
    <mergeCell ref="C368:I368"/>
    <mergeCell ref="A369:B369"/>
    <mergeCell ref="A391:F391"/>
    <mergeCell ref="D369:I369"/>
    <mergeCell ref="A364:I364"/>
    <mergeCell ref="A365:I365"/>
    <mergeCell ref="A366:I366"/>
    <mergeCell ref="A367:B367"/>
    <mergeCell ref="C367:I367"/>
    <mergeCell ref="A359:D359"/>
    <mergeCell ref="F359:H359"/>
    <mergeCell ref="E363:G363"/>
    <mergeCell ref="A335:B335"/>
    <mergeCell ref="C335:I335"/>
    <mergeCell ref="A336:B336"/>
    <mergeCell ref="A358:F358"/>
    <mergeCell ref="D336:I336"/>
    <mergeCell ref="A331:I331"/>
    <mergeCell ref="A332:I332"/>
    <mergeCell ref="A333:I333"/>
    <mergeCell ref="A334:B334"/>
    <mergeCell ref="C334:I334"/>
    <mergeCell ref="A326:D326"/>
    <mergeCell ref="F326:H326"/>
    <mergeCell ref="E330:G330"/>
    <mergeCell ref="A302:B302"/>
    <mergeCell ref="C302:I302"/>
    <mergeCell ref="A303:B303"/>
    <mergeCell ref="A325:F325"/>
    <mergeCell ref="D303:I303"/>
    <mergeCell ref="A298:I298"/>
    <mergeCell ref="A299:I299"/>
    <mergeCell ref="A300:I300"/>
    <mergeCell ref="A301:B301"/>
    <mergeCell ref="C301:I301"/>
    <mergeCell ref="A293:D293"/>
    <mergeCell ref="F293:H293"/>
    <mergeCell ref="E297:G297"/>
    <mergeCell ref="A269:B269"/>
    <mergeCell ref="C269:I269"/>
    <mergeCell ref="A270:B270"/>
    <mergeCell ref="A292:F292"/>
    <mergeCell ref="D270:I270"/>
    <mergeCell ref="A265:I265"/>
    <mergeCell ref="A266:I266"/>
    <mergeCell ref="A267:I267"/>
    <mergeCell ref="A268:B268"/>
    <mergeCell ref="C268:I268"/>
    <mergeCell ref="A260:D260"/>
    <mergeCell ref="F260:H260"/>
    <mergeCell ref="E264:G264"/>
    <mergeCell ref="A236:B236"/>
    <mergeCell ref="C236:I236"/>
    <mergeCell ref="A237:B237"/>
    <mergeCell ref="A259:F259"/>
    <mergeCell ref="D237:I237"/>
    <mergeCell ref="A232:I232"/>
    <mergeCell ref="A233:I233"/>
    <mergeCell ref="A234:I234"/>
    <mergeCell ref="A235:B235"/>
    <mergeCell ref="C235:I235"/>
    <mergeCell ref="A227:D227"/>
    <mergeCell ref="F227:H227"/>
    <mergeCell ref="E231:G231"/>
    <mergeCell ref="A203:B203"/>
    <mergeCell ref="C203:I203"/>
    <mergeCell ref="A204:B204"/>
    <mergeCell ref="A226:F226"/>
    <mergeCell ref="D204:I204"/>
    <mergeCell ref="A199:I199"/>
    <mergeCell ref="A200:I200"/>
    <mergeCell ref="A201:I201"/>
    <mergeCell ref="A202:B202"/>
    <mergeCell ref="C202:I202"/>
    <mergeCell ref="A194:D194"/>
    <mergeCell ref="F194:H194"/>
    <mergeCell ref="E198:G198"/>
    <mergeCell ref="A170:B170"/>
    <mergeCell ref="C170:I170"/>
    <mergeCell ref="A171:B171"/>
    <mergeCell ref="A193:F193"/>
    <mergeCell ref="D171:I171"/>
    <mergeCell ref="A166:I166"/>
    <mergeCell ref="A167:I167"/>
    <mergeCell ref="A168:I168"/>
    <mergeCell ref="A169:B169"/>
    <mergeCell ref="C169:I169"/>
    <mergeCell ref="A161:D161"/>
    <mergeCell ref="F161:H161"/>
    <mergeCell ref="E165:G165"/>
    <mergeCell ref="A137:B137"/>
    <mergeCell ref="C137:I137"/>
    <mergeCell ref="A138:B138"/>
    <mergeCell ref="A160:F160"/>
    <mergeCell ref="D138:I138"/>
    <mergeCell ref="A133:I133"/>
    <mergeCell ref="A134:I134"/>
    <mergeCell ref="A135:I135"/>
    <mergeCell ref="A136:B136"/>
    <mergeCell ref="C136:I136"/>
    <mergeCell ref="A128:D128"/>
    <mergeCell ref="F128:H128"/>
    <mergeCell ref="E132:G132"/>
    <mergeCell ref="A104:B104"/>
    <mergeCell ref="C104:I104"/>
    <mergeCell ref="A105:B105"/>
    <mergeCell ref="A127:F127"/>
    <mergeCell ref="D105:I105"/>
    <mergeCell ref="A100:I100"/>
    <mergeCell ref="A101:I101"/>
    <mergeCell ref="A102:I102"/>
    <mergeCell ref="A103:B103"/>
    <mergeCell ref="C103:I103"/>
    <mergeCell ref="A95:D95"/>
    <mergeCell ref="F95:H95"/>
    <mergeCell ref="E99:G99"/>
    <mergeCell ref="A71:B71"/>
    <mergeCell ref="C71:I71"/>
    <mergeCell ref="A72:B72"/>
    <mergeCell ref="A94:F94"/>
    <mergeCell ref="D72:I72"/>
    <mergeCell ref="A67:I67"/>
    <mergeCell ref="A68:I68"/>
    <mergeCell ref="A69:I69"/>
    <mergeCell ref="A70:B70"/>
    <mergeCell ref="C70:I70"/>
    <mergeCell ref="A62:D62"/>
    <mergeCell ref="F62:H62"/>
    <mergeCell ref="E66:G66"/>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s>
  <dataValidations count="2">
    <dataValidation type="decimal" allowBlank="1" showInputMessage="1" showErrorMessage="1" error="Adam/Ay oranı en fazla 1 olabilir." prompt="Adam/Ay Oranı en fazla 1 olabilir." sqref="E800:E819 E767:E786 E41:E60 E74:E93 E107:E126 E140:E159 E173:E192 E206:E225 E239:E258 E272:E291 E305:E324 E338:E357 E371:E390 E404:E423 E437:E456 E470:E489 E503:E522 E536:E555 E569:E588 E602:E621 E635:E654 E668:E687 E701:E720 E734:E753 E8:E27"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74:F93 F107:F126 F140:F159 F173:F192 F206:F225 F239:F258 F272:F291 F305:F324 F338:F357 F371:F390 F404:F423 F437:F456 F470:F489 F503:F522 F536:F555 F569:F588 F602:F621 F635:F654 F668:F687 F701:F720 F734:F753 F8:F27" xr:uid="{00000000-0002-0000-0C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8"/>
  <dimension ref="A1:Q202"/>
  <sheetViews>
    <sheetView zoomScale="80" zoomScaleNormal="80" workbookViewId="0">
      <selection activeCell="B8" sqref="B8"/>
    </sheetView>
  </sheetViews>
  <sheetFormatPr defaultColWidth="8.875" defaultRowHeight="30.1" customHeight="1" x14ac:dyDescent="0.3"/>
  <cols>
    <col min="1" max="1" width="6.625" style="19" customWidth="1"/>
    <col min="2" max="2" width="14.625" style="19" customWidth="1"/>
    <col min="3" max="3" width="19.75" style="19" customWidth="1"/>
    <col min="4" max="4" width="45.75" style="19" customWidth="1"/>
    <col min="5" max="5" width="41.75" style="19" customWidth="1"/>
    <col min="6" max="6" width="40.75" style="19" customWidth="1"/>
    <col min="7" max="7" width="16.75" style="155" customWidth="1"/>
    <col min="8" max="8" width="30.75" style="19" customWidth="1"/>
    <col min="9" max="10" width="18.75" style="19" customWidth="1"/>
    <col min="11" max="11" width="70.75" style="44" customWidth="1"/>
    <col min="12" max="12" width="8.875" style="27" hidden="1" customWidth="1"/>
    <col min="13" max="13" width="28.75" style="19" hidden="1" customWidth="1"/>
    <col min="14" max="14" width="11.75" style="19" hidden="1" customWidth="1"/>
    <col min="15" max="15" width="8.875" style="19" hidden="1" customWidth="1"/>
    <col min="16" max="17" width="8.875" style="19" customWidth="1"/>
    <col min="18" max="16384" width="8.875" style="19"/>
  </cols>
  <sheetData>
    <row r="1" spans="1:17" ht="30.1" customHeight="1" x14ac:dyDescent="0.3">
      <c r="A1" s="375" t="s">
        <v>93</v>
      </c>
      <c r="B1" s="375"/>
      <c r="C1" s="375"/>
      <c r="D1" s="375"/>
      <c r="E1" s="375"/>
      <c r="F1" s="375"/>
      <c r="G1" s="375"/>
      <c r="H1" s="375"/>
      <c r="I1" s="375"/>
      <c r="J1" s="375"/>
      <c r="K1" s="51"/>
      <c r="L1" s="52"/>
      <c r="M1" s="31"/>
      <c r="N1" s="31"/>
      <c r="O1" s="85" t="str">
        <f>CONCATENATE("A1:K",SUM(N:N)*27)</f>
        <v>A1:K27</v>
      </c>
      <c r="P1" s="31"/>
    </row>
    <row r="2" spans="1:17" ht="30.1" customHeight="1" x14ac:dyDescent="0.3">
      <c r="A2" s="329" t="str">
        <f>IF(YilDonem&lt;&gt;"",CONCATENATE(YilDonem,". döneme aittir."),"")</f>
        <v/>
      </c>
      <c r="B2" s="329"/>
      <c r="C2" s="329"/>
      <c r="D2" s="329"/>
      <c r="E2" s="329"/>
      <c r="F2" s="329"/>
      <c r="G2" s="329"/>
      <c r="H2" s="329"/>
      <c r="I2" s="329"/>
      <c r="J2" s="329"/>
      <c r="K2" s="166"/>
      <c r="L2" s="52"/>
      <c r="M2" s="149"/>
      <c r="N2" s="31"/>
      <c r="O2" s="31"/>
      <c r="P2" s="31"/>
    </row>
    <row r="3" spans="1:17" ht="30.1" customHeight="1" thickBot="1" x14ac:dyDescent="0.35">
      <c r="A3" s="355" t="s">
        <v>96</v>
      </c>
      <c r="B3" s="355"/>
      <c r="C3" s="355"/>
      <c r="D3" s="355"/>
      <c r="E3" s="355"/>
      <c r="F3" s="355"/>
      <c r="G3" s="355"/>
      <c r="H3" s="355"/>
      <c r="I3" s="355"/>
      <c r="J3" s="355"/>
      <c r="K3" s="166"/>
      <c r="L3" s="52"/>
      <c r="M3" s="149"/>
      <c r="N3" s="31"/>
      <c r="O3" s="31"/>
      <c r="P3" s="31"/>
    </row>
    <row r="4" spans="1:17" ht="30.1" customHeight="1" thickBot="1" x14ac:dyDescent="0.35">
      <c r="A4" s="380" t="s">
        <v>1</v>
      </c>
      <c r="B4" s="382"/>
      <c r="C4" s="380" t="str">
        <f>IF(ProjeNo&gt;0,ProjeNo,"")</f>
        <v/>
      </c>
      <c r="D4" s="381"/>
      <c r="E4" s="381"/>
      <c r="F4" s="381"/>
      <c r="G4" s="381"/>
      <c r="H4" s="381"/>
      <c r="I4" s="381"/>
      <c r="J4" s="382"/>
      <c r="K4" s="32"/>
      <c r="L4" s="28"/>
      <c r="M4" s="31"/>
      <c r="N4" s="31"/>
      <c r="O4" s="31"/>
      <c r="P4" s="31"/>
    </row>
    <row r="5" spans="1:17" ht="30.1" customHeight="1" thickBot="1" x14ac:dyDescent="0.35">
      <c r="A5" s="388" t="s">
        <v>11</v>
      </c>
      <c r="B5" s="389"/>
      <c r="C5" s="383" t="str">
        <f>IF(ProjeAdi&gt;0,ProjeAdi,"")</f>
        <v/>
      </c>
      <c r="D5" s="384"/>
      <c r="E5" s="384"/>
      <c r="F5" s="384"/>
      <c r="G5" s="384"/>
      <c r="H5" s="384"/>
      <c r="I5" s="384"/>
      <c r="J5" s="385"/>
      <c r="K5" s="32"/>
      <c r="L5" s="28"/>
      <c r="M5" s="31"/>
      <c r="N5" s="31"/>
      <c r="O5" s="31"/>
      <c r="P5" s="31"/>
    </row>
    <row r="6" spans="1:17" ht="30.1" customHeight="1" thickBot="1" x14ac:dyDescent="0.35">
      <c r="A6" s="376" t="s">
        <v>7</v>
      </c>
      <c r="B6" s="376" t="s">
        <v>94</v>
      </c>
      <c r="C6" s="376" t="s">
        <v>95</v>
      </c>
      <c r="D6" s="376" t="s">
        <v>92</v>
      </c>
      <c r="E6" s="376" t="s">
        <v>90</v>
      </c>
      <c r="F6" s="376" t="s">
        <v>91</v>
      </c>
      <c r="G6" s="386" t="s">
        <v>86</v>
      </c>
      <c r="H6" s="376" t="s">
        <v>87</v>
      </c>
      <c r="I6" s="50" t="s">
        <v>88</v>
      </c>
      <c r="J6" s="50" t="s">
        <v>88</v>
      </c>
      <c r="K6" s="32"/>
      <c r="L6" s="28"/>
      <c r="M6" s="31"/>
      <c r="N6" s="165"/>
      <c r="O6" s="165"/>
      <c r="P6" s="31"/>
    </row>
    <row r="7" spans="1:17" ht="30.1" customHeight="1" thickBot="1" x14ac:dyDescent="0.35">
      <c r="A7" s="377"/>
      <c r="B7" s="377"/>
      <c r="C7" s="377"/>
      <c r="D7" s="377"/>
      <c r="E7" s="377"/>
      <c r="F7" s="377"/>
      <c r="G7" s="387"/>
      <c r="H7" s="377"/>
      <c r="I7" s="50" t="s">
        <v>143</v>
      </c>
      <c r="J7" s="50" t="s">
        <v>89</v>
      </c>
      <c r="K7" s="32"/>
      <c r="L7" s="28"/>
      <c r="M7" s="31"/>
      <c r="N7" s="31"/>
      <c r="O7" s="31"/>
      <c r="P7" s="31"/>
    </row>
    <row r="8" spans="1:17" ht="30.1" customHeight="1" x14ac:dyDescent="0.3">
      <c r="A8" s="23">
        <v>1</v>
      </c>
      <c r="B8" s="24"/>
      <c r="C8" s="25"/>
      <c r="D8" s="25"/>
      <c r="E8" s="25"/>
      <c r="F8" s="25"/>
      <c r="G8" s="26"/>
      <c r="H8" s="25"/>
      <c r="I8" s="203"/>
      <c r="J8" s="151"/>
      <c r="K8" s="89" t="str">
        <f t="shared" ref="K8:K22" si="0">IF(AND(COUNTA(B8:F8)&gt;0,L8=1),"Belge Tarihi ve Belge Numarası doldurulduktan sonra KDV Dahil Tutar doldurulabilir.","")</f>
        <v/>
      </c>
      <c r="L8" s="88">
        <f>IF(COUNTA(G8:H8)=2,0,1)</f>
        <v>1</v>
      </c>
      <c r="M8" s="90">
        <f>IF(L8=1,0,100000000)</f>
        <v>0</v>
      </c>
      <c r="N8" s="31"/>
      <c r="O8" s="31"/>
      <c r="P8" s="31"/>
    </row>
    <row r="9" spans="1:17" ht="30.1" customHeight="1" x14ac:dyDescent="0.3">
      <c r="A9" s="20">
        <v>2</v>
      </c>
      <c r="B9" s="12"/>
      <c r="C9" s="13"/>
      <c r="D9" s="13"/>
      <c r="E9" s="13"/>
      <c r="F9" s="13"/>
      <c r="G9" s="14"/>
      <c r="H9" s="13"/>
      <c r="I9" s="204"/>
      <c r="J9" s="152"/>
      <c r="K9" s="89" t="str">
        <f t="shared" si="0"/>
        <v/>
      </c>
      <c r="L9" s="88">
        <f t="shared" ref="L9:L22" si="1">IF(COUNTA(G9:H9)=2,0,1)</f>
        <v>1</v>
      </c>
      <c r="M9" s="90">
        <f t="shared" ref="M9:M22" si="2">IF(L9=1,0,100000000)</f>
        <v>0</v>
      </c>
      <c r="N9" s="31"/>
      <c r="O9" s="31"/>
      <c r="P9" s="31"/>
    </row>
    <row r="10" spans="1:17" ht="30.1" customHeight="1" x14ac:dyDescent="0.3">
      <c r="A10" s="20">
        <v>3</v>
      </c>
      <c r="B10" s="12"/>
      <c r="C10" s="13"/>
      <c r="D10" s="13"/>
      <c r="E10" s="13"/>
      <c r="F10" s="13"/>
      <c r="G10" s="14"/>
      <c r="H10" s="13"/>
      <c r="I10" s="204"/>
      <c r="J10" s="152"/>
      <c r="K10" s="89" t="str">
        <f t="shared" si="0"/>
        <v/>
      </c>
      <c r="L10" s="88">
        <f t="shared" si="1"/>
        <v>1</v>
      </c>
      <c r="M10" s="90">
        <f t="shared" si="2"/>
        <v>0</v>
      </c>
      <c r="N10" s="31"/>
      <c r="O10" s="31"/>
      <c r="P10" s="31"/>
      <c r="Q10" s="31"/>
    </row>
    <row r="11" spans="1:17" ht="30.1" customHeight="1" x14ac:dyDescent="0.3">
      <c r="A11" s="20">
        <v>4</v>
      </c>
      <c r="B11" s="12"/>
      <c r="C11" s="13"/>
      <c r="D11" s="13"/>
      <c r="E11" s="13"/>
      <c r="F11" s="13"/>
      <c r="G11" s="14"/>
      <c r="H11" s="13"/>
      <c r="I11" s="204"/>
      <c r="J11" s="152"/>
      <c r="K11" s="89" t="str">
        <f t="shared" si="0"/>
        <v/>
      </c>
      <c r="L11" s="88">
        <f t="shared" si="1"/>
        <v>1</v>
      </c>
      <c r="M11" s="90">
        <f t="shared" si="2"/>
        <v>0</v>
      </c>
      <c r="N11" s="31"/>
      <c r="O11" s="31"/>
      <c r="P11" s="31"/>
      <c r="Q11" s="31"/>
    </row>
    <row r="12" spans="1:17" ht="30.1" customHeight="1" x14ac:dyDescent="0.3">
      <c r="A12" s="20">
        <v>5</v>
      </c>
      <c r="B12" s="12"/>
      <c r="C12" s="13"/>
      <c r="D12" s="13"/>
      <c r="E12" s="13"/>
      <c r="F12" s="13"/>
      <c r="G12" s="14"/>
      <c r="H12" s="13"/>
      <c r="I12" s="204"/>
      <c r="J12" s="152"/>
      <c r="K12" s="89" t="str">
        <f t="shared" si="0"/>
        <v/>
      </c>
      <c r="L12" s="88">
        <f t="shared" si="1"/>
        <v>1</v>
      </c>
      <c r="M12" s="90">
        <f t="shared" si="2"/>
        <v>0</v>
      </c>
      <c r="N12" s="31"/>
      <c r="O12" s="31"/>
      <c r="P12" s="31"/>
      <c r="Q12" s="31"/>
    </row>
    <row r="13" spans="1:17" ht="30.1" customHeight="1" x14ac:dyDescent="0.3">
      <c r="A13" s="20">
        <v>6</v>
      </c>
      <c r="B13" s="12"/>
      <c r="C13" s="13"/>
      <c r="D13" s="13"/>
      <c r="E13" s="13"/>
      <c r="F13" s="13"/>
      <c r="G13" s="14"/>
      <c r="H13" s="13"/>
      <c r="I13" s="204"/>
      <c r="J13" s="152"/>
      <c r="K13" s="89" t="str">
        <f t="shared" si="0"/>
        <v/>
      </c>
      <c r="L13" s="88">
        <f t="shared" si="1"/>
        <v>1</v>
      </c>
      <c r="M13" s="90">
        <f t="shared" si="2"/>
        <v>0</v>
      </c>
      <c r="N13" s="31"/>
      <c r="O13" s="31"/>
      <c r="P13" s="31"/>
      <c r="Q13" s="31"/>
    </row>
    <row r="14" spans="1:17" ht="30.1" customHeight="1" x14ac:dyDescent="0.3">
      <c r="A14" s="21">
        <v>7</v>
      </c>
      <c r="B14" s="15"/>
      <c r="C14" s="16"/>
      <c r="D14" s="16"/>
      <c r="E14" s="16"/>
      <c r="F14" s="16"/>
      <c r="G14" s="29"/>
      <c r="H14" s="16"/>
      <c r="I14" s="205"/>
      <c r="J14" s="153"/>
      <c r="K14" s="89" t="str">
        <f t="shared" si="0"/>
        <v/>
      </c>
      <c r="L14" s="88">
        <f t="shared" si="1"/>
        <v>1</v>
      </c>
      <c r="M14" s="90">
        <f t="shared" si="2"/>
        <v>0</v>
      </c>
      <c r="N14" s="31"/>
      <c r="O14" s="31"/>
      <c r="P14" s="31"/>
      <c r="Q14" s="31"/>
    </row>
    <row r="15" spans="1:17" ht="30.1" customHeight="1" x14ac:dyDescent="0.3">
      <c r="A15" s="21">
        <v>8</v>
      </c>
      <c r="B15" s="15"/>
      <c r="C15" s="16"/>
      <c r="D15" s="16"/>
      <c r="E15" s="16"/>
      <c r="F15" s="16"/>
      <c r="G15" s="29"/>
      <c r="H15" s="16"/>
      <c r="I15" s="205"/>
      <c r="J15" s="153"/>
      <c r="K15" s="89" t="str">
        <f t="shared" si="0"/>
        <v/>
      </c>
      <c r="L15" s="88">
        <f t="shared" si="1"/>
        <v>1</v>
      </c>
      <c r="M15" s="90">
        <f t="shared" si="2"/>
        <v>0</v>
      </c>
      <c r="N15" s="31"/>
      <c r="O15" s="31"/>
      <c r="P15" s="31"/>
      <c r="Q15" s="31"/>
    </row>
    <row r="16" spans="1:17" ht="30.1" customHeight="1" x14ac:dyDescent="0.3">
      <c r="A16" s="21">
        <v>9</v>
      </c>
      <c r="B16" s="15"/>
      <c r="C16" s="16"/>
      <c r="D16" s="16"/>
      <c r="E16" s="16"/>
      <c r="F16" s="16"/>
      <c r="G16" s="29"/>
      <c r="H16" s="16"/>
      <c r="I16" s="205"/>
      <c r="J16" s="153"/>
      <c r="K16" s="89" t="str">
        <f t="shared" si="0"/>
        <v/>
      </c>
      <c r="L16" s="88">
        <f t="shared" si="1"/>
        <v>1</v>
      </c>
      <c r="M16" s="90">
        <f t="shared" si="2"/>
        <v>0</v>
      </c>
      <c r="N16" s="31"/>
      <c r="O16" s="31"/>
      <c r="P16" s="31"/>
      <c r="Q16" s="31"/>
    </row>
    <row r="17" spans="1:17" ht="30.1" customHeight="1" x14ac:dyDescent="0.3">
      <c r="A17" s="21">
        <v>10</v>
      </c>
      <c r="B17" s="15"/>
      <c r="C17" s="16"/>
      <c r="D17" s="16"/>
      <c r="E17" s="16"/>
      <c r="F17" s="16"/>
      <c r="G17" s="29"/>
      <c r="H17" s="16"/>
      <c r="I17" s="205"/>
      <c r="J17" s="153"/>
      <c r="K17" s="89" t="str">
        <f t="shared" si="0"/>
        <v/>
      </c>
      <c r="L17" s="88">
        <f t="shared" si="1"/>
        <v>1</v>
      </c>
      <c r="M17" s="90">
        <f t="shared" si="2"/>
        <v>0</v>
      </c>
      <c r="N17" s="31"/>
      <c r="O17" s="31"/>
      <c r="P17" s="31"/>
      <c r="Q17" s="31"/>
    </row>
    <row r="18" spans="1:17" ht="30.1" customHeight="1" x14ac:dyDescent="0.3">
      <c r="A18" s="21">
        <v>11</v>
      </c>
      <c r="B18" s="15"/>
      <c r="C18" s="16"/>
      <c r="D18" s="16"/>
      <c r="E18" s="16"/>
      <c r="F18" s="16"/>
      <c r="G18" s="29"/>
      <c r="H18" s="16"/>
      <c r="I18" s="205"/>
      <c r="J18" s="153"/>
      <c r="K18" s="89" t="str">
        <f t="shared" si="0"/>
        <v/>
      </c>
      <c r="L18" s="88">
        <f t="shared" si="1"/>
        <v>1</v>
      </c>
      <c r="M18" s="90">
        <f t="shared" si="2"/>
        <v>0</v>
      </c>
      <c r="N18" s="31"/>
      <c r="O18" s="31"/>
      <c r="P18" s="31"/>
      <c r="Q18" s="31"/>
    </row>
    <row r="19" spans="1:17" ht="30.1" customHeight="1" x14ac:dyDescent="0.3">
      <c r="A19" s="21">
        <v>12</v>
      </c>
      <c r="B19" s="15"/>
      <c r="C19" s="16"/>
      <c r="D19" s="16"/>
      <c r="E19" s="16"/>
      <c r="F19" s="16"/>
      <c r="G19" s="29"/>
      <c r="H19" s="16"/>
      <c r="I19" s="205"/>
      <c r="J19" s="153"/>
      <c r="K19" s="89" t="str">
        <f t="shared" si="0"/>
        <v/>
      </c>
      <c r="L19" s="88">
        <f t="shared" si="1"/>
        <v>1</v>
      </c>
      <c r="M19" s="90">
        <f t="shared" si="2"/>
        <v>0</v>
      </c>
      <c r="N19" s="31"/>
      <c r="O19" s="31"/>
      <c r="P19" s="31"/>
      <c r="Q19" s="31"/>
    </row>
    <row r="20" spans="1:17" ht="30.1" customHeight="1" x14ac:dyDescent="0.3">
      <c r="A20" s="21">
        <v>13</v>
      </c>
      <c r="B20" s="15"/>
      <c r="C20" s="16"/>
      <c r="D20" s="16"/>
      <c r="E20" s="16"/>
      <c r="F20" s="16"/>
      <c r="G20" s="29"/>
      <c r="H20" s="16"/>
      <c r="I20" s="205"/>
      <c r="J20" s="153"/>
      <c r="K20" s="89" t="str">
        <f t="shared" si="0"/>
        <v/>
      </c>
      <c r="L20" s="88">
        <f t="shared" si="1"/>
        <v>1</v>
      </c>
      <c r="M20" s="90">
        <f t="shared" si="2"/>
        <v>0</v>
      </c>
      <c r="N20" s="31"/>
      <c r="O20" s="31"/>
      <c r="P20" s="31"/>
      <c r="Q20" s="31"/>
    </row>
    <row r="21" spans="1:17" ht="30.1" customHeight="1" x14ac:dyDescent="0.3">
      <c r="A21" s="21">
        <v>14</v>
      </c>
      <c r="B21" s="15"/>
      <c r="C21" s="16"/>
      <c r="D21" s="16"/>
      <c r="E21" s="16"/>
      <c r="F21" s="16"/>
      <c r="G21" s="29"/>
      <c r="H21" s="16"/>
      <c r="I21" s="205"/>
      <c r="J21" s="153"/>
      <c r="K21" s="89" t="str">
        <f t="shared" si="0"/>
        <v/>
      </c>
      <c r="L21" s="88">
        <f t="shared" si="1"/>
        <v>1</v>
      </c>
      <c r="M21" s="90">
        <f t="shared" si="2"/>
        <v>0</v>
      </c>
      <c r="N21" s="31"/>
      <c r="O21" s="31"/>
      <c r="P21" s="31"/>
      <c r="Q21" s="31"/>
    </row>
    <row r="22" spans="1:17" ht="30.1" customHeight="1" thickBot="1" x14ac:dyDescent="0.35">
      <c r="A22" s="22">
        <v>15</v>
      </c>
      <c r="B22" s="17"/>
      <c r="C22" s="18"/>
      <c r="D22" s="18"/>
      <c r="E22" s="18"/>
      <c r="F22" s="18"/>
      <c r="G22" s="30"/>
      <c r="H22" s="18"/>
      <c r="I22" s="206"/>
      <c r="J22" s="154"/>
      <c r="K22" s="89" t="str">
        <f t="shared" si="0"/>
        <v/>
      </c>
      <c r="L22" s="88">
        <f t="shared" si="1"/>
        <v>1</v>
      </c>
      <c r="M22" s="90">
        <f t="shared" si="2"/>
        <v>0</v>
      </c>
      <c r="N22" s="19">
        <v>1</v>
      </c>
      <c r="O22" s="31"/>
      <c r="P22" s="31"/>
      <c r="Q22" s="31"/>
    </row>
    <row r="23" spans="1:17" ht="30.1" customHeight="1" thickBot="1" x14ac:dyDescent="0.35">
      <c r="A23" s="378" t="s">
        <v>139</v>
      </c>
      <c r="B23" s="378"/>
      <c r="C23" s="378"/>
      <c r="D23" s="378"/>
      <c r="E23" s="378"/>
      <c r="F23" s="378"/>
      <c r="G23" s="379"/>
      <c r="H23" s="3" t="s">
        <v>42</v>
      </c>
      <c r="I23" s="156">
        <f>SUM(I8:I22)</f>
        <v>0</v>
      </c>
      <c r="J23" s="156">
        <f>SUM(J8:J22)</f>
        <v>0</v>
      </c>
      <c r="K23" s="167"/>
      <c r="L23" s="28"/>
      <c r="M23" s="31"/>
      <c r="N23" s="31"/>
      <c r="O23" s="31"/>
      <c r="P23" s="31"/>
      <c r="Q23" s="31"/>
    </row>
    <row r="24" spans="1:17" ht="30.1" customHeight="1" x14ac:dyDescent="0.3">
      <c r="A24" s="19" t="s">
        <v>117</v>
      </c>
      <c r="B24" s="31"/>
      <c r="C24" s="31"/>
      <c r="D24" s="31"/>
      <c r="E24" s="31"/>
      <c r="F24" s="31"/>
      <c r="G24" s="168"/>
      <c r="H24" s="31"/>
      <c r="I24" s="31"/>
      <c r="J24" s="31"/>
      <c r="K24" s="167"/>
      <c r="L24" s="28"/>
      <c r="M24" s="31"/>
      <c r="N24" s="31"/>
      <c r="O24" s="31"/>
      <c r="P24" s="31"/>
      <c r="Q24" s="31"/>
    </row>
    <row r="25" spans="1:17" ht="30.1" customHeight="1" x14ac:dyDescent="0.3">
      <c r="A25" s="31"/>
      <c r="B25" s="31"/>
      <c r="C25" s="31"/>
      <c r="D25" s="31"/>
      <c r="E25" s="31"/>
      <c r="F25" s="31"/>
      <c r="G25" s="168"/>
      <c r="H25" s="31"/>
      <c r="I25" s="31"/>
      <c r="J25" s="31"/>
      <c r="K25" s="32"/>
      <c r="L25" s="28"/>
      <c r="M25" s="31"/>
      <c r="N25" s="31"/>
      <c r="O25" s="31"/>
      <c r="P25" s="31"/>
      <c r="Q25" s="31"/>
    </row>
    <row r="26" spans="1:17" ht="30.1" customHeight="1" x14ac:dyDescent="0.35">
      <c r="A26" s="31"/>
      <c r="B26" s="247" t="s">
        <v>39</v>
      </c>
      <c r="C26" s="248">
        <f ca="1">IF(imzatarihi&gt;0,imzatarihi,"")</f>
        <v>45686</v>
      </c>
      <c r="D26" s="250" t="s">
        <v>158</v>
      </c>
      <c r="E26" s="245" t="str">
        <f>IF(kurulusyetkilisi&gt;0,kurulusyetkilisi,"")</f>
        <v/>
      </c>
      <c r="F26" s="31"/>
      <c r="G26" s="168"/>
      <c r="H26" s="31"/>
      <c r="I26" s="31"/>
      <c r="J26" s="31"/>
      <c r="K26" s="32"/>
      <c r="L26" s="28"/>
      <c r="M26" s="31"/>
      <c r="N26" s="31"/>
      <c r="O26" s="31"/>
      <c r="P26" s="31"/>
      <c r="Q26" s="31"/>
    </row>
    <row r="27" spans="1:17" ht="30.1" customHeight="1" x14ac:dyDescent="0.35">
      <c r="A27" s="31"/>
      <c r="B27" s="249"/>
      <c r="C27" s="249"/>
      <c r="D27" s="250" t="s">
        <v>157</v>
      </c>
      <c r="E27" s="247"/>
      <c r="F27" s="31"/>
      <c r="G27" s="168"/>
      <c r="H27" s="31"/>
      <c r="I27" s="31"/>
      <c r="J27" s="31"/>
      <c r="K27" s="32"/>
      <c r="L27" s="28"/>
      <c r="M27" s="31"/>
      <c r="N27" s="31"/>
      <c r="O27" s="31"/>
      <c r="P27" s="31"/>
      <c r="Q27" s="31"/>
    </row>
    <row r="28" spans="1:17" ht="30.1" customHeight="1" x14ac:dyDescent="0.3">
      <c r="A28" s="375" t="s">
        <v>93</v>
      </c>
      <c r="B28" s="375"/>
      <c r="C28" s="375"/>
      <c r="D28" s="375"/>
      <c r="E28" s="375"/>
      <c r="F28" s="375"/>
      <c r="G28" s="375"/>
      <c r="H28" s="375"/>
      <c r="I28" s="375"/>
      <c r="J28" s="375"/>
      <c r="K28" s="51"/>
      <c r="L28" s="52"/>
      <c r="M28" s="31"/>
      <c r="N28" s="31"/>
      <c r="O28" s="31"/>
      <c r="P28" s="31"/>
      <c r="Q28" s="31"/>
    </row>
    <row r="29" spans="1:17" ht="30.1" customHeight="1" x14ac:dyDescent="0.3">
      <c r="A29" s="329" t="str">
        <f>IF(YilDonem&lt;&gt;"",CONCATENATE(YilDonem,". döneme aittir."),"")</f>
        <v/>
      </c>
      <c r="B29" s="329"/>
      <c r="C29" s="329"/>
      <c r="D29" s="329"/>
      <c r="E29" s="329"/>
      <c r="F29" s="329"/>
      <c r="G29" s="329"/>
      <c r="H29" s="329"/>
      <c r="I29" s="329"/>
      <c r="J29" s="329"/>
      <c r="K29" s="166"/>
      <c r="L29" s="52"/>
      <c r="M29" s="149"/>
      <c r="N29" s="31"/>
      <c r="O29" s="31"/>
      <c r="P29" s="31"/>
      <c r="Q29" s="31"/>
    </row>
    <row r="30" spans="1:17" ht="30.1" customHeight="1" thickBot="1" x14ac:dyDescent="0.35">
      <c r="A30" s="355" t="s">
        <v>96</v>
      </c>
      <c r="B30" s="355"/>
      <c r="C30" s="355"/>
      <c r="D30" s="355"/>
      <c r="E30" s="355"/>
      <c r="F30" s="355"/>
      <c r="G30" s="355"/>
      <c r="H30" s="355"/>
      <c r="I30" s="355"/>
      <c r="J30" s="355"/>
      <c r="K30" s="166"/>
      <c r="L30" s="52"/>
      <c r="M30" s="149"/>
      <c r="N30" s="31"/>
      <c r="O30" s="31"/>
      <c r="P30" s="31"/>
      <c r="Q30" s="31"/>
    </row>
    <row r="31" spans="1:17" ht="30.1" customHeight="1" thickBot="1" x14ac:dyDescent="0.35">
      <c r="A31" s="380" t="s">
        <v>1</v>
      </c>
      <c r="B31" s="382"/>
      <c r="C31" s="380" t="str">
        <f>IF(ProjeNo&gt;0,ProjeNo,"")</f>
        <v/>
      </c>
      <c r="D31" s="381"/>
      <c r="E31" s="381"/>
      <c r="F31" s="381"/>
      <c r="G31" s="381"/>
      <c r="H31" s="381"/>
      <c r="I31" s="381"/>
      <c r="J31" s="382"/>
      <c r="K31" s="32"/>
      <c r="L31" s="28"/>
      <c r="M31" s="31"/>
      <c r="N31" s="31"/>
      <c r="O31" s="31"/>
      <c r="P31" s="31"/>
      <c r="Q31" s="31"/>
    </row>
    <row r="32" spans="1:17" ht="30.1" customHeight="1" thickBot="1" x14ac:dyDescent="0.35">
      <c r="A32" s="388" t="s">
        <v>11</v>
      </c>
      <c r="B32" s="389"/>
      <c r="C32" s="383" t="str">
        <f>IF(ProjeAdi&gt;0,ProjeAdi,"")</f>
        <v/>
      </c>
      <c r="D32" s="384"/>
      <c r="E32" s="384"/>
      <c r="F32" s="384"/>
      <c r="G32" s="384"/>
      <c r="H32" s="384"/>
      <c r="I32" s="384"/>
      <c r="J32" s="385"/>
      <c r="K32" s="32"/>
      <c r="L32" s="28"/>
      <c r="M32" s="31"/>
      <c r="N32" s="31"/>
      <c r="O32" s="31"/>
      <c r="P32" s="31"/>
      <c r="Q32" s="31"/>
    </row>
    <row r="33" spans="1:17" ht="30.1" customHeight="1" thickBot="1" x14ac:dyDescent="0.35">
      <c r="A33" s="376" t="s">
        <v>7</v>
      </c>
      <c r="B33" s="376" t="s">
        <v>94</v>
      </c>
      <c r="C33" s="376" t="s">
        <v>95</v>
      </c>
      <c r="D33" s="376" t="s">
        <v>92</v>
      </c>
      <c r="E33" s="376" t="s">
        <v>90</v>
      </c>
      <c r="F33" s="376" t="s">
        <v>91</v>
      </c>
      <c r="G33" s="386" t="s">
        <v>86</v>
      </c>
      <c r="H33" s="376" t="s">
        <v>87</v>
      </c>
      <c r="I33" s="50" t="s">
        <v>88</v>
      </c>
      <c r="J33" s="50" t="s">
        <v>88</v>
      </c>
      <c r="K33" s="32"/>
      <c r="L33" s="28"/>
      <c r="M33" s="31"/>
      <c r="N33" s="31"/>
      <c r="O33" s="31"/>
      <c r="P33" s="31"/>
      <c r="Q33" s="31"/>
    </row>
    <row r="34" spans="1:17" ht="30.1" customHeight="1" thickBot="1" x14ac:dyDescent="0.35">
      <c r="A34" s="377"/>
      <c r="B34" s="377"/>
      <c r="C34" s="377"/>
      <c r="D34" s="377"/>
      <c r="E34" s="377"/>
      <c r="F34" s="377"/>
      <c r="G34" s="387"/>
      <c r="H34" s="377"/>
      <c r="I34" s="50" t="s">
        <v>143</v>
      </c>
      <c r="J34" s="50" t="s">
        <v>89</v>
      </c>
      <c r="K34" s="32"/>
      <c r="L34" s="28"/>
      <c r="M34" s="31"/>
      <c r="N34" s="31"/>
      <c r="O34" s="31"/>
      <c r="P34" s="31"/>
      <c r="Q34" s="31"/>
    </row>
    <row r="35" spans="1:17" ht="30.1" customHeight="1" x14ac:dyDescent="0.3">
      <c r="A35" s="23">
        <v>16</v>
      </c>
      <c r="B35" s="24"/>
      <c r="C35" s="25"/>
      <c r="D35" s="25"/>
      <c r="E35" s="25"/>
      <c r="F35" s="25"/>
      <c r="G35" s="26"/>
      <c r="H35" s="25"/>
      <c r="I35" s="203"/>
      <c r="J35" s="151"/>
      <c r="K35" s="89" t="str">
        <f t="shared" ref="K35:K49" si="3">IF(AND(COUNTA(B35:F35)&gt;0,L35=1),"Belge Tarihi ve Belge Numarası doldurulduktan sonra KDV Dahil Tutar doldurulabilir.","")</f>
        <v/>
      </c>
      <c r="L35" s="88">
        <f>IF(COUNTA(G35:H35)=2,0,1)</f>
        <v>1</v>
      </c>
      <c r="M35" s="90">
        <f>IF(L35=1,0,100000000)</f>
        <v>0</v>
      </c>
      <c r="N35" s="31"/>
      <c r="O35" s="31"/>
      <c r="P35" s="31"/>
      <c r="Q35" s="31"/>
    </row>
    <row r="36" spans="1:17" ht="30.1" customHeight="1" x14ac:dyDescent="0.3">
      <c r="A36" s="20">
        <v>17</v>
      </c>
      <c r="B36" s="12"/>
      <c r="C36" s="13"/>
      <c r="D36" s="13"/>
      <c r="E36" s="13"/>
      <c r="F36" s="13"/>
      <c r="G36" s="14"/>
      <c r="H36" s="13"/>
      <c r="I36" s="204"/>
      <c r="J36" s="152"/>
      <c r="K36" s="89" t="str">
        <f t="shared" si="3"/>
        <v/>
      </c>
      <c r="L36" s="88">
        <f t="shared" ref="L36:L49" si="4">IF(COUNTA(G36:H36)=2,0,1)</f>
        <v>1</v>
      </c>
      <c r="M36" s="90">
        <f t="shared" ref="M36:M49" si="5">IF(L36=1,0,100000000)</f>
        <v>0</v>
      </c>
      <c r="N36" s="165"/>
      <c r="O36" s="165"/>
      <c r="P36" s="31"/>
      <c r="Q36" s="31"/>
    </row>
    <row r="37" spans="1:17" ht="30.1" customHeight="1" x14ac:dyDescent="0.3">
      <c r="A37" s="20">
        <v>18</v>
      </c>
      <c r="B37" s="12"/>
      <c r="C37" s="13"/>
      <c r="D37" s="13"/>
      <c r="E37" s="13"/>
      <c r="F37" s="13"/>
      <c r="G37" s="14"/>
      <c r="H37" s="13"/>
      <c r="I37" s="204"/>
      <c r="J37" s="152"/>
      <c r="K37" s="89" t="str">
        <f t="shared" si="3"/>
        <v/>
      </c>
      <c r="L37" s="88">
        <f t="shared" si="4"/>
        <v>1</v>
      </c>
      <c r="M37" s="90">
        <f t="shared" si="5"/>
        <v>0</v>
      </c>
      <c r="N37" s="31"/>
      <c r="O37" s="31"/>
      <c r="P37" s="31"/>
      <c r="Q37" s="31"/>
    </row>
    <row r="38" spans="1:17" ht="30.1" customHeight="1" x14ac:dyDescent="0.3">
      <c r="A38" s="20">
        <v>19</v>
      </c>
      <c r="B38" s="12"/>
      <c r="C38" s="13"/>
      <c r="D38" s="13"/>
      <c r="E38" s="13"/>
      <c r="F38" s="13"/>
      <c r="G38" s="14"/>
      <c r="H38" s="13"/>
      <c r="I38" s="204"/>
      <c r="J38" s="152"/>
      <c r="K38" s="89" t="str">
        <f t="shared" si="3"/>
        <v/>
      </c>
      <c r="L38" s="88">
        <f t="shared" si="4"/>
        <v>1</v>
      </c>
      <c r="M38" s="90">
        <f t="shared" si="5"/>
        <v>0</v>
      </c>
      <c r="N38" s="31"/>
      <c r="O38" s="31"/>
      <c r="P38" s="31"/>
      <c r="Q38" s="31"/>
    </row>
    <row r="39" spans="1:17" ht="30.1" customHeight="1" x14ac:dyDescent="0.3">
      <c r="A39" s="20">
        <v>20</v>
      </c>
      <c r="B39" s="12"/>
      <c r="C39" s="13"/>
      <c r="D39" s="13"/>
      <c r="E39" s="13"/>
      <c r="F39" s="13"/>
      <c r="G39" s="14"/>
      <c r="H39" s="13"/>
      <c r="I39" s="204"/>
      <c r="J39" s="152"/>
      <c r="K39" s="89" t="str">
        <f t="shared" si="3"/>
        <v/>
      </c>
      <c r="L39" s="88">
        <f t="shared" si="4"/>
        <v>1</v>
      </c>
      <c r="M39" s="90">
        <f t="shared" si="5"/>
        <v>0</v>
      </c>
      <c r="N39" s="31"/>
      <c r="O39" s="31"/>
      <c r="P39" s="31"/>
      <c r="Q39" s="31"/>
    </row>
    <row r="40" spans="1:17" ht="30.1" customHeight="1" x14ac:dyDescent="0.3">
      <c r="A40" s="20">
        <v>21</v>
      </c>
      <c r="B40" s="12"/>
      <c r="C40" s="13"/>
      <c r="D40" s="13"/>
      <c r="E40" s="13"/>
      <c r="F40" s="13"/>
      <c r="G40" s="14"/>
      <c r="H40" s="13"/>
      <c r="I40" s="204"/>
      <c r="J40" s="152"/>
      <c r="K40" s="89" t="str">
        <f t="shared" si="3"/>
        <v/>
      </c>
      <c r="L40" s="88">
        <f t="shared" si="4"/>
        <v>1</v>
      </c>
      <c r="M40" s="90">
        <f t="shared" si="5"/>
        <v>0</v>
      </c>
      <c r="N40" s="31"/>
      <c r="O40" s="31"/>
      <c r="P40" s="31"/>
      <c r="Q40" s="31"/>
    </row>
    <row r="41" spans="1:17" ht="30.1" customHeight="1" x14ac:dyDescent="0.3">
      <c r="A41" s="21">
        <v>22</v>
      </c>
      <c r="B41" s="15"/>
      <c r="C41" s="16"/>
      <c r="D41" s="16"/>
      <c r="E41" s="16"/>
      <c r="F41" s="16"/>
      <c r="G41" s="29"/>
      <c r="H41" s="16"/>
      <c r="I41" s="205"/>
      <c r="J41" s="153"/>
      <c r="K41" s="89" t="str">
        <f t="shared" si="3"/>
        <v/>
      </c>
      <c r="L41" s="88">
        <f t="shared" si="4"/>
        <v>1</v>
      </c>
      <c r="M41" s="90">
        <f t="shared" si="5"/>
        <v>0</v>
      </c>
      <c r="N41" s="31"/>
      <c r="O41" s="31"/>
      <c r="P41" s="31"/>
      <c r="Q41" s="31"/>
    </row>
    <row r="42" spans="1:17" ht="30.1" customHeight="1" x14ac:dyDescent="0.3">
      <c r="A42" s="21">
        <v>23</v>
      </c>
      <c r="B42" s="15"/>
      <c r="C42" s="16"/>
      <c r="D42" s="16"/>
      <c r="E42" s="16"/>
      <c r="F42" s="16"/>
      <c r="G42" s="29"/>
      <c r="H42" s="16"/>
      <c r="I42" s="205"/>
      <c r="J42" s="153"/>
      <c r="K42" s="89" t="str">
        <f t="shared" si="3"/>
        <v/>
      </c>
      <c r="L42" s="88">
        <f t="shared" si="4"/>
        <v>1</v>
      </c>
      <c r="M42" s="90">
        <f t="shared" si="5"/>
        <v>0</v>
      </c>
      <c r="N42" s="31"/>
      <c r="O42" s="31"/>
      <c r="P42" s="31"/>
      <c r="Q42" s="31"/>
    </row>
    <row r="43" spans="1:17" ht="30.1" customHeight="1" x14ac:dyDescent="0.3">
      <c r="A43" s="21">
        <v>24</v>
      </c>
      <c r="B43" s="15"/>
      <c r="C43" s="16"/>
      <c r="D43" s="16"/>
      <c r="E43" s="16"/>
      <c r="F43" s="16"/>
      <c r="G43" s="29"/>
      <c r="H43" s="16"/>
      <c r="I43" s="205"/>
      <c r="J43" s="153"/>
      <c r="K43" s="89" t="str">
        <f t="shared" si="3"/>
        <v/>
      </c>
      <c r="L43" s="88">
        <f t="shared" si="4"/>
        <v>1</v>
      </c>
      <c r="M43" s="90">
        <f t="shared" si="5"/>
        <v>0</v>
      </c>
      <c r="N43" s="31"/>
      <c r="O43" s="31"/>
      <c r="P43" s="31"/>
      <c r="Q43" s="31"/>
    </row>
    <row r="44" spans="1:17" ht="30.1" customHeight="1" x14ac:dyDescent="0.3">
      <c r="A44" s="21">
        <v>25</v>
      </c>
      <c r="B44" s="15"/>
      <c r="C44" s="16"/>
      <c r="D44" s="16"/>
      <c r="E44" s="16"/>
      <c r="F44" s="16"/>
      <c r="G44" s="29"/>
      <c r="H44" s="16"/>
      <c r="I44" s="205"/>
      <c r="J44" s="153"/>
      <c r="K44" s="89" t="str">
        <f t="shared" si="3"/>
        <v/>
      </c>
      <c r="L44" s="88">
        <f t="shared" si="4"/>
        <v>1</v>
      </c>
      <c r="M44" s="90">
        <f t="shared" si="5"/>
        <v>0</v>
      </c>
      <c r="N44" s="31"/>
      <c r="O44" s="31"/>
      <c r="P44" s="31"/>
      <c r="Q44" s="31"/>
    </row>
    <row r="45" spans="1:17" ht="30.1" customHeight="1" x14ac:dyDescent="0.3">
      <c r="A45" s="21">
        <v>26</v>
      </c>
      <c r="B45" s="15"/>
      <c r="C45" s="16"/>
      <c r="D45" s="16"/>
      <c r="E45" s="16"/>
      <c r="F45" s="16"/>
      <c r="G45" s="29"/>
      <c r="H45" s="16"/>
      <c r="I45" s="205"/>
      <c r="J45" s="153"/>
      <c r="K45" s="89" t="str">
        <f t="shared" si="3"/>
        <v/>
      </c>
      <c r="L45" s="88">
        <f t="shared" si="4"/>
        <v>1</v>
      </c>
      <c r="M45" s="90">
        <f t="shared" si="5"/>
        <v>0</v>
      </c>
      <c r="N45" s="31"/>
      <c r="O45" s="31"/>
      <c r="P45" s="31"/>
      <c r="Q45" s="31"/>
    </row>
    <row r="46" spans="1:17" ht="30.1" customHeight="1" x14ac:dyDescent="0.3">
      <c r="A46" s="21">
        <v>27</v>
      </c>
      <c r="B46" s="15"/>
      <c r="C46" s="16"/>
      <c r="D46" s="16"/>
      <c r="E46" s="16"/>
      <c r="F46" s="16"/>
      <c r="G46" s="29"/>
      <c r="H46" s="16"/>
      <c r="I46" s="205"/>
      <c r="J46" s="153"/>
      <c r="K46" s="89" t="str">
        <f t="shared" si="3"/>
        <v/>
      </c>
      <c r="L46" s="88">
        <f t="shared" si="4"/>
        <v>1</v>
      </c>
      <c r="M46" s="90">
        <f t="shared" si="5"/>
        <v>0</v>
      </c>
      <c r="N46" s="31"/>
      <c r="O46" s="31"/>
      <c r="P46" s="31"/>
      <c r="Q46" s="31"/>
    </row>
    <row r="47" spans="1:17" ht="30.1" customHeight="1" x14ac:dyDescent="0.3">
      <c r="A47" s="21">
        <v>28</v>
      </c>
      <c r="B47" s="15"/>
      <c r="C47" s="16"/>
      <c r="D47" s="16"/>
      <c r="E47" s="16"/>
      <c r="F47" s="16"/>
      <c r="G47" s="29"/>
      <c r="H47" s="16"/>
      <c r="I47" s="205"/>
      <c r="J47" s="153"/>
      <c r="K47" s="89" t="str">
        <f t="shared" si="3"/>
        <v/>
      </c>
      <c r="L47" s="88">
        <f t="shared" si="4"/>
        <v>1</v>
      </c>
      <c r="M47" s="90">
        <f t="shared" si="5"/>
        <v>0</v>
      </c>
      <c r="N47" s="31"/>
      <c r="O47" s="31"/>
      <c r="P47" s="31"/>
      <c r="Q47" s="31"/>
    </row>
    <row r="48" spans="1:17" ht="30.1" customHeight="1" x14ac:dyDescent="0.3">
      <c r="A48" s="21">
        <v>29</v>
      </c>
      <c r="B48" s="15"/>
      <c r="C48" s="16"/>
      <c r="D48" s="16"/>
      <c r="E48" s="16"/>
      <c r="F48" s="16"/>
      <c r="G48" s="29"/>
      <c r="H48" s="16"/>
      <c r="I48" s="205"/>
      <c r="J48" s="153"/>
      <c r="K48" s="89" t="str">
        <f t="shared" si="3"/>
        <v/>
      </c>
      <c r="L48" s="88">
        <f t="shared" si="4"/>
        <v>1</v>
      </c>
      <c r="M48" s="90">
        <f t="shared" si="5"/>
        <v>0</v>
      </c>
      <c r="N48" s="31"/>
      <c r="O48" s="31"/>
      <c r="P48" s="31"/>
      <c r="Q48" s="31"/>
    </row>
    <row r="49" spans="1:17" ht="30.1" customHeight="1" thickBot="1" x14ac:dyDescent="0.35">
      <c r="A49" s="22">
        <v>30</v>
      </c>
      <c r="B49" s="17"/>
      <c r="C49" s="18"/>
      <c r="D49" s="18"/>
      <c r="E49" s="18"/>
      <c r="F49" s="18"/>
      <c r="G49" s="30"/>
      <c r="H49" s="18"/>
      <c r="I49" s="206"/>
      <c r="J49" s="154"/>
      <c r="K49" s="89" t="str">
        <f t="shared" si="3"/>
        <v/>
      </c>
      <c r="L49" s="88">
        <f t="shared" si="4"/>
        <v>1</v>
      </c>
      <c r="M49" s="90">
        <f t="shared" si="5"/>
        <v>0</v>
      </c>
      <c r="N49" s="91">
        <f>IF(COUNTA(G35:J49)&gt;0,1,0)</f>
        <v>0</v>
      </c>
      <c r="O49" s="31"/>
      <c r="P49" s="31"/>
      <c r="Q49" s="31"/>
    </row>
    <row r="50" spans="1:17" ht="30.1" customHeight="1" thickBot="1" x14ac:dyDescent="0.35">
      <c r="A50" s="373" t="s">
        <v>139</v>
      </c>
      <c r="B50" s="373"/>
      <c r="C50" s="373"/>
      <c r="D50" s="373"/>
      <c r="E50" s="373"/>
      <c r="F50" s="373"/>
      <c r="G50" s="374"/>
      <c r="H50" s="4" t="s">
        <v>42</v>
      </c>
      <c r="I50" s="156">
        <f>SUM(I35:I49)+I23</f>
        <v>0</v>
      </c>
      <c r="J50" s="156">
        <f>SUM(J35:J49)+J23</f>
        <v>0</v>
      </c>
      <c r="K50" s="167"/>
      <c r="L50" s="28"/>
      <c r="M50" s="31"/>
      <c r="N50" s="31"/>
      <c r="O50" s="31"/>
      <c r="P50" s="31"/>
      <c r="Q50" s="31"/>
    </row>
    <row r="51" spans="1:17" ht="30.1" customHeight="1" x14ac:dyDescent="0.3">
      <c r="A51" s="19" t="s">
        <v>117</v>
      </c>
      <c r="B51" s="31"/>
      <c r="C51" s="31"/>
      <c r="D51" s="31"/>
      <c r="E51" s="31"/>
      <c r="F51" s="31"/>
      <c r="G51" s="168"/>
      <c r="H51" s="31"/>
      <c r="I51" s="31"/>
      <c r="J51" s="31"/>
      <c r="K51" s="167"/>
      <c r="L51" s="28"/>
      <c r="M51" s="31"/>
      <c r="N51" s="31"/>
      <c r="O51" s="31"/>
      <c r="P51" s="31"/>
      <c r="Q51" s="31"/>
    </row>
    <row r="52" spans="1:17" ht="30.1" customHeight="1" x14ac:dyDescent="0.3">
      <c r="A52" s="31"/>
      <c r="B52" s="31"/>
      <c r="C52" s="31"/>
      <c r="D52" s="31"/>
      <c r="E52" s="31"/>
      <c r="F52" s="31"/>
      <c r="G52" s="168"/>
      <c r="H52" s="31"/>
      <c r="I52" s="31"/>
      <c r="J52" s="31"/>
      <c r="K52" s="32"/>
      <c r="L52" s="28"/>
      <c r="M52" s="31"/>
      <c r="N52" s="31"/>
      <c r="O52" s="31"/>
      <c r="P52" s="31"/>
      <c r="Q52" s="31"/>
    </row>
    <row r="53" spans="1:17" ht="30.1" customHeight="1" x14ac:dyDescent="0.35">
      <c r="A53" s="31"/>
      <c r="B53" s="247" t="s">
        <v>39</v>
      </c>
      <c r="C53" s="248">
        <f ca="1">IF(imzatarihi&gt;0,imzatarihi,"")</f>
        <v>45686</v>
      </c>
      <c r="D53" s="250" t="s">
        <v>158</v>
      </c>
      <c r="E53" s="245" t="str">
        <f>IF(kurulusyetkilisi&gt;0,kurulusyetkilisi,"")</f>
        <v/>
      </c>
      <c r="F53" s="31"/>
      <c r="G53" s="168"/>
      <c r="H53" s="31"/>
      <c r="I53" s="31"/>
      <c r="J53" s="31"/>
      <c r="K53" s="32"/>
      <c r="L53" s="28"/>
      <c r="M53" s="31"/>
      <c r="N53" s="31"/>
      <c r="O53" s="31"/>
      <c r="P53" s="31"/>
      <c r="Q53" s="31"/>
    </row>
    <row r="54" spans="1:17" ht="30.1" customHeight="1" x14ac:dyDescent="0.35">
      <c r="A54" s="31"/>
      <c r="B54" s="249"/>
      <c r="C54" s="249"/>
      <c r="D54" s="250" t="s">
        <v>157</v>
      </c>
      <c r="E54" s="247"/>
      <c r="F54" s="31"/>
      <c r="G54" s="168"/>
      <c r="H54" s="31"/>
      <c r="I54" s="31"/>
      <c r="J54" s="31"/>
      <c r="K54" s="32"/>
      <c r="L54" s="28"/>
      <c r="M54" s="31"/>
      <c r="N54" s="31"/>
      <c r="O54" s="31"/>
      <c r="P54" s="31"/>
      <c r="Q54" s="31"/>
    </row>
    <row r="55" spans="1:17" ht="30.1" customHeight="1" x14ac:dyDescent="0.3">
      <c r="A55" s="375" t="s">
        <v>93</v>
      </c>
      <c r="B55" s="375"/>
      <c r="C55" s="375"/>
      <c r="D55" s="375"/>
      <c r="E55" s="375"/>
      <c r="F55" s="375"/>
      <c r="G55" s="375"/>
      <c r="H55" s="375"/>
      <c r="I55" s="375"/>
      <c r="J55" s="375"/>
      <c r="K55" s="51"/>
      <c r="L55" s="52"/>
      <c r="M55" s="31"/>
      <c r="N55" s="31"/>
      <c r="O55" s="31"/>
      <c r="P55" s="31"/>
      <c r="Q55" s="31"/>
    </row>
    <row r="56" spans="1:17" ht="30.1" customHeight="1" x14ac:dyDescent="0.3">
      <c r="A56" s="329" t="str">
        <f>IF(YilDonem&lt;&gt;"",CONCATENATE(YilDonem,". döneme aittir."),"")</f>
        <v/>
      </c>
      <c r="B56" s="329"/>
      <c r="C56" s="329"/>
      <c r="D56" s="329"/>
      <c r="E56" s="329"/>
      <c r="F56" s="329"/>
      <c r="G56" s="329"/>
      <c r="H56" s="329"/>
      <c r="I56" s="329"/>
      <c r="J56" s="329"/>
      <c r="K56" s="166"/>
      <c r="L56" s="52"/>
      <c r="M56" s="149"/>
      <c r="N56" s="31"/>
      <c r="O56" s="31"/>
      <c r="P56" s="31"/>
      <c r="Q56" s="31"/>
    </row>
    <row r="57" spans="1:17" ht="30.1" customHeight="1" thickBot="1" x14ac:dyDescent="0.35">
      <c r="A57" s="355" t="s">
        <v>96</v>
      </c>
      <c r="B57" s="355"/>
      <c r="C57" s="355"/>
      <c r="D57" s="355"/>
      <c r="E57" s="355"/>
      <c r="F57" s="355"/>
      <c r="G57" s="355"/>
      <c r="H57" s="355"/>
      <c r="I57" s="355"/>
      <c r="J57" s="355"/>
      <c r="K57" s="166"/>
      <c r="L57" s="52"/>
      <c r="M57" s="149"/>
      <c r="N57" s="31"/>
      <c r="O57" s="31"/>
      <c r="P57" s="31"/>
      <c r="Q57" s="31"/>
    </row>
    <row r="58" spans="1:17" ht="30.1" customHeight="1" thickBot="1" x14ac:dyDescent="0.35">
      <c r="A58" s="380" t="s">
        <v>1</v>
      </c>
      <c r="B58" s="382"/>
      <c r="C58" s="380" t="str">
        <f>IF(ProjeNo&gt;0,ProjeNo,"")</f>
        <v/>
      </c>
      <c r="D58" s="381"/>
      <c r="E58" s="381"/>
      <c r="F58" s="381"/>
      <c r="G58" s="381"/>
      <c r="H58" s="381"/>
      <c r="I58" s="381"/>
      <c r="J58" s="382"/>
      <c r="K58" s="32"/>
      <c r="L58" s="28"/>
      <c r="M58" s="31"/>
      <c r="N58" s="31"/>
      <c r="O58" s="31"/>
      <c r="P58" s="31"/>
      <c r="Q58" s="31"/>
    </row>
    <row r="59" spans="1:17" ht="30.1" customHeight="1" thickBot="1" x14ac:dyDescent="0.35">
      <c r="A59" s="388" t="s">
        <v>11</v>
      </c>
      <c r="B59" s="389"/>
      <c r="C59" s="383" t="str">
        <f>IF(ProjeAdi&gt;0,ProjeAdi,"")</f>
        <v/>
      </c>
      <c r="D59" s="384"/>
      <c r="E59" s="384"/>
      <c r="F59" s="384"/>
      <c r="G59" s="384"/>
      <c r="H59" s="384"/>
      <c r="I59" s="384"/>
      <c r="J59" s="385"/>
      <c r="K59" s="32"/>
      <c r="L59" s="28"/>
      <c r="M59" s="31"/>
      <c r="N59" s="31"/>
      <c r="O59" s="31"/>
      <c r="P59" s="31"/>
      <c r="Q59" s="31"/>
    </row>
    <row r="60" spans="1:17" ht="30.1" customHeight="1" thickBot="1" x14ac:dyDescent="0.35">
      <c r="A60" s="376" t="s">
        <v>7</v>
      </c>
      <c r="B60" s="376" t="s">
        <v>94</v>
      </c>
      <c r="C60" s="376" t="s">
        <v>95</v>
      </c>
      <c r="D60" s="376" t="s">
        <v>92</v>
      </c>
      <c r="E60" s="376" t="s">
        <v>90</v>
      </c>
      <c r="F60" s="376" t="s">
        <v>91</v>
      </c>
      <c r="G60" s="386" t="s">
        <v>86</v>
      </c>
      <c r="H60" s="376" t="s">
        <v>87</v>
      </c>
      <c r="I60" s="50" t="s">
        <v>88</v>
      </c>
      <c r="J60" s="50" t="s">
        <v>88</v>
      </c>
      <c r="K60" s="32"/>
      <c r="L60" s="28"/>
      <c r="M60" s="31"/>
      <c r="N60" s="31"/>
      <c r="O60" s="31"/>
      <c r="P60" s="31"/>
      <c r="Q60" s="31"/>
    </row>
    <row r="61" spans="1:17" ht="30.1" customHeight="1" thickBot="1" x14ac:dyDescent="0.35">
      <c r="A61" s="377"/>
      <c r="B61" s="377"/>
      <c r="C61" s="377"/>
      <c r="D61" s="377"/>
      <c r="E61" s="377"/>
      <c r="F61" s="377"/>
      <c r="G61" s="387"/>
      <c r="H61" s="377"/>
      <c r="I61" s="50" t="s">
        <v>143</v>
      </c>
      <c r="J61" s="50" t="s">
        <v>89</v>
      </c>
      <c r="K61" s="32"/>
      <c r="L61" s="28"/>
      <c r="M61" s="31"/>
      <c r="N61" s="31"/>
      <c r="O61" s="31"/>
      <c r="P61" s="31"/>
      <c r="Q61" s="31"/>
    </row>
    <row r="62" spans="1:17" ht="30.1" customHeight="1" x14ac:dyDescent="0.3">
      <c r="A62" s="23">
        <v>31</v>
      </c>
      <c r="B62" s="24"/>
      <c r="C62" s="25"/>
      <c r="D62" s="25"/>
      <c r="E62" s="25"/>
      <c r="F62" s="25"/>
      <c r="G62" s="26"/>
      <c r="H62" s="25"/>
      <c r="I62" s="203"/>
      <c r="J62" s="151"/>
      <c r="K62" s="89" t="str">
        <f t="shared" ref="K62:K76" si="6">IF(AND(COUNTA(B62:F62)&gt;0,L62=1),"Belge Tarihi ve Belge Numarası doldurulduktan sonra KDV Dahil Tutar doldurulabilir.","")</f>
        <v/>
      </c>
      <c r="L62" s="88">
        <f>IF(COUNTA(G62:H62)=2,0,1)</f>
        <v>1</v>
      </c>
      <c r="M62" s="90">
        <f>IF(L62=1,0,100000000)</f>
        <v>0</v>
      </c>
      <c r="N62" s="31"/>
      <c r="O62" s="31"/>
      <c r="P62" s="31"/>
      <c r="Q62" s="31"/>
    </row>
    <row r="63" spans="1:17" ht="30.1" customHeight="1" x14ac:dyDescent="0.3">
      <c r="A63" s="20">
        <v>32</v>
      </c>
      <c r="B63" s="12"/>
      <c r="C63" s="13"/>
      <c r="D63" s="13"/>
      <c r="E63" s="13"/>
      <c r="F63" s="13"/>
      <c r="G63" s="14"/>
      <c r="H63" s="13"/>
      <c r="I63" s="204"/>
      <c r="J63" s="152"/>
      <c r="K63" s="89" t="str">
        <f t="shared" si="6"/>
        <v/>
      </c>
      <c r="L63" s="88">
        <f t="shared" ref="L63:L76" si="7">IF(COUNTA(G63:H63)=2,0,1)</f>
        <v>1</v>
      </c>
      <c r="M63" s="90">
        <f t="shared" ref="M63:M76" si="8">IF(L63=1,0,100000000)</f>
        <v>0</v>
      </c>
      <c r="N63" s="31"/>
      <c r="O63" s="31"/>
      <c r="P63" s="31"/>
      <c r="Q63" s="31"/>
    </row>
    <row r="64" spans="1:17" ht="30.1" customHeight="1" x14ac:dyDescent="0.3">
      <c r="A64" s="20">
        <v>33</v>
      </c>
      <c r="B64" s="12"/>
      <c r="C64" s="13"/>
      <c r="D64" s="13"/>
      <c r="E64" s="13"/>
      <c r="F64" s="13"/>
      <c r="G64" s="14"/>
      <c r="H64" s="13"/>
      <c r="I64" s="204"/>
      <c r="J64" s="152"/>
      <c r="K64" s="89" t="str">
        <f t="shared" si="6"/>
        <v/>
      </c>
      <c r="L64" s="88">
        <f t="shared" si="7"/>
        <v>1</v>
      </c>
      <c r="M64" s="90">
        <f t="shared" si="8"/>
        <v>0</v>
      </c>
      <c r="N64" s="31"/>
      <c r="O64" s="31"/>
      <c r="P64" s="31"/>
      <c r="Q64" s="31"/>
    </row>
    <row r="65" spans="1:17" ht="30.1" customHeight="1" x14ac:dyDescent="0.3">
      <c r="A65" s="20">
        <v>34</v>
      </c>
      <c r="B65" s="12"/>
      <c r="C65" s="13"/>
      <c r="D65" s="13"/>
      <c r="E65" s="13"/>
      <c r="F65" s="13"/>
      <c r="G65" s="14"/>
      <c r="H65" s="13"/>
      <c r="I65" s="204"/>
      <c r="J65" s="152"/>
      <c r="K65" s="89" t="str">
        <f t="shared" si="6"/>
        <v/>
      </c>
      <c r="L65" s="88">
        <f t="shared" si="7"/>
        <v>1</v>
      </c>
      <c r="M65" s="90">
        <f t="shared" si="8"/>
        <v>0</v>
      </c>
      <c r="N65" s="31"/>
      <c r="O65" s="31"/>
      <c r="P65" s="31"/>
      <c r="Q65" s="31"/>
    </row>
    <row r="66" spans="1:17" ht="30.1" customHeight="1" x14ac:dyDescent="0.3">
      <c r="A66" s="20">
        <v>35</v>
      </c>
      <c r="B66" s="12"/>
      <c r="C66" s="13"/>
      <c r="D66" s="13"/>
      <c r="E66" s="13"/>
      <c r="F66" s="13"/>
      <c r="G66" s="14"/>
      <c r="H66" s="13"/>
      <c r="I66" s="204"/>
      <c r="J66" s="152"/>
      <c r="K66" s="89" t="str">
        <f t="shared" si="6"/>
        <v/>
      </c>
      <c r="L66" s="88">
        <f t="shared" si="7"/>
        <v>1</v>
      </c>
      <c r="M66" s="90">
        <f t="shared" si="8"/>
        <v>0</v>
      </c>
      <c r="N66" s="165"/>
      <c r="O66" s="165"/>
      <c r="P66" s="31"/>
      <c r="Q66" s="31"/>
    </row>
    <row r="67" spans="1:17" ht="30.1" customHeight="1" x14ac:dyDescent="0.3">
      <c r="A67" s="20">
        <v>36</v>
      </c>
      <c r="B67" s="12"/>
      <c r="C67" s="13"/>
      <c r="D67" s="13"/>
      <c r="E67" s="13"/>
      <c r="F67" s="13"/>
      <c r="G67" s="14"/>
      <c r="H67" s="13"/>
      <c r="I67" s="204"/>
      <c r="J67" s="152"/>
      <c r="K67" s="89" t="str">
        <f t="shared" si="6"/>
        <v/>
      </c>
      <c r="L67" s="88">
        <f t="shared" si="7"/>
        <v>1</v>
      </c>
      <c r="M67" s="90">
        <f t="shared" si="8"/>
        <v>0</v>
      </c>
      <c r="N67" s="31"/>
      <c r="O67" s="31"/>
      <c r="P67" s="31"/>
      <c r="Q67" s="31"/>
    </row>
    <row r="68" spans="1:17" ht="30.1" customHeight="1" x14ac:dyDescent="0.3">
      <c r="A68" s="20">
        <v>37</v>
      </c>
      <c r="B68" s="15"/>
      <c r="C68" s="16"/>
      <c r="D68" s="16"/>
      <c r="E68" s="16"/>
      <c r="F68" s="16"/>
      <c r="G68" s="29"/>
      <c r="H68" s="16"/>
      <c r="I68" s="205"/>
      <c r="J68" s="153"/>
      <c r="K68" s="89" t="str">
        <f t="shared" si="6"/>
        <v/>
      </c>
      <c r="L68" s="88">
        <f t="shared" si="7"/>
        <v>1</v>
      </c>
      <c r="M68" s="90">
        <f t="shared" si="8"/>
        <v>0</v>
      </c>
      <c r="N68" s="31"/>
      <c r="O68" s="31"/>
      <c r="P68" s="31"/>
      <c r="Q68" s="31"/>
    </row>
    <row r="69" spans="1:17" ht="30.1" customHeight="1" x14ac:dyDescent="0.3">
      <c r="A69" s="21">
        <v>38</v>
      </c>
      <c r="B69" s="15"/>
      <c r="C69" s="16"/>
      <c r="D69" s="16"/>
      <c r="E69" s="16"/>
      <c r="F69" s="16"/>
      <c r="G69" s="29"/>
      <c r="H69" s="16"/>
      <c r="I69" s="205"/>
      <c r="J69" s="153"/>
      <c r="K69" s="89" t="str">
        <f t="shared" si="6"/>
        <v/>
      </c>
      <c r="L69" s="88">
        <f t="shared" si="7"/>
        <v>1</v>
      </c>
      <c r="M69" s="90">
        <f t="shared" si="8"/>
        <v>0</v>
      </c>
      <c r="N69" s="31"/>
      <c r="O69" s="31"/>
      <c r="P69" s="31"/>
      <c r="Q69" s="31"/>
    </row>
    <row r="70" spans="1:17" ht="30.1" customHeight="1" x14ac:dyDescent="0.3">
      <c r="A70" s="21">
        <v>39</v>
      </c>
      <c r="B70" s="15"/>
      <c r="C70" s="16"/>
      <c r="D70" s="16"/>
      <c r="E70" s="16"/>
      <c r="F70" s="16"/>
      <c r="G70" s="29"/>
      <c r="H70" s="16"/>
      <c r="I70" s="205"/>
      <c r="J70" s="153"/>
      <c r="K70" s="89" t="str">
        <f t="shared" si="6"/>
        <v/>
      </c>
      <c r="L70" s="88">
        <f t="shared" si="7"/>
        <v>1</v>
      </c>
      <c r="M70" s="90">
        <f t="shared" si="8"/>
        <v>0</v>
      </c>
      <c r="N70" s="31"/>
      <c r="O70" s="31"/>
      <c r="P70" s="31"/>
      <c r="Q70" s="31"/>
    </row>
    <row r="71" spans="1:17" ht="30.1" customHeight="1" x14ac:dyDescent="0.3">
      <c r="A71" s="21">
        <v>40</v>
      </c>
      <c r="B71" s="15"/>
      <c r="C71" s="16"/>
      <c r="D71" s="16"/>
      <c r="E71" s="16"/>
      <c r="F71" s="16"/>
      <c r="G71" s="29"/>
      <c r="H71" s="16"/>
      <c r="I71" s="205"/>
      <c r="J71" s="153"/>
      <c r="K71" s="89" t="str">
        <f t="shared" si="6"/>
        <v/>
      </c>
      <c r="L71" s="88">
        <f t="shared" si="7"/>
        <v>1</v>
      </c>
      <c r="M71" s="90">
        <f t="shared" si="8"/>
        <v>0</v>
      </c>
      <c r="N71" s="31"/>
      <c r="O71" s="31"/>
      <c r="P71" s="31"/>
      <c r="Q71" s="31"/>
    </row>
    <row r="72" spans="1:17" ht="30.1" customHeight="1" x14ac:dyDescent="0.3">
      <c r="A72" s="21">
        <v>41</v>
      </c>
      <c r="B72" s="15"/>
      <c r="C72" s="16"/>
      <c r="D72" s="16"/>
      <c r="E72" s="16"/>
      <c r="F72" s="16"/>
      <c r="G72" s="29"/>
      <c r="H72" s="16"/>
      <c r="I72" s="205"/>
      <c r="J72" s="153"/>
      <c r="K72" s="89" t="str">
        <f t="shared" si="6"/>
        <v/>
      </c>
      <c r="L72" s="88">
        <f t="shared" si="7"/>
        <v>1</v>
      </c>
      <c r="M72" s="90">
        <f t="shared" si="8"/>
        <v>0</v>
      </c>
      <c r="N72" s="31"/>
      <c r="O72" s="31"/>
      <c r="P72" s="31"/>
      <c r="Q72" s="31"/>
    </row>
    <row r="73" spans="1:17" ht="30.1" customHeight="1" x14ac:dyDescent="0.3">
      <c r="A73" s="21">
        <v>42</v>
      </c>
      <c r="B73" s="15"/>
      <c r="C73" s="16"/>
      <c r="D73" s="16"/>
      <c r="E73" s="16"/>
      <c r="F73" s="16"/>
      <c r="G73" s="29"/>
      <c r="H73" s="16"/>
      <c r="I73" s="205"/>
      <c r="J73" s="153"/>
      <c r="K73" s="89" t="str">
        <f t="shared" si="6"/>
        <v/>
      </c>
      <c r="L73" s="88">
        <f t="shared" si="7"/>
        <v>1</v>
      </c>
      <c r="M73" s="90">
        <f t="shared" si="8"/>
        <v>0</v>
      </c>
      <c r="N73" s="31"/>
      <c r="O73" s="31"/>
      <c r="P73" s="31"/>
      <c r="Q73" s="31"/>
    </row>
    <row r="74" spans="1:17" ht="30.1" customHeight="1" x14ac:dyDescent="0.3">
      <c r="A74" s="21">
        <v>43</v>
      </c>
      <c r="B74" s="15"/>
      <c r="C74" s="16"/>
      <c r="D74" s="16"/>
      <c r="E74" s="16"/>
      <c r="F74" s="16"/>
      <c r="G74" s="29"/>
      <c r="H74" s="16"/>
      <c r="I74" s="205"/>
      <c r="J74" s="153"/>
      <c r="K74" s="89" t="str">
        <f t="shared" si="6"/>
        <v/>
      </c>
      <c r="L74" s="88">
        <f t="shared" si="7"/>
        <v>1</v>
      </c>
      <c r="M74" s="90">
        <f t="shared" si="8"/>
        <v>0</v>
      </c>
      <c r="N74" s="31"/>
      <c r="O74" s="31"/>
      <c r="P74" s="31"/>
      <c r="Q74" s="31"/>
    </row>
    <row r="75" spans="1:17" ht="30.1" customHeight="1" x14ac:dyDescent="0.3">
      <c r="A75" s="21">
        <v>44</v>
      </c>
      <c r="B75" s="15"/>
      <c r="C75" s="16"/>
      <c r="D75" s="16"/>
      <c r="E75" s="16"/>
      <c r="F75" s="16"/>
      <c r="G75" s="29"/>
      <c r="H75" s="16"/>
      <c r="I75" s="205"/>
      <c r="J75" s="153"/>
      <c r="K75" s="89" t="str">
        <f t="shared" si="6"/>
        <v/>
      </c>
      <c r="L75" s="88">
        <f t="shared" si="7"/>
        <v>1</v>
      </c>
      <c r="M75" s="90">
        <f t="shared" si="8"/>
        <v>0</v>
      </c>
      <c r="N75" s="31"/>
      <c r="O75" s="31"/>
      <c r="P75" s="31"/>
      <c r="Q75" s="31"/>
    </row>
    <row r="76" spans="1:17" ht="30.1" customHeight="1" thickBot="1" x14ac:dyDescent="0.35">
      <c r="A76" s="22">
        <v>45</v>
      </c>
      <c r="B76" s="17"/>
      <c r="C76" s="18"/>
      <c r="D76" s="18"/>
      <c r="E76" s="18"/>
      <c r="F76" s="18"/>
      <c r="G76" s="30"/>
      <c r="H76" s="18"/>
      <c r="I76" s="206"/>
      <c r="J76" s="154"/>
      <c r="K76" s="89" t="str">
        <f t="shared" si="6"/>
        <v/>
      </c>
      <c r="L76" s="88">
        <f t="shared" si="7"/>
        <v>1</v>
      </c>
      <c r="M76" s="90">
        <f t="shared" si="8"/>
        <v>0</v>
      </c>
      <c r="N76" s="91">
        <f>IF(COUNTA(G62:J76)&gt;0,1,0)</f>
        <v>0</v>
      </c>
      <c r="O76" s="31"/>
      <c r="P76" s="31"/>
      <c r="Q76" s="31"/>
    </row>
    <row r="77" spans="1:17" ht="30.1" customHeight="1" thickBot="1" x14ac:dyDescent="0.35">
      <c r="A77" s="373" t="s">
        <v>139</v>
      </c>
      <c r="B77" s="373"/>
      <c r="C77" s="373"/>
      <c r="D77" s="373"/>
      <c r="E77" s="373"/>
      <c r="F77" s="373"/>
      <c r="G77" s="374"/>
      <c r="H77" s="4" t="s">
        <v>42</v>
      </c>
      <c r="I77" s="156">
        <f>SUM(I62:I76)+I50</f>
        <v>0</v>
      </c>
      <c r="J77" s="156">
        <f>SUM(J62:J76)+J50</f>
        <v>0</v>
      </c>
      <c r="K77" s="167"/>
      <c r="L77" s="28"/>
      <c r="M77" s="31"/>
      <c r="N77" s="31"/>
      <c r="O77" s="31"/>
      <c r="P77" s="31"/>
      <c r="Q77" s="31"/>
    </row>
    <row r="78" spans="1:17" ht="30.1" customHeight="1" x14ac:dyDescent="0.3">
      <c r="A78" s="19" t="s">
        <v>117</v>
      </c>
      <c r="B78" s="31"/>
      <c r="C78" s="31"/>
      <c r="D78" s="31"/>
      <c r="E78" s="31"/>
      <c r="F78" s="31"/>
      <c r="G78" s="168"/>
      <c r="H78" s="31"/>
      <c r="I78" s="31"/>
      <c r="J78" s="31"/>
      <c r="K78" s="167"/>
      <c r="L78" s="28"/>
      <c r="M78" s="31"/>
      <c r="N78" s="31"/>
      <c r="O78" s="31"/>
      <c r="P78" s="31"/>
      <c r="Q78" s="31"/>
    </row>
    <row r="79" spans="1:17" ht="30.1" customHeight="1" x14ac:dyDescent="0.3">
      <c r="A79" s="31"/>
      <c r="B79" s="31"/>
      <c r="C79" s="31"/>
      <c r="D79" s="31"/>
      <c r="E79" s="31"/>
      <c r="F79" s="31"/>
      <c r="G79" s="168"/>
      <c r="H79" s="31"/>
      <c r="I79" s="31"/>
      <c r="J79" s="31"/>
      <c r="K79" s="32"/>
      <c r="L79" s="28"/>
      <c r="M79" s="31"/>
      <c r="N79" s="31"/>
      <c r="O79" s="31"/>
      <c r="P79" s="31"/>
      <c r="Q79" s="31"/>
    </row>
    <row r="80" spans="1:17" ht="30.1" customHeight="1" x14ac:dyDescent="0.35">
      <c r="A80" s="31"/>
      <c r="B80" s="247" t="s">
        <v>39</v>
      </c>
      <c r="C80" s="248">
        <f ca="1">IF(imzatarihi&gt;0,imzatarihi,"")</f>
        <v>45686</v>
      </c>
      <c r="D80" s="250" t="s">
        <v>158</v>
      </c>
      <c r="E80" s="245" t="str">
        <f>IF(kurulusyetkilisi&gt;0,kurulusyetkilisi,"")</f>
        <v/>
      </c>
      <c r="F80" s="31"/>
      <c r="G80" s="168"/>
      <c r="H80" s="31"/>
      <c r="I80" s="31"/>
      <c r="J80" s="31"/>
      <c r="K80" s="32"/>
      <c r="L80" s="28"/>
      <c r="M80" s="31"/>
      <c r="N80" s="31"/>
      <c r="O80" s="31"/>
      <c r="P80" s="31"/>
      <c r="Q80" s="31"/>
    </row>
    <row r="81" spans="1:17" ht="30.1" customHeight="1" x14ac:dyDescent="0.35">
      <c r="A81" s="31"/>
      <c r="B81" s="249"/>
      <c r="C81" s="249"/>
      <c r="D81" s="250" t="s">
        <v>157</v>
      </c>
      <c r="E81" s="247"/>
      <c r="F81" s="31"/>
      <c r="G81" s="168"/>
      <c r="H81" s="31"/>
      <c r="I81" s="31"/>
      <c r="J81" s="31"/>
      <c r="K81" s="32"/>
      <c r="L81" s="28"/>
      <c r="M81" s="31"/>
      <c r="N81" s="31"/>
      <c r="O81" s="31"/>
      <c r="P81" s="31"/>
      <c r="Q81" s="31"/>
    </row>
    <row r="82" spans="1:17" ht="30.1" customHeight="1" x14ac:dyDescent="0.3">
      <c r="A82" s="375" t="s">
        <v>93</v>
      </c>
      <c r="B82" s="375"/>
      <c r="C82" s="375"/>
      <c r="D82" s="375"/>
      <c r="E82" s="375"/>
      <c r="F82" s="375"/>
      <c r="G82" s="375"/>
      <c r="H82" s="375"/>
      <c r="I82" s="375"/>
      <c r="J82" s="375"/>
      <c r="K82" s="51"/>
      <c r="L82" s="52"/>
      <c r="M82" s="31"/>
      <c r="N82" s="31"/>
      <c r="O82" s="31"/>
      <c r="P82" s="31"/>
      <c r="Q82" s="31"/>
    </row>
    <row r="83" spans="1:17" ht="30.1" customHeight="1" x14ac:dyDescent="0.3">
      <c r="A83" s="329" t="str">
        <f>IF(YilDonem&lt;&gt;"",CONCATENATE(YilDonem,". döneme aittir."),"")</f>
        <v/>
      </c>
      <c r="B83" s="329"/>
      <c r="C83" s="329"/>
      <c r="D83" s="329"/>
      <c r="E83" s="329"/>
      <c r="F83" s="329"/>
      <c r="G83" s="329"/>
      <c r="H83" s="329"/>
      <c r="I83" s="329"/>
      <c r="J83" s="329"/>
      <c r="K83" s="166"/>
      <c r="L83" s="52"/>
      <c r="M83" s="149"/>
      <c r="N83" s="31"/>
      <c r="O83" s="31"/>
      <c r="P83" s="31"/>
      <c r="Q83" s="31"/>
    </row>
    <row r="84" spans="1:17" ht="30.1" customHeight="1" thickBot="1" x14ac:dyDescent="0.35">
      <c r="A84" s="355" t="s">
        <v>96</v>
      </c>
      <c r="B84" s="355"/>
      <c r="C84" s="355"/>
      <c r="D84" s="355"/>
      <c r="E84" s="355"/>
      <c r="F84" s="355"/>
      <c r="G84" s="355"/>
      <c r="H84" s="355"/>
      <c r="I84" s="355"/>
      <c r="J84" s="355"/>
      <c r="K84" s="166"/>
      <c r="L84" s="52"/>
      <c r="M84" s="149"/>
      <c r="N84" s="31"/>
      <c r="O84" s="31"/>
      <c r="P84" s="31"/>
      <c r="Q84" s="31"/>
    </row>
    <row r="85" spans="1:17" ht="30.1" customHeight="1" thickBot="1" x14ac:dyDescent="0.35">
      <c r="A85" s="380" t="s">
        <v>1</v>
      </c>
      <c r="B85" s="382"/>
      <c r="C85" s="380" t="str">
        <f>IF(ProjeNo&gt;0,ProjeNo,"")</f>
        <v/>
      </c>
      <c r="D85" s="381"/>
      <c r="E85" s="381"/>
      <c r="F85" s="381"/>
      <c r="G85" s="381"/>
      <c r="H85" s="381"/>
      <c r="I85" s="381"/>
      <c r="J85" s="382"/>
      <c r="K85" s="32"/>
      <c r="L85" s="28"/>
      <c r="M85" s="31"/>
      <c r="N85" s="31"/>
      <c r="O85" s="31"/>
      <c r="P85" s="31"/>
      <c r="Q85" s="31"/>
    </row>
    <row r="86" spans="1:17" ht="30.1" customHeight="1" thickBot="1" x14ac:dyDescent="0.35">
      <c r="A86" s="388" t="s">
        <v>11</v>
      </c>
      <c r="B86" s="389"/>
      <c r="C86" s="383" t="str">
        <f>IF(ProjeAdi&gt;0,ProjeAdi,"")</f>
        <v/>
      </c>
      <c r="D86" s="384"/>
      <c r="E86" s="384"/>
      <c r="F86" s="384"/>
      <c r="G86" s="384"/>
      <c r="H86" s="384"/>
      <c r="I86" s="384"/>
      <c r="J86" s="385"/>
      <c r="K86" s="32"/>
      <c r="L86" s="28"/>
      <c r="M86" s="31"/>
      <c r="N86" s="31"/>
      <c r="O86" s="31"/>
      <c r="P86" s="31"/>
      <c r="Q86" s="31"/>
    </row>
    <row r="87" spans="1:17" ht="30.1" customHeight="1" thickBot="1" x14ac:dyDescent="0.35">
      <c r="A87" s="376" t="s">
        <v>7</v>
      </c>
      <c r="B87" s="376" t="s">
        <v>94</v>
      </c>
      <c r="C87" s="376" t="s">
        <v>95</v>
      </c>
      <c r="D87" s="376" t="s">
        <v>92</v>
      </c>
      <c r="E87" s="376" t="s">
        <v>90</v>
      </c>
      <c r="F87" s="376" t="s">
        <v>91</v>
      </c>
      <c r="G87" s="386" t="s">
        <v>86</v>
      </c>
      <c r="H87" s="376" t="s">
        <v>87</v>
      </c>
      <c r="I87" s="50" t="s">
        <v>88</v>
      </c>
      <c r="J87" s="50" t="s">
        <v>88</v>
      </c>
      <c r="K87" s="32"/>
      <c r="L87" s="28"/>
      <c r="M87" s="31"/>
      <c r="N87" s="31"/>
      <c r="O87" s="31"/>
      <c r="P87" s="31"/>
      <c r="Q87" s="31"/>
    </row>
    <row r="88" spans="1:17" ht="30.1" customHeight="1" thickBot="1" x14ac:dyDescent="0.35">
      <c r="A88" s="377"/>
      <c r="B88" s="377"/>
      <c r="C88" s="377"/>
      <c r="D88" s="377"/>
      <c r="E88" s="377"/>
      <c r="F88" s="377"/>
      <c r="G88" s="387"/>
      <c r="H88" s="377"/>
      <c r="I88" s="50" t="s">
        <v>143</v>
      </c>
      <c r="J88" s="161" t="s">
        <v>89</v>
      </c>
      <c r="K88" s="32"/>
      <c r="L88" s="28"/>
      <c r="M88" s="31"/>
      <c r="N88" s="31"/>
      <c r="O88" s="31"/>
      <c r="P88" s="31"/>
      <c r="Q88" s="31"/>
    </row>
    <row r="89" spans="1:17" ht="30.1" customHeight="1" x14ac:dyDescent="0.3">
      <c r="A89" s="23">
        <v>46</v>
      </c>
      <c r="B89" s="24"/>
      <c r="C89" s="25"/>
      <c r="D89" s="25"/>
      <c r="E89" s="25"/>
      <c r="F89" s="25"/>
      <c r="G89" s="26"/>
      <c r="H89" s="25"/>
      <c r="I89" s="203"/>
      <c r="J89" s="151"/>
      <c r="K89" s="89" t="str">
        <f t="shared" ref="K89:K103" si="9">IF(AND(COUNTA(B89:F89)&gt;0,L89=1),"Belge Tarihi ve Belge Numarası doldurulduktan sonra KDV Dahil Tutar doldurulabilir.","")</f>
        <v/>
      </c>
      <c r="L89" s="88">
        <f>IF(COUNTA(G89:H89)=2,0,1)</f>
        <v>1</v>
      </c>
      <c r="M89" s="90">
        <f>IF(L89=1,0,100000000)</f>
        <v>0</v>
      </c>
      <c r="N89" s="31"/>
      <c r="O89" s="31"/>
      <c r="P89" s="31"/>
      <c r="Q89" s="31"/>
    </row>
    <row r="90" spans="1:17" ht="30.1" customHeight="1" x14ac:dyDescent="0.3">
      <c r="A90" s="20">
        <v>47</v>
      </c>
      <c r="B90" s="12"/>
      <c r="C90" s="13"/>
      <c r="D90" s="13"/>
      <c r="E90" s="13"/>
      <c r="F90" s="13"/>
      <c r="G90" s="14"/>
      <c r="H90" s="13"/>
      <c r="I90" s="204"/>
      <c r="J90" s="152"/>
      <c r="K90" s="89" t="str">
        <f t="shared" si="9"/>
        <v/>
      </c>
      <c r="L90" s="88">
        <f t="shared" ref="L90:L103" si="10">IF(COUNTA(G90:H90)=2,0,1)</f>
        <v>1</v>
      </c>
      <c r="M90" s="90">
        <f t="shared" ref="M90:M103" si="11">IF(L90=1,0,100000000)</f>
        <v>0</v>
      </c>
      <c r="N90" s="31"/>
      <c r="O90" s="31"/>
      <c r="P90" s="31"/>
      <c r="Q90" s="31"/>
    </row>
    <row r="91" spans="1:17" ht="30.1" customHeight="1" x14ac:dyDescent="0.3">
      <c r="A91" s="20">
        <v>48</v>
      </c>
      <c r="B91" s="12"/>
      <c r="C91" s="13"/>
      <c r="D91" s="13"/>
      <c r="E91" s="13"/>
      <c r="F91" s="13"/>
      <c r="G91" s="14"/>
      <c r="H91" s="13"/>
      <c r="I91" s="204"/>
      <c r="J91" s="152"/>
      <c r="K91" s="89" t="str">
        <f t="shared" si="9"/>
        <v/>
      </c>
      <c r="L91" s="88">
        <f t="shared" si="10"/>
        <v>1</v>
      </c>
      <c r="M91" s="90">
        <f t="shared" si="11"/>
        <v>0</v>
      </c>
      <c r="N91" s="31"/>
      <c r="O91" s="31"/>
      <c r="P91" s="31"/>
      <c r="Q91" s="31"/>
    </row>
    <row r="92" spans="1:17" ht="30.1" customHeight="1" x14ac:dyDescent="0.3">
      <c r="A92" s="20">
        <v>49</v>
      </c>
      <c r="B92" s="12"/>
      <c r="C92" s="13"/>
      <c r="D92" s="13"/>
      <c r="E92" s="13"/>
      <c r="F92" s="13"/>
      <c r="G92" s="14"/>
      <c r="H92" s="13"/>
      <c r="I92" s="204"/>
      <c r="J92" s="152"/>
      <c r="K92" s="89" t="str">
        <f t="shared" si="9"/>
        <v/>
      </c>
      <c r="L92" s="88">
        <f t="shared" si="10"/>
        <v>1</v>
      </c>
      <c r="M92" s="90">
        <f t="shared" si="11"/>
        <v>0</v>
      </c>
      <c r="N92" s="31"/>
      <c r="O92" s="31"/>
      <c r="P92" s="31"/>
      <c r="Q92" s="31"/>
    </row>
    <row r="93" spans="1:17" ht="30.1" customHeight="1" x14ac:dyDescent="0.3">
      <c r="A93" s="20">
        <v>50</v>
      </c>
      <c r="B93" s="12"/>
      <c r="C93" s="13"/>
      <c r="D93" s="13"/>
      <c r="E93" s="13"/>
      <c r="F93" s="13"/>
      <c r="G93" s="14"/>
      <c r="H93" s="13"/>
      <c r="I93" s="204"/>
      <c r="J93" s="152"/>
      <c r="K93" s="89" t="str">
        <f t="shared" si="9"/>
        <v/>
      </c>
      <c r="L93" s="88">
        <f t="shared" si="10"/>
        <v>1</v>
      </c>
      <c r="M93" s="90">
        <f t="shared" si="11"/>
        <v>0</v>
      </c>
      <c r="N93" s="31"/>
      <c r="O93" s="31"/>
      <c r="P93" s="31"/>
      <c r="Q93" s="31"/>
    </row>
    <row r="94" spans="1:17" ht="30.1" customHeight="1" x14ac:dyDescent="0.3">
      <c r="A94" s="20">
        <v>51</v>
      </c>
      <c r="B94" s="12"/>
      <c r="C94" s="13"/>
      <c r="D94" s="13"/>
      <c r="E94" s="13"/>
      <c r="F94" s="13"/>
      <c r="G94" s="14"/>
      <c r="H94" s="13"/>
      <c r="I94" s="204"/>
      <c r="J94" s="152"/>
      <c r="K94" s="89" t="str">
        <f t="shared" si="9"/>
        <v/>
      </c>
      <c r="L94" s="88">
        <f t="shared" si="10"/>
        <v>1</v>
      </c>
      <c r="M94" s="90">
        <f t="shared" si="11"/>
        <v>0</v>
      </c>
      <c r="N94" s="31"/>
      <c r="O94" s="31"/>
      <c r="P94" s="31"/>
      <c r="Q94" s="31"/>
    </row>
    <row r="95" spans="1:17" ht="30.1" customHeight="1" x14ac:dyDescent="0.3">
      <c r="A95" s="21">
        <v>52</v>
      </c>
      <c r="B95" s="15"/>
      <c r="C95" s="16"/>
      <c r="D95" s="16"/>
      <c r="E95" s="16"/>
      <c r="F95" s="16"/>
      <c r="G95" s="29"/>
      <c r="H95" s="16"/>
      <c r="I95" s="205"/>
      <c r="J95" s="153"/>
      <c r="K95" s="89" t="str">
        <f t="shared" si="9"/>
        <v/>
      </c>
      <c r="L95" s="88">
        <f t="shared" si="10"/>
        <v>1</v>
      </c>
      <c r="M95" s="90">
        <f t="shared" si="11"/>
        <v>0</v>
      </c>
      <c r="N95" s="31"/>
      <c r="O95" s="31"/>
      <c r="P95" s="31"/>
      <c r="Q95" s="31"/>
    </row>
    <row r="96" spans="1:17" ht="30.1" customHeight="1" x14ac:dyDescent="0.3">
      <c r="A96" s="21">
        <v>53</v>
      </c>
      <c r="B96" s="15"/>
      <c r="C96" s="16"/>
      <c r="D96" s="16"/>
      <c r="E96" s="16"/>
      <c r="F96" s="16"/>
      <c r="G96" s="29"/>
      <c r="H96" s="16"/>
      <c r="I96" s="205"/>
      <c r="J96" s="153"/>
      <c r="K96" s="89" t="str">
        <f t="shared" si="9"/>
        <v/>
      </c>
      <c r="L96" s="88">
        <f t="shared" si="10"/>
        <v>1</v>
      </c>
      <c r="M96" s="90">
        <f t="shared" si="11"/>
        <v>0</v>
      </c>
      <c r="N96" s="165"/>
      <c r="O96" s="165"/>
      <c r="P96" s="31"/>
      <c r="Q96" s="31"/>
    </row>
    <row r="97" spans="1:17" ht="30.1" customHeight="1" x14ac:dyDescent="0.3">
      <c r="A97" s="21">
        <v>54</v>
      </c>
      <c r="B97" s="15"/>
      <c r="C97" s="16"/>
      <c r="D97" s="16"/>
      <c r="E97" s="16"/>
      <c r="F97" s="16"/>
      <c r="G97" s="29"/>
      <c r="H97" s="16"/>
      <c r="I97" s="205"/>
      <c r="J97" s="153"/>
      <c r="K97" s="89" t="str">
        <f t="shared" si="9"/>
        <v/>
      </c>
      <c r="L97" s="88">
        <f t="shared" si="10"/>
        <v>1</v>
      </c>
      <c r="M97" s="90">
        <f t="shared" si="11"/>
        <v>0</v>
      </c>
      <c r="N97" s="31"/>
      <c r="O97" s="31"/>
      <c r="P97" s="31"/>
      <c r="Q97" s="31"/>
    </row>
    <row r="98" spans="1:17" ht="30.1" customHeight="1" x14ac:dyDescent="0.3">
      <c r="A98" s="21">
        <v>55</v>
      </c>
      <c r="B98" s="15"/>
      <c r="C98" s="16"/>
      <c r="D98" s="16"/>
      <c r="E98" s="16"/>
      <c r="F98" s="16"/>
      <c r="G98" s="29"/>
      <c r="H98" s="16"/>
      <c r="I98" s="205"/>
      <c r="J98" s="153"/>
      <c r="K98" s="89" t="str">
        <f t="shared" si="9"/>
        <v/>
      </c>
      <c r="L98" s="88">
        <f t="shared" si="10"/>
        <v>1</v>
      </c>
      <c r="M98" s="90">
        <f t="shared" si="11"/>
        <v>0</v>
      </c>
      <c r="N98" s="31"/>
      <c r="O98" s="31"/>
      <c r="P98" s="31"/>
      <c r="Q98" s="31"/>
    </row>
    <row r="99" spans="1:17" ht="30.1" customHeight="1" x14ac:dyDescent="0.3">
      <c r="A99" s="21">
        <v>56</v>
      </c>
      <c r="B99" s="15"/>
      <c r="C99" s="16"/>
      <c r="D99" s="16"/>
      <c r="E99" s="16"/>
      <c r="F99" s="16"/>
      <c r="G99" s="29"/>
      <c r="H99" s="16"/>
      <c r="I99" s="205"/>
      <c r="J99" s="153"/>
      <c r="K99" s="89" t="str">
        <f t="shared" si="9"/>
        <v/>
      </c>
      <c r="L99" s="88">
        <f t="shared" si="10"/>
        <v>1</v>
      </c>
      <c r="M99" s="90">
        <f t="shared" si="11"/>
        <v>0</v>
      </c>
      <c r="N99" s="31"/>
      <c r="O99" s="31"/>
      <c r="P99" s="31"/>
      <c r="Q99" s="31"/>
    </row>
    <row r="100" spans="1:17" ht="30.1" customHeight="1" x14ac:dyDescent="0.3">
      <c r="A100" s="21">
        <v>57</v>
      </c>
      <c r="B100" s="15"/>
      <c r="C100" s="16"/>
      <c r="D100" s="16"/>
      <c r="E100" s="16"/>
      <c r="F100" s="16"/>
      <c r="G100" s="29"/>
      <c r="H100" s="16"/>
      <c r="I100" s="205"/>
      <c r="J100" s="153"/>
      <c r="K100" s="89" t="str">
        <f t="shared" si="9"/>
        <v/>
      </c>
      <c r="L100" s="88">
        <f t="shared" si="10"/>
        <v>1</v>
      </c>
      <c r="M100" s="90">
        <f t="shared" si="11"/>
        <v>0</v>
      </c>
      <c r="N100" s="31"/>
      <c r="O100" s="31"/>
      <c r="P100" s="31"/>
      <c r="Q100" s="31"/>
    </row>
    <row r="101" spans="1:17" ht="30.1" customHeight="1" x14ac:dyDescent="0.3">
      <c r="A101" s="21">
        <v>58</v>
      </c>
      <c r="B101" s="15"/>
      <c r="C101" s="16"/>
      <c r="D101" s="16"/>
      <c r="E101" s="16"/>
      <c r="F101" s="16"/>
      <c r="G101" s="29"/>
      <c r="H101" s="16"/>
      <c r="I101" s="205"/>
      <c r="J101" s="153"/>
      <c r="K101" s="89" t="str">
        <f t="shared" si="9"/>
        <v/>
      </c>
      <c r="L101" s="88">
        <f t="shared" si="10"/>
        <v>1</v>
      </c>
      <c r="M101" s="90">
        <f t="shared" si="11"/>
        <v>0</v>
      </c>
      <c r="N101" s="31"/>
      <c r="O101" s="31"/>
      <c r="P101" s="31"/>
      <c r="Q101" s="31"/>
    </row>
    <row r="102" spans="1:17" ht="30.1" customHeight="1" x14ac:dyDescent="0.3">
      <c r="A102" s="21">
        <v>59</v>
      </c>
      <c r="B102" s="15"/>
      <c r="C102" s="16"/>
      <c r="D102" s="16"/>
      <c r="E102" s="16"/>
      <c r="F102" s="16"/>
      <c r="G102" s="29"/>
      <c r="H102" s="16"/>
      <c r="I102" s="205"/>
      <c r="J102" s="153"/>
      <c r="K102" s="89" t="str">
        <f t="shared" si="9"/>
        <v/>
      </c>
      <c r="L102" s="88">
        <f t="shared" si="10"/>
        <v>1</v>
      </c>
      <c r="M102" s="90">
        <f t="shared" si="11"/>
        <v>0</v>
      </c>
      <c r="N102" s="31"/>
      <c r="O102" s="31"/>
      <c r="P102" s="31"/>
      <c r="Q102" s="31"/>
    </row>
    <row r="103" spans="1:17" ht="30.1" customHeight="1" thickBot="1" x14ac:dyDescent="0.35">
      <c r="A103" s="22">
        <v>60</v>
      </c>
      <c r="B103" s="17"/>
      <c r="C103" s="18"/>
      <c r="D103" s="18"/>
      <c r="E103" s="18"/>
      <c r="F103" s="18"/>
      <c r="G103" s="30"/>
      <c r="H103" s="18"/>
      <c r="I103" s="206"/>
      <c r="J103" s="154"/>
      <c r="K103" s="89" t="str">
        <f t="shared" si="9"/>
        <v/>
      </c>
      <c r="L103" s="88">
        <f t="shared" si="10"/>
        <v>1</v>
      </c>
      <c r="M103" s="90">
        <f t="shared" si="11"/>
        <v>0</v>
      </c>
      <c r="N103" s="91">
        <f>IF(COUNTA(G89:J103)&gt;0,1,0)</f>
        <v>0</v>
      </c>
      <c r="O103" s="31"/>
      <c r="P103" s="31"/>
      <c r="Q103" s="31"/>
    </row>
    <row r="104" spans="1:17" ht="30.1" customHeight="1" thickBot="1" x14ac:dyDescent="0.35">
      <c r="A104" s="373" t="s">
        <v>139</v>
      </c>
      <c r="B104" s="373"/>
      <c r="C104" s="373"/>
      <c r="D104" s="373"/>
      <c r="E104" s="373"/>
      <c r="F104" s="373"/>
      <c r="G104" s="374"/>
      <c r="H104" s="4" t="s">
        <v>42</v>
      </c>
      <c r="I104" s="156">
        <f>SUM(I89:I103)+I77</f>
        <v>0</v>
      </c>
      <c r="J104" s="156">
        <f>SUM(J89:J103)+J77</f>
        <v>0</v>
      </c>
      <c r="K104" s="167"/>
      <c r="L104" s="28"/>
      <c r="M104" s="31"/>
      <c r="N104" s="31"/>
      <c r="O104" s="31"/>
      <c r="P104" s="31"/>
      <c r="Q104" s="31"/>
    </row>
    <row r="105" spans="1:17" ht="30.1" customHeight="1" x14ac:dyDescent="0.3">
      <c r="A105" s="19" t="s">
        <v>117</v>
      </c>
      <c r="B105" s="31"/>
      <c r="C105" s="31"/>
      <c r="D105" s="31"/>
      <c r="E105" s="31"/>
      <c r="F105" s="31"/>
      <c r="G105" s="168"/>
      <c r="H105" s="31"/>
      <c r="I105" s="31"/>
      <c r="J105" s="31"/>
      <c r="K105" s="167"/>
      <c r="L105" s="28"/>
      <c r="M105" s="31"/>
      <c r="N105" s="31"/>
      <c r="O105" s="31"/>
      <c r="P105" s="31"/>
      <c r="Q105" s="31"/>
    </row>
    <row r="106" spans="1:17" ht="30.1" customHeight="1" x14ac:dyDescent="0.3">
      <c r="A106" s="31"/>
      <c r="B106" s="31"/>
      <c r="C106" s="31"/>
      <c r="D106" s="31"/>
      <c r="E106" s="31"/>
      <c r="F106" s="31"/>
      <c r="G106" s="168"/>
      <c r="H106" s="31"/>
      <c r="I106" s="31"/>
      <c r="J106" s="31"/>
      <c r="K106" s="32"/>
      <c r="L106" s="28"/>
      <c r="M106" s="31"/>
      <c r="N106" s="31"/>
      <c r="O106" s="31"/>
      <c r="P106" s="31"/>
      <c r="Q106" s="31"/>
    </row>
    <row r="107" spans="1:17" ht="30.1" customHeight="1" x14ac:dyDescent="0.35">
      <c r="A107" s="31"/>
      <c r="B107" s="247" t="s">
        <v>39</v>
      </c>
      <c r="C107" s="248">
        <f ca="1">IF(imzatarihi&gt;0,imzatarihi,"")</f>
        <v>45686</v>
      </c>
      <c r="D107" s="250" t="s">
        <v>158</v>
      </c>
      <c r="E107" s="245" t="str">
        <f>IF(kurulusyetkilisi&gt;0,kurulusyetkilisi,"")</f>
        <v/>
      </c>
      <c r="F107" s="31"/>
      <c r="G107" s="168"/>
      <c r="H107" s="31"/>
      <c r="I107" s="31"/>
      <c r="J107" s="31"/>
      <c r="K107" s="32"/>
      <c r="L107" s="28"/>
      <c r="M107" s="31"/>
      <c r="N107" s="31"/>
      <c r="O107" s="31"/>
      <c r="P107" s="31"/>
      <c r="Q107" s="31"/>
    </row>
    <row r="108" spans="1:17" ht="30.1" customHeight="1" x14ac:dyDescent="0.35">
      <c r="A108" s="31"/>
      <c r="B108" s="249"/>
      <c r="C108" s="249"/>
      <c r="D108" s="250" t="s">
        <v>157</v>
      </c>
      <c r="E108" s="247"/>
      <c r="F108" s="31"/>
      <c r="G108" s="168"/>
      <c r="H108" s="31"/>
      <c r="I108" s="31"/>
      <c r="J108" s="31"/>
      <c r="K108" s="32"/>
      <c r="L108" s="28"/>
      <c r="M108" s="31"/>
      <c r="N108" s="31"/>
      <c r="O108" s="31"/>
      <c r="P108" s="31"/>
      <c r="Q108" s="31"/>
    </row>
    <row r="109" spans="1:17" ht="30.1" customHeight="1" x14ac:dyDescent="0.3">
      <c r="A109" s="375" t="s">
        <v>93</v>
      </c>
      <c r="B109" s="375"/>
      <c r="C109" s="375"/>
      <c r="D109" s="375"/>
      <c r="E109" s="375"/>
      <c r="F109" s="375"/>
      <c r="G109" s="375"/>
      <c r="H109" s="375"/>
      <c r="I109" s="375"/>
      <c r="J109" s="375"/>
      <c r="K109" s="51"/>
      <c r="L109" s="52"/>
      <c r="M109" s="31"/>
      <c r="N109" s="31"/>
      <c r="O109" s="31"/>
      <c r="P109" s="31"/>
      <c r="Q109" s="31"/>
    </row>
    <row r="110" spans="1:17" ht="30.1" customHeight="1" x14ac:dyDescent="0.3">
      <c r="A110" s="329" t="str">
        <f>IF(YilDonem&lt;&gt;"",CONCATENATE(YilDonem,". döneme aittir."),"")</f>
        <v/>
      </c>
      <c r="B110" s="329"/>
      <c r="C110" s="329"/>
      <c r="D110" s="329"/>
      <c r="E110" s="329"/>
      <c r="F110" s="329"/>
      <c r="G110" s="329"/>
      <c r="H110" s="329"/>
      <c r="I110" s="329"/>
      <c r="J110" s="329"/>
      <c r="K110" s="166"/>
      <c r="L110" s="52"/>
      <c r="M110" s="149"/>
      <c r="N110" s="31"/>
      <c r="O110" s="31"/>
      <c r="P110" s="31"/>
      <c r="Q110" s="31"/>
    </row>
    <row r="111" spans="1:17" ht="30.1" customHeight="1" thickBot="1" x14ac:dyDescent="0.35">
      <c r="A111" s="355" t="s">
        <v>96</v>
      </c>
      <c r="B111" s="355"/>
      <c r="C111" s="355"/>
      <c r="D111" s="355"/>
      <c r="E111" s="355"/>
      <c r="F111" s="355"/>
      <c r="G111" s="355"/>
      <c r="H111" s="355"/>
      <c r="I111" s="355"/>
      <c r="J111" s="355"/>
      <c r="K111" s="166"/>
      <c r="L111" s="52"/>
      <c r="M111" s="149"/>
      <c r="N111" s="31"/>
      <c r="O111" s="31"/>
      <c r="P111" s="31"/>
      <c r="Q111" s="31"/>
    </row>
    <row r="112" spans="1:17" ht="30.1" customHeight="1" thickBot="1" x14ac:dyDescent="0.35">
      <c r="A112" s="380" t="s">
        <v>1</v>
      </c>
      <c r="B112" s="382"/>
      <c r="C112" s="380" t="str">
        <f>IF(ProjeNo&gt;0,ProjeNo,"")</f>
        <v/>
      </c>
      <c r="D112" s="381"/>
      <c r="E112" s="381"/>
      <c r="F112" s="381"/>
      <c r="G112" s="381"/>
      <c r="H112" s="381"/>
      <c r="I112" s="381"/>
      <c r="J112" s="382"/>
      <c r="K112" s="32"/>
      <c r="L112" s="28"/>
      <c r="M112" s="31"/>
      <c r="N112" s="31"/>
      <c r="O112" s="31"/>
      <c r="P112" s="31"/>
      <c r="Q112" s="31"/>
    </row>
    <row r="113" spans="1:17" ht="30.1" customHeight="1" thickBot="1" x14ac:dyDescent="0.35">
      <c r="A113" s="388" t="s">
        <v>11</v>
      </c>
      <c r="B113" s="389"/>
      <c r="C113" s="383" t="str">
        <f>IF(ProjeAdi&gt;0,ProjeAdi,"")</f>
        <v/>
      </c>
      <c r="D113" s="384"/>
      <c r="E113" s="384"/>
      <c r="F113" s="384"/>
      <c r="G113" s="384"/>
      <c r="H113" s="384"/>
      <c r="I113" s="384"/>
      <c r="J113" s="385"/>
      <c r="K113" s="32"/>
      <c r="L113" s="28"/>
      <c r="M113" s="31"/>
      <c r="N113" s="31"/>
      <c r="O113" s="31"/>
      <c r="P113" s="31"/>
      <c r="Q113" s="31"/>
    </row>
    <row r="114" spans="1:17" ht="30.1" customHeight="1" thickBot="1" x14ac:dyDescent="0.35">
      <c r="A114" s="376" t="s">
        <v>7</v>
      </c>
      <c r="B114" s="376" t="s">
        <v>94</v>
      </c>
      <c r="C114" s="376" t="s">
        <v>95</v>
      </c>
      <c r="D114" s="376" t="s">
        <v>92</v>
      </c>
      <c r="E114" s="376" t="s">
        <v>90</v>
      </c>
      <c r="F114" s="376" t="s">
        <v>91</v>
      </c>
      <c r="G114" s="386" t="s">
        <v>86</v>
      </c>
      <c r="H114" s="376" t="s">
        <v>87</v>
      </c>
      <c r="I114" s="50" t="s">
        <v>88</v>
      </c>
      <c r="J114" s="50" t="s">
        <v>88</v>
      </c>
      <c r="K114" s="32"/>
      <c r="L114" s="28"/>
      <c r="M114" s="31"/>
      <c r="N114" s="31"/>
      <c r="O114" s="31"/>
      <c r="P114" s="31"/>
      <c r="Q114" s="31"/>
    </row>
    <row r="115" spans="1:17" ht="30.1" customHeight="1" thickBot="1" x14ac:dyDescent="0.35">
      <c r="A115" s="377"/>
      <c r="B115" s="377"/>
      <c r="C115" s="377"/>
      <c r="D115" s="377"/>
      <c r="E115" s="377"/>
      <c r="F115" s="377"/>
      <c r="G115" s="387"/>
      <c r="H115" s="377"/>
      <c r="I115" s="50" t="s">
        <v>143</v>
      </c>
      <c r="J115" s="161" t="s">
        <v>89</v>
      </c>
      <c r="K115" s="32"/>
      <c r="L115" s="28"/>
      <c r="M115" s="31"/>
      <c r="N115" s="31"/>
      <c r="O115" s="31"/>
      <c r="P115" s="31"/>
      <c r="Q115" s="31"/>
    </row>
    <row r="116" spans="1:17" ht="30.1" customHeight="1" x14ac:dyDescent="0.3">
      <c r="A116" s="23">
        <v>61</v>
      </c>
      <c r="B116" s="24"/>
      <c r="C116" s="25"/>
      <c r="D116" s="25"/>
      <c r="E116" s="25"/>
      <c r="F116" s="25"/>
      <c r="G116" s="26"/>
      <c r="H116" s="25"/>
      <c r="I116" s="203"/>
      <c r="J116" s="151"/>
      <c r="K116" s="89" t="str">
        <f t="shared" ref="K116:K130" si="12">IF(AND(COUNTA(B116:F116)&gt;0,L116=1),"Belge Tarihi ve Belge Numarası doldurulduktan sonra KDV Dahil Tutar doldurulabilir.","")</f>
        <v/>
      </c>
      <c r="L116" s="88">
        <f>IF(COUNTA(G116:H116)=2,0,1)</f>
        <v>1</v>
      </c>
      <c r="M116" s="90">
        <f>IF(L116=1,0,100000000)</f>
        <v>0</v>
      </c>
      <c r="N116" s="31"/>
      <c r="O116" s="31"/>
      <c r="P116" s="31"/>
      <c r="Q116" s="31"/>
    </row>
    <row r="117" spans="1:17" ht="30.1" customHeight="1" x14ac:dyDescent="0.3">
      <c r="A117" s="20">
        <v>62</v>
      </c>
      <c r="B117" s="12"/>
      <c r="C117" s="13"/>
      <c r="D117" s="13"/>
      <c r="E117" s="13"/>
      <c r="F117" s="13"/>
      <c r="G117" s="14"/>
      <c r="H117" s="13"/>
      <c r="I117" s="204"/>
      <c r="J117" s="152"/>
      <c r="K117" s="89" t="str">
        <f t="shared" si="12"/>
        <v/>
      </c>
      <c r="L117" s="88">
        <f t="shared" ref="L117:L130" si="13">IF(COUNTA(G117:H117)=2,0,1)</f>
        <v>1</v>
      </c>
      <c r="M117" s="90">
        <f t="shared" ref="M117:M130" si="14">IF(L117=1,0,100000000)</f>
        <v>0</v>
      </c>
      <c r="N117" s="31"/>
      <c r="O117" s="31"/>
      <c r="P117" s="31"/>
      <c r="Q117" s="31"/>
    </row>
    <row r="118" spans="1:17" ht="30.1" customHeight="1" x14ac:dyDescent="0.3">
      <c r="A118" s="20">
        <v>63</v>
      </c>
      <c r="B118" s="12"/>
      <c r="C118" s="13"/>
      <c r="D118" s="13"/>
      <c r="E118" s="13"/>
      <c r="F118" s="13"/>
      <c r="G118" s="14"/>
      <c r="H118" s="13"/>
      <c r="I118" s="204"/>
      <c r="J118" s="152"/>
      <c r="K118" s="89" t="str">
        <f t="shared" si="12"/>
        <v/>
      </c>
      <c r="L118" s="88">
        <f t="shared" si="13"/>
        <v>1</v>
      </c>
      <c r="M118" s="90">
        <f t="shared" si="14"/>
        <v>0</v>
      </c>
      <c r="N118" s="31"/>
      <c r="O118" s="31"/>
      <c r="P118" s="31"/>
      <c r="Q118" s="31"/>
    </row>
    <row r="119" spans="1:17" ht="30.1" customHeight="1" x14ac:dyDescent="0.3">
      <c r="A119" s="20">
        <v>64</v>
      </c>
      <c r="B119" s="12"/>
      <c r="C119" s="13"/>
      <c r="D119" s="13"/>
      <c r="E119" s="13"/>
      <c r="F119" s="13"/>
      <c r="G119" s="14"/>
      <c r="H119" s="13"/>
      <c r="I119" s="204"/>
      <c r="J119" s="152"/>
      <c r="K119" s="89" t="str">
        <f t="shared" si="12"/>
        <v/>
      </c>
      <c r="L119" s="88">
        <f t="shared" si="13"/>
        <v>1</v>
      </c>
      <c r="M119" s="90">
        <f t="shared" si="14"/>
        <v>0</v>
      </c>
      <c r="N119" s="31"/>
      <c r="O119" s="31"/>
      <c r="P119" s="31"/>
      <c r="Q119" s="31"/>
    </row>
    <row r="120" spans="1:17" ht="30.1" customHeight="1" x14ac:dyDescent="0.3">
      <c r="A120" s="20">
        <v>65</v>
      </c>
      <c r="B120" s="12"/>
      <c r="C120" s="13"/>
      <c r="D120" s="13"/>
      <c r="E120" s="13"/>
      <c r="F120" s="13"/>
      <c r="G120" s="14"/>
      <c r="H120" s="13"/>
      <c r="I120" s="204"/>
      <c r="J120" s="152"/>
      <c r="K120" s="89" t="str">
        <f t="shared" si="12"/>
        <v/>
      </c>
      <c r="L120" s="88">
        <f t="shared" si="13"/>
        <v>1</v>
      </c>
      <c r="M120" s="90">
        <f t="shared" si="14"/>
        <v>0</v>
      </c>
      <c r="N120" s="31"/>
      <c r="O120" s="31"/>
      <c r="P120" s="31"/>
      <c r="Q120" s="31"/>
    </row>
    <row r="121" spans="1:17" ht="30.1" customHeight="1" x14ac:dyDescent="0.3">
      <c r="A121" s="20">
        <v>66</v>
      </c>
      <c r="B121" s="12"/>
      <c r="C121" s="13"/>
      <c r="D121" s="13"/>
      <c r="E121" s="13"/>
      <c r="F121" s="13"/>
      <c r="G121" s="14"/>
      <c r="H121" s="13"/>
      <c r="I121" s="204"/>
      <c r="J121" s="152"/>
      <c r="K121" s="89" t="str">
        <f t="shared" si="12"/>
        <v/>
      </c>
      <c r="L121" s="88">
        <f t="shared" si="13"/>
        <v>1</v>
      </c>
      <c r="M121" s="90">
        <f t="shared" si="14"/>
        <v>0</v>
      </c>
      <c r="N121" s="31"/>
      <c r="O121" s="31"/>
      <c r="P121" s="31"/>
      <c r="Q121" s="31"/>
    </row>
    <row r="122" spans="1:17" ht="30.1" customHeight="1" x14ac:dyDescent="0.3">
      <c r="A122" s="21">
        <v>67</v>
      </c>
      <c r="B122" s="15"/>
      <c r="C122" s="16"/>
      <c r="D122" s="16"/>
      <c r="E122" s="16"/>
      <c r="F122" s="16"/>
      <c r="G122" s="29"/>
      <c r="H122" s="16"/>
      <c r="I122" s="205"/>
      <c r="J122" s="153"/>
      <c r="K122" s="89" t="str">
        <f t="shared" si="12"/>
        <v/>
      </c>
      <c r="L122" s="88">
        <f t="shared" si="13"/>
        <v>1</v>
      </c>
      <c r="M122" s="90">
        <f t="shared" si="14"/>
        <v>0</v>
      </c>
      <c r="N122" s="31"/>
      <c r="O122" s="31"/>
      <c r="P122" s="31"/>
      <c r="Q122" s="31"/>
    </row>
    <row r="123" spans="1:17" ht="30.1" customHeight="1" x14ac:dyDescent="0.3">
      <c r="A123" s="21">
        <v>68</v>
      </c>
      <c r="B123" s="15"/>
      <c r="C123" s="16"/>
      <c r="D123" s="16"/>
      <c r="E123" s="16"/>
      <c r="F123" s="16"/>
      <c r="G123" s="29"/>
      <c r="H123" s="16"/>
      <c r="I123" s="205"/>
      <c r="J123" s="153"/>
      <c r="K123" s="89" t="str">
        <f t="shared" si="12"/>
        <v/>
      </c>
      <c r="L123" s="88">
        <f t="shared" si="13"/>
        <v>1</v>
      </c>
      <c r="M123" s="90">
        <f t="shared" si="14"/>
        <v>0</v>
      </c>
      <c r="N123" s="31"/>
      <c r="O123" s="31"/>
      <c r="P123" s="31"/>
      <c r="Q123" s="31"/>
    </row>
    <row r="124" spans="1:17" ht="30.1" customHeight="1" x14ac:dyDescent="0.3">
      <c r="A124" s="21">
        <v>69</v>
      </c>
      <c r="B124" s="15"/>
      <c r="C124" s="16"/>
      <c r="D124" s="16"/>
      <c r="E124" s="16"/>
      <c r="F124" s="16"/>
      <c r="G124" s="29"/>
      <c r="H124" s="16"/>
      <c r="I124" s="205"/>
      <c r="J124" s="153"/>
      <c r="K124" s="89" t="str">
        <f t="shared" si="12"/>
        <v/>
      </c>
      <c r="L124" s="88">
        <f t="shared" si="13"/>
        <v>1</v>
      </c>
      <c r="M124" s="90">
        <f t="shared" si="14"/>
        <v>0</v>
      </c>
      <c r="N124" s="31"/>
      <c r="O124" s="31"/>
      <c r="P124" s="31"/>
      <c r="Q124" s="31"/>
    </row>
    <row r="125" spans="1:17" ht="30.1" customHeight="1" x14ac:dyDescent="0.3">
      <c r="A125" s="21">
        <v>70</v>
      </c>
      <c r="B125" s="15"/>
      <c r="C125" s="16"/>
      <c r="D125" s="16"/>
      <c r="E125" s="16"/>
      <c r="F125" s="16"/>
      <c r="G125" s="29"/>
      <c r="H125" s="16"/>
      <c r="I125" s="205"/>
      <c r="J125" s="153"/>
      <c r="K125" s="89" t="str">
        <f t="shared" si="12"/>
        <v/>
      </c>
      <c r="L125" s="88">
        <f t="shared" si="13"/>
        <v>1</v>
      </c>
      <c r="M125" s="90">
        <f t="shared" si="14"/>
        <v>0</v>
      </c>
      <c r="N125" s="31"/>
      <c r="O125" s="31"/>
      <c r="P125" s="31"/>
      <c r="Q125" s="31"/>
    </row>
    <row r="126" spans="1:17" ht="30.1" customHeight="1" x14ac:dyDescent="0.3">
      <c r="A126" s="21">
        <v>71</v>
      </c>
      <c r="B126" s="15"/>
      <c r="C126" s="16"/>
      <c r="D126" s="16"/>
      <c r="E126" s="16"/>
      <c r="F126" s="16"/>
      <c r="G126" s="29"/>
      <c r="H126" s="16"/>
      <c r="I126" s="205"/>
      <c r="J126" s="153"/>
      <c r="K126" s="89" t="str">
        <f t="shared" si="12"/>
        <v/>
      </c>
      <c r="L126" s="88">
        <f t="shared" si="13"/>
        <v>1</v>
      </c>
      <c r="M126" s="90">
        <f t="shared" si="14"/>
        <v>0</v>
      </c>
      <c r="N126" s="165"/>
      <c r="O126" s="165"/>
      <c r="P126" s="31"/>
      <c r="Q126" s="31"/>
    </row>
    <row r="127" spans="1:17" ht="30.1" customHeight="1" x14ac:dyDescent="0.3">
      <c r="A127" s="21">
        <v>72</v>
      </c>
      <c r="B127" s="15"/>
      <c r="C127" s="16"/>
      <c r="D127" s="16"/>
      <c r="E127" s="16"/>
      <c r="F127" s="16"/>
      <c r="G127" s="29"/>
      <c r="H127" s="16"/>
      <c r="I127" s="205"/>
      <c r="J127" s="153"/>
      <c r="K127" s="89" t="str">
        <f t="shared" si="12"/>
        <v/>
      </c>
      <c r="L127" s="88">
        <f t="shared" si="13"/>
        <v>1</v>
      </c>
      <c r="M127" s="90">
        <f t="shared" si="14"/>
        <v>0</v>
      </c>
      <c r="N127" s="31"/>
      <c r="O127" s="31"/>
      <c r="P127" s="31"/>
      <c r="Q127" s="31"/>
    </row>
    <row r="128" spans="1:17" ht="30.1" customHeight="1" x14ac:dyDescent="0.3">
      <c r="A128" s="21">
        <v>73</v>
      </c>
      <c r="B128" s="15"/>
      <c r="C128" s="16"/>
      <c r="D128" s="16"/>
      <c r="E128" s="16"/>
      <c r="F128" s="16"/>
      <c r="G128" s="29"/>
      <c r="H128" s="16"/>
      <c r="I128" s="205"/>
      <c r="J128" s="153"/>
      <c r="K128" s="89" t="str">
        <f t="shared" si="12"/>
        <v/>
      </c>
      <c r="L128" s="88">
        <f t="shared" si="13"/>
        <v>1</v>
      </c>
      <c r="M128" s="90">
        <f t="shared" si="14"/>
        <v>0</v>
      </c>
      <c r="N128" s="31"/>
      <c r="O128" s="31"/>
      <c r="P128" s="31"/>
      <c r="Q128" s="31"/>
    </row>
    <row r="129" spans="1:17" ht="30.1" customHeight="1" x14ac:dyDescent="0.3">
      <c r="A129" s="21">
        <v>74</v>
      </c>
      <c r="B129" s="15"/>
      <c r="C129" s="16"/>
      <c r="D129" s="16"/>
      <c r="E129" s="16"/>
      <c r="F129" s="16"/>
      <c r="G129" s="29"/>
      <c r="H129" s="16"/>
      <c r="I129" s="205"/>
      <c r="J129" s="153"/>
      <c r="K129" s="89" t="str">
        <f t="shared" si="12"/>
        <v/>
      </c>
      <c r="L129" s="88">
        <f t="shared" si="13"/>
        <v>1</v>
      </c>
      <c r="M129" s="90">
        <f t="shared" si="14"/>
        <v>0</v>
      </c>
      <c r="N129" s="31"/>
      <c r="O129" s="31"/>
      <c r="P129" s="31"/>
      <c r="Q129" s="31"/>
    </row>
    <row r="130" spans="1:17" ht="30.1" customHeight="1" thickBot="1" x14ac:dyDescent="0.35">
      <c r="A130" s="22">
        <v>75</v>
      </c>
      <c r="B130" s="17"/>
      <c r="C130" s="18"/>
      <c r="D130" s="18"/>
      <c r="E130" s="18"/>
      <c r="F130" s="18"/>
      <c r="G130" s="30"/>
      <c r="H130" s="18"/>
      <c r="I130" s="206"/>
      <c r="J130" s="154"/>
      <c r="K130" s="89" t="str">
        <f t="shared" si="12"/>
        <v/>
      </c>
      <c r="L130" s="88">
        <f t="shared" si="13"/>
        <v>1</v>
      </c>
      <c r="M130" s="90">
        <f t="shared" si="14"/>
        <v>0</v>
      </c>
      <c r="N130" s="91">
        <f>IF(COUNTA(G116:J130)&gt;0,1,0)</f>
        <v>0</v>
      </c>
      <c r="O130" s="31"/>
      <c r="P130" s="31"/>
      <c r="Q130" s="31"/>
    </row>
    <row r="131" spans="1:17" ht="30.1" customHeight="1" thickBot="1" x14ac:dyDescent="0.35">
      <c r="A131" s="373" t="s">
        <v>139</v>
      </c>
      <c r="B131" s="373"/>
      <c r="C131" s="373"/>
      <c r="D131" s="373"/>
      <c r="E131" s="373"/>
      <c r="F131" s="373"/>
      <c r="G131" s="374"/>
      <c r="H131" s="4" t="s">
        <v>42</v>
      </c>
      <c r="I131" s="156">
        <f>SUM(I116:I130)+I104</f>
        <v>0</v>
      </c>
      <c r="J131" s="156">
        <f>SUM(J116:J130)+J104</f>
        <v>0</v>
      </c>
      <c r="K131" s="167"/>
      <c r="L131" s="28"/>
      <c r="M131" s="31"/>
      <c r="N131" s="31"/>
      <c r="O131" s="31"/>
      <c r="P131" s="31"/>
      <c r="Q131" s="31"/>
    </row>
    <row r="132" spans="1:17" ht="30.1" customHeight="1" x14ac:dyDescent="0.3">
      <c r="A132" s="19" t="s">
        <v>117</v>
      </c>
      <c r="B132" s="31"/>
      <c r="C132" s="31"/>
      <c r="D132" s="31"/>
      <c r="E132" s="31"/>
      <c r="F132" s="31"/>
      <c r="G132" s="168"/>
      <c r="H132" s="31"/>
      <c r="I132" s="31"/>
      <c r="J132" s="31"/>
      <c r="K132" s="167"/>
      <c r="L132" s="28"/>
      <c r="M132" s="31"/>
      <c r="N132" s="31"/>
      <c r="O132" s="31"/>
      <c r="P132" s="31"/>
      <c r="Q132" s="31"/>
    </row>
    <row r="133" spans="1:17" ht="30.1" customHeight="1" x14ac:dyDescent="0.3">
      <c r="A133" s="31"/>
      <c r="B133" s="31"/>
      <c r="C133" s="31"/>
      <c r="D133" s="31"/>
      <c r="E133" s="31"/>
      <c r="F133" s="31"/>
      <c r="G133" s="168"/>
      <c r="H133" s="31"/>
      <c r="I133" s="31"/>
      <c r="J133" s="31"/>
      <c r="K133" s="32"/>
      <c r="L133" s="28"/>
      <c r="M133" s="31"/>
      <c r="N133" s="31"/>
      <c r="O133" s="31"/>
      <c r="P133" s="31"/>
      <c r="Q133" s="31"/>
    </row>
    <row r="134" spans="1:17" ht="30.1" customHeight="1" x14ac:dyDescent="0.35">
      <c r="A134" s="31"/>
      <c r="B134" s="247" t="s">
        <v>39</v>
      </c>
      <c r="C134" s="248">
        <f ca="1">IF(imzatarihi&gt;0,imzatarihi,"")</f>
        <v>45686</v>
      </c>
      <c r="D134" s="250" t="s">
        <v>158</v>
      </c>
      <c r="E134" s="245" t="str">
        <f>IF(kurulusyetkilisi&gt;0,kurulusyetkilisi,"")</f>
        <v/>
      </c>
      <c r="F134" s="31"/>
      <c r="G134" s="168"/>
      <c r="H134" s="31"/>
      <c r="I134" s="31"/>
      <c r="J134" s="31"/>
      <c r="K134" s="32"/>
      <c r="L134" s="28"/>
      <c r="M134" s="31"/>
      <c r="N134" s="31"/>
      <c r="O134" s="31"/>
      <c r="P134" s="31"/>
      <c r="Q134" s="31"/>
    </row>
    <row r="135" spans="1:17" ht="30.1" customHeight="1" x14ac:dyDescent="0.35">
      <c r="A135" s="31"/>
      <c r="B135" s="249"/>
      <c r="C135" s="249"/>
      <c r="D135" s="250" t="s">
        <v>157</v>
      </c>
      <c r="E135" s="247"/>
      <c r="F135" s="31"/>
      <c r="G135" s="168"/>
      <c r="H135" s="31"/>
      <c r="I135" s="31"/>
      <c r="J135" s="31"/>
      <c r="K135" s="32"/>
      <c r="L135" s="28"/>
      <c r="M135" s="31"/>
      <c r="N135" s="31"/>
      <c r="O135" s="31"/>
      <c r="P135" s="31"/>
      <c r="Q135" s="31"/>
    </row>
    <row r="136" spans="1:17" ht="30.1" customHeight="1" x14ac:dyDescent="0.3">
      <c r="A136" s="375" t="s">
        <v>93</v>
      </c>
      <c r="B136" s="375"/>
      <c r="C136" s="375"/>
      <c r="D136" s="375"/>
      <c r="E136" s="375"/>
      <c r="F136" s="375"/>
      <c r="G136" s="375"/>
      <c r="H136" s="375"/>
      <c r="I136" s="375"/>
      <c r="J136" s="375"/>
      <c r="K136" s="51"/>
      <c r="L136" s="52"/>
      <c r="M136" s="31"/>
      <c r="N136" s="31"/>
      <c r="O136" s="31"/>
      <c r="P136" s="31"/>
      <c r="Q136" s="31"/>
    </row>
    <row r="137" spans="1:17" ht="30.1" customHeight="1" x14ac:dyDescent="0.3">
      <c r="A137" s="329" t="str">
        <f>IF(YilDonem&lt;&gt;"",CONCATENATE(YilDonem,". döneme aittir."),"")</f>
        <v/>
      </c>
      <c r="B137" s="329"/>
      <c r="C137" s="329"/>
      <c r="D137" s="329"/>
      <c r="E137" s="329"/>
      <c r="F137" s="329"/>
      <c r="G137" s="329"/>
      <c r="H137" s="329"/>
      <c r="I137" s="329"/>
      <c r="J137" s="329"/>
      <c r="K137" s="166"/>
      <c r="L137" s="52"/>
      <c r="M137" s="149"/>
      <c r="N137" s="31"/>
      <c r="O137" s="31"/>
      <c r="P137" s="31"/>
      <c r="Q137" s="31"/>
    </row>
    <row r="138" spans="1:17" ht="30.1" customHeight="1" thickBot="1" x14ac:dyDescent="0.35">
      <c r="A138" s="355" t="s">
        <v>96</v>
      </c>
      <c r="B138" s="355"/>
      <c r="C138" s="355"/>
      <c r="D138" s="355"/>
      <c r="E138" s="355"/>
      <c r="F138" s="355"/>
      <c r="G138" s="355"/>
      <c r="H138" s="355"/>
      <c r="I138" s="355"/>
      <c r="J138" s="355"/>
      <c r="K138" s="166"/>
      <c r="L138" s="52"/>
      <c r="M138" s="149"/>
      <c r="N138" s="31"/>
      <c r="O138" s="31"/>
      <c r="P138" s="31"/>
      <c r="Q138" s="31"/>
    </row>
    <row r="139" spans="1:17" ht="30.1" customHeight="1" thickBot="1" x14ac:dyDescent="0.35">
      <c r="A139" s="380" t="s">
        <v>1</v>
      </c>
      <c r="B139" s="382"/>
      <c r="C139" s="380" t="str">
        <f>IF(ProjeNo&gt;0,ProjeNo,"")</f>
        <v/>
      </c>
      <c r="D139" s="381"/>
      <c r="E139" s="381"/>
      <c r="F139" s="381"/>
      <c r="G139" s="381"/>
      <c r="H139" s="381"/>
      <c r="I139" s="381"/>
      <c r="J139" s="382"/>
      <c r="K139" s="32"/>
      <c r="L139" s="28"/>
      <c r="M139" s="31"/>
      <c r="N139" s="31"/>
      <c r="O139" s="31"/>
      <c r="P139" s="31"/>
      <c r="Q139" s="31"/>
    </row>
    <row r="140" spans="1:17" ht="30.1" customHeight="1" thickBot="1" x14ac:dyDescent="0.35">
      <c r="A140" s="388" t="s">
        <v>11</v>
      </c>
      <c r="B140" s="389"/>
      <c r="C140" s="383" t="str">
        <f>IF(ProjeAdi&gt;0,ProjeAdi,"")</f>
        <v/>
      </c>
      <c r="D140" s="384"/>
      <c r="E140" s="384"/>
      <c r="F140" s="384"/>
      <c r="G140" s="384"/>
      <c r="H140" s="384"/>
      <c r="I140" s="384"/>
      <c r="J140" s="385"/>
      <c r="K140" s="32"/>
      <c r="L140" s="28"/>
      <c r="M140" s="31"/>
      <c r="N140" s="31"/>
      <c r="O140" s="31"/>
      <c r="P140" s="31"/>
      <c r="Q140" s="31"/>
    </row>
    <row r="141" spans="1:17" ht="30.1" customHeight="1" thickBot="1" x14ac:dyDescent="0.35">
      <c r="A141" s="376" t="s">
        <v>7</v>
      </c>
      <c r="B141" s="376" t="s">
        <v>94</v>
      </c>
      <c r="C141" s="376" t="s">
        <v>95</v>
      </c>
      <c r="D141" s="376" t="s">
        <v>92</v>
      </c>
      <c r="E141" s="376" t="s">
        <v>90</v>
      </c>
      <c r="F141" s="376" t="s">
        <v>91</v>
      </c>
      <c r="G141" s="386" t="s">
        <v>86</v>
      </c>
      <c r="H141" s="376" t="s">
        <v>87</v>
      </c>
      <c r="I141" s="50" t="s">
        <v>88</v>
      </c>
      <c r="J141" s="50" t="s">
        <v>88</v>
      </c>
      <c r="K141" s="32"/>
      <c r="L141" s="28"/>
      <c r="M141" s="31"/>
      <c r="N141" s="31"/>
      <c r="O141" s="31"/>
      <c r="P141" s="31"/>
      <c r="Q141" s="31"/>
    </row>
    <row r="142" spans="1:17" ht="30.1" customHeight="1" thickBot="1" x14ac:dyDescent="0.35">
      <c r="A142" s="377"/>
      <c r="B142" s="377"/>
      <c r="C142" s="377"/>
      <c r="D142" s="377"/>
      <c r="E142" s="377"/>
      <c r="F142" s="377"/>
      <c r="G142" s="387"/>
      <c r="H142" s="377"/>
      <c r="I142" s="50" t="s">
        <v>143</v>
      </c>
      <c r="J142" s="161" t="s">
        <v>89</v>
      </c>
      <c r="K142" s="32"/>
      <c r="L142" s="28"/>
      <c r="M142" s="31"/>
      <c r="N142" s="31"/>
      <c r="O142" s="31"/>
      <c r="P142" s="31"/>
      <c r="Q142" s="31"/>
    </row>
    <row r="143" spans="1:17" ht="30.1" customHeight="1" x14ac:dyDescent="0.3">
      <c r="A143" s="23">
        <v>76</v>
      </c>
      <c r="B143" s="24"/>
      <c r="C143" s="25"/>
      <c r="D143" s="25"/>
      <c r="E143" s="25"/>
      <c r="F143" s="25"/>
      <c r="G143" s="26"/>
      <c r="H143" s="25"/>
      <c r="I143" s="203"/>
      <c r="J143" s="151"/>
      <c r="K143" s="89" t="str">
        <f t="shared" ref="K143:K157" si="15">IF(AND(COUNTA(B143:F143)&gt;0,L143=1),"Belge Tarihi ve Belge Numarası doldurulduktan sonra KDV Dahil Tutar doldurulabilir.","")</f>
        <v/>
      </c>
      <c r="L143" s="88">
        <f>IF(COUNTA(G143:H143)=2,0,1)</f>
        <v>1</v>
      </c>
      <c r="M143" s="90">
        <f>IF(L143=1,0,100000000)</f>
        <v>0</v>
      </c>
      <c r="N143" s="31"/>
      <c r="O143" s="31"/>
      <c r="P143" s="31"/>
      <c r="Q143" s="31"/>
    </row>
    <row r="144" spans="1:17" ht="30.1" customHeight="1" x14ac:dyDescent="0.3">
      <c r="A144" s="20">
        <v>77</v>
      </c>
      <c r="B144" s="12"/>
      <c r="C144" s="13"/>
      <c r="D144" s="13"/>
      <c r="E144" s="13"/>
      <c r="F144" s="13"/>
      <c r="G144" s="14"/>
      <c r="H144" s="13"/>
      <c r="I144" s="204"/>
      <c r="J144" s="152"/>
      <c r="K144" s="89" t="str">
        <f t="shared" si="15"/>
        <v/>
      </c>
      <c r="L144" s="88">
        <f t="shared" ref="L144:L157" si="16">IF(COUNTA(G144:H144)=2,0,1)</f>
        <v>1</v>
      </c>
      <c r="M144" s="90">
        <f t="shared" ref="M144:M157" si="17">IF(L144=1,0,100000000)</f>
        <v>0</v>
      </c>
      <c r="N144" s="31"/>
      <c r="O144" s="31"/>
      <c r="P144" s="31"/>
      <c r="Q144" s="31"/>
    </row>
    <row r="145" spans="1:17" ht="30.1" customHeight="1" x14ac:dyDescent="0.3">
      <c r="A145" s="20">
        <v>78</v>
      </c>
      <c r="B145" s="12"/>
      <c r="C145" s="13"/>
      <c r="D145" s="13"/>
      <c r="E145" s="13"/>
      <c r="F145" s="13"/>
      <c r="G145" s="14"/>
      <c r="H145" s="13"/>
      <c r="I145" s="204"/>
      <c r="J145" s="152"/>
      <c r="K145" s="89" t="str">
        <f t="shared" si="15"/>
        <v/>
      </c>
      <c r="L145" s="88">
        <f t="shared" si="16"/>
        <v>1</v>
      </c>
      <c r="M145" s="90">
        <f t="shared" si="17"/>
        <v>0</v>
      </c>
      <c r="N145" s="31"/>
      <c r="O145" s="31"/>
      <c r="P145" s="31"/>
      <c r="Q145" s="31"/>
    </row>
    <row r="146" spans="1:17" ht="30.1" customHeight="1" x14ac:dyDescent="0.3">
      <c r="A146" s="20">
        <v>79</v>
      </c>
      <c r="B146" s="12"/>
      <c r="C146" s="13"/>
      <c r="D146" s="13"/>
      <c r="E146" s="13"/>
      <c r="F146" s="13"/>
      <c r="G146" s="14"/>
      <c r="H146" s="13"/>
      <c r="I146" s="204"/>
      <c r="J146" s="152"/>
      <c r="K146" s="89" t="str">
        <f t="shared" si="15"/>
        <v/>
      </c>
      <c r="L146" s="88">
        <f t="shared" si="16"/>
        <v>1</v>
      </c>
      <c r="M146" s="90">
        <f t="shared" si="17"/>
        <v>0</v>
      </c>
      <c r="N146" s="31"/>
      <c r="O146" s="31"/>
      <c r="P146" s="31"/>
      <c r="Q146" s="31"/>
    </row>
    <row r="147" spans="1:17" ht="30.1" customHeight="1" x14ac:dyDescent="0.3">
      <c r="A147" s="20">
        <v>80</v>
      </c>
      <c r="B147" s="12"/>
      <c r="C147" s="13"/>
      <c r="D147" s="13"/>
      <c r="E147" s="13"/>
      <c r="F147" s="13"/>
      <c r="G147" s="14"/>
      <c r="H147" s="13"/>
      <c r="I147" s="204"/>
      <c r="J147" s="152"/>
      <c r="K147" s="89" t="str">
        <f t="shared" si="15"/>
        <v/>
      </c>
      <c r="L147" s="88">
        <f t="shared" si="16"/>
        <v>1</v>
      </c>
      <c r="M147" s="90">
        <f t="shared" si="17"/>
        <v>0</v>
      </c>
      <c r="N147" s="31"/>
      <c r="O147" s="31"/>
      <c r="P147" s="31"/>
      <c r="Q147" s="31"/>
    </row>
    <row r="148" spans="1:17" ht="30.1" customHeight="1" x14ac:dyDescent="0.3">
      <c r="A148" s="20">
        <v>81</v>
      </c>
      <c r="B148" s="12"/>
      <c r="C148" s="13"/>
      <c r="D148" s="13"/>
      <c r="E148" s="13"/>
      <c r="F148" s="13"/>
      <c r="G148" s="14"/>
      <c r="H148" s="13"/>
      <c r="I148" s="204"/>
      <c r="J148" s="152"/>
      <c r="K148" s="89" t="str">
        <f t="shared" si="15"/>
        <v/>
      </c>
      <c r="L148" s="88">
        <f t="shared" si="16"/>
        <v>1</v>
      </c>
      <c r="M148" s="90">
        <f t="shared" si="17"/>
        <v>0</v>
      </c>
      <c r="N148" s="31"/>
      <c r="O148" s="31"/>
      <c r="P148" s="31"/>
      <c r="Q148" s="31"/>
    </row>
    <row r="149" spans="1:17" ht="30.1" customHeight="1" x14ac:dyDescent="0.3">
      <c r="A149" s="21">
        <v>82</v>
      </c>
      <c r="B149" s="15"/>
      <c r="C149" s="16"/>
      <c r="D149" s="16"/>
      <c r="E149" s="16"/>
      <c r="F149" s="16"/>
      <c r="G149" s="29"/>
      <c r="H149" s="16"/>
      <c r="I149" s="205"/>
      <c r="J149" s="153"/>
      <c r="K149" s="89" t="str">
        <f t="shared" si="15"/>
        <v/>
      </c>
      <c r="L149" s="88">
        <f t="shared" si="16"/>
        <v>1</v>
      </c>
      <c r="M149" s="90">
        <f t="shared" si="17"/>
        <v>0</v>
      </c>
      <c r="N149" s="31"/>
      <c r="O149" s="31"/>
      <c r="P149" s="31"/>
      <c r="Q149" s="31"/>
    </row>
    <row r="150" spans="1:17" ht="30.1" customHeight="1" x14ac:dyDescent="0.3">
      <c r="A150" s="21">
        <v>83</v>
      </c>
      <c r="B150" s="15"/>
      <c r="C150" s="16"/>
      <c r="D150" s="16"/>
      <c r="E150" s="16"/>
      <c r="F150" s="16"/>
      <c r="G150" s="29"/>
      <c r="H150" s="16"/>
      <c r="I150" s="205"/>
      <c r="J150" s="153"/>
      <c r="K150" s="89" t="str">
        <f t="shared" si="15"/>
        <v/>
      </c>
      <c r="L150" s="88">
        <f t="shared" si="16"/>
        <v>1</v>
      </c>
      <c r="M150" s="90">
        <f t="shared" si="17"/>
        <v>0</v>
      </c>
      <c r="N150" s="31"/>
      <c r="O150" s="31"/>
      <c r="P150" s="31"/>
      <c r="Q150" s="31"/>
    </row>
    <row r="151" spans="1:17" ht="30.1" customHeight="1" x14ac:dyDescent="0.3">
      <c r="A151" s="21">
        <v>84</v>
      </c>
      <c r="B151" s="15"/>
      <c r="C151" s="16"/>
      <c r="D151" s="16"/>
      <c r="E151" s="16"/>
      <c r="F151" s="16"/>
      <c r="G151" s="29"/>
      <c r="H151" s="16"/>
      <c r="I151" s="205"/>
      <c r="J151" s="153"/>
      <c r="K151" s="89" t="str">
        <f t="shared" si="15"/>
        <v/>
      </c>
      <c r="L151" s="88">
        <f t="shared" si="16"/>
        <v>1</v>
      </c>
      <c r="M151" s="90">
        <f t="shared" si="17"/>
        <v>0</v>
      </c>
      <c r="N151" s="31"/>
      <c r="O151" s="31"/>
      <c r="P151" s="31"/>
      <c r="Q151" s="31"/>
    </row>
    <row r="152" spans="1:17" ht="30.1" customHeight="1" x14ac:dyDescent="0.3">
      <c r="A152" s="21">
        <v>85</v>
      </c>
      <c r="B152" s="15"/>
      <c r="C152" s="16"/>
      <c r="D152" s="16"/>
      <c r="E152" s="16"/>
      <c r="F152" s="16"/>
      <c r="G152" s="29"/>
      <c r="H152" s="16"/>
      <c r="I152" s="205"/>
      <c r="J152" s="153"/>
      <c r="K152" s="89" t="str">
        <f t="shared" si="15"/>
        <v/>
      </c>
      <c r="L152" s="88">
        <f t="shared" si="16"/>
        <v>1</v>
      </c>
      <c r="M152" s="90">
        <f t="shared" si="17"/>
        <v>0</v>
      </c>
      <c r="N152" s="31"/>
      <c r="O152" s="31"/>
      <c r="P152" s="31"/>
      <c r="Q152" s="31"/>
    </row>
    <row r="153" spans="1:17" ht="30.1" customHeight="1" x14ac:dyDescent="0.3">
      <c r="A153" s="21">
        <v>86</v>
      </c>
      <c r="B153" s="15"/>
      <c r="C153" s="16"/>
      <c r="D153" s="16"/>
      <c r="E153" s="16"/>
      <c r="F153" s="16"/>
      <c r="G153" s="29"/>
      <c r="H153" s="16"/>
      <c r="I153" s="205"/>
      <c r="J153" s="153"/>
      <c r="K153" s="89" t="str">
        <f t="shared" si="15"/>
        <v/>
      </c>
      <c r="L153" s="88">
        <f t="shared" si="16"/>
        <v>1</v>
      </c>
      <c r="M153" s="90">
        <f t="shared" si="17"/>
        <v>0</v>
      </c>
      <c r="N153" s="31"/>
      <c r="O153" s="31"/>
      <c r="P153" s="31"/>
      <c r="Q153" s="31"/>
    </row>
    <row r="154" spans="1:17" ht="30.1" customHeight="1" x14ac:dyDescent="0.3">
      <c r="A154" s="21">
        <v>87</v>
      </c>
      <c r="B154" s="15"/>
      <c r="C154" s="16"/>
      <c r="D154" s="16"/>
      <c r="E154" s="16"/>
      <c r="F154" s="16"/>
      <c r="G154" s="29"/>
      <c r="H154" s="16"/>
      <c r="I154" s="205"/>
      <c r="J154" s="153"/>
      <c r="K154" s="89" t="str">
        <f t="shared" si="15"/>
        <v/>
      </c>
      <c r="L154" s="88">
        <f t="shared" si="16"/>
        <v>1</v>
      </c>
      <c r="M154" s="90">
        <f t="shared" si="17"/>
        <v>0</v>
      </c>
      <c r="N154" s="31"/>
      <c r="O154" s="31"/>
      <c r="P154" s="31"/>
      <c r="Q154" s="31"/>
    </row>
    <row r="155" spans="1:17" ht="30.1" customHeight="1" x14ac:dyDescent="0.3">
      <c r="A155" s="21">
        <v>88</v>
      </c>
      <c r="B155" s="15"/>
      <c r="C155" s="16"/>
      <c r="D155" s="16"/>
      <c r="E155" s="16"/>
      <c r="F155" s="16"/>
      <c r="G155" s="29"/>
      <c r="H155" s="16"/>
      <c r="I155" s="205"/>
      <c r="J155" s="153"/>
      <c r="K155" s="89" t="str">
        <f t="shared" si="15"/>
        <v/>
      </c>
      <c r="L155" s="88">
        <f t="shared" si="16"/>
        <v>1</v>
      </c>
      <c r="M155" s="90">
        <f t="shared" si="17"/>
        <v>0</v>
      </c>
      <c r="N155" s="31"/>
      <c r="O155" s="31"/>
      <c r="P155" s="31"/>
      <c r="Q155" s="31"/>
    </row>
    <row r="156" spans="1:17" ht="30.1" customHeight="1" x14ac:dyDescent="0.3">
      <c r="A156" s="21">
        <v>89</v>
      </c>
      <c r="B156" s="15"/>
      <c r="C156" s="16"/>
      <c r="D156" s="16"/>
      <c r="E156" s="16"/>
      <c r="F156" s="16"/>
      <c r="G156" s="29"/>
      <c r="H156" s="16"/>
      <c r="I156" s="205"/>
      <c r="J156" s="153"/>
      <c r="K156" s="89" t="str">
        <f t="shared" si="15"/>
        <v/>
      </c>
      <c r="L156" s="88">
        <f t="shared" si="16"/>
        <v>1</v>
      </c>
      <c r="M156" s="90">
        <f t="shared" si="17"/>
        <v>0</v>
      </c>
      <c r="N156" s="165"/>
      <c r="O156" s="165"/>
      <c r="P156" s="31"/>
      <c r="Q156" s="31"/>
    </row>
    <row r="157" spans="1:17" ht="30.1" customHeight="1" thickBot="1" x14ac:dyDescent="0.35">
      <c r="A157" s="22">
        <v>90</v>
      </c>
      <c r="B157" s="17"/>
      <c r="C157" s="18"/>
      <c r="D157" s="18"/>
      <c r="E157" s="18"/>
      <c r="F157" s="18"/>
      <c r="G157" s="30"/>
      <c r="H157" s="18"/>
      <c r="I157" s="206"/>
      <c r="J157" s="154"/>
      <c r="K157" s="89" t="str">
        <f t="shared" si="15"/>
        <v/>
      </c>
      <c r="L157" s="88">
        <f t="shared" si="16"/>
        <v>1</v>
      </c>
      <c r="M157" s="90">
        <f t="shared" si="17"/>
        <v>0</v>
      </c>
      <c r="N157" s="91">
        <f>IF(COUNTA(G143:J157)&gt;0,1,0)</f>
        <v>0</v>
      </c>
      <c r="O157" s="31"/>
      <c r="P157" s="31"/>
      <c r="Q157" s="31"/>
    </row>
    <row r="158" spans="1:17" ht="30.1" customHeight="1" thickBot="1" x14ac:dyDescent="0.35">
      <c r="A158" s="373" t="s">
        <v>139</v>
      </c>
      <c r="B158" s="373"/>
      <c r="C158" s="373"/>
      <c r="D158" s="373"/>
      <c r="E158" s="373"/>
      <c r="F158" s="373"/>
      <c r="G158" s="374"/>
      <c r="H158" s="4" t="s">
        <v>42</v>
      </c>
      <c r="I158" s="156">
        <f>SUM(I143:I157)+I131</f>
        <v>0</v>
      </c>
      <c r="J158" s="156">
        <f>SUM(J143:J157)+J131</f>
        <v>0</v>
      </c>
      <c r="K158" s="167"/>
      <c r="L158" s="87">
        <f>IF(J158&gt;J131,ROW(A162),0)</f>
        <v>0</v>
      </c>
      <c r="M158" s="31"/>
      <c r="N158" s="31"/>
      <c r="O158" s="31"/>
      <c r="P158" s="31"/>
      <c r="Q158" s="31"/>
    </row>
    <row r="159" spans="1:17" ht="30.1" customHeight="1" x14ac:dyDescent="0.3">
      <c r="A159" s="19" t="s">
        <v>117</v>
      </c>
      <c r="B159" s="31"/>
      <c r="C159" s="31"/>
      <c r="D159" s="31"/>
      <c r="E159" s="31"/>
      <c r="F159" s="31"/>
      <c r="G159" s="168"/>
      <c r="H159" s="31"/>
      <c r="I159" s="31"/>
      <c r="J159" s="31"/>
      <c r="K159" s="167"/>
      <c r="L159" s="28"/>
      <c r="M159" s="31"/>
      <c r="N159" s="31"/>
      <c r="O159" s="31"/>
      <c r="P159" s="31"/>
      <c r="Q159" s="31"/>
    </row>
    <row r="160" spans="1:17" ht="30.1" customHeight="1" x14ac:dyDescent="0.3">
      <c r="A160" s="31"/>
      <c r="B160" s="31"/>
      <c r="C160" s="31"/>
      <c r="D160" s="31"/>
      <c r="E160" s="31"/>
      <c r="F160" s="31"/>
      <c r="G160" s="168"/>
      <c r="H160" s="31"/>
      <c r="I160" s="31"/>
      <c r="J160" s="31"/>
      <c r="K160" s="32"/>
      <c r="L160" s="28"/>
      <c r="M160" s="31"/>
      <c r="N160" s="31"/>
      <c r="O160" s="31"/>
      <c r="P160" s="31"/>
      <c r="Q160" s="31"/>
    </row>
    <row r="161" spans="1:17" ht="30.1" customHeight="1" x14ac:dyDescent="0.35">
      <c r="A161" s="31"/>
      <c r="B161" s="247" t="s">
        <v>39</v>
      </c>
      <c r="C161" s="248">
        <f ca="1">IF(imzatarihi&gt;0,imzatarihi,"")</f>
        <v>45686</v>
      </c>
      <c r="D161" s="250" t="s">
        <v>158</v>
      </c>
      <c r="E161" s="245" t="str">
        <f>IF(kurulusyetkilisi&gt;0,kurulusyetkilisi,"")</f>
        <v/>
      </c>
      <c r="F161" s="31"/>
      <c r="G161" s="168"/>
      <c r="H161" s="31"/>
      <c r="I161" s="31"/>
      <c r="J161" s="31"/>
      <c r="K161" s="32"/>
      <c r="L161" s="28"/>
      <c r="M161" s="31"/>
      <c r="N161" s="31"/>
      <c r="O161" s="31"/>
      <c r="P161" s="31"/>
      <c r="Q161" s="31"/>
    </row>
    <row r="162" spans="1:17" ht="30.1" customHeight="1" x14ac:dyDescent="0.35">
      <c r="A162" s="31"/>
      <c r="B162" s="249"/>
      <c r="C162" s="249"/>
      <c r="D162" s="250" t="s">
        <v>157</v>
      </c>
      <c r="E162" s="247"/>
      <c r="F162" s="31"/>
      <c r="G162" s="168"/>
      <c r="H162" s="31"/>
      <c r="I162" s="31"/>
      <c r="J162" s="31"/>
      <c r="K162" s="32"/>
      <c r="L162" s="28"/>
      <c r="M162" s="31"/>
      <c r="N162" s="31"/>
      <c r="O162" s="31"/>
      <c r="P162" s="31"/>
      <c r="Q162" s="31"/>
    </row>
    <row r="163" spans="1:17" ht="30.1" customHeight="1" x14ac:dyDescent="0.3">
      <c r="A163" s="31"/>
      <c r="B163" s="31"/>
      <c r="C163" s="31"/>
      <c r="D163" s="31"/>
      <c r="E163" s="31"/>
      <c r="F163" s="31"/>
      <c r="G163" s="168"/>
      <c r="H163" s="31"/>
      <c r="I163" s="31"/>
      <c r="J163" s="31"/>
      <c r="K163" s="32"/>
      <c r="L163" s="28"/>
      <c r="M163" s="31"/>
      <c r="N163" s="31"/>
      <c r="O163" s="31"/>
      <c r="P163" s="31"/>
      <c r="Q163" s="31"/>
    </row>
    <row r="164" spans="1:17" ht="30.1" customHeight="1" x14ac:dyDescent="0.3">
      <c r="A164" s="31"/>
      <c r="B164" s="31"/>
      <c r="C164" s="31"/>
      <c r="D164" s="31"/>
      <c r="E164" s="31"/>
      <c r="F164" s="31"/>
      <c r="G164" s="168"/>
      <c r="H164" s="31"/>
      <c r="I164" s="31"/>
      <c r="J164" s="31"/>
      <c r="K164" s="32"/>
      <c r="L164" s="28"/>
      <c r="M164" s="31"/>
      <c r="N164" s="31"/>
      <c r="O164" s="31"/>
      <c r="P164" s="31"/>
      <c r="Q164" s="31"/>
    </row>
    <row r="165" spans="1:17" ht="30.1" customHeight="1" x14ac:dyDescent="0.3">
      <c r="A165" s="31"/>
      <c r="B165" s="31"/>
      <c r="C165" s="31"/>
      <c r="D165" s="31"/>
      <c r="E165" s="31"/>
      <c r="F165" s="31"/>
      <c r="G165" s="168"/>
      <c r="H165" s="31"/>
      <c r="I165" s="31"/>
      <c r="J165" s="31"/>
      <c r="K165" s="32"/>
      <c r="L165" s="28"/>
      <c r="M165" s="31"/>
      <c r="N165" s="31"/>
      <c r="O165" s="31"/>
      <c r="P165" s="31"/>
      <c r="Q165" s="31"/>
    </row>
    <row r="166" spans="1:17" ht="30.1" customHeight="1" x14ac:dyDescent="0.3">
      <c r="A166" s="31"/>
      <c r="B166" s="31"/>
      <c r="C166" s="31"/>
      <c r="D166" s="31"/>
      <c r="E166" s="31"/>
      <c r="F166" s="31"/>
      <c r="G166" s="168"/>
      <c r="H166" s="31"/>
      <c r="I166" s="31"/>
      <c r="J166" s="31"/>
      <c r="K166" s="32"/>
      <c r="L166" s="28"/>
      <c r="M166" s="31"/>
      <c r="N166" s="31"/>
      <c r="O166" s="31"/>
      <c r="P166" s="31"/>
      <c r="Q166" s="31"/>
    </row>
    <row r="167" spans="1:17" ht="30.1" customHeight="1" x14ac:dyDescent="0.3">
      <c r="A167" s="31"/>
      <c r="B167" s="31"/>
      <c r="C167" s="31"/>
      <c r="D167" s="31"/>
      <c r="E167" s="31"/>
      <c r="F167" s="31"/>
      <c r="G167" s="168"/>
      <c r="H167" s="31"/>
      <c r="I167" s="31"/>
      <c r="J167" s="31"/>
      <c r="K167" s="32"/>
      <c r="L167" s="28"/>
      <c r="M167" s="31"/>
      <c r="N167" s="31"/>
      <c r="O167" s="31"/>
      <c r="P167" s="31"/>
      <c r="Q167" s="31"/>
    </row>
    <row r="168" spans="1:17" ht="30.1" customHeight="1" x14ac:dyDescent="0.3">
      <c r="A168" s="31"/>
      <c r="B168" s="31"/>
      <c r="C168" s="31"/>
      <c r="D168" s="31"/>
      <c r="E168" s="31"/>
      <c r="F168" s="31"/>
      <c r="G168" s="168"/>
      <c r="H168" s="31"/>
      <c r="I168" s="31"/>
      <c r="J168" s="31"/>
      <c r="K168" s="32"/>
      <c r="L168" s="28"/>
      <c r="M168" s="31"/>
      <c r="N168" s="31"/>
      <c r="O168" s="31"/>
      <c r="P168" s="31"/>
      <c r="Q168" s="31"/>
    </row>
    <row r="169" spans="1:17" ht="30.1" customHeight="1" x14ac:dyDescent="0.3">
      <c r="A169" s="31"/>
      <c r="B169" s="31"/>
      <c r="C169" s="31"/>
      <c r="D169" s="31"/>
      <c r="E169" s="31"/>
      <c r="F169" s="31"/>
      <c r="G169" s="168"/>
      <c r="H169" s="31"/>
      <c r="I169" s="31"/>
      <c r="J169" s="31"/>
      <c r="K169" s="32"/>
      <c r="L169" s="28"/>
      <c r="M169" s="31"/>
      <c r="N169" s="31"/>
      <c r="O169" s="31"/>
      <c r="P169" s="31"/>
      <c r="Q169" s="31"/>
    </row>
    <row r="170" spans="1:17" ht="30.1" customHeight="1" x14ac:dyDescent="0.3">
      <c r="A170" s="31"/>
      <c r="B170" s="31"/>
      <c r="C170" s="31"/>
      <c r="D170" s="31"/>
      <c r="E170" s="31"/>
      <c r="F170" s="31"/>
      <c r="G170" s="168"/>
      <c r="H170" s="31"/>
      <c r="I170" s="31"/>
      <c r="J170" s="31"/>
      <c r="K170" s="32"/>
      <c r="L170" s="28"/>
      <c r="M170" s="31"/>
      <c r="N170" s="31"/>
      <c r="O170" s="31"/>
      <c r="P170" s="31"/>
      <c r="Q170" s="31"/>
    </row>
    <row r="171" spans="1:17" ht="30.1" customHeight="1" x14ac:dyDescent="0.3">
      <c r="A171" s="31"/>
      <c r="B171" s="31"/>
      <c r="C171" s="31"/>
      <c r="D171" s="31"/>
      <c r="E171" s="31"/>
      <c r="F171" s="31"/>
      <c r="G171" s="168"/>
      <c r="H171" s="31"/>
      <c r="I171" s="31"/>
      <c r="J171" s="31"/>
      <c r="K171" s="32"/>
      <c r="L171" s="28"/>
      <c r="M171" s="31"/>
      <c r="N171" s="31"/>
      <c r="O171" s="31"/>
      <c r="P171" s="31"/>
      <c r="Q171" s="31"/>
    </row>
    <row r="172" spans="1:17" ht="30.1" customHeight="1" x14ac:dyDescent="0.3">
      <c r="A172" s="31"/>
      <c r="B172" s="31"/>
      <c r="C172" s="31"/>
      <c r="D172" s="31"/>
      <c r="E172" s="31"/>
      <c r="F172" s="31"/>
      <c r="G172" s="168"/>
      <c r="H172" s="31"/>
      <c r="I172" s="31"/>
      <c r="J172" s="31"/>
      <c r="K172" s="32"/>
      <c r="L172" s="28"/>
      <c r="M172" s="31"/>
      <c r="N172" s="31"/>
      <c r="O172" s="31"/>
      <c r="P172" s="31"/>
      <c r="Q172" s="31"/>
    </row>
    <row r="173" spans="1:17" ht="30.1" customHeight="1" x14ac:dyDescent="0.3">
      <c r="A173" s="31"/>
      <c r="B173" s="31"/>
      <c r="C173" s="31"/>
      <c r="D173" s="31"/>
      <c r="E173" s="31"/>
      <c r="F173" s="31"/>
      <c r="G173" s="168"/>
      <c r="H173" s="31"/>
      <c r="I173" s="31"/>
      <c r="J173" s="31"/>
      <c r="K173" s="32"/>
      <c r="L173" s="28"/>
      <c r="M173" s="31"/>
      <c r="N173" s="31"/>
      <c r="O173" s="31"/>
      <c r="P173" s="31"/>
      <c r="Q173" s="31"/>
    </row>
    <row r="174" spans="1:17" ht="30.1" customHeight="1" x14ac:dyDescent="0.3">
      <c r="A174" s="31"/>
      <c r="B174" s="31"/>
      <c r="C174" s="31"/>
      <c r="D174" s="31"/>
      <c r="E174" s="31"/>
      <c r="F174" s="31"/>
      <c r="G174" s="168"/>
      <c r="H174" s="31"/>
      <c r="I174" s="31"/>
      <c r="J174" s="31"/>
      <c r="K174" s="32"/>
      <c r="L174" s="28"/>
      <c r="M174" s="31"/>
      <c r="N174" s="31"/>
      <c r="O174" s="31"/>
      <c r="P174" s="31"/>
      <c r="Q174" s="31"/>
    </row>
    <row r="175" spans="1:17" ht="30.1" customHeight="1" x14ac:dyDescent="0.3">
      <c r="A175" s="31"/>
      <c r="B175" s="31"/>
      <c r="C175" s="31"/>
      <c r="D175" s="31"/>
      <c r="E175" s="31"/>
      <c r="F175" s="31"/>
      <c r="G175" s="168"/>
      <c r="H175" s="31"/>
      <c r="I175" s="31"/>
      <c r="J175" s="31"/>
      <c r="K175" s="32"/>
      <c r="L175" s="28"/>
      <c r="M175" s="31"/>
      <c r="N175" s="31"/>
      <c r="O175" s="31"/>
      <c r="P175" s="31"/>
      <c r="Q175" s="31"/>
    </row>
    <row r="176" spans="1:17" ht="30.1" customHeight="1" x14ac:dyDescent="0.3">
      <c r="A176" s="31"/>
      <c r="B176" s="31"/>
      <c r="C176" s="31"/>
      <c r="D176" s="31"/>
      <c r="E176" s="31"/>
      <c r="F176" s="31"/>
      <c r="G176" s="168"/>
      <c r="H176" s="31"/>
      <c r="I176" s="31"/>
      <c r="J176" s="31"/>
      <c r="K176" s="32"/>
      <c r="L176" s="28"/>
      <c r="M176" s="31"/>
      <c r="N176" s="31"/>
      <c r="O176" s="31"/>
      <c r="P176" s="31"/>
      <c r="Q176" s="31"/>
    </row>
    <row r="177" spans="1:17" ht="30.1" customHeight="1" x14ac:dyDescent="0.3">
      <c r="A177" s="31"/>
      <c r="B177" s="31"/>
      <c r="C177" s="31"/>
      <c r="D177" s="31"/>
      <c r="E177" s="31"/>
      <c r="F177" s="31"/>
      <c r="G177" s="168"/>
      <c r="H177" s="31"/>
      <c r="I177" s="31"/>
      <c r="J177" s="31"/>
      <c r="K177" s="32"/>
      <c r="L177" s="28"/>
      <c r="M177" s="31"/>
      <c r="N177" s="31"/>
      <c r="O177" s="31"/>
      <c r="P177" s="31"/>
      <c r="Q177" s="31"/>
    </row>
    <row r="178" spans="1:17" ht="30.1" customHeight="1" x14ac:dyDescent="0.3">
      <c r="A178" s="31"/>
      <c r="B178" s="31"/>
      <c r="C178" s="31"/>
      <c r="D178" s="31"/>
      <c r="E178" s="31"/>
      <c r="F178" s="31"/>
      <c r="G178" s="168"/>
      <c r="H178" s="31"/>
      <c r="I178" s="31"/>
      <c r="J178" s="31"/>
      <c r="K178" s="32"/>
      <c r="L178" s="28"/>
      <c r="M178" s="31"/>
      <c r="N178" s="31"/>
      <c r="O178" s="31"/>
      <c r="P178" s="31"/>
      <c r="Q178" s="31"/>
    </row>
    <row r="179" spans="1:17" ht="30.1" customHeight="1" x14ac:dyDescent="0.3">
      <c r="A179" s="31"/>
      <c r="B179" s="31"/>
      <c r="C179" s="31"/>
      <c r="D179" s="31"/>
      <c r="E179" s="31"/>
      <c r="F179" s="31"/>
      <c r="G179" s="168"/>
      <c r="H179" s="31"/>
      <c r="I179" s="31"/>
      <c r="J179" s="31"/>
      <c r="K179" s="32"/>
      <c r="L179" s="28"/>
      <c r="M179" s="31"/>
      <c r="N179" s="31"/>
      <c r="O179" s="31"/>
      <c r="P179" s="31"/>
      <c r="Q179" s="31"/>
    </row>
    <row r="180" spans="1:17" ht="30.1" customHeight="1" x14ac:dyDescent="0.3">
      <c r="A180" s="31"/>
      <c r="B180" s="31"/>
      <c r="C180" s="31"/>
      <c r="D180" s="31"/>
      <c r="E180" s="31"/>
      <c r="F180" s="31"/>
      <c r="G180" s="168"/>
      <c r="H180" s="31"/>
      <c r="I180" s="31"/>
      <c r="J180" s="31"/>
      <c r="K180" s="32"/>
      <c r="L180" s="28"/>
      <c r="M180" s="31"/>
      <c r="N180" s="31"/>
      <c r="O180" s="31"/>
      <c r="P180" s="31"/>
      <c r="Q180" s="31"/>
    </row>
    <row r="181" spans="1:17" ht="30.1" customHeight="1" x14ac:dyDescent="0.3">
      <c r="A181" s="31"/>
      <c r="B181" s="31"/>
      <c r="C181" s="31"/>
      <c r="D181" s="31"/>
      <c r="E181" s="31"/>
      <c r="F181" s="31"/>
      <c r="G181" s="168"/>
      <c r="H181" s="31"/>
      <c r="I181" s="31"/>
      <c r="J181" s="31"/>
      <c r="K181" s="32"/>
      <c r="L181" s="28"/>
      <c r="M181" s="31"/>
      <c r="N181" s="31"/>
      <c r="O181" s="31"/>
      <c r="P181" s="31"/>
      <c r="Q181" s="31"/>
    </row>
    <row r="182" spans="1:17" ht="30.1" customHeight="1" x14ac:dyDescent="0.3">
      <c r="A182" s="31"/>
      <c r="B182" s="31"/>
      <c r="C182" s="31"/>
      <c r="D182" s="31"/>
      <c r="E182" s="31"/>
      <c r="F182" s="31"/>
      <c r="G182" s="168"/>
      <c r="H182" s="31"/>
      <c r="I182" s="31"/>
      <c r="J182" s="31"/>
      <c r="K182" s="32"/>
      <c r="L182" s="28"/>
      <c r="M182" s="31"/>
      <c r="N182" s="31"/>
      <c r="O182" s="31"/>
      <c r="P182" s="31"/>
      <c r="Q182" s="31"/>
    </row>
    <row r="183" spans="1:17" ht="30.1" customHeight="1" x14ac:dyDescent="0.3">
      <c r="A183" s="31"/>
      <c r="B183" s="31"/>
      <c r="C183" s="31"/>
      <c r="D183" s="31"/>
      <c r="E183" s="31"/>
      <c r="F183" s="31"/>
      <c r="G183" s="168"/>
      <c r="H183" s="31"/>
      <c r="I183" s="31"/>
      <c r="J183" s="31"/>
      <c r="K183" s="32"/>
      <c r="L183" s="28"/>
      <c r="M183" s="31"/>
      <c r="N183" s="31"/>
      <c r="O183" s="31"/>
      <c r="P183" s="31"/>
      <c r="Q183" s="31"/>
    </row>
    <row r="184" spans="1:17" ht="30.1" customHeight="1" x14ac:dyDescent="0.3">
      <c r="A184" s="31"/>
      <c r="B184" s="31"/>
      <c r="C184" s="31"/>
      <c r="D184" s="31"/>
      <c r="E184" s="31"/>
      <c r="F184" s="31"/>
      <c r="G184" s="168"/>
      <c r="H184" s="31"/>
      <c r="I184" s="31"/>
      <c r="J184" s="31"/>
      <c r="K184" s="32"/>
      <c r="L184" s="28"/>
      <c r="M184" s="31"/>
      <c r="N184" s="31"/>
      <c r="O184" s="31"/>
      <c r="P184" s="31"/>
      <c r="Q184" s="31"/>
    </row>
    <row r="185" spans="1:17" ht="30.1" customHeight="1" x14ac:dyDescent="0.3">
      <c r="A185" s="31"/>
      <c r="B185" s="31"/>
      <c r="C185" s="31"/>
      <c r="D185" s="31"/>
      <c r="E185" s="31"/>
      <c r="F185" s="31"/>
      <c r="G185" s="168"/>
      <c r="H185" s="31"/>
      <c r="I185" s="31"/>
      <c r="J185" s="31"/>
      <c r="K185" s="32"/>
      <c r="L185" s="28"/>
      <c r="M185" s="31"/>
      <c r="N185" s="31"/>
      <c r="O185" s="31"/>
      <c r="P185" s="31"/>
      <c r="Q185" s="31"/>
    </row>
    <row r="186" spans="1:17" ht="30.1" customHeight="1" x14ac:dyDescent="0.3">
      <c r="A186" s="31"/>
      <c r="B186" s="31"/>
      <c r="C186" s="31"/>
      <c r="D186" s="31"/>
      <c r="E186" s="31"/>
      <c r="F186" s="31"/>
      <c r="G186" s="168"/>
      <c r="H186" s="31"/>
      <c r="I186" s="31"/>
      <c r="J186" s="31"/>
      <c r="K186" s="32"/>
      <c r="L186" s="28"/>
      <c r="M186" s="31"/>
      <c r="N186" s="165"/>
      <c r="O186" s="165"/>
      <c r="P186" s="31"/>
      <c r="Q186" s="31"/>
    </row>
    <row r="187" spans="1:17" ht="30.1" customHeight="1" x14ac:dyDescent="0.3">
      <c r="A187" s="31"/>
      <c r="B187" s="31"/>
      <c r="C187" s="31"/>
      <c r="D187" s="31"/>
      <c r="E187" s="31"/>
      <c r="F187" s="31"/>
      <c r="G187" s="168"/>
      <c r="H187" s="31"/>
      <c r="I187" s="31"/>
      <c r="J187" s="31"/>
      <c r="K187" s="32"/>
      <c r="L187" s="28"/>
      <c r="M187" s="31"/>
      <c r="N187" s="31"/>
      <c r="O187" s="31"/>
      <c r="P187" s="31"/>
      <c r="Q187" s="31"/>
    </row>
    <row r="188" spans="1:17" ht="30.1" customHeight="1" x14ac:dyDescent="0.3">
      <c r="A188" s="31"/>
      <c r="B188" s="31"/>
      <c r="C188" s="31"/>
      <c r="D188" s="31"/>
      <c r="E188" s="31"/>
      <c r="F188" s="31"/>
      <c r="G188" s="168"/>
      <c r="H188" s="31"/>
      <c r="I188" s="31"/>
      <c r="J188" s="31"/>
      <c r="K188" s="32"/>
      <c r="L188" s="28"/>
      <c r="M188" s="31"/>
      <c r="N188" s="31"/>
      <c r="O188" s="31"/>
      <c r="P188" s="31"/>
      <c r="Q188" s="31"/>
    </row>
    <row r="189" spans="1:17" ht="30.1" customHeight="1" x14ac:dyDescent="0.3">
      <c r="A189" s="31"/>
      <c r="B189" s="31"/>
      <c r="C189" s="31"/>
      <c r="D189" s="31"/>
      <c r="E189" s="31"/>
      <c r="F189" s="31"/>
      <c r="G189" s="168"/>
      <c r="H189" s="31"/>
      <c r="I189" s="31"/>
      <c r="J189" s="31"/>
      <c r="K189" s="32"/>
      <c r="L189" s="28"/>
      <c r="M189" s="31"/>
      <c r="N189" s="31"/>
      <c r="O189" s="31"/>
      <c r="P189" s="31"/>
      <c r="Q189" s="31"/>
    </row>
    <row r="190" spans="1:17" ht="30.1" customHeight="1" x14ac:dyDescent="0.3">
      <c r="A190" s="31"/>
      <c r="B190" s="31"/>
      <c r="C190" s="31"/>
      <c r="D190" s="31"/>
      <c r="E190" s="31"/>
      <c r="F190" s="31"/>
      <c r="G190" s="168"/>
      <c r="H190" s="31"/>
      <c r="I190" s="31"/>
      <c r="J190" s="31"/>
      <c r="K190" s="32"/>
      <c r="L190" s="28"/>
      <c r="M190" s="31"/>
      <c r="N190" s="31"/>
      <c r="O190" s="31"/>
      <c r="P190" s="31"/>
      <c r="Q190" s="31"/>
    </row>
    <row r="191" spans="1:17" ht="30.1" customHeight="1" x14ac:dyDescent="0.3">
      <c r="A191" s="31"/>
      <c r="B191" s="31"/>
      <c r="C191" s="31"/>
      <c r="D191" s="31"/>
      <c r="E191" s="31"/>
      <c r="F191" s="31"/>
      <c r="G191" s="168"/>
      <c r="H191" s="31"/>
      <c r="I191" s="31"/>
      <c r="J191" s="31"/>
      <c r="K191" s="32"/>
      <c r="L191" s="28"/>
      <c r="M191" s="31"/>
      <c r="N191" s="31"/>
      <c r="O191" s="31"/>
      <c r="P191" s="31"/>
      <c r="Q191" s="31"/>
    </row>
    <row r="192" spans="1:17" ht="30.1" customHeight="1" x14ac:dyDescent="0.3">
      <c r="A192" s="31"/>
      <c r="B192" s="31"/>
      <c r="C192" s="31"/>
      <c r="D192" s="31"/>
      <c r="E192" s="31"/>
      <c r="F192" s="31"/>
      <c r="G192" s="168"/>
      <c r="H192" s="31"/>
      <c r="I192" s="31"/>
      <c r="J192" s="31"/>
      <c r="K192" s="32"/>
      <c r="L192" s="28"/>
      <c r="M192" s="31"/>
      <c r="N192" s="31"/>
      <c r="O192" s="31"/>
      <c r="P192" s="31"/>
      <c r="Q192" s="31"/>
    </row>
    <row r="193" spans="1:17" ht="30.1" customHeight="1" x14ac:dyDescent="0.3">
      <c r="A193" s="31"/>
      <c r="B193" s="31"/>
      <c r="C193" s="31"/>
      <c r="D193" s="31"/>
      <c r="E193" s="31"/>
      <c r="F193" s="31"/>
      <c r="G193" s="168"/>
      <c r="H193" s="31"/>
      <c r="I193" s="31"/>
      <c r="J193" s="31"/>
      <c r="K193" s="32"/>
      <c r="L193" s="28"/>
      <c r="M193" s="31"/>
      <c r="N193" s="31"/>
      <c r="O193" s="31"/>
      <c r="P193" s="31"/>
      <c r="Q193" s="31"/>
    </row>
    <row r="194" spans="1:17" ht="30.1" customHeight="1" x14ac:dyDescent="0.3">
      <c r="A194" s="31"/>
      <c r="B194" s="31"/>
      <c r="C194" s="31"/>
      <c r="D194" s="31"/>
      <c r="E194" s="31"/>
      <c r="F194" s="31"/>
      <c r="G194" s="168"/>
      <c r="H194" s="31"/>
      <c r="I194" s="31"/>
      <c r="J194" s="31"/>
      <c r="K194" s="32"/>
      <c r="L194" s="28"/>
      <c r="M194" s="31"/>
      <c r="N194" s="31"/>
      <c r="O194" s="31"/>
      <c r="P194" s="31"/>
      <c r="Q194" s="31"/>
    </row>
    <row r="195" spans="1:17" ht="30.1" customHeight="1" x14ac:dyDescent="0.3">
      <c r="A195" s="31"/>
      <c r="B195" s="31"/>
      <c r="C195" s="31"/>
      <c r="D195" s="31"/>
      <c r="E195" s="31"/>
      <c r="F195" s="31"/>
      <c r="G195" s="168"/>
      <c r="H195" s="31"/>
      <c r="I195" s="31"/>
      <c r="J195" s="31"/>
      <c r="K195" s="32"/>
      <c r="L195" s="28"/>
      <c r="M195" s="31"/>
      <c r="N195" s="31"/>
      <c r="O195" s="31"/>
      <c r="P195" s="31"/>
      <c r="Q195" s="31"/>
    </row>
    <row r="196" spans="1:17" ht="30.1" customHeight="1" x14ac:dyDescent="0.3">
      <c r="A196" s="31"/>
      <c r="B196" s="31"/>
      <c r="C196" s="31"/>
      <c r="D196" s="31"/>
      <c r="E196" s="31"/>
      <c r="F196" s="31"/>
      <c r="G196" s="168"/>
      <c r="H196" s="31"/>
      <c r="I196" s="31"/>
      <c r="J196" s="31"/>
      <c r="K196" s="32"/>
      <c r="L196" s="28"/>
      <c r="M196" s="31"/>
      <c r="N196" s="31"/>
      <c r="O196" s="31"/>
      <c r="P196" s="31"/>
      <c r="Q196" s="31"/>
    </row>
    <row r="197" spans="1:17" ht="30.1" customHeight="1" x14ac:dyDescent="0.3">
      <c r="A197" s="31"/>
      <c r="B197" s="31"/>
      <c r="C197" s="31"/>
      <c r="D197" s="31"/>
      <c r="E197" s="31"/>
      <c r="F197" s="31"/>
      <c r="G197" s="168"/>
      <c r="H197" s="31"/>
      <c r="I197" s="31"/>
      <c r="J197" s="31"/>
      <c r="K197" s="32"/>
      <c r="L197" s="28"/>
      <c r="M197" s="31"/>
      <c r="N197" s="31"/>
      <c r="O197" s="31"/>
      <c r="P197" s="31"/>
      <c r="Q197" s="31"/>
    </row>
    <row r="198" spans="1:17" ht="30.1" customHeight="1" x14ac:dyDescent="0.3">
      <c r="A198" s="31"/>
      <c r="B198" s="31"/>
      <c r="C198" s="31"/>
      <c r="D198" s="31"/>
      <c r="E198" s="31"/>
      <c r="F198" s="31"/>
      <c r="G198" s="168"/>
      <c r="H198" s="31"/>
      <c r="I198" s="31"/>
      <c r="J198" s="31"/>
      <c r="K198" s="32"/>
      <c r="L198" s="28"/>
      <c r="M198" s="31"/>
      <c r="N198" s="31"/>
      <c r="O198" s="31"/>
      <c r="P198" s="31"/>
      <c r="Q198" s="31"/>
    </row>
    <row r="199" spans="1:17" ht="30.1" customHeight="1" x14ac:dyDescent="0.3">
      <c r="A199" s="31"/>
      <c r="B199" s="31"/>
      <c r="C199" s="31"/>
      <c r="D199" s="31"/>
      <c r="E199" s="31"/>
      <c r="F199" s="31"/>
      <c r="G199" s="168"/>
      <c r="H199" s="31"/>
      <c r="I199" s="31"/>
      <c r="J199" s="31"/>
      <c r="K199" s="32"/>
      <c r="L199" s="28"/>
      <c r="M199" s="31"/>
      <c r="N199" s="31"/>
      <c r="O199" s="31"/>
      <c r="P199" s="31"/>
      <c r="Q199" s="31"/>
    </row>
    <row r="200" spans="1:17" ht="30.1" customHeight="1" x14ac:dyDescent="0.3">
      <c r="A200" s="31"/>
      <c r="B200" s="31"/>
      <c r="C200" s="31"/>
      <c r="D200" s="31"/>
      <c r="E200" s="31"/>
      <c r="F200" s="31"/>
      <c r="G200" s="168"/>
      <c r="H200" s="31"/>
      <c r="I200" s="31"/>
      <c r="J200" s="31"/>
      <c r="K200" s="32"/>
      <c r="L200" s="28"/>
      <c r="M200" s="31"/>
      <c r="N200" s="31"/>
      <c r="O200" s="31"/>
      <c r="P200" s="31"/>
      <c r="Q200" s="31"/>
    </row>
    <row r="201" spans="1:17" ht="30.1" customHeight="1" x14ac:dyDescent="0.3">
      <c r="A201" s="31"/>
      <c r="B201" s="31"/>
      <c r="C201" s="31"/>
      <c r="D201" s="31"/>
      <c r="E201" s="31"/>
      <c r="F201" s="31"/>
      <c r="G201" s="168"/>
      <c r="H201" s="31"/>
      <c r="I201" s="31"/>
      <c r="J201" s="31"/>
      <c r="K201" s="32"/>
      <c r="L201" s="28"/>
      <c r="M201" s="31"/>
      <c r="N201" s="31"/>
      <c r="O201" s="31"/>
      <c r="P201" s="31"/>
      <c r="Q201" s="31"/>
    </row>
    <row r="202" spans="1:17" ht="30.1" customHeight="1" x14ac:dyDescent="0.3">
      <c r="A202" s="31"/>
      <c r="B202" s="31"/>
      <c r="C202" s="31"/>
      <c r="D202" s="31"/>
      <c r="E202" s="31"/>
      <c r="F202" s="31"/>
      <c r="G202" s="168"/>
      <c r="H202" s="31"/>
      <c r="I202" s="31"/>
      <c r="J202" s="31"/>
      <c r="K202" s="32"/>
      <c r="L202" s="28"/>
      <c r="M202" s="31"/>
      <c r="N202" s="31"/>
      <c r="O202" s="31"/>
      <c r="P202" s="31"/>
      <c r="Q202" s="31"/>
    </row>
  </sheetData>
  <sheetProtection algorithmName="SHA-512" hashValue="vUr5rBqtjbqaWne7SZ/LZ7uBR9FIibmXz93e2+DEeuFjcWJIMzNtsJObOEMQbimInuvRVN0s1SEv5TTcNWOQFQ==" saltValue="rIMXNTprG2mTBTDlREZOiw==" spinCount="100000" sheet="1" objects="1" scenarios="1"/>
  <mergeCells count="96">
    <mergeCell ref="A113:B113"/>
    <mergeCell ref="G60:G61"/>
    <mergeCell ref="A84:J84"/>
    <mergeCell ref="C85:J85"/>
    <mergeCell ref="C86:J86"/>
    <mergeCell ref="H87:H88"/>
    <mergeCell ref="A104:G104"/>
    <mergeCell ref="A109:J109"/>
    <mergeCell ref="A110:J110"/>
    <mergeCell ref="A111:J111"/>
    <mergeCell ref="C112:J112"/>
    <mergeCell ref="C113:J113"/>
    <mergeCell ref="G87:G88"/>
    <mergeCell ref="F60:F61"/>
    <mergeCell ref="C60:C61"/>
    <mergeCell ref="D60:D61"/>
    <mergeCell ref="G33:G34"/>
    <mergeCell ref="A112:B112"/>
    <mergeCell ref="A33:A34"/>
    <mergeCell ref="C87:C88"/>
    <mergeCell ref="D87:D88"/>
    <mergeCell ref="A87:A88"/>
    <mergeCell ref="B87:B88"/>
    <mergeCell ref="A85:B85"/>
    <mergeCell ref="A86:B86"/>
    <mergeCell ref="A60:A61"/>
    <mergeCell ref="B60:B61"/>
    <mergeCell ref="C33:C34"/>
    <mergeCell ref="D33:D34"/>
    <mergeCell ref="E33:E34"/>
    <mergeCell ref="F33:F34"/>
    <mergeCell ref="E60:E61"/>
    <mergeCell ref="A1:J1"/>
    <mergeCell ref="A2:J2"/>
    <mergeCell ref="A3:J3"/>
    <mergeCell ref="A31:B31"/>
    <mergeCell ref="A32:B32"/>
    <mergeCell ref="A5:B5"/>
    <mergeCell ref="A4:B4"/>
    <mergeCell ref="F6:F7"/>
    <mergeCell ref="G6:G7"/>
    <mergeCell ref="A6:A7"/>
    <mergeCell ref="B6:B7"/>
    <mergeCell ref="C6:C7"/>
    <mergeCell ref="D6:D7"/>
    <mergeCell ref="E6:E7"/>
    <mergeCell ref="C4:J4"/>
    <mergeCell ref="C5:J5"/>
    <mergeCell ref="A140:B140"/>
    <mergeCell ref="A141:A142"/>
    <mergeCell ref="B141:B142"/>
    <mergeCell ref="A114:A115"/>
    <mergeCell ref="B114:B115"/>
    <mergeCell ref="A137:J137"/>
    <mergeCell ref="A138:J138"/>
    <mergeCell ref="C139:J139"/>
    <mergeCell ref="C140:J140"/>
    <mergeCell ref="H141:H142"/>
    <mergeCell ref="C141:C142"/>
    <mergeCell ref="D141:D142"/>
    <mergeCell ref="E141:E142"/>
    <mergeCell ref="F141:F142"/>
    <mergeCell ref="C114:C115"/>
    <mergeCell ref="H114:H115"/>
    <mergeCell ref="A158:G158"/>
    <mergeCell ref="A55:J55"/>
    <mergeCell ref="A56:J56"/>
    <mergeCell ref="A57:J57"/>
    <mergeCell ref="C58:J58"/>
    <mergeCell ref="C59:J59"/>
    <mergeCell ref="H60:H61"/>
    <mergeCell ref="A77:G77"/>
    <mergeCell ref="A82:J82"/>
    <mergeCell ref="A83:J83"/>
    <mergeCell ref="A58:B58"/>
    <mergeCell ref="G141:G142"/>
    <mergeCell ref="A139:B139"/>
    <mergeCell ref="A59:B59"/>
    <mergeCell ref="D114:D115"/>
    <mergeCell ref="E114:E115"/>
    <mergeCell ref="A131:G131"/>
    <mergeCell ref="A136:J136"/>
    <mergeCell ref="H6:H7"/>
    <mergeCell ref="A23:G23"/>
    <mergeCell ref="A28:J28"/>
    <mergeCell ref="A29:J29"/>
    <mergeCell ref="A30:J30"/>
    <mergeCell ref="C31:J31"/>
    <mergeCell ref="C32:J32"/>
    <mergeCell ref="H33:H34"/>
    <mergeCell ref="A50:G50"/>
    <mergeCell ref="F114:F115"/>
    <mergeCell ref="G114:G115"/>
    <mergeCell ref="E87:E88"/>
    <mergeCell ref="F87:F88"/>
    <mergeCell ref="B33:B34"/>
  </mergeCells>
  <dataValidations count="2">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143:J157 J35:J49 J62:J76 J89:J103 J116:J130 J9:J22" xr:uid="{00000000-0002-0000-0D00-000000000000}">
      <formula1>0</formula1>
      <formula2>M9</formula2>
    </dataValidation>
    <dataValidation type="decimal" allowBlank="1" showInputMessage="1" showErrorMessage="1" error="Belge Tarihi ve Belge Numarası doldurulduktan sonra KDV Dahil Tutar doldurulabilir." prompt="Belge Tarihi ve Belge Numarası doldurulduktan sonra KDV Dahil Tutar doldurulabilir." sqref="J8" xr:uid="{00000000-0002-0000-0D00-000001000000}">
      <formula1>0</formula1>
      <formula2>M8</formula2>
    </dataValidation>
  </dataValidations>
  <pageMargins left="0.70866141732283472" right="0.70866141732283472" top="0.74803149606299213" bottom="0.74803149606299213" header="0.31496062992125984" footer="0.31496062992125984"/>
  <pageSetup paperSize="9" scale="40" orientation="landscape" r:id="rId1"/>
  <rowBreaks count="5" manualBreakCount="5">
    <brk id="27" max="9" man="1"/>
    <brk id="54" max="9" man="1"/>
    <brk id="81" max="9" man="1"/>
    <brk id="108" max="9" man="1"/>
    <brk id="135" max="9" man="1"/>
  </rowBreaks>
  <colBreaks count="1" manualBreakCount="1">
    <brk id="8" max="1048575" man="1"/>
  </colBreaks>
  <ignoredErrors>
    <ignoredError sqref="K1:K1048576"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9"/>
  <dimension ref="A1:Q202"/>
  <sheetViews>
    <sheetView zoomScale="80" zoomScaleNormal="80" zoomScaleSheetLayoutView="50" workbookViewId="0">
      <selection activeCell="B8" sqref="B8"/>
    </sheetView>
  </sheetViews>
  <sheetFormatPr defaultColWidth="8.875" defaultRowHeight="30.1" customHeight="1" x14ac:dyDescent="0.3"/>
  <cols>
    <col min="1" max="1" width="6.625" style="19" customWidth="1"/>
    <col min="2" max="2" width="14.625" style="19" customWidth="1"/>
    <col min="3" max="3" width="19.75" style="19" customWidth="1"/>
    <col min="4" max="4" width="45.75" style="19" customWidth="1"/>
    <col min="5" max="5" width="41.75" style="19" customWidth="1"/>
    <col min="6" max="6" width="40.75" style="19" customWidth="1"/>
    <col min="7" max="7" width="16.75" style="155" customWidth="1"/>
    <col min="8" max="8" width="30.75" style="19" customWidth="1"/>
    <col min="9" max="10" width="18.75" style="19" customWidth="1"/>
    <col min="11" max="11" width="70.75" style="44" customWidth="1"/>
    <col min="12" max="12" width="8.875" style="27" hidden="1" customWidth="1"/>
    <col min="13" max="13" width="28.75" style="19" hidden="1" customWidth="1"/>
    <col min="14" max="14" width="11.75" style="19" hidden="1" customWidth="1"/>
    <col min="15" max="15" width="8.875" style="19" hidden="1" customWidth="1"/>
    <col min="16" max="17" width="8.875" style="19" customWidth="1"/>
    <col min="18" max="16384" width="8.875" style="19"/>
  </cols>
  <sheetData>
    <row r="1" spans="1:17" ht="30.1" customHeight="1" x14ac:dyDescent="0.3">
      <c r="A1" s="375" t="s">
        <v>93</v>
      </c>
      <c r="B1" s="375"/>
      <c r="C1" s="375"/>
      <c r="D1" s="375"/>
      <c r="E1" s="375"/>
      <c r="F1" s="375"/>
      <c r="G1" s="375"/>
      <c r="H1" s="375"/>
      <c r="I1" s="375"/>
      <c r="J1" s="375"/>
      <c r="K1" s="51"/>
      <c r="L1" s="52"/>
      <c r="M1" s="31"/>
      <c r="N1" s="31"/>
      <c r="O1" s="85" t="str">
        <f>CONCATENATE("A1:K",SUM(N:N)*27)</f>
        <v>A1:K27</v>
      </c>
      <c r="P1" s="31"/>
    </row>
    <row r="2" spans="1:17" ht="30.1" customHeight="1" x14ac:dyDescent="0.3">
      <c r="A2" s="329" t="str">
        <f>IF(YilDonem&lt;&gt;"",CONCATENATE(YilDonem,". döneme aittir."),"")</f>
        <v/>
      </c>
      <c r="B2" s="329"/>
      <c r="C2" s="329"/>
      <c r="D2" s="329"/>
      <c r="E2" s="329"/>
      <c r="F2" s="329"/>
      <c r="G2" s="329"/>
      <c r="H2" s="329"/>
      <c r="I2" s="329"/>
      <c r="J2" s="329"/>
      <c r="K2" s="166"/>
      <c r="L2" s="52"/>
      <c r="M2" s="149"/>
      <c r="N2" s="31"/>
      <c r="O2" s="31"/>
      <c r="P2" s="31"/>
    </row>
    <row r="3" spans="1:17" ht="30.1" customHeight="1" thickBot="1" x14ac:dyDescent="0.35">
      <c r="A3" s="355" t="s">
        <v>97</v>
      </c>
      <c r="B3" s="355"/>
      <c r="C3" s="355"/>
      <c r="D3" s="355"/>
      <c r="E3" s="355"/>
      <c r="F3" s="355"/>
      <c r="G3" s="355"/>
      <c r="H3" s="355"/>
      <c r="I3" s="355"/>
      <c r="J3" s="355"/>
      <c r="K3" s="166"/>
      <c r="L3" s="52"/>
      <c r="M3" s="149"/>
      <c r="N3" s="31"/>
      <c r="O3" s="31"/>
      <c r="P3" s="31"/>
    </row>
    <row r="4" spans="1:17" ht="30.1" customHeight="1" thickBot="1" x14ac:dyDescent="0.35">
      <c r="A4" s="380" t="s">
        <v>1</v>
      </c>
      <c r="B4" s="382"/>
      <c r="C4" s="380" t="str">
        <f>IF(ProjeNo&gt;0,ProjeNo,"")</f>
        <v/>
      </c>
      <c r="D4" s="381"/>
      <c r="E4" s="381"/>
      <c r="F4" s="381"/>
      <c r="G4" s="381"/>
      <c r="H4" s="381"/>
      <c r="I4" s="381"/>
      <c r="J4" s="382"/>
      <c r="K4" s="32"/>
      <c r="L4" s="28"/>
      <c r="M4" s="31"/>
      <c r="N4" s="31"/>
      <c r="O4" s="31"/>
      <c r="P4" s="31"/>
    </row>
    <row r="5" spans="1:17" ht="30.1" customHeight="1" thickBot="1" x14ac:dyDescent="0.35">
      <c r="A5" s="388" t="s">
        <v>11</v>
      </c>
      <c r="B5" s="389"/>
      <c r="C5" s="383" t="str">
        <f>IF(ProjeAdi&gt;0,ProjeAdi,"")</f>
        <v/>
      </c>
      <c r="D5" s="384"/>
      <c r="E5" s="384"/>
      <c r="F5" s="384"/>
      <c r="G5" s="384"/>
      <c r="H5" s="384"/>
      <c r="I5" s="384"/>
      <c r="J5" s="385"/>
      <c r="K5" s="32"/>
      <c r="L5" s="28"/>
      <c r="M5" s="31"/>
      <c r="N5" s="31"/>
      <c r="O5" s="31"/>
      <c r="P5" s="31"/>
    </row>
    <row r="6" spans="1:17" ht="30.1" customHeight="1" thickBot="1" x14ac:dyDescent="0.35">
      <c r="A6" s="376" t="s">
        <v>7</v>
      </c>
      <c r="B6" s="376" t="s">
        <v>94</v>
      </c>
      <c r="C6" s="376" t="s">
        <v>95</v>
      </c>
      <c r="D6" s="376" t="s">
        <v>92</v>
      </c>
      <c r="E6" s="376" t="s">
        <v>90</v>
      </c>
      <c r="F6" s="376" t="s">
        <v>91</v>
      </c>
      <c r="G6" s="386" t="s">
        <v>86</v>
      </c>
      <c r="H6" s="376" t="s">
        <v>87</v>
      </c>
      <c r="I6" s="50" t="s">
        <v>88</v>
      </c>
      <c r="J6" s="50" t="s">
        <v>88</v>
      </c>
      <c r="K6" s="32"/>
      <c r="L6" s="28"/>
      <c r="M6" s="31"/>
      <c r="N6" s="165"/>
      <c r="O6" s="165"/>
      <c r="P6" s="31"/>
    </row>
    <row r="7" spans="1:17" ht="30.1" customHeight="1" thickBot="1" x14ac:dyDescent="0.35">
      <c r="A7" s="377"/>
      <c r="B7" s="377"/>
      <c r="C7" s="377"/>
      <c r="D7" s="377"/>
      <c r="E7" s="377"/>
      <c r="F7" s="377"/>
      <c r="G7" s="387"/>
      <c r="H7" s="377"/>
      <c r="I7" s="50" t="s">
        <v>143</v>
      </c>
      <c r="J7" s="50" t="s">
        <v>89</v>
      </c>
      <c r="K7" s="32"/>
      <c r="L7" s="28"/>
      <c r="M7" s="31"/>
      <c r="N7" s="31"/>
      <c r="O7" s="31"/>
      <c r="P7" s="31"/>
    </row>
    <row r="8" spans="1:17" ht="30.1" customHeight="1" x14ac:dyDescent="0.3">
      <c r="A8" s="23">
        <v>1</v>
      </c>
      <c r="B8" s="24"/>
      <c r="C8" s="25"/>
      <c r="D8" s="25"/>
      <c r="E8" s="25"/>
      <c r="F8" s="25"/>
      <c r="G8" s="26"/>
      <c r="H8" s="25"/>
      <c r="I8" s="203"/>
      <c r="J8" s="151"/>
      <c r="K8" s="89" t="str">
        <f t="shared" ref="K8:K22" si="0">IF(AND(COUNTA(B8:F8)&gt;0,L8=1),"Belge Tarihi ve Belge Numarası doldurulduktan sonra KDV Dahil Tutar doldurulabilir.","")</f>
        <v/>
      </c>
      <c r="L8" s="88">
        <f>IF(COUNTA(G8:H8)=2,0,1)</f>
        <v>1</v>
      </c>
      <c r="M8" s="90">
        <f>IF(L8=1,0,100000000)</f>
        <v>0</v>
      </c>
      <c r="N8" s="31"/>
      <c r="O8" s="31"/>
      <c r="P8" s="31"/>
    </row>
    <row r="9" spans="1:17" ht="30.1" customHeight="1" x14ac:dyDescent="0.3">
      <c r="A9" s="20">
        <v>2</v>
      </c>
      <c r="B9" s="12"/>
      <c r="C9" s="13"/>
      <c r="D9" s="13"/>
      <c r="E9" s="13"/>
      <c r="F9" s="13"/>
      <c r="G9" s="14"/>
      <c r="H9" s="13"/>
      <c r="I9" s="204"/>
      <c r="J9" s="152"/>
      <c r="K9" s="89" t="str">
        <f t="shared" si="0"/>
        <v/>
      </c>
      <c r="L9" s="88">
        <f t="shared" ref="L9:L22" si="1">IF(COUNTA(G9:H9)=2,0,1)</f>
        <v>1</v>
      </c>
      <c r="M9" s="90">
        <f t="shared" ref="M9:M22" si="2">IF(L9=1,0,100000000)</f>
        <v>0</v>
      </c>
      <c r="N9" s="31"/>
      <c r="O9" s="31"/>
      <c r="P9" s="31"/>
    </row>
    <row r="10" spans="1:17" ht="30.1" customHeight="1" x14ac:dyDescent="0.3">
      <c r="A10" s="20">
        <v>3</v>
      </c>
      <c r="B10" s="12"/>
      <c r="C10" s="13"/>
      <c r="D10" s="13"/>
      <c r="E10" s="13"/>
      <c r="F10" s="13"/>
      <c r="G10" s="14"/>
      <c r="H10" s="13"/>
      <c r="I10" s="204"/>
      <c r="J10" s="152"/>
      <c r="K10" s="89" t="str">
        <f t="shared" si="0"/>
        <v/>
      </c>
      <c r="L10" s="88">
        <f t="shared" si="1"/>
        <v>1</v>
      </c>
      <c r="M10" s="90">
        <f t="shared" si="2"/>
        <v>0</v>
      </c>
      <c r="N10" s="31"/>
      <c r="O10" s="31"/>
      <c r="P10" s="31"/>
      <c r="Q10" s="31"/>
    </row>
    <row r="11" spans="1:17" ht="30.1" customHeight="1" x14ac:dyDescent="0.3">
      <c r="A11" s="20">
        <v>4</v>
      </c>
      <c r="B11" s="12"/>
      <c r="C11" s="13"/>
      <c r="D11" s="13"/>
      <c r="E11" s="13"/>
      <c r="F11" s="13"/>
      <c r="G11" s="14"/>
      <c r="H11" s="13"/>
      <c r="I11" s="204"/>
      <c r="J11" s="152"/>
      <c r="K11" s="89" t="str">
        <f t="shared" si="0"/>
        <v/>
      </c>
      <c r="L11" s="88">
        <f t="shared" si="1"/>
        <v>1</v>
      </c>
      <c r="M11" s="90">
        <f t="shared" si="2"/>
        <v>0</v>
      </c>
      <c r="N11" s="31"/>
      <c r="O11" s="31"/>
      <c r="P11" s="31"/>
      <c r="Q11" s="31"/>
    </row>
    <row r="12" spans="1:17" ht="30.1" customHeight="1" x14ac:dyDescent="0.3">
      <c r="A12" s="20">
        <v>5</v>
      </c>
      <c r="B12" s="12"/>
      <c r="C12" s="13"/>
      <c r="D12" s="13"/>
      <c r="E12" s="13"/>
      <c r="F12" s="13"/>
      <c r="G12" s="14"/>
      <c r="H12" s="13"/>
      <c r="I12" s="204"/>
      <c r="J12" s="152"/>
      <c r="K12" s="89" t="str">
        <f t="shared" si="0"/>
        <v/>
      </c>
      <c r="L12" s="88">
        <f t="shared" si="1"/>
        <v>1</v>
      </c>
      <c r="M12" s="90">
        <f t="shared" si="2"/>
        <v>0</v>
      </c>
      <c r="N12" s="31"/>
      <c r="O12" s="31"/>
      <c r="P12" s="31"/>
      <c r="Q12" s="31"/>
    </row>
    <row r="13" spans="1:17" ht="30.1" customHeight="1" x14ac:dyDescent="0.3">
      <c r="A13" s="20">
        <v>6</v>
      </c>
      <c r="B13" s="12"/>
      <c r="C13" s="13"/>
      <c r="D13" s="13"/>
      <c r="E13" s="13"/>
      <c r="F13" s="13"/>
      <c r="G13" s="14"/>
      <c r="H13" s="13"/>
      <c r="I13" s="204"/>
      <c r="J13" s="152"/>
      <c r="K13" s="89" t="str">
        <f t="shared" si="0"/>
        <v/>
      </c>
      <c r="L13" s="88">
        <f t="shared" si="1"/>
        <v>1</v>
      </c>
      <c r="M13" s="90">
        <f t="shared" si="2"/>
        <v>0</v>
      </c>
      <c r="N13" s="31"/>
      <c r="O13" s="31"/>
      <c r="P13" s="31"/>
      <c r="Q13" s="31"/>
    </row>
    <row r="14" spans="1:17" ht="30.1" customHeight="1" x14ac:dyDescent="0.3">
      <c r="A14" s="21">
        <v>7</v>
      </c>
      <c r="B14" s="15"/>
      <c r="C14" s="16"/>
      <c r="D14" s="16"/>
      <c r="E14" s="16"/>
      <c r="F14" s="16"/>
      <c r="G14" s="29"/>
      <c r="H14" s="16"/>
      <c r="I14" s="205"/>
      <c r="J14" s="153"/>
      <c r="K14" s="89" t="str">
        <f t="shared" si="0"/>
        <v/>
      </c>
      <c r="L14" s="88">
        <f t="shared" si="1"/>
        <v>1</v>
      </c>
      <c r="M14" s="90">
        <f t="shared" si="2"/>
        <v>0</v>
      </c>
      <c r="N14" s="31"/>
      <c r="O14" s="31"/>
      <c r="P14" s="31"/>
      <c r="Q14" s="31"/>
    </row>
    <row r="15" spans="1:17" ht="30.1" customHeight="1" x14ac:dyDescent="0.3">
      <c r="A15" s="21">
        <v>8</v>
      </c>
      <c r="B15" s="15"/>
      <c r="C15" s="16"/>
      <c r="D15" s="16"/>
      <c r="E15" s="16"/>
      <c r="F15" s="16"/>
      <c r="G15" s="29"/>
      <c r="H15" s="16"/>
      <c r="I15" s="205"/>
      <c r="J15" s="153"/>
      <c r="K15" s="89" t="str">
        <f t="shared" si="0"/>
        <v/>
      </c>
      <c r="L15" s="88">
        <f t="shared" si="1"/>
        <v>1</v>
      </c>
      <c r="M15" s="90">
        <f t="shared" si="2"/>
        <v>0</v>
      </c>
      <c r="N15" s="31"/>
      <c r="O15" s="31"/>
      <c r="P15" s="31"/>
      <c r="Q15" s="31"/>
    </row>
    <row r="16" spans="1:17" ht="30.1" customHeight="1" x14ac:dyDescent="0.3">
      <c r="A16" s="21">
        <v>9</v>
      </c>
      <c r="B16" s="15"/>
      <c r="C16" s="16"/>
      <c r="D16" s="16"/>
      <c r="E16" s="16"/>
      <c r="F16" s="16"/>
      <c r="G16" s="29"/>
      <c r="H16" s="16"/>
      <c r="I16" s="205"/>
      <c r="J16" s="153"/>
      <c r="K16" s="89" t="str">
        <f t="shared" si="0"/>
        <v/>
      </c>
      <c r="L16" s="88">
        <f t="shared" si="1"/>
        <v>1</v>
      </c>
      <c r="M16" s="90">
        <f t="shared" si="2"/>
        <v>0</v>
      </c>
      <c r="N16" s="31"/>
      <c r="O16" s="31"/>
      <c r="P16" s="31"/>
      <c r="Q16" s="31"/>
    </row>
    <row r="17" spans="1:17" ht="30.1" customHeight="1" x14ac:dyDescent="0.3">
      <c r="A17" s="21">
        <v>10</v>
      </c>
      <c r="B17" s="15"/>
      <c r="C17" s="16"/>
      <c r="D17" s="16"/>
      <c r="E17" s="16"/>
      <c r="F17" s="16"/>
      <c r="G17" s="29"/>
      <c r="H17" s="16"/>
      <c r="I17" s="205"/>
      <c r="J17" s="153"/>
      <c r="K17" s="89" t="str">
        <f t="shared" si="0"/>
        <v/>
      </c>
      <c r="L17" s="88">
        <f t="shared" si="1"/>
        <v>1</v>
      </c>
      <c r="M17" s="90">
        <f t="shared" si="2"/>
        <v>0</v>
      </c>
      <c r="N17" s="31"/>
      <c r="O17" s="31"/>
      <c r="P17" s="31"/>
      <c r="Q17" s="31"/>
    </row>
    <row r="18" spans="1:17" ht="30.1" customHeight="1" x14ac:dyDescent="0.3">
      <c r="A18" s="21">
        <v>11</v>
      </c>
      <c r="B18" s="15"/>
      <c r="C18" s="16"/>
      <c r="D18" s="16"/>
      <c r="E18" s="16"/>
      <c r="F18" s="16"/>
      <c r="G18" s="29"/>
      <c r="H18" s="16"/>
      <c r="I18" s="205"/>
      <c r="J18" s="153"/>
      <c r="K18" s="89" t="str">
        <f t="shared" si="0"/>
        <v/>
      </c>
      <c r="L18" s="88">
        <f t="shared" si="1"/>
        <v>1</v>
      </c>
      <c r="M18" s="90">
        <f t="shared" si="2"/>
        <v>0</v>
      </c>
      <c r="N18" s="31"/>
      <c r="O18" s="31"/>
      <c r="P18" s="31"/>
      <c r="Q18" s="31"/>
    </row>
    <row r="19" spans="1:17" ht="30.1" customHeight="1" x14ac:dyDescent="0.3">
      <c r="A19" s="21">
        <v>12</v>
      </c>
      <c r="B19" s="15"/>
      <c r="C19" s="16"/>
      <c r="D19" s="16"/>
      <c r="E19" s="16"/>
      <c r="F19" s="16"/>
      <c r="G19" s="29"/>
      <c r="H19" s="16"/>
      <c r="I19" s="205"/>
      <c r="J19" s="153"/>
      <c r="K19" s="89" t="str">
        <f t="shared" si="0"/>
        <v/>
      </c>
      <c r="L19" s="88">
        <f t="shared" si="1"/>
        <v>1</v>
      </c>
      <c r="M19" s="90">
        <f t="shared" si="2"/>
        <v>0</v>
      </c>
      <c r="N19" s="31"/>
      <c r="O19" s="31"/>
      <c r="P19" s="31"/>
      <c r="Q19" s="31"/>
    </row>
    <row r="20" spans="1:17" ht="30.1" customHeight="1" x14ac:dyDescent="0.3">
      <c r="A20" s="21">
        <v>13</v>
      </c>
      <c r="B20" s="15"/>
      <c r="C20" s="16"/>
      <c r="D20" s="16"/>
      <c r="E20" s="16"/>
      <c r="F20" s="16"/>
      <c r="G20" s="29"/>
      <c r="H20" s="16"/>
      <c r="I20" s="205"/>
      <c r="J20" s="153"/>
      <c r="K20" s="89" t="str">
        <f t="shared" si="0"/>
        <v/>
      </c>
      <c r="L20" s="88">
        <f t="shared" si="1"/>
        <v>1</v>
      </c>
      <c r="M20" s="90">
        <f t="shared" si="2"/>
        <v>0</v>
      </c>
      <c r="N20" s="31"/>
      <c r="O20" s="31"/>
      <c r="P20" s="31"/>
      <c r="Q20" s="31"/>
    </row>
    <row r="21" spans="1:17" ht="30.1" customHeight="1" x14ac:dyDescent="0.3">
      <c r="A21" s="21">
        <v>14</v>
      </c>
      <c r="B21" s="15"/>
      <c r="C21" s="16"/>
      <c r="D21" s="16"/>
      <c r="E21" s="16"/>
      <c r="F21" s="16"/>
      <c r="G21" s="29"/>
      <c r="H21" s="16"/>
      <c r="I21" s="205"/>
      <c r="J21" s="153"/>
      <c r="K21" s="89" t="str">
        <f t="shared" si="0"/>
        <v/>
      </c>
      <c r="L21" s="88">
        <f t="shared" si="1"/>
        <v>1</v>
      </c>
      <c r="M21" s="90">
        <f t="shared" si="2"/>
        <v>0</v>
      </c>
      <c r="N21" s="31"/>
      <c r="O21" s="31"/>
      <c r="P21" s="31"/>
      <c r="Q21" s="31"/>
    </row>
    <row r="22" spans="1:17" ht="30.1" customHeight="1" thickBot="1" x14ac:dyDescent="0.35">
      <c r="A22" s="22">
        <v>15</v>
      </c>
      <c r="B22" s="17"/>
      <c r="C22" s="18"/>
      <c r="D22" s="18"/>
      <c r="E22" s="18"/>
      <c r="F22" s="18"/>
      <c r="G22" s="30"/>
      <c r="H22" s="18"/>
      <c r="I22" s="206"/>
      <c r="J22" s="154"/>
      <c r="K22" s="89" t="str">
        <f t="shared" si="0"/>
        <v/>
      </c>
      <c r="L22" s="88">
        <f t="shared" si="1"/>
        <v>1</v>
      </c>
      <c r="M22" s="90">
        <f t="shared" si="2"/>
        <v>0</v>
      </c>
      <c r="N22" s="19">
        <v>1</v>
      </c>
      <c r="O22" s="31"/>
      <c r="P22" s="31"/>
      <c r="Q22" s="31"/>
    </row>
    <row r="23" spans="1:17" ht="30.1" customHeight="1" thickBot="1" x14ac:dyDescent="0.35">
      <c r="A23" s="378" t="s">
        <v>139</v>
      </c>
      <c r="B23" s="378"/>
      <c r="C23" s="378"/>
      <c r="D23" s="378"/>
      <c r="E23" s="378"/>
      <c r="F23" s="378"/>
      <c r="G23" s="379"/>
      <c r="H23" s="3" t="s">
        <v>42</v>
      </c>
      <c r="I23" s="156">
        <f>SUM(I8:I22)</f>
        <v>0</v>
      </c>
      <c r="J23" s="156">
        <f>SUM(J8:J22)</f>
        <v>0</v>
      </c>
      <c r="K23" s="167"/>
      <c r="L23" s="28"/>
      <c r="M23" s="31"/>
      <c r="N23" s="31"/>
      <c r="O23" s="31"/>
      <c r="P23" s="31"/>
      <c r="Q23" s="31"/>
    </row>
    <row r="24" spans="1:17" ht="30.1" customHeight="1" x14ac:dyDescent="0.3">
      <c r="A24" s="19" t="s">
        <v>117</v>
      </c>
      <c r="B24" s="31"/>
      <c r="C24" s="31"/>
      <c r="D24" s="31"/>
      <c r="E24" s="31"/>
      <c r="F24" s="31"/>
      <c r="G24" s="168"/>
      <c r="H24" s="31"/>
      <c r="I24" s="31"/>
      <c r="J24" s="31"/>
      <c r="K24" s="167"/>
      <c r="L24" s="28"/>
      <c r="M24" s="31"/>
      <c r="N24" s="31"/>
      <c r="O24" s="31"/>
      <c r="P24" s="31"/>
      <c r="Q24" s="31"/>
    </row>
    <row r="25" spans="1:17" ht="30.1" customHeight="1" x14ac:dyDescent="0.3">
      <c r="A25" s="31"/>
      <c r="B25" s="31"/>
      <c r="C25" s="31"/>
      <c r="D25" s="31"/>
      <c r="E25" s="31"/>
      <c r="F25" s="31"/>
      <c r="G25" s="168"/>
      <c r="H25" s="31"/>
      <c r="I25" s="31"/>
      <c r="J25" s="31"/>
      <c r="K25" s="32"/>
      <c r="L25" s="28"/>
      <c r="M25" s="31"/>
      <c r="N25" s="31"/>
      <c r="O25" s="31"/>
      <c r="P25" s="31"/>
      <c r="Q25" s="31"/>
    </row>
    <row r="26" spans="1:17" ht="30.1" customHeight="1" x14ac:dyDescent="0.35">
      <c r="A26" s="31"/>
      <c r="B26" s="247" t="s">
        <v>39</v>
      </c>
      <c r="C26" s="248">
        <f ca="1">IF(imzatarihi&gt;0,imzatarihi,"")</f>
        <v>45686</v>
      </c>
      <c r="D26" s="250" t="s">
        <v>158</v>
      </c>
      <c r="E26" s="245" t="str">
        <f>IF(kurulusyetkilisi&gt;0,kurulusyetkilisi,"")</f>
        <v/>
      </c>
      <c r="F26" s="31"/>
      <c r="G26" s="168"/>
      <c r="H26" s="31"/>
      <c r="I26" s="31"/>
      <c r="J26" s="31"/>
      <c r="K26" s="32"/>
      <c r="L26" s="28"/>
      <c r="M26" s="31"/>
      <c r="N26" s="31"/>
      <c r="O26" s="31"/>
      <c r="P26" s="31"/>
      <c r="Q26" s="31"/>
    </row>
    <row r="27" spans="1:17" ht="30.1" customHeight="1" x14ac:dyDescent="0.35">
      <c r="A27" s="31"/>
      <c r="B27" s="249"/>
      <c r="C27" s="249"/>
      <c r="D27" s="250" t="s">
        <v>157</v>
      </c>
      <c r="E27" s="247"/>
      <c r="F27" s="31"/>
      <c r="G27" s="168"/>
      <c r="H27" s="31"/>
      <c r="I27" s="31"/>
      <c r="J27" s="31"/>
      <c r="K27" s="32"/>
      <c r="L27" s="28"/>
      <c r="M27" s="31"/>
      <c r="N27" s="31"/>
      <c r="O27" s="31"/>
      <c r="P27" s="31"/>
      <c r="Q27" s="31"/>
    </row>
    <row r="28" spans="1:17" ht="30.1" customHeight="1" x14ac:dyDescent="0.3">
      <c r="A28" s="375" t="s">
        <v>93</v>
      </c>
      <c r="B28" s="375"/>
      <c r="C28" s="375"/>
      <c r="D28" s="375"/>
      <c r="E28" s="375"/>
      <c r="F28" s="375"/>
      <c r="G28" s="375"/>
      <c r="H28" s="375"/>
      <c r="I28" s="375"/>
      <c r="J28" s="375"/>
      <c r="K28" s="51"/>
      <c r="L28" s="52"/>
      <c r="M28" s="31"/>
      <c r="N28" s="31"/>
      <c r="O28" s="31"/>
      <c r="P28" s="31"/>
      <c r="Q28" s="31"/>
    </row>
    <row r="29" spans="1:17" ht="30.1" customHeight="1" x14ac:dyDescent="0.3">
      <c r="A29" s="329" t="str">
        <f>IF(YilDonem&lt;&gt;"",CONCATENATE(YilDonem,". döneme aittir."),"")</f>
        <v/>
      </c>
      <c r="B29" s="329"/>
      <c r="C29" s="329"/>
      <c r="D29" s="329"/>
      <c r="E29" s="329"/>
      <c r="F29" s="329"/>
      <c r="G29" s="329"/>
      <c r="H29" s="329"/>
      <c r="I29" s="329"/>
      <c r="J29" s="329"/>
      <c r="K29" s="166"/>
      <c r="L29" s="52"/>
      <c r="M29" s="149"/>
      <c r="N29" s="31"/>
      <c r="O29" s="31"/>
      <c r="P29" s="31"/>
      <c r="Q29" s="31"/>
    </row>
    <row r="30" spans="1:17" ht="30.1" customHeight="1" thickBot="1" x14ac:dyDescent="0.35">
      <c r="A30" s="355" t="s">
        <v>97</v>
      </c>
      <c r="B30" s="355"/>
      <c r="C30" s="355"/>
      <c r="D30" s="355"/>
      <c r="E30" s="355"/>
      <c r="F30" s="355"/>
      <c r="G30" s="355"/>
      <c r="H30" s="355"/>
      <c r="I30" s="355"/>
      <c r="J30" s="355"/>
      <c r="K30" s="166"/>
      <c r="L30" s="52"/>
      <c r="M30" s="149"/>
      <c r="N30" s="31"/>
      <c r="O30" s="31"/>
      <c r="P30" s="31"/>
      <c r="Q30" s="31"/>
    </row>
    <row r="31" spans="1:17" ht="30.1" customHeight="1" thickBot="1" x14ac:dyDescent="0.35">
      <c r="A31" s="380" t="s">
        <v>1</v>
      </c>
      <c r="B31" s="382"/>
      <c r="C31" s="380" t="str">
        <f>IF(ProjeNo&gt;0,ProjeNo,"")</f>
        <v/>
      </c>
      <c r="D31" s="381"/>
      <c r="E31" s="381"/>
      <c r="F31" s="381"/>
      <c r="G31" s="381"/>
      <c r="H31" s="381"/>
      <c r="I31" s="381"/>
      <c r="J31" s="382"/>
      <c r="K31" s="32"/>
      <c r="L31" s="28"/>
      <c r="M31" s="31"/>
      <c r="N31" s="31"/>
      <c r="O31" s="31"/>
      <c r="P31" s="31"/>
      <c r="Q31" s="31"/>
    </row>
    <row r="32" spans="1:17" ht="30.1" customHeight="1" thickBot="1" x14ac:dyDescent="0.35">
      <c r="A32" s="388" t="s">
        <v>11</v>
      </c>
      <c r="B32" s="389"/>
      <c r="C32" s="383" t="str">
        <f>IF(ProjeAdi&gt;0,ProjeAdi,"")</f>
        <v/>
      </c>
      <c r="D32" s="384"/>
      <c r="E32" s="384"/>
      <c r="F32" s="384"/>
      <c r="G32" s="384"/>
      <c r="H32" s="384"/>
      <c r="I32" s="384"/>
      <c r="J32" s="385"/>
      <c r="K32" s="32"/>
      <c r="L32" s="28"/>
      <c r="M32" s="31"/>
      <c r="N32" s="31"/>
      <c r="O32" s="31"/>
      <c r="P32" s="31"/>
      <c r="Q32" s="31"/>
    </row>
    <row r="33" spans="1:17" ht="30.1" customHeight="1" thickBot="1" x14ac:dyDescent="0.35">
      <c r="A33" s="376" t="s">
        <v>7</v>
      </c>
      <c r="B33" s="376" t="s">
        <v>94</v>
      </c>
      <c r="C33" s="376" t="s">
        <v>95</v>
      </c>
      <c r="D33" s="376" t="s">
        <v>92</v>
      </c>
      <c r="E33" s="376" t="s">
        <v>90</v>
      </c>
      <c r="F33" s="376" t="s">
        <v>91</v>
      </c>
      <c r="G33" s="386" t="s">
        <v>86</v>
      </c>
      <c r="H33" s="376" t="s">
        <v>87</v>
      </c>
      <c r="I33" s="50" t="s">
        <v>88</v>
      </c>
      <c r="J33" s="50" t="s">
        <v>88</v>
      </c>
      <c r="K33" s="32"/>
      <c r="L33" s="28"/>
      <c r="M33" s="31"/>
      <c r="N33" s="31"/>
      <c r="O33" s="31"/>
      <c r="P33" s="31"/>
      <c r="Q33" s="31"/>
    </row>
    <row r="34" spans="1:17" ht="30.1" customHeight="1" thickBot="1" x14ac:dyDescent="0.35">
      <c r="A34" s="377"/>
      <c r="B34" s="377"/>
      <c r="C34" s="377"/>
      <c r="D34" s="377"/>
      <c r="E34" s="377"/>
      <c r="F34" s="377"/>
      <c r="G34" s="387"/>
      <c r="H34" s="377"/>
      <c r="I34" s="50" t="s">
        <v>143</v>
      </c>
      <c r="J34" s="50" t="s">
        <v>89</v>
      </c>
      <c r="K34" s="32"/>
      <c r="L34" s="28"/>
      <c r="M34" s="31"/>
      <c r="N34" s="31"/>
      <c r="O34" s="31"/>
      <c r="P34" s="31"/>
      <c r="Q34" s="31"/>
    </row>
    <row r="35" spans="1:17" ht="30.1" customHeight="1" x14ac:dyDescent="0.3">
      <c r="A35" s="23">
        <v>16</v>
      </c>
      <c r="B35" s="24"/>
      <c r="C35" s="25"/>
      <c r="D35" s="25"/>
      <c r="E35" s="25"/>
      <c r="F35" s="25"/>
      <c r="G35" s="26"/>
      <c r="H35" s="25"/>
      <c r="I35" s="203"/>
      <c r="J35" s="151"/>
      <c r="K35" s="89" t="str">
        <f t="shared" ref="K35:K49" si="3">IF(AND(COUNTA(B35:F35)&gt;0,L35=1),"Belge Tarihi ve Belge Numarası doldurulduktan sonra KDV Dahil Tutar doldurulabilir.","")</f>
        <v/>
      </c>
      <c r="L35" s="88">
        <f>IF(COUNTA(G35:H35)=2,0,1)</f>
        <v>1</v>
      </c>
      <c r="M35" s="90">
        <f>IF(L35=1,0,100000000)</f>
        <v>0</v>
      </c>
      <c r="N35" s="31"/>
      <c r="O35" s="31"/>
      <c r="P35" s="31"/>
      <c r="Q35" s="31"/>
    </row>
    <row r="36" spans="1:17" ht="30.1" customHeight="1" x14ac:dyDescent="0.3">
      <c r="A36" s="20">
        <v>17</v>
      </c>
      <c r="B36" s="12"/>
      <c r="C36" s="13"/>
      <c r="D36" s="13"/>
      <c r="E36" s="13"/>
      <c r="F36" s="13"/>
      <c r="G36" s="14"/>
      <c r="H36" s="13"/>
      <c r="I36" s="204"/>
      <c r="J36" s="152"/>
      <c r="K36" s="89" t="str">
        <f t="shared" si="3"/>
        <v/>
      </c>
      <c r="L36" s="88">
        <f t="shared" ref="L36:L49" si="4">IF(COUNTA(G36:H36)=2,0,1)</f>
        <v>1</v>
      </c>
      <c r="M36" s="90">
        <f t="shared" ref="M36:M49" si="5">IF(L36=1,0,100000000)</f>
        <v>0</v>
      </c>
      <c r="N36" s="165"/>
      <c r="O36" s="165"/>
      <c r="P36" s="31"/>
      <c r="Q36" s="31"/>
    </row>
    <row r="37" spans="1:17" ht="30.1" customHeight="1" x14ac:dyDescent="0.3">
      <c r="A37" s="20">
        <v>18</v>
      </c>
      <c r="B37" s="12"/>
      <c r="C37" s="13"/>
      <c r="D37" s="13"/>
      <c r="E37" s="13"/>
      <c r="F37" s="13"/>
      <c r="G37" s="14"/>
      <c r="H37" s="13"/>
      <c r="I37" s="204"/>
      <c r="J37" s="152"/>
      <c r="K37" s="89" t="str">
        <f t="shared" si="3"/>
        <v/>
      </c>
      <c r="L37" s="88">
        <f t="shared" si="4"/>
        <v>1</v>
      </c>
      <c r="M37" s="90">
        <f t="shared" si="5"/>
        <v>0</v>
      </c>
      <c r="N37" s="31"/>
      <c r="O37" s="31"/>
      <c r="P37" s="31"/>
      <c r="Q37" s="31"/>
    </row>
    <row r="38" spans="1:17" ht="30.1" customHeight="1" x14ac:dyDescent="0.3">
      <c r="A38" s="20">
        <v>19</v>
      </c>
      <c r="B38" s="12"/>
      <c r="C38" s="13"/>
      <c r="D38" s="13"/>
      <c r="E38" s="13"/>
      <c r="F38" s="13"/>
      <c r="G38" s="14"/>
      <c r="H38" s="13"/>
      <c r="I38" s="204"/>
      <c r="J38" s="152"/>
      <c r="K38" s="89" t="str">
        <f t="shared" si="3"/>
        <v/>
      </c>
      <c r="L38" s="88">
        <f t="shared" si="4"/>
        <v>1</v>
      </c>
      <c r="M38" s="90">
        <f t="shared" si="5"/>
        <v>0</v>
      </c>
      <c r="N38" s="31"/>
      <c r="O38" s="31"/>
      <c r="P38" s="31"/>
      <c r="Q38" s="31"/>
    </row>
    <row r="39" spans="1:17" ht="30.1" customHeight="1" x14ac:dyDescent="0.3">
      <c r="A39" s="20">
        <v>20</v>
      </c>
      <c r="B39" s="12"/>
      <c r="C39" s="13"/>
      <c r="D39" s="13"/>
      <c r="E39" s="13"/>
      <c r="F39" s="13"/>
      <c r="G39" s="14"/>
      <c r="H39" s="13"/>
      <c r="I39" s="204"/>
      <c r="J39" s="152"/>
      <c r="K39" s="89" t="str">
        <f t="shared" si="3"/>
        <v/>
      </c>
      <c r="L39" s="88">
        <f t="shared" si="4"/>
        <v>1</v>
      </c>
      <c r="M39" s="90">
        <f t="shared" si="5"/>
        <v>0</v>
      </c>
      <c r="N39" s="31"/>
      <c r="O39" s="31"/>
      <c r="P39" s="31"/>
      <c r="Q39" s="31"/>
    </row>
    <row r="40" spans="1:17" ht="30.1" customHeight="1" x14ac:dyDescent="0.3">
      <c r="A40" s="20">
        <v>21</v>
      </c>
      <c r="B40" s="12"/>
      <c r="C40" s="13"/>
      <c r="D40" s="13"/>
      <c r="E40" s="13"/>
      <c r="F40" s="13"/>
      <c r="G40" s="14"/>
      <c r="H40" s="13"/>
      <c r="I40" s="204"/>
      <c r="J40" s="152"/>
      <c r="K40" s="89" t="str">
        <f t="shared" si="3"/>
        <v/>
      </c>
      <c r="L40" s="88">
        <f t="shared" si="4"/>
        <v>1</v>
      </c>
      <c r="M40" s="90">
        <f t="shared" si="5"/>
        <v>0</v>
      </c>
      <c r="N40" s="31"/>
      <c r="O40" s="31"/>
      <c r="P40" s="31"/>
      <c r="Q40" s="31"/>
    </row>
    <row r="41" spans="1:17" ht="30.1" customHeight="1" x14ac:dyDescent="0.3">
      <c r="A41" s="21">
        <v>22</v>
      </c>
      <c r="B41" s="15"/>
      <c r="C41" s="16"/>
      <c r="D41" s="16"/>
      <c r="E41" s="16"/>
      <c r="F41" s="16"/>
      <c r="G41" s="29"/>
      <c r="H41" s="16"/>
      <c r="I41" s="205"/>
      <c r="J41" s="153"/>
      <c r="K41" s="89" t="str">
        <f t="shared" si="3"/>
        <v/>
      </c>
      <c r="L41" s="88">
        <f t="shared" si="4"/>
        <v>1</v>
      </c>
      <c r="M41" s="90">
        <f t="shared" si="5"/>
        <v>0</v>
      </c>
      <c r="N41" s="31"/>
      <c r="O41" s="31"/>
      <c r="P41" s="31"/>
      <c r="Q41" s="31"/>
    </row>
    <row r="42" spans="1:17" ht="30.1" customHeight="1" x14ac:dyDescent="0.3">
      <c r="A42" s="21">
        <v>23</v>
      </c>
      <c r="B42" s="15"/>
      <c r="C42" s="16"/>
      <c r="D42" s="16"/>
      <c r="E42" s="16"/>
      <c r="F42" s="16"/>
      <c r="G42" s="29"/>
      <c r="H42" s="16"/>
      <c r="I42" s="205"/>
      <c r="J42" s="153"/>
      <c r="K42" s="89" t="str">
        <f t="shared" si="3"/>
        <v/>
      </c>
      <c r="L42" s="88">
        <f t="shared" si="4"/>
        <v>1</v>
      </c>
      <c r="M42" s="90">
        <f t="shared" si="5"/>
        <v>0</v>
      </c>
      <c r="N42" s="31"/>
      <c r="O42" s="31"/>
      <c r="P42" s="31"/>
      <c r="Q42" s="31"/>
    </row>
    <row r="43" spans="1:17" ht="30.1" customHeight="1" x14ac:dyDescent="0.3">
      <c r="A43" s="21">
        <v>24</v>
      </c>
      <c r="B43" s="15"/>
      <c r="C43" s="16"/>
      <c r="D43" s="16"/>
      <c r="E43" s="16"/>
      <c r="F43" s="16"/>
      <c r="G43" s="29"/>
      <c r="H43" s="16"/>
      <c r="I43" s="205"/>
      <c r="J43" s="153"/>
      <c r="K43" s="89" t="str">
        <f t="shared" si="3"/>
        <v/>
      </c>
      <c r="L43" s="88">
        <f t="shared" si="4"/>
        <v>1</v>
      </c>
      <c r="M43" s="90">
        <f t="shared" si="5"/>
        <v>0</v>
      </c>
      <c r="N43" s="31"/>
      <c r="O43" s="31"/>
      <c r="P43" s="31"/>
      <c r="Q43" s="31"/>
    </row>
    <row r="44" spans="1:17" ht="30.1" customHeight="1" x14ac:dyDescent="0.3">
      <c r="A44" s="21">
        <v>25</v>
      </c>
      <c r="B44" s="15"/>
      <c r="C44" s="16"/>
      <c r="D44" s="16"/>
      <c r="E44" s="16"/>
      <c r="F44" s="16"/>
      <c r="G44" s="29"/>
      <c r="H44" s="16"/>
      <c r="I44" s="205"/>
      <c r="J44" s="153"/>
      <c r="K44" s="89" t="str">
        <f t="shared" si="3"/>
        <v/>
      </c>
      <c r="L44" s="88">
        <f t="shared" si="4"/>
        <v>1</v>
      </c>
      <c r="M44" s="90">
        <f t="shared" si="5"/>
        <v>0</v>
      </c>
      <c r="N44" s="31"/>
      <c r="O44" s="31"/>
      <c r="P44" s="31"/>
      <c r="Q44" s="31"/>
    </row>
    <row r="45" spans="1:17" ht="30.1" customHeight="1" x14ac:dyDescent="0.3">
      <c r="A45" s="21">
        <v>26</v>
      </c>
      <c r="B45" s="15"/>
      <c r="C45" s="16"/>
      <c r="D45" s="16"/>
      <c r="E45" s="16"/>
      <c r="F45" s="16"/>
      <c r="G45" s="29"/>
      <c r="H45" s="16"/>
      <c r="I45" s="205"/>
      <c r="J45" s="153"/>
      <c r="K45" s="89" t="str">
        <f t="shared" si="3"/>
        <v/>
      </c>
      <c r="L45" s="88">
        <f t="shared" si="4"/>
        <v>1</v>
      </c>
      <c r="M45" s="90">
        <f t="shared" si="5"/>
        <v>0</v>
      </c>
      <c r="N45" s="31"/>
      <c r="O45" s="31"/>
      <c r="P45" s="31"/>
      <c r="Q45" s="31"/>
    </row>
    <row r="46" spans="1:17" ht="30.1" customHeight="1" x14ac:dyDescent="0.3">
      <c r="A46" s="21">
        <v>27</v>
      </c>
      <c r="B46" s="15"/>
      <c r="C46" s="16"/>
      <c r="D46" s="16"/>
      <c r="E46" s="16"/>
      <c r="F46" s="16"/>
      <c r="G46" s="29"/>
      <c r="H46" s="16"/>
      <c r="I46" s="205"/>
      <c r="J46" s="153"/>
      <c r="K46" s="89" t="str">
        <f t="shared" si="3"/>
        <v/>
      </c>
      <c r="L46" s="88">
        <f t="shared" si="4"/>
        <v>1</v>
      </c>
      <c r="M46" s="90">
        <f t="shared" si="5"/>
        <v>0</v>
      </c>
      <c r="N46" s="31"/>
      <c r="O46" s="31"/>
      <c r="P46" s="31"/>
      <c r="Q46" s="31"/>
    </row>
    <row r="47" spans="1:17" ht="30.1" customHeight="1" x14ac:dyDescent="0.3">
      <c r="A47" s="21">
        <v>28</v>
      </c>
      <c r="B47" s="15"/>
      <c r="C47" s="16"/>
      <c r="D47" s="16"/>
      <c r="E47" s="16"/>
      <c r="F47" s="16"/>
      <c r="G47" s="29"/>
      <c r="H47" s="16"/>
      <c r="I47" s="205"/>
      <c r="J47" s="153"/>
      <c r="K47" s="89" t="str">
        <f t="shared" si="3"/>
        <v/>
      </c>
      <c r="L47" s="88">
        <f t="shared" si="4"/>
        <v>1</v>
      </c>
      <c r="M47" s="90">
        <f t="shared" si="5"/>
        <v>0</v>
      </c>
      <c r="N47" s="31"/>
      <c r="O47" s="31"/>
      <c r="P47" s="31"/>
      <c r="Q47" s="31"/>
    </row>
    <row r="48" spans="1:17" ht="30.1" customHeight="1" x14ac:dyDescent="0.3">
      <c r="A48" s="21">
        <v>29</v>
      </c>
      <c r="B48" s="15"/>
      <c r="C48" s="16"/>
      <c r="D48" s="16"/>
      <c r="E48" s="16"/>
      <c r="F48" s="16"/>
      <c r="G48" s="29"/>
      <c r="H48" s="16"/>
      <c r="I48" s="205"/>
      <c r="J48" s="153"/>
      <c r="K48" s="89" t="str">
        <f t="shared" si="3"/>
        <v/>
      </c>
      <c r="L48" s="88">
        <f t="shared" si="4"/>
        <v>1</v>
      </c>
      <c r="M48" s="90">
        <f t="shared" si="5"/>
        <v>0</v>
      </c>
      <c r="N48" s="31"/>
      <c r="O48" s="31"/>
      <c r="P48" s="31"/>
      <c r="Q48" s="31"/>
    </row>
    <row r="49" spans="1:17" ht="30.1" customHeight="1" thickBot="1" x14ac:dyDescent="0.35">
      <c r="A49" s="22">
        <v>30</v>
      </c>
      <c r="B49" s="17"/>
      <c r="C49" s="18"/>
      <c r="D49" s="18"/>
      <c r="E49" s="18"/>
      <c r="F49" s="18"/>
      <c r="G49" s="30"/>
      <c r="H49" s="18"/>
      <c r="I49" s="206"/>
      <c r="J49" s="154"/>
      <c r="K49" s="89" t="str">
        <f t="shared" si="3"/>
        <v/>
      </c>
      <c r="L49" s="88">
        <f t="shared" si="4"/>
        <v>1</v>
      </c>
      <c r="M49" s="90">
        <f t="shared" si="5"/>
        <v>0</v>
      </c>
      <c r="N49" s="91">
        <f>IF(COUNTA(G35:J49)&gt;0,1,0)</f>
        <v>0</v>
      </c>
      <c r="O49" s="31"/>
      <c r="P49" s="31"/>
      <c r="Q49" s="31"/>
    </row>
    <row r="50" spans="1:17" ht="30.1" customHeight="1" thickBot="1" x14ac:dyDescent="0.35">
      <c r="A50" s="373" t="s">
        <v>139</v>
      </c>
      <c r="B50" s="373"/>
      <c r="C50" s="373"/>
      <c r="D50" s="373"/>
      <c r="E50" s="373"/>
      <c r="F50" s="373"/>
      <c r="G50" s="374"/>
      <c r="H50" s="4" t="s">
        <v>42</v>
      </c>
      <c r="I50" s="156">
        <f>SUM(I35:I49)+I23</f>
        <v>0</v>
      </c>
      <c r="J50" s="156">
        <f>SUM(J35:J49)+J23</f>
        <v>0</v>
      </c>
      <c r="K50" s="167"/>
      <c r="L50" s="28"/>
      <c r="M50" s="31"/>
      <c r="N50" s="31"/>
      <c r="O50" s="31"/>
      <c r="P50" s="31"/>
      <c r="Q50" s="31"/>
    </row>
    <row r="51" spans="1:17" ht="30.1" customHeight="1" x14ac:dyDescent="0.3">
      <c r="A51" s="19" t="s">
        <v>117</v>
      </c>
      <c r="B51" s="31"/>
      <c r="C51" s="31"/>
      <c r="D51" s="31"/>
      <c r="E51" s="31"/>
      <c r="F51" s="31"/>
      <c r="G51" s="168"/>
      <c r="H51" s="31"/>
      <c r="I51" s="31"/>
      <c r="J51" s="31"/>
      <c r="K51" s="167"/>
      <c r="L51" s="28"/>
      <c r="M51" s="31"/>
      <c r="N51" s="31"/>
      <c r="O51" s="31"/>
      <c r="P51" s="31"/>
      <c r="Q51" s="31"/>
    </row>
    <row r="52" spans="1:17" ht="30.1" customHeight="1" x14ac:dyDescent="0.3">
      <c r="A52" s="31"/>
      <c r="B52" s="31"/>
      <c r="C52" s="31"/>
      <c r="D52" s="31"/>
      <c r="E52" s="31"/>
      <c r="F52" s="31"/>
      <c r="G52" s="168"/>
      <c r="H52" s="31"/>
      <c r="I52" s="31"/>
      <c r="J52" s="31"/>
      <c r="K52" s="32"/>
      <c r="L52" s="28"/>
      <c r="M52" s="31"/>
      <c r="N52" s="31"/>
      <c r="O52" s="31"/>
      <c r="P52" s="31"/>
      <c r="Q52" s="31"/>
    </row>
    <row r="53" spans="1:17" ht="30.1" customHeight="1" x14ac:dyDescent="0.35">
      <c r="A53" s="31"/>
      <c r="B53" s="247" t="s">
        <v>39</v>
      </c>
      <c r="C53" s="248">
        <f ca="1">IF(imzatarihi&gt;0,imzatarihi,"")</f>
        <v>45686</v>
      </c>
      <c r="D53" s="250" t="s">
        <v>158</v>
      </c>
      <c r="E53" s="245" t="str">
        <f>IF(kurulusyetkilisi&gt;0,kurulusyetkilisi,"")</f>
        <v/>
      </c>
      <c r="F53" s="31"/>
      <c r="G53" s="168"/>
      <c r="H53" s="31"/>
      <c r="I53" s="31"/>
      <c r="J53" s="31"/>
      <c r="K53" s="32"/>
      <c r="L53" s="28"/>
      <c r="M53" s="31"/>
      <c r="N53" s="31"/>
      <c r="O53" s="31"/>
      <c r="P53" s="31"/>
      <c r="Q53" s="31"/>
    </row>
    <row r="54" spans="1:17" ht="30.1" customHeight="1" x14ac:dyDescent="0.35">
      <c r="A54" s="31"/>
      <c r="B54" s="249"/>
      <c r="C54" s="249"/>
      <c r="D54" s="250" t="s">
        <v>157</v>
      </c>
      <c r="E54" s="247"/>
      <c r="F54" s="31"/>
      <c r="G54" s="168"/>
      <c r="H54" s="31"/>
      <c r="I54" s="31"/>
      <c r="J54" s="31"/>
      <c r="K54" s="32"/>
      <c r="L54" s="28"/>
      <c r="M54" s="31"/>
      <c r="N54" s="31"/>
      <c r="O54" s="31"/>
      <c r="P54" s="31"/>
      <c r="Q54" s="31"/>
    </row>
    <row r="55" spans="1:17" ht="30.1" customHeight="1" x14ac:dyDescent="0.3">
      <c r="A55" s="375" t="s">
        <v>93</v>
      </c>
      <c r="B55" s="375"/>
      <c r="C55" s="375"/>
      <c r="D55" s="375"/>
      <c r="E55" s="375"/>
      <c r="F55" s="375"/>
      <c r="G55" s="375"/>
      <c r="H55" s="375"/>
      <c r="I55" s="375"/>
      <c r="J55" s="375"/>
      <c r="K55" s="51"/>
      <c r="L55" s="52"/>
      <c r="M55" s="31"/>
      <c r="N55" s="31"/>
      <c r="O55" s="31"/>
      <c r="P55" s="31"/>
      <c r="Q55" s="31"/>
    </row>
    <row r="56" spans="1:17" ht="30.1" customHeight="1" x14ac:dyDescent="0.3">
      <c r="A56" s="329" t="str">
        <f>IF(YilDonem&lt;&gt;"",CONCATENATE(YilDonem,". döneme aittir."),"")</f>
        <v/>
      </c>
      <c r="B56" s="329"/>
      <c r="C56" s="329"/>
      <c r="D56" s="329"/>
      <c r="E56" s="329"/>
      <c r="F56" s="329"/>
      <c r="G56" s="329"/>
      <c r="H56" s="329"/>
      <c r="I56" s="329"/>
      <c r="J56" s="329"/>
      <c r="K56" s="166"/>
      <c r="L56" s="52"/>
      <c r="M56" s="149"/>
      <c r="N56" s="31"/>
      <c r="O56" s="31"/>
      <c r="P56" s="31"/>
      <c r="Q56" s="31"/>
    </row>
    <row r="57" spans="1:17" ht="30.1" customHeight="1" thickBot="1" x14ac:dyDescent="0.35">
      <c r="A57" s="355" t="s">
        <v>97</v>
      </c>
      <c r="B57" s="355"/>
      <c r="C57" s="355"/>
      <c r="D57" s="355"/>
      <c r="E57" s="355"/>
      <c r="F57" s="355"/>
      <c r="G57" s="355"/>
      <c r="H57" s="355"/>
      <c r="I57" s="355"/>
      <c r="J57" s="355"/>
      <c r="K57" s="166"/>
      <c r="L57" s="52"/>
      <c r="M57" s="149"/>
      <c r="N57" s="31"/>
      <c r="O57" s="31"/>
      <c r="P57" s="31"/>
      <c r="Q57" s="31"/>
    </row>
    <row r="58" spans="1:17" ht="30.1" customHeight="1" thickBot="1" x14ac:dyDescent="0.35">
      <c r="A58" s="380" t="s">
        <v>1</v>
      </c>
      <c r="B58" s="382"/>
      <c r="C58" s="380" t="str">
        <f>IF(ProjeNo&gt;0,ProjeNo,"")</f>
        <v/>
      </c>
      <c r="D58" s="381"/>
      <c r="E58" s="381"/>
      <c r="F58" s="381"/>
      <c r="G58" s="381"/>
      <c r="H58" s="381"/>
      <c r="I58" s="381"/>
      <c r="J58" s="382"/>
      <c r="K58" s="32"/>
      <c r="L58" s="28"/>
      <c r="M58" s="31"/>
      <c r="N58" s="31"/>
      <c r="O58" s="31"/>
      <c r="P58" s="31"/>
      <c r="Q58" s="31"/>
    </row>
    <row r="59" spans="1:17" ht="30.1" customHeight="1" thickBot="1" x14ac:dyDescent="0.35">
      <c r="A59" s="388" t="s">
        <v>11</v>
      </c>
      <c r="B59" s="389"/>
      <c r="C59" s="383" t="str">
        <f>IF(ProjeAdi&gt;0,ProjeAdi,"")</f>
        <v/>
      </c>
      <c r="D59" s="384"/>
      <c r="E59" s="384"/>
      <c r="F59" s="384"/>
      <c r="G59" s="384"/>
      <c r="H59" s="384"/>
      <c r="I59" s="384"/>
      <c r="J59" s="385"/>
      <c r="K59" s="32"/>
      <c r="L59" s="28"/>
      <c r="M59" s="31"/>
      <c r="N59" s="31"/>
      <c r="O59" s="31"/>
      <c r="P59" s="31"/>
      <c r="Q59" s="31"/>
    </row>
    <row r="60" spans="1:17" ht="30.1" customHeight="1" thickBot="1" x14ac:dyDescent="0.35">
      <c r="A60" s="376" t="s">
        <v>7</v>
      </c>
      <c r="B60" s="376" t="s">
        <v>94</v>
      </c>
      <c r="C60" s="376" t="s">
        <v>95</v>
      </c>
      <c r="D60" s="376" t="s">
        <v>92</v>
      </c>
      <c r="E60" s="376" t="s">
        <v>90</v>
      </c>
      <c r="F60" s="376" t="s">
        <v>91</v>
      </c>
      <c r="G60" s="386" t="s">
        <v>86</v>
      </c>
      <c r="H60" s="376" t="s">
        <v>87</v>
      </c>
      <c r="I60" s="50" t="s">
        <v>88</v>
      </c>
      <c r="J60" s="50" t="s">
        <v>88</v>
      </c>
      <c r="K60" s="32"/>
      <c r="L60" s="28"/>
      <c r="M60" s="31"/>
      <c r="N60" s="31"/>
      <c r="O60" s="31"/>
      <c r="P60" s="31"/>
      <c r="Q60" s="31"/>
    </row>
    <row r="61" spans="1:17" ht="30.1" customHeight="1" thickBot="1" x14ac:dyDescent="0.35">
      <c r="A61" s="377"/>
      <c r="B61" s="377"/>
      <c r="C61" s="377"/>
      <c r="D61" s="377"/>
      <c r="E61" s="377"/>
      <c r="F61" s="377"/>
      <c r="G61" s="387"/>
      <c r="H61" s="377"/>
      <c r="I61" s="50" t="s">
        <v>143</v>
      </c>
      <c r="J61" s="50" t="s">
        <v>89</v>
      </c>
      <c r="K61" s="32"/>
      <c r="L61" s="28"/>
      <c r="M61" s="31"/>
      <c r="N61" s="31"/>
      <c r="O61" s="31"/>
      <c r="P61" s="31"/>
      <c r="Q61" s="31"/>
    </row>
    <row r="62" spans="1:17" ht="30.1" customHeight="1" x14ac:dyDescent="0.3">
      <c r="A62" s="23">
        <v>31</v>
      </c>
      <c r="B62" s="24"/>
      <c r="C62" s="25"/>
      <c r="D62" s="25"/>
      <c r="E62" s="25"/>
      <c r="F62" s="25"/>
      <c r="G62" s="26"/>
      <c r="H62" s="25"/>
      <c r="I62" s="203"/>
      <c r="J62" s="151"/>
      <c r="K62" s="89" t="str">
        <f t="shared" ref="K62:K76" si="6">IF(AND(COUNTA(B62:F62)&gt;0,L62=1),"Belge Tarihi ve Belge Numarası doldurulduktan sonra KDV Dahil Tutar doldurulabilir.","")</f>
        <v/>
      </c>
      <c r="L62" s="88">
        <f>IF(COUNTA(G62:H62)=2,0,1)</f>
        <v>1</v>
      </c>
      <c r="M62" s="90">
        <f>IF(L62=1,0,100000000)</f>
        <v>0</v>
      </c>
      <c r="N62" s="31"/>
      <c r="O62" s="31"/>
      <c r="P62" s="31"/>
      <c r="Q62" s="31"/>
    </row>
    <row r="63" spans="1:17" ht="30.1" customHeight="1" x14ac:dyDescent="0.3">
      <c r="A63" s="20">
        <v>32</v>
      </c>
      <c r="B63" s="12"/>
      <c r="C63" s="13"/>
      <c r="D63" s="13"/>
      <c r="E63" s="13"/>
      <c r="F63" s="13"/>
      <c r="G63" s="14"/>
      <c r="H63" s="13"/>
      <c r="I63" s="204"/>
      <c r="J63" s="152"/>
      <c r="K63" s="89" t="str">
        <f t="shared" si="6"/>
        <v/>
      </c>
      <c r="L63" s="88">
        <f t="shared" ref="L63:L76" si="7">IF(COUNTA(G63:H63)=2,0,1)</f>
        <v>1</v>
      </c>
      <c r="M63" s="90">
        <f t="shared" ref="M63:M76" si="8">IF(L63=1,0,100000000)</f>
        <v>0</v>
      </c>
      <c r="N63" s="31"/>
      <c r="O63" s="31"/>
      <c r="P63" s="31"/>
      <c r="Q63" s="31"/>
    </row>
    <row r="64" spans="1:17" ht="30.1" customHeight="1" x14ac:dyDescent="0.3">
      <c r="A64" s="20">
        <v>33</v>
      </c>
      <c r="B64" s="12"/>
      <c r="C64" s="13"/>
      <c r="D64" s="13"/>
      <c r="E64" s="13"/>
      <c r="F64" s="13"/>
      <c r="G64" s="14"/>
      <c r="H64" s="13"/>
      <c r="I64" s="204"/>
      <c r="J64" s="152"/>
      <c r="K64" s="89" t="str">
        <f t="shared" si="6"/>
        <v/>
      </c>
      <c r="L64" s="88">
        <f t="shared" si="7"/>
        <v>1</v>
      </c>
      <c r="M64" s="90">
        <f t="shared" si="8"/>
        <v>0</v>
      </c>
      <c r="N64" s="31"/>
      <c r="O64" s="31"/>
      <c r="P64" s="31"/>
      <c r="Q64" s="31"/>
    </row>
    <row r="65" spans="1:17" ht="30.1" customHeight="1" x14ac:dyDescent="0.3">
      <c r="A65" s="20">
        <v>34</v>
      </c>
      <c r="B65" s="12"/>
      <c r="C65" s="13"/>
      <c r="D65" s="13"/>
      <c r="E65" s="13"/>
      <c r="F65" s="13"/>
      <c r="G65" s="14"/>
      <c r="H65" s="13"/>
      <c r="I65" s="204"/>
      <c r="J65" s="152"/>
      <c r="K65" s="89" t="str">
        <f t="shared" si="6"/>
        <v/>
      </c>
      <c r="L65" s="88">
        <f t="shared" si="7"/>
        <v>1</v>
      </c>
      <c r="M65" s="90">
        <f t="shared" si="8"/>
        <v>0</v>
      </c>
      <c r="N65" s="31"/>
      <c r="O65" s="31"/>
      <c r="P65" s="31"/>
      <c r="Q65" s="31"/>
    </row>
    <row r="66" spans="1:17" ht="30.1" customHeight="1" x14ac:dyDescent="0.3">
      <c r="A66" s="20">
        <v>35</v>
      </c>
      <c r="B66" s="12"/>
      <c r="C66" s="13"/>
      <c r="D66" s="13"/>
      <c r="E66" s="13"/>
      <c r="F66" s="13"/>
      <c r="G66" s="14"/>
      <c r="H66" s="13"/>
      <c r="I66" s="204"/>
      <c r="J66" s="152"/>
      <c r="K66" s="89" t="str">
        <f t="shared" si="6"/>
        <v/>
      </c>
      <c r="L66" s="88">
        <f t="shared" si="7"/>
        <v>1</v>
      </c>
      <c r="M66" s="90">
        <f t="shared" si="8"/>
        <v>0</v>
      </c>
      <c r="N66" s="165"/>
      <c r="O66" s="165"/>
      <c r="P66" s="31"/>
      <c r="Q66" s="31"/>
    </row>
    <row r="67" spans="1:17" ht="30.1" customHeight="1" x14ac:dyDescent="0.3">
      <c r="A67" s="20">
        <v>36</v>
      </c>
      <c r="B67" s="12"/>
      <c r="C67" s="13"/>
      <c r="D67" s="13"/>
      <c r="E67" s="13"/>
      <c r="F67" s="13"/>
      <c r="G67" s="14"/>
      <c r="H67" s="13"/>
      <c r="I67" s="204"/>
      <c r="J67" s="152"/>
      <c r="K67" s="89" t="str">
        <f t="shared" si="6"/>
        <v/>
      </c>
      <c r="L67" s="88">
        <f t="shared" si="7"/>
        <v>1</v>
      </c>
      <c r="M67" s="90">
        <f t="shared" si="8"/>
        <v>0</v>
      </c>
      <c r="N67" s="31"/>
      <c r="O67" s="31"/>
      <c r="P67" s="31"/>
      <c r="Q67" s="31"/>
    </row>
    <row r="68" spans="1:17" ht="30.1" customHeight="1" x14ac:dyDescent="0.3">
      <c r="A68" s="20">
        <v>37</v>
      </c>
      <c r="B68" s="15"/>
      <c r="C68" s="16"/>
      <c r="D68" s="16"/>
      <c r="E68" s="16"/>
      <c r="F68" s="16"/>
      <c r="G68" s="29"/>
      <c r="H68" s="16"/>
      <c r="I68" s="205"/>
      <c r="J68" s="153"/>
      <c r="K68" s="89" t="str">
        <f t="shared" si="6"/>
        <v/>
      </c>
      <c r="L68" s="88">
        <f t="shared" si="7"/>
        <v>1</v>
      </c>
      <c r="M68" s="90">
        <f t="shared" si="8"/>
        <v>0</v>
      </c>
      <c r="N68" s="31"/>
      <c r="O68" s="31"/>
      <c r="P68" s="31"/>
      <c r="Q68" s="31"/>
    </row>
    <row r="69" spans="1:17" ht="30.1" customHeight="1" x14ac:dyDescent="0.3">
      <c r="A69" s="21">
        <v>38</v>
      </c>
      <c r="B69" s="15"/>
      <c r="C69" s="16"/>
      <c r="D69" s="16"/>
      <c r="E69" s="16"/>
      <c r="F69" s="16"/>
      <c r="G69" s="29"/>
      <c r="H69" s="16"/>
      <c r="I69" s="205"/>
      <c r="J69" s="153"/>
      <c r="K69" s="89" t="str">
        <f t="shared" si="6"/>
        <v/>
      </c>
      <c r="L69" s="88">
        <f t="shared" si="7"/>
        <v>1</v>
      </c>
      <c r="M69" s="90">
        <f t="shared" si="8"/>
        <v>0</v>
      </c>
      <c r="N69" s="31"/>
      <c r="O69" s="31"/>
      <c r="P69" s="31"/>
      <c r="Q69" s="31"/>
    </row>
    <row r="70" spans="1:17" ht="30.1" customHeight="1" x14ac:dyDescent="0.3">
      <c r="A70" s="21">
        <v>39</v>
      </c>
      <c r="B70" s="15"/>
      <c r="C70" s="16"/>
      <c r="D70" s="16"/>
      <c r="E70" s="16"/>
      <c r="F70" s="16"/>
      <c r="G70" s="29"/>
      <c r="H70" s="16"/>
      <c r="I70" s="205"/>
      <c r="J70" s="153"/>
      <c r="K70" s="89" t="str">
        <f t="shared" si="6"/>
        <v/>
      </c>
      <c r="L70" s="88">
        <f t="shared" si="7"/>
        <v>1</v>
      </c>
      <c r="M70" s="90">
        <f t="shared" si="8"/>
        <v>0</v>
      </c>
      <c r="N70" s="31"/>
      <c r="O70" s="31"/>
      <c r="P70" s="31"/>
      <c r="Q70" s="31"/>
    </row>
    <row r="71" spans="1:17" ht="30.1" customHeight="1" x14ac:dyDescent="0.3">
      <c r="A71" s="21">
        <v>40</v>
      </c>
      <c r="B71" s="15"/>
      <c r="C71" s="16"/>
      <c r="D71" s="16"/>
      <c r="E71" s="16"/>
      <c r="F71" s="16"/>
      <c r="G71" s="29"/>
      <c r="H71" s="16"/>
      <c r="I71" s="205"/>
      <c r="J71" s="153"/>
      <c r="K71" s="89" t="str">
        <f t="shared" si="6"/>
        <v/>
      </c>
      <c r="L71" s="88">
        <f t="shared" si="7"/>
        <v>1</v>
      </c>
      <c r="M71" s="90">
        <f t="shared" si="8"/>
        <v>0</v>
      </c>
      <c r="N71" s="31"/>
      <c r="O71" s="31"/>
      <c r="P71" s="31"/>
      <c r="Q71" s="31"/>
    </row>
    <row r="72" spans="1:17" ht="30.1" customHeight="1" x14ac:dyDescent="0.3">
      <c r="A72" s="21">
        <v>41</v>
      </c>
      <c r="B72" s="15"/>
      <c r="C72" s="16"/>
      <c r="D72" s="16"/>
      <c r="E72" s="16"/>
      <c r="F72" s="16"/>
      <c r="G72" s="29"/>
      <c r="H72" s="16"/>
      <c r="I72" s="205"/>
      <c r="J72" s="153"/>
      <c r="K72" s="89" t="str">
        <f t="shared" si="6"/>
        <v/>
      </c>
      <c r="L72" s="88">
        <f t="shared" si="7"/>
        <v>1</v>
      </c>
      <c r="M72" s="90">
        <f t="shared" si="8"/>
        <v>0</v>
      </c>
      <c r="N72" s="31"/>
      <c r="O72" s="31"/>
      <c r="P72" s="31"/>
      <c r="Q72" s="31"/>
    </row>
    <row r="73" spans="1:17" ht="30.1" customHeight="1" x14ac:dyDescent="0.3">
      <c r="A73" s="21">
        <v>42</v>
      </c>
      <c r="B73" s="15"/>
      <c r="C73" s="16"/>
      <c r="D73" s="16"/>
      <c r="E73" s="16"/>
      <c r="F73" s="16"/>
      <c r="G73" s="29"/>
      <c r="H73" s="16"/>
      <c r="I73" s="205"/>
      <c r="J73" s="153"/>
      <c r="K73" s="89" t="str">
        <f t="shared" si="6"/>
        <v/>
      </c>
      <c r="L73" s="88">
        <f t="shared" si="7"/>
        <v>1</v>
      </c>
      <c r="M73" s="90">
        <f t="shared" si="8"/>
        <v>0</v>
      </c>
      <c r="N73" s="31"/>
      <c r="O73" s="31"/>
      <c r="P73" s="31"/>
      <c r="Q73" s="31"/>
    </row>
    <row r="74" spans="1:17" ht="30.1" customHeight="1" x14ac:dyDescent="0.3">
      <c r="A74" s="21">
        <v>43</v>
      </c>
      <c r="B74" s="15"/>
      <c r="C74" s="16"/>
      <c r="D74" s="16"/>
      <c r="E74" s="16"/>
      <c r="F74" s="16"/>
      <c r="G74" s="29"/>
      <c r="H74" s="16"/>
      <c r="I74" s="205"/>
      <c r="J74" s="153"/>
      <c r="K74" s="89" t="str">
        <f t="shared" si="6"/>
        <v/>
      </c>
      <c r="L74" s="88">
        <f t="shared" si="7"/>
        <v>1</v>
      </c>
      <c r="M74" s="90">
        <f t="shared" si="8"/>
        <v>0</v>
      </c>
      <c r="N74" s="31"/>
      <c r="O74" s="31"/>
      <c r="P74" s="31"/>
      <c r="Q74" s="31"/>
    </row>
    <row r="75" spans="1:17" ht="30.1" customHeight="1" x14ac:dyDescent="0.3">
      <c r="A75" s="21">
        <v>44</v>
      </c>
      <c r="B75" s="15"/>
      <c r="C75" s="16"/>
      <c r="D75" s="16"/>
      <c r="E75" s="16"/>
      <c r="F75" s="16"/>
      <c r="G75" s="29"/>
      <c r="H75" s="16"/>
      <c r="I75" s="205"/>
      <c r="J75" s="153"/>
      <c r="K75" s="89" t="str">
        <f t="shared" si="6"/>
        <v/>
      </c>
      <c r="L75" s="88">
        <f t="shared" si="7"/>
        <v>1</v>
      </c>
      <c r="M75" s="90">
        <f t="shared" si="8"/>
        <v>0</v>
      </c>
      <c r="N75" s="31"/>
      <c r="O75" s="31"/>
      <c r="P75" s="31"/>
      <c r="Q75" s="31"/>
    </row>
    <row r="76" spans="1:17" ht="30.1" customHeight="1" thickBot="1" x14ac:dyDescent="0.35">
      <c r="A76" s="22">
        <v>45</v>
      </c>
      <c r="B76" s="17"/>
      <c r="C76" s="18"/>
      <c r="D76" s="18"/>
      <c r="E76" s="18"/>
      <c r="F76" s="18"/>
      <c r="G76" s="30"/>
      <c r="H76" s="18"/>
      <c r="I76" s="206"/>
      <c r="J76" s="154"/>
      <c r="K76" s="89" t="str">
        <f t="shared" si="6"/>
        <v/>
      </c>
      <c r="L76" s="88">
        <f t="shared" si="7"/>
        <v>1</v>
      </c>
      <c r="M76" s="90">
        <f t="shared" si="8"/>
        <v>0</v>
      </c>
      <c r="N76" s="91">
        <f>IF(COUNTA(G62:J76)&gt;0,1,0)</f>
        <v>0</v>
      </c>
      <c r="O76" s="31"/>
      <c r="P76" s="31"/>
      <c r="Q76" s="31"/>
    </row>
    <row r="77" spans="1:17" ht="30.1" customHeight="1" thickBot="1" x14ac:dyDescent="0.35">
      <c r="A77" s="373" t="s">
        <v>139</v>
      </c>
      <c r="B77" s="373"/>
      <c r="C77" s="373"/>
      <c r="D77" s="373"/>
      <c r="E77" s="373"/>
      <c r="F77" s="373"/>
      <c r="G77" s="374"/>
      <c r="H77" s="4" t="s">
        <v>42</v>
      </c>
      <c r="I77" s="156">
        <f>SUM(I62:I76)+I50</f>
        <v>0</v>
      </c>
      <c r="J77" s="156">
        <f>SUM(J62:J76)+J50</f>
        <v>0</v>
      </c>
      <c r="K77" s="167"/>
      <c r="L77" s="28"/>
      <c r="M77" s="31"/>
      <c r="N77" s="31"/>
      <c r="O77" s="31"/>
      <c r="P77" s="31"/>
      <c r="Q77" s="31"/>
    </row>
    <row r="78" spans="1:17" ht="30.1" customHeight="1" x14ac:dyDescent="0.3">
      <c r="A78" s="19" t="s">
        <v>117</v>
      </c>
      <c r="B78" s="31"/>
      <c r="C78" s="31"/>
      <c r="D78" s="31"/>
      <c r="E78" s="31"/>
      <c r="F78" s="31"/>
      <c r="G78" s="168"/>
      <c r="H78" s="31"/>
      <c r="I78" s="31"/>
      <c r="J78" s="31"/>
      <c r="K78" s="167"/>
      <c r="L78" s="28"/>
      <c r="M78" s="31"/>
      <c r="N78" s="31"/>
      <c r="O78" s="31"/>
      <c r="P78" s="31"/>
      <c r="Q78" s="31"/>
    </row>
    <row r="79" spans="1:17" ht="30.1" customHeight="1" x14ac:dyDescent="0.3">
      <c r="A79" s="31"/>
      <c r="B79" s="31"/>
      <c r="C79" s="31"/>
      <c r="D79" s="31"/>
      <c r="E79" s="31"/>
      <c r="F79" s="31"/>
      <c r="G79" s="168"/>
      <c r="H79" s="31"/>
      <c r="I79" s="31"/>
      <c r="J79" s="31"/>
      <c r="K79" s="32"/>
      <c r="L79" s="28"/>
      <c r="M79" s="31"/>
      <c r="N79" s="31"/>
      <c r="O79" s="31"/>
      <c r="P79" s="31"/>
      <c r="Q79" s="31"/>
    </row>
    <row r="80" spans="1:17" ht="30.1" customHeight="1" x14ac:dyDescent="0.35">
      <c r="A80" s="31"/>
      <c r="B80" s="247" t="s">
        <v>39</v>
      </c>
      <c r="C80" s="248">
        <f ca="1">IF(imzatarihi&gt;0,imzatarihi,"")</f>
        <v>45686</v>
      </c>
      <c r="D80" s="250" t="s">
        <v>158</v>
      </c>
      <c r="E80" s="245" t="str">
        <f>IF(kurulusyetkilisi&gt;0,kurulusyetkilisi,"")</f>
        <v/>
      </c>
      <c r="F80" s="31"/>
      <c r="G80" s="168"/>
      <c r="H80" s="31"/>
      <c r="I80" s="31"/>
      <c r="J80" s="31"/>
      <c r="K80" s="32"/>
      <c r="L80" s="28"/>
      <c r="M80" s="31"/>
      <c r="N80" s="31"/>
      <c r="O80" s="31"/>
      <c r="P80" s="31"/>
      <c r="Q80" s="31"/>
    </row>
    <row r="81" spans="1:17" ht="30.1" customHeight="1" x14ac:dyDescent="0.35">
      <c r="A81" s="31"/>
      <c r="B81" s="249"/>
      <c r="C81" s="249"/>
      <c r="D81" s="250" t="s">
        <v>157</v>
      </c>
      <c r="E81" s="247"/>
      <c r="F81" s="31"/>
      <c r="G81" s="168"/>
      <c r="H81" s="31"/>
      <c r="I81" s="31"/>
      <c r="J81" s="31"/>
      <c r="K81" s="32"/>
      <c r="L81" s="28"/>
      <c r="M81" s="31"/>
      <c r="N81" s="31"/>
      <c r="O81" s="31"/>
      <c r="P81" s="31"/>
      <c r="Q81" s="31"/>
    </row>
    <row r="82" spans="1:17" ht="30.1" customHeight="1" x14ac:dyDescent="0.3">
      <c r="A82" s="375" t="s">
        <v>93</v>
      </c>
      <c r="B82" s="375"/>
      <c r="C82" s="375"/>
      <c r="D82" s="375"/>
      <c r="E82" s="375"/>
      <c r="F82" s="375"/>
      <c r="G82" s="375"/>
      <c r="H82" s="375"/>
      <c r="I82" s="375"/>
      <c r="J82" s="375"/>
      <c r="K82" s="51"/>
      <c r="L82" s="52"/>
      <c r="M82" s="31"/>
      <c r="N82" s="31"/>
      <c r="O82" s="31"/>
      <c r="P82" s="31"/>
      <c r="Q82" s="31"/>
    </row>
    <row r="83" spans="1:17" ht="30.1" customHeight="1" x14ac:dyDescent="0.3">
      <c r="A83" s="329" t="str">
        <f>IF(YilDonem&lt;&gt;"",CONCATENATE(YilDonem,". döneme aittir."),"")</f>
        <v/>
      </c>
      <c r="B83" s="329"/>
      <c r="C83" s="329"/>
      <c r="D83" s="329"/>
      <c r="E83" s="329"/>
      <c r="F83" s="329"/>
      <c r="G83" s="329"/>
      <c r="H83" s="329"/>
      <c r="I83" s="329"/>
      <c r="J83" s="329"/>
      <c r="K83" s="166"/>
      <c r="L83" s="52"/>
      <c r="M83" s="149"/>
      <c r="N83" s="31"/>
      <c r="O83" s="31"/>
      <c r="P83" s="31"/>
      <c r="Q83" s="31"/>
    </row>
    <row r="84" spans="1:17" ht="30.1" customHeight="1" thickBot="1" x14ac:dyDescent="0.35">
      <c r="A84" s="355" t="s">
        <v>97</v>
      </c>
      <c r="B84" s="355"/>
      <c r="C84" s="355"/>
      <c r="D84" s="355"/>
      <c r="E84" s="355"/>
      <c r="F84" s="355"/>
      <c r="G84" s="355"/>
      <c r="H84" s="355"/>
      <c r="I84" s="355"/>
      <c r="J84" s="355"/>
      <c r="K84" s="166"/>
      <c r="L84" s="52"/>
      <c r="M84" s="149"/>
      <c r="N84" s="31"/>
      <c r="O84" s="31"/>
      <c r="P84" s="31"/>
      <c r="Q84" s="31"/>
    </row>
    <row r="85" spans="1:17" ht="30.1" customHeight="1" thickBot="1" x14ac:dyDescent="0.35">
      <c r="A85" s="380" t="s">
        <v>1</v>
      </c>
      <c r="B85" s="382"/>
      <c r="C85" s="380" t="str">
        <f>IF(ProjeNo&gt;0,ProjeNo,"")</f>
        <v/>
      </c>
      <c r="D85" s="381"/>
      <c r="E85" s="381"/>
      <c r="F85" s="381"/>
      <c r="G85" s="381"/>
      <c r="H85" s="381"/>
      <c r="I85" s="381"/>
      <c r="J85" s="382"/>
      <c r="K85" s="32"/>
      <c r="L85" s="28"/>
      <c r="M85" s="31"/>
      <c r="N85" s="31"/>
      <c r="O85" s="31"/>
      <c r="P85" s="31"/>
      <c r="Q85" s="31"/>
    </row>
    <row r="86" spans="1:17" ht="30.1" customHeight="1" thickBot="1" x14ac:dyDescent="0.35">
      <c r="A86" s="388" t="s">
        <v>11</v>
      </c>
      <c r="B86" s="389"/>
      <c r="C86" s="383" t="str">
        <f>IF(ProjeAdi&gt;0,ProjeAdi,"")</f>
        <v/>
      </c>
      <c r="D86" s="384"/>
      <c r="E86" s="384"/>
      <c r="F86" s="384"/>
      <c r="G86" s="384"/>
      <c r="H86" s="384"/>
      <c r="I86" s="384"/>
      <c r="J86" s="385"/>
      <c r="K86" s="32"/>
      <c r="L86" s="28"/>
      <c r="M86" s="31"/>
      <c r="N86" s="31"/>
      <c r="O86" s="31"/>
      <c r="P86" s="31"/>
      <c r="Q86" s="31"/>
    </row>
    <row r="87" spans="1:17" ht="30.1" customHeight="1" thickBot="1" x14ac:dyDescent="0.35">
      <c r="A87" s="376" t="s">
        <v>7</v>
      </c>
      <c r="B87" s="376" t="s">
        <v>94</v>
      </c>
      <c r="C87" s="376" t="s">
        <v>95</v>
      </c>
      <c r="D87" s="376" t="s">
        <v>92</v>
      </c>
      <c r="E87" s="376" t="s">
        <v>90</v>
      </c>
      <c r="F87" s="376" t="s">
        <v>91</v>
      </c>
      <c r="G87" s="386" t="s">
        <v>86</v>
      </c>
      <c r="H87" s="376" t="s">
        <v>87</v>
      </c>
      <c r="I87" s="50" t="s">
        <v>88</v>
      </c>
      <c r="J87" s="50" t="s">
        <v>88</v>
      </c>
      <c r="K87" s="32"/>
      <c r="L87" s="28"/>
      <c r="M87" s="31"/>
      <c r="N87" s="31"/>
      <c r="O87" s="31"/>
      <c r="P87" s="31"/>
      <c r="Q87" s="31"/>
    </row>
    <row r="88" spans="1:17" ht="30.1" customHeight="1" thickBot="1" x14ac:dyDescent="0.35">
      <c r="A88" s="377"/>
      <c r="B88" s="377"/>
      <c r="C88" s="377"/>
      <c r="D88" s="377"/>
      <c r="E88" s="377"/>
      <c r="F88" s="377"/>
      <c r="G88" s="387"/>
      <c r="H88" s="377"/>
      <c r="I88" s="50" t="s">
        <v>143</v>
      </c>
      <c r="J88" s="161" t="s">
        <v>89</v>
      </c>
      <c r="K88" s="32"/>
      <c r="L88" s="28"/>
      <c r="M88" s="31"/>
      <c r="N88" s="31"/>
      <c r="O88" s="31"/>
      <c r="P88" s="31"/>
      <c r="Q88" s="31"/>
    </row>
    <row r="89" spans="1:17" ht="30.1" customHeight="1" x14ac:dyDescent="0.3">
      <c r="A89" s="23">
        <v>46</v>
      </c>
      <c r="B89" s="24"/>
      <c r="C89" s="25"/>
      <c r="D89" s="25"/>
      <c r="E89" s="25"/>
      <c r="F89" s="25"/>
      <c r="G89" s="26"/>
      <c r="H89" s="25"/>
      <c r="I89" s="203"/>
      <c r="J89" s="151"/>
      <c r="K89" s="89" t="str">
        <f t="shared" ref="K89:K103" si="9">IF(AND(COUNTA(B89:F89)&gt;0,L89=1),"Belge Tarihi ve Belge Numarası doldurulduktan sonra KDV Dahil Tutar doldurulabilir.","")</f>
        <v/>
      </c>
      <c r="L89" s="88">
        <f>IF(COUNTA(G89:H89)=2,0,1)</f>
        <v>1</v>
      </c>
      <c r="M89" s="90">
        <f>IF(L89=1,0,100000000)</f>
        <v>0</v>
      </c>
      <c r="N89" s="31"/>
      <c r="O89" s="31"/>
      <c r="P89" s="31"/>
      <c r="Q89" s="31"/>
    </row>
    <row r="90" spans="1:17" ht="30.1" customHeight="1" x14ac:dyDescent="0.3">
      <c r="A90" s="20">
        <v>47</v>
      </c>
      <c r="B90" s="12"/>
      <c r="C90" s="13"/>
      <c r="D90" s="13"/>
      <c r="E90" s="13"/>
      <c r="F90" s="13"/>
      <c r="G90" s="14"/>
      <c r="H90" s="13"/>
      <c r="I90" s="204"/>
      <c r="J90" s="152"/>
      <c r="K90" s="89" t="str">
        <f t="shared" si="9"/>
        <v/>
      </c>
      <c r="L90" s="88">
        <f t="shared" ref="L90:L103" si="10">IF(COUNTA(G90:H90)=2,0,1)</f>
        <v>1</v>
      </c>
      <c r="M90" s="90">
        <f t="shared" ref="M90:M103" si="11">IF(L90=1,0,100000000)</f>
        <v>0</v>
      </c>
      <c r="N90" s="31"/>
      <c r="O90" s="31"/>
      <c r="P90" s="31"/>
      <c r="Q90" s="31"/>
    </row>
    <row r="91" spans="1:17" ht="30.1" customHeight="1" x14ac:dyDescent="0.3">
      <c r="A91" s="20">
        <v>48</v>
      </c>
      <c r="B91" s="12"/>
      <c r="C91" s="13"/>
      <c r="D91" s="13"/>
      <c r="E91" s="13"/>
      <c r="F91" s="13"/>
      <c r="G91" s="14"/>
      <c r="H91" s="13"/>
      <c r="I91" s="204"/>
      <c r="J91" s="152"/>
      <c r="K91" s="89" t="str">
        <f t="shared" si="9"/>
        <v/>
      </c>
      <c r="L91" s="88">
        <f t="shared" si="10"/>
        <v>1</v>
      </c>
      <c r="M91" s="90">
        <f t="shared" si="11"/>
        <v>0</v>
      </c>
      <c r="N91" s="31"/>
      <c r="O91" s="31"/>
      <c r="P91" s="31"/>
      <c r="Q91" s="31"/>
    </row>
    <row r="92" spans="1:17" ht="30.1" customHeight="1" x14ac:dyDescent="0.3">
      <c r="A92" s="20">
        <v>49</v>
      </c>
      <c r="B92" s="12"/>
      <c r="C92" s="13"/>
      <c r="D92" s="13"/>
      <c r="E92" s="13"/>
      <c r="F92" s="13"/>
      <c r="G92" s="14"/>
      <c r="H92" s="13"/>
      <c r="I92" s="204"/>
      <c r="J92" s="152"/>
      <c r="K92" s="89" t="str">
        <f t="shared" si="9"/>
        <v/>
      </c>
      <c r="L92" s="88">
        <f t="shared" si="10"/>
        <v>1</v>
      </c>
      <c r="M92" s="90">
        <f t="shared" si="11"/>
        <v>0</v>
      </c>
      <c r="N92" s="31"/>
      <c r="O92" s="31"/>
      <c r="P92" s="31"/>
      <c r="Q92" s="31"/>
    </row>
    <row r="93" spans="1:17" ht="30.1" customHeight="1" x14ac:dyDescent="0.3">
      <c r="A93" s="20">
        <v>50</v>
      </c>
      <c r="B93" s="12"/>
      <c r="C93" s="13"/>
      <c r="D93" s="13"/>
      <c r="E93" s="13"/>
      <c r="F93" s="13"/>
      <c r="G93" s="14"/>
      <c r="H93" s="13"/>
      <c r="I93" s="204"/>
      <c r="J93" s="152"/>
      <c r="K93" s="89" t="str">
        <f t="shared" si="9"/>
        <v/>
      </c>
      <c r="L93" s="88">
        <f t="shared" si="10"/>
        <v>1</v>
      </c>
      <c r="M93" s="90">
        <f t="shared" si="11"/>
        <v>0</v>
      </c>
      <c r="N93" s="31"/>
      <c r="O93" s="31"/>
      <c r="P93" s="31"/>
      <c r="Q93" s="31"/>
    </row>
    <row r="94" spans="1:17" ht="30.1" customHeight="1" x14ac:dyDescent="0.3">
      <c r="A94" s="20">
        <v>51</v>
      </c>
      <c r="B94" s="12"/>
      <c r="C94" s="13"/>
      <c r="D94" s="13"/>
      <c r="E94" s="13"/>
      <c r="F94" s="13"/>
      <c r="G94" s="14"/>
      <c r="H94" s="13"/>
      <c r="I94" s="204"/>
      <c r="J94" s="152"/>
      <c r="K94" s="89" t="str">
        <f t="shared" si="9"/>
        <v/>
      </c>
      <c r="L94" s="88">
        <f t="shared" si="10"/>
        <v>1</v>
      </c>
      <c r="M94" s="90">
        <f t="shared" si="11"/>
        <v>0</v>
      </c>
      <c r="N94" s="31"/>
      <c r="O94" s="31"/>
      <c r="P94" s="31"/>
      <c r="Q94" s="31"/>
    </row>
    <row r="95" spans="1:17" ht="30.1" customHeight="1" x14ac:dyDescent="0.3">
      <c r="A95" s="21">
        <v>52</v>
      </c>
      <c r="B95" s="15"/>
      <c r="C95" s="16"/>
      <c r="D95" s="16"/>
      <c r="E95" s="16"/>
      <c r="F95" s="16"/>
      <c r="G95" s="29"/>
      <c r="H95" s="16"/>
      <c r="I95" s="205"/>
      <c r="J95" s="153"/>
      <c r="K95" s="89" t="str">
        <f t="shared" si="9"/>
        <v/>
      </c>
      <c r="L95" s="88">
        <f t="shared" si="10"/>
        <v>1</v>
      </c>
      <c r="M95" s="90">
        <f t="shared" si="11"/>
        <v>0</v>
      </c>
      <c r="N95" s="31"/>
      <c r="O95" s="31"/>
      <c r="P95" s="31"/>
      <c r="Q95" s="31"/>
    </row>
    <row r="96" spans="1:17" ht="30.1" customHeight="1" x14ac:dyDescent="0.3">
      <c r="A96" s="21">
        <v>53</v>
      </c>
      <c r="B96" s="15"/>
      <c r="C96" s="16"/>
      <c r="D96" s="16"/>
      <c r="E96" s="16"/>
      <c r="F96" s="16"/>
      <c r="G96" s="29"/>
      <c r="H96" s="16"/>
      <c r="I96" s="205"/>
      <c r="J96" s="153"/>
      <c r="K96" s="89" t="str">
        <f t="shared" si="9"/>
        <v/>
      </c>
      <c r="L96" s="88">
        <f t="shared" si="10"/>
        <v>1</v>
      </c>
      <c r="M96" s="90">
        <f t="shared" si="11"/>
        <v>0</v>
      </c>
      <c r="N96" s="165"/>
      <c r="O96" s="165"/>
      <c r="P96" s="31"/>
      <c r="Q96" s="31"/>
    </row>
    <row r="97" spans="1:17" ht="30.1" customHeight="1" x14ac:dyDescent="0.3">
      <c r="A97" s="21">
        <v>54</v>
      </c>
      <c r="B97" s="15"/>
      <c r="C97" s="16"/>
      <c r="D97" s="16"/>
      <c r="E97" s="16"/>
      <c r="F97" s="16"/>
      <c r="G97" s="29"/>
      <c r="H97" s="16"/>
      <c r="I97" s="205"/>
      <c r="J97" s="153"/>
      <c r="K97" s="89" t="str">
        <f t="shared" si="9"/>
        <v/>
      </c>
      <c r="L97" s="88">
        <f t="shared" si="10"/>
        <v>1</v>
      </c>
      <c r="M97" s="90">
        <f t="shared" si="11"/>
        <v>0</v>
      </c>
      <c r="N97" s="31"/>
      <c r="O97" s="31"/>
      <c r="P97" s="31"/>
      <c r="Q97" s="31"/>
    </row>
    <row r="98" spans="1:17" ht="30.1" customHeight="1" x14ac:dyDescent="0.3">
      <c r="A98" s="21">
        <v>55</v>
      </c>
      <c r="B98" s="15"/>
      <c r="C98" s="16"/>
      <c r="D98" s="16"/>
      <c r="E98" s="16"/>
      <c r="F98" s="16"/>
      <c r="G98" s="29"/>
      <c r="H98" s="16"/>
      <c r="I98" s="205"/>
      <c r="J98" s="153"/>
      <c r="K98" s="89" t="str">
        <f t="shared" si="9"/>
        <v/>
      </c>
      <c r="L98" s="88">
        <f t="shared" si="10"/>
        <v>1</v>
      </c>
      <c r="M98" s="90">
        <f t="shared" si="11"/>
        <v>0</v>
      </c>
      <c r="N98" s="31"/>
      <c r="O98" s="31"/>
      <c r="P98" s="31"/>
      <c r="Q98" s="31"/>
    </row>
    <row r="99" spans="1:17" ht="30.1" customHeight="1" x14ac:dyDescent="0.3">
      <c r="A99" s="21">
        <v>56</v>
      </c>
      <c r="B99" s="15"/>
      <c r="C99" s="16"/>
      <c r="D99" s="16"/>
      <c r="E99" s="16"/>
      <c r="F99" s="16"/>
      <c r="G99" s="29"/>
      <c r="H99" s="16"/>
      <c r="I99" s="205"/>
      <c r="J99" s="153"/>
      <c r="K99" s="89" t="str">
        <f t="shared" si="9"/>
        <v/>
      </c>
      <c r="L99" s="88">
        <f t="shared" si="10"/>
        <v>1</v>
      </c>
      <c r="M99" s="90">
        <f t="shared" si="11"/>
        <v>0</v>
      </c>
      <c r="N99" s="31"/>
      <c r="O99" s="31"/>
      <c r="P99" s="31"/>
      <c r="Q99" s="31"/>
    </row>
    <row r="100" spans="1:17" ht="30.1" customHeight="1" x14ac:dyDescent="0.3">
      <c r="A100" s="21">
        <v>57</v>
      </c>
      <c r="B100" s="15"/>
      <c r="C100" s="16"/>
      <c r="D100" s="16"/>
      <c r="E100" s="16"/>
      <c r="F100" s="16"/>
      <c r="G100" s="29"/>
      <c r="H100" s="16"/>
      <c r="I100" s="205"/>
      <c r="J100" s="153"/>
      <c r="K100" s="89" t="str">
        <f t="shared" si="9"/>
        <v/>
      </c>
      <c r="L100" s="88">
        <f t="shared" si="10"/>
        <v>1</v>
      </c>
      <c r="M100" s="90">
        <f t="shared" si="11"/>
        <v>0</v>
      </c>
      <c r="N100" s="31"/>
      <c r="O100" s="31"/>
      <c r="P100" s="31"/>
      <c r="Q100" s="31"/>
    </row>
    <row r="101" spans="1:17" ht="30.1" customHeight="1" x14ac:dyDescent="0.3">
      <c r="A101" s="21">
        <v>58</v>
      </c>
      <c r="B101" s="15"/>
      <c r="C101" s="16"/>
      <c r="D101" s="16"/>
      <c r="E101" s="16"/>
      <c r="F101" s="16"/>
      <c r="G101" s="29"/>
      <c r="H101" s="16"/>
      <c r="I101" s="205"/>
      <c r="J101" s="153"/>
      <c r="K101" s="89" t="str">
        <f t="shared" si="9"/>
        <v/>
      </c>
      <c r="L101" s="88">
        <f t="shared" si="10"/>
        <v>1</v>
      </c>
      <c r="M101" s="90">
        <f t="shared" si="11"/>
        <v>0</v>
      </c>
      <c r="N101" s="31"/>
      <c r="O101" s="31"/>
      <c r="P101" s="31"/>
      <c r="Q101" s="31"/>
    </row>
    <row r="102" spans="1:17" ht="30.1" customHeight="1" x14ac:dyDescent="0.3">
      <c r="A102" s="21">
        <v>59</v>
      </c>
      <c r="B102" s="15"/>
      <c r="C102" s="16"/>
      <c r="D102" s="16"/>
      <c r="E102" s="16"/>
      <c r="F102" s="16"/>
      <c r="G102" s="29"/>
      <c r="H102" s="16"/>
      <c r="I102" s="205"/>
      <c r="J102" s="153"/>
      <c r="K102" s="89" t="str">
        <f t="shared" si="9"/>
        <v/>
      </c>
      <c r="L102" s="88">
        <f t="shared" si="10"/>
        <v>1</v>
      </c>
      <c r="M102" s="90">
        <f t="shared" si="11"/>
        <v>0</v>
      </c>
      <c r="N102" s="31"/>
      <c r="O102" s="31"/>
      <c r="P102" s="31"/>
      <c r="Q102" s="31"/>
    </row>
    <row r="103" spans="1:17" ht="30.1" customHeight="1" thickBot="1" x14ac:dyDescent="0.35">
      <c r="A103" s="22">
        <v>60</v>
      </c>
      <c r="B103" s="17"/>
      <c r="C103" s="18"/>
      <c r="D103" s="18"/>
      <c r="E103" s="18"/>
      <c r="F103" s="18"/>
      <c r="G103" s="30"/>
      <c r="H103" s="18"/>
      <c r="I103" s="206"/>
      <c r="J103" s="154"/>
      <c r="K103" s="89" t="str">
        <f t="shared" si="9"/>
        <v/>
      </c>
      <c r="L103" s="88">
        <f t="shared" si="10"/>
        <v>1</v>
      </c>
      <c r="M103" s="90">
        <f t="shared" si="11"/>
        <v>0</v>
      </c>
      <c r="N103" s="91">
        <f>IF(COUNTA(G89:J103)&gt;0,1,0)</f>
        <v>0</v>
      </c>
      <c r="O103" s="31"/>
      <c r="P103" s="31"/>
      <c r="Q103" s="31"/>
    </row>
    <row r="104" spans="1:17" ht="30.1" customHeight="1" thickBot="1" x14ac:dyDescent="0.35">
      <c r="A104" s="373" t="s">
        <v>139</v>
      </c>
      <c r="B104" s="373"/>
      <c r="C104" s="373"/>
      <c r="D104" s="373"/>
      <c r="E104" s="373"/>
      <c r="F104" s="373"/>
      <c r="G104" s="374"/>
      <c r="H104" s="4" t="s">
        <v>42</v>
      </c>
      <c r="I104" s="156">
        <f>SUM(I89:I103)+I77</f>
        <v>0</v>
      </c>
      <c r="J104" s="156">
        <f>SUM(J89:J103)+J77</f>
        <v>0</v>
      </c>
      <c r="K104" s="167"/>
      <c r="L104" s="28"/>
      <c r="M104" s="31"/>
      <c r="N104" s="31"/>
      <c r="O104" s="31"/>
      <c r="P104" s="31"/>
      <c r="Q104" s="31"/>
    </row>
    <row r="105" spans="1:17" ht="30.1" customHeight="1" x14ac:dyDescent="0.3">
      <c r="A105" s="19" t="s">
        <v>117</v>
      </c>
      <c r="B105" s="31"/>
      <c r="C105" s="31"/>
      <c r="D105" s="31"/>
      <c r="E105" s="31"/>
      <c r="F105" s="31"/>
      <c r="G105" s="168"/>
      <c r="H105" s="31"/>
      <c r="I105" s="31"/>
      <c r="J105" s="31"/>
      <c r="K105" s="167"/>
      <c r="L105" s="28"/>
      <c r="M105" s="31"/>
      <c r="N105" s="31"/>
      <c r="O105" s="31"/>
      <c r="P105" s="31"/>
      <c r="Q105" s="31"/>
    </row>
    <row r="106" spans="1:17" ht="30.1" customHeight="1" x14ac:dyDescent="0.3">
      <c r="A106" s="31"/>
      <c r="B106" s="31"/>
      <c r="C106" s="31"/>
      <c r="D106" s="31"/>
      <c r="E106" s="31"/>
      <c r="F106" s="31"/>
      <c r="G106" s="168"/>
      <c r="H106" s="31"/>
      <c r="I106" s="31"/>
      <c r="J106" s="31"/>
      <c r="K106" s="32"/>
      <c r="L106" s="28"/>
      <c r="M106" s="31"/>
      <c r="N106" s="31"/>
      <c r="O106" s="31"/>
      <c r="P106" s="31"/>
      <c r="Q106" s="31"/>
    </row>
    <row r="107" spans="1:17" ht="30.1" customHeight="1" x14ac:dyDescent="0.35">
      <c r="A107" s="31"/>
      <c r="B107" s="247" t="s">
        <v>39</v>
      </c>
      <c r="C107" s="248">
        <f ca="1">IF(imzatarihi&gt;0,imzatarihi,"")</f>
        <v>45686</v>
      </c>
      <c r="D107" s="250" t="s">
        <v>158</v>
      </c>
      <c r="E107" s="245" t="str">
        <f>IF(kurulusyetkilisi&gt;0,kurulusyetkilisi,"")</f>
        <v/>
      </c>
      <c r="F107" s="31"/>
      <c r="G107" s="168"/>
      <c r="H107" s="31"/>
      <c r="I107" s="31"/>
      <c r="J107" s="31"/>
      <c r="K107" s="32"/>
      <c r="L107" s="28"/>
      <c r="M107" s="31"/>
      <c r="N107" s="31"/>
      <c r="O107" s="31"/>
      <c r="P107" s="31"/>
      <c r="Q107" s="31"/>
    </row>
    <row r="108" spans="1:17" ht="30.1" customHeight="1" x14ac:dyDescent="0.35">
      <c r="A108" s="31"/>
      <c r="B108" s="249"/>
      <c r="C108" s="249"/>
      <c r="D108" s="250" t="s">
        <v>157</v>
      </c>
      <c r="E108" s="247"/>
      <c r="F108" s="31"/>
      <c r="G108" s="168"/>
      <c r="H108" s="31"/>
      <c r="I108" s="31"/>
      <c r="J108" s="31"/>
      <c r="K108" s="32"/>
      <c r="L108" s="28"/>
      <c r="M108" s="31"/>
      <c r="N108" s="31"/>
      <c r="O108" s="31"/>
      <c r="P108" s="31"/>
      <c r="Q108" s="31"/>
    </row>
    <row r="109" spans="1:17" ht="30.1" customHeight="1" x14ac:dyDescent="0.3">
      <c r="A109" s="375" t="s">
        <v>93</v>
      </c>
      <c r="B109" s="375"/>
      <c r="C109" s="375"/>
      <c r="D109" s="375"/>
      <c r="E109" s="375"/>
      <c r="F109" s="375"/>
      <c r="G109" s="375"/>
      <c r="H109" s="375"/>
      <c r="I109" s="375"/>
      <c r="J109" s="375"/>
      <c r="K109" s="51"/>
      <c r="L109" s="52"/>
      <c r="M109" s="31"/>
      <c r="N109" s="31"/>
      <c r="O109" s="31"/>
      <c r="P109" s="31"/>
      <c r="Q109" s="31"/>
    </row>
    <row r="110" spans="1:17" ht="30.1" customHeight="1" x14ac:dyDescent="0.3">
      <c r="A110" s="329" t="str">
        <f>IF(YilDonem&lt;&gt;"",CONCATENATE(YilDonem,". döneme aittir."),"")</f>
        <v/>
      </c>
      <c r="B110" s="329"/>
      <c r="C110" s="329"/>
      <c r="D110" s="329"/>
      <c r="E110" s="329"/>
      <c r="F110" s="329"/>
      <c r="G110" s="329"/>
      <c r="H110" s="329"/>
      <c r="I110" s="329"/>
      <c r="J110" s="329"/>
      <c r="K110" s="166"/>
      <c r="L110" s="52"/>
      <c r="M110" s="149"/>
      <c r="N110" s="31"/>
      <c r="O110" s="31"/>
      <c r="P110" s="31"/>
      <c r="Q110" s="31"/>
    </row>
    <row r="111" spans="1:17" ht="30.1" customHeight="1" thickBot="1" x14ac:dyDescent="0.35">
      <c r="A111" s="355" t="s">
        <v>97</v>
      </c>
      <c r="B111" s="355"/>
      <c r="C111" s="355"/>
      <c r="D111" s="355"/>
      <c r="E111" s="355"/>
      <c r="F111" s="355"/>
      <c r="G111" s="355"/>
      <c r="H111" s="355"/>
      <c r="I111" s="355"/>
      <c r="J111" s="355"/>
      <c r="K111" s="166"/>
      <c r="L111" s="52"/>
      <c r="M111" s="149"/>
      <c r="N111" s="31"/>
      <c r="O111" s="31"/>
      <c r="P111" s="31"/>
      <c r="Q111" s="31"/>
    </row>
    <row r="112" spans="1:17" ht="30.1" customHeight="1" thickBot="1" x14ac:dyDescent="0.35">
      <c r="A112" s="380" t="s">
        <v>1</v>
      </c>
      <c r="B112" s="382"/>
      <c r="C112" s="380" t="str">
        <f>IF(ProjeNo&gt;0,ProjeNo,"")</f>
        <v/>
      </c>
      <c r="D112" s="381"/>
      <c r="E112" s="381"/>
      <c r="F112" s="381"/>
      <c r="G112" s="381"/>
      <c r="H112" s="381"/>
      <c r="I112" s="381"/>
      <c r="J112" s="382"/>
      <c r="K112" s="32"/>
      <c r="L112" s="28"/>
      <c r="M112" s="31"/>
      <c r="N112" s="31"/>
      <c r="O112" s="31"/>
      <c r="P112" s="31"/>
      <c r="Q112" s="31"/>
    </row>
    <row r="113" spans="1:17" ht="30.1" customHeight="1" thickBot="1" x14ac:dyDescent="0.35">
      <c r="A113" s="388" t="s">
        <v>11</v>
      </c>
      <c r="B113" s="389"/>
      <c r="C113" s="383" t="str">
        <f>IF(ProjeAdi&gt;0,ProjeAdi,"")</f>
        <v/>
      </c>
      <c r="D113" s="384"/>
      <c r="E113" s="384"/>
      <c r="F113" s="384"/>
      <c r="G113" s="384"/>
      <c r="H113" s="384"/>
      <c r="I113" s="384"/>
      <c r="J113" s="385"/>
      <c r="K113" s="32"/>
      <c r="L113" s="28"/>
      <c r="M113" s="31"/>
      <c r="N113" s="31"/>
      <c r="O113" s="31"/>
      <c r="P113" s="31"/>
      <c r="Q113" s="31"/>
    </row>
    <row r="114" spans="1:17" ht="30.1" customHeight="1" thickBot="1" x14ac:dyDescent="0.35">
      <c r="A114" s="376" t="s">
        <v>7</v>
      </c>
      <c r="B114" s="376" t="s">
        <v>94</v>
      </c>
      <c r="C114" s="376" t="s">
        <v>95</v>
      </c>
      <c r="D114" s="376" t="s">
        <v>92</v>
      </c>
      <c r="E114" s="376" t="s">
        <v>90</v>
      </c>
      <c r="F114" s="376" t="s">
        <v>91</v>
      </c>
      <c r="G114" s="386" t="s">
        <v>86</v>
      </c>
      <c r="H114" s="376" t="s">
        <v>87</v>
      </c>
      <c r="I114" s="50" t="s">
        <v>88</v>
      </c>
      <c r="J114" s="50" t="s">
        <v>88</v>
      </c>
      <c r="K114" s="32"/>
      <c r="L114" s="28"/>
      <c r="M114" s="31"/>
      <c r="N114" s="31"/>
      <c r="O114" s="31"/>
      <c r="P114" s="31"/>
      <c r="Q114" s="31"/>
    </row>
    <row r="115" spans="1:17" ht="30.1" customHeight="1" thickBot="1" x14ac:dyDescent="0.35">
      <c r="A115" s="377"/>
      <c r="B115" s="377"/>
      <c r="C115" s="377"/>
      <c r="D115" s="377"/>
      <c r="E115" s="377"/>
      <c r="F115" s="377"/>
      <c r="G115" s="387"/>
      <c r="H115" s="377"/>
      <c r="I115" s="50" t="s">
        <v>143</v>
      </c>
      <c r="J115" s="161" t="s">
        <v>89</v>
      </c>
      <c r="K115" s="32"/>
      <c r="L115" s="28"/>
      <c r="M115" s="31"/>
      <c r="N115" s="31"/>
      <c r="O115" s="31"/>
      <c r="P115" s="31"/>
      <c r="Q115" s="31"/>
    </row>
    <row r="116" spans="1:17" ht="30.1" customHeight="1" x14ac:dyDescent="0.3">
      <c r="A116" s="23">
        <v>61</v>
      </c>
      <c r="B116" s="24"/>
      <c r="C116" s="25"/>
      <c r="D116" s="25"/>
      <c r="E116" s="25"/>
      <c r="F116" s="25"/>
      <c r="G116" s="26"/>
      <c r="H116" s="25"/>
      <c r="I116" s="203"/>
      <c r="J116" s="151"/>
      <c r="K116" s="89" t="str">
        <f t="shared" ref="K116:K130" si="12">IF(AND(COUNTA(B116:F116)&gt;0,L116=1),"Belge Tarihi ve Belge Numarası doldurulduktan sonra KDV Dahil Tutar doldurulabilir.","")</f>
        <v/>
      </c>
      <c r="L116" s="88">
        <f>IF(COUNTA(G116:H116)=2,0,1)</f>
        <v>1</v>
      </c>
      <c r="M116" s="90">
        <f>IF(L116=1,0,100000000)</f>
        <v>0</v>
      </c>
      <c r="N116" s="31"/>
      <c r="O116" s="31"/>
      <c r="P116" s="31"/>
      <c r="Q116" s="31"/>
    </row>
    <row r="117" spans="1:17" ht="30.1" customHeight="1" x14ac:dyDescent="0.3">
      <c r="A117" s="20">
        <v>62</v>
      </c>
      <c r="B117" s="12"/>
      <c r="C117" s="13"/>
      <c r="D117" s="13"/>
      <c r="E117" s="13"/>
      <c r="F117" s="13"/>
      <c r="G117" s="14"/>
      <c r="H117" s="13"/>
      <c r="I117" s="204"/>
      <c r="J117" s="152"/>
      <c r="K117" s="89" t="str">
        <f t="shared" si="12"/>
        <v/>
      </c>
      <c r="L117" s="88">
        <f t="shared" ref="L117:L130" si="13">IF(COUNTA(G117:H117)=2,0,1)</f>
        <v>1</v>
      </c>
      <c r="M117" s="90">
        <f t="shared" ref="M117:M130" si="14">IF(L117=1,0,100000000)</f>
        <v>0</v>
      </c>
      <c r="N117" s="31"/>
      <c r="O117" s="31"/>
      <c r="P117" s="31"/>
      <c r="Q117" s="31"/>
    </row>
    <row r="118" spans="1:17" ht="30.1" customHeight="1" x14ac:dyDescent="0.3">
      <c r="A118" s="20">
        <v>63</v>
      </c>
      <c r="B118" s="12"/>
      <c r="C118" s="13"/>
      <c r="D118" s="13"/>
      <c r="E118" s="13"/>
      <c r="F118" s="13"/>
      <c r="G118" s="14"/>
      <c r="H118" s="13"/>
      <c r="I118" s="204"/>
      <c r="J118" s="152"/>
      <c r="K118" s="89" t="str">
        <f t="shared" si="12"/>
        <v/>
      </c>
      <c r="L118" s="88">
        <f t="shared" si="13"/>
        <v>1</v>
      </c>
      <c r="M118" s="90">
        <f t="shared" si="14"/>
        <v>0</v>
      </c>
      <c r="N118" s="31"/>
      <c r="O118" s="31"/>
      <c r="P118" s="31"/>
      <c r="Q118" s="31"/>
    </row>
    <row r="119" spans="1:17" ht="30.1" customHeight="1" x14ac:dyDescent="0.3">
      <c r="A119" s="20">
        <v>64</v>
      </c>
      <c r="B119" s="12"/>
      <c r="C119" s="13"/>
      <c r="D119" s="13"/>
      <c r="E119" s="13"/>
      <c r="F119" s="13"/>
      <c r="G119" s="14"/>
      <c r="H119" s="13"/>
      <c r="I119" s="204"/>
      <c r="J119" s="152"/>
      <c r="K119" s="89" t="str">
        <f t="shared" si="12"/>
        <v/>
      </c>
      <c r="L119" s="88">
        <f t="shared" si="13"/>
        <v>1</v>
      </c>
      <c r="M119" s="90">
        <f t="shared" si="14"/>
        <v>0</v>
      </c>
      <c r="N119" s="31"/>
      <c r="O119" s="31"/>
      <c r="P119" s="31"/>
      <c r="Q119" s="31"/>
    </row>
    <row r="120" spans="1:17" ht="30.1" customHeight="1" x14ac:dyDescent="0.3">
      <c r="A120" s="20">
        <v>65</v>
      </c>
      <c r="B120" s="12"/>
      <c r="C120" s="13"/>
      <c r="D120" s="13"/>
      <c r="E120" s="13"/>
      <c r="F120" s="13"/>
      <c r="G120" s="14"/>
      <c r="H120" s="13"/>
      <c r="I120" s="204"/>
      <c r="J120" s="152"/>
      <c r="K120" s="89" t="str">
        <f t="shared" si="12"/>
        <v/>
      </c>
      <c r="L120" s="88">
        <f t="shared" si="13"/>
        <v>1</v>
      </c>
      <c r="M120" s="90">
        <f t="shared" si="14"/>
        <v>0</v>
      </c>
      <c r="N120" s="31"/>
      <c r="O120" s="31"/>
      <c r="P120" s="31"/>
      <c r="Q120" s="31"/>
    </row>
    <row r="121" spans="1:17" ht="30.1" customHeight="1" x14ac:dyDescent="0.3">
      <c r="A121" s="20">
        <v>66</v>
      </c>
      <c r="B121" s="12"/>
      <c r="C121" s="13"/>
      <c r="D121" s="13"/>
      <c r="E121" s="13"/>
      <c r="F121" s="13"/>
      <c r="G121" s="14"/>
      <c r="H121" s="13"/>
      <c r="I121" s="204"/>
      <c r="J121" s="152"/>
      <c r="K121" s="89" t="str">
        <f t="shared" si="12"/>
        <v/>
      </c>
      <c r="L121" s="88">
        <f t="shared" si="13"/>
        <v>1</v>
      </c>
      <c r="M121" s="90">
        <f t="shared" si="14"/>
        <v>0</v>
      </c>
      <c r="N121" s="31"/>
      <c r="O121" s="31"/>
      <c r="P121" s="31"/>
      <c r="Q121" s="31"/>
    </row>
    <row r="122" spans="1:17" ht="30.1" customHeight="1" x14ac:dyDescent="0.3">
      <c r="A122" s="21">
        <v>67</v>
      </c>
      <c r="B122" s="15"/>
      <c r="C122" s="16"/>
      <c r="D122" s="16"/>
      <c r="E122" s="16"/>
      <c r="F122" s="16"/>
      <c r="G122" s="29"/>
      <c r="H122" s="16"/>
      <c r="I122" s="205"/>
      <c r="J122" s="153"/>
      <c r="K122" s="89" t="str">
        <f t="shared" si="12"/>
        <v/>
      </c>
      <c r="L122" s="88">
        <f t="shared" si="13"/>
        <v>1</v>
      </c>
      <c r="M122" s="90">
        <f t="shared" si="14"/>
        <v>0</v>
      </c>
      <c r="N122" s="31"/>
      <c r="O122" s="31"/>
      <c r="P122" s="31"/>
      <c r="Q122" s="31"/>
    </row>
    <row r="123" spans="1:17" ht="30.1" customHeight="1" x14ac:dyDescent="0.3">
      <c r="A123" s="21">
        <v>68</v>
      </c>
      <c r="B123" s="15"/>
      <c r="C123" s="16"/>
      <c r="D123" s="16"/>
      <c r="E123" s="16"/>
      <c r="F123" s="16"/>
      <c r="G123" s="29"/>
      <c r="H123" s="16"/>
      <c r="I123" s="205"/>
      <c r="J123" s="153"/>
      <c r="K123" s="89" t="str">
        <f t="shared" si="12"/>
        <v/>
      </c>
      <c r="L123" s="88">
        <f t="shared" si="13"/>
        <v>1</v>
      </c>
      <c r="M123" s="90">
        <f t="shared" si="14"/>
        <v>0</v>
      </c>
      <c r="N123" s="31"/>
      <c r="O123" s="31"/>
      <c r="P123" s="31"/>
      <c r="Q123" s="31"/>
    </row>
    <row r="124" spans="1:17" ht="30.1" customHeight="1" x14ac:dyDescent="0.3">
      <c r="A124" s="21">
        <v>69</v>
      </c>
      <c r="B124" s="15"/>
      <c r="C124" s="16"/>
      <c r="D124" s="16"/>
      <c r="E124" s="16"/>
      <c r="F124" s="16"/>
      <c r="G124" s="29"/>
      <c r="H124" s="16"/>
      <c r="I124" s="205"/>
      <c r="J124" s="153"/>
      <c r="K124" s="89" t="str">
        <f t="shared" si="12"/>
        <v/>
      </c>
      <c r="L124" s="88">
        <f t="shared" si="13"/>
        <v>1</v>
      </c>
      <c r="M124" s="90">
        <f t="shared" si="14"/>
        <v>0</v>
      </c>
      <c r="N124" s="31"/>
      <c r="O124" s="31"/>
      <c r="P124" s="31"/>
      <c r="Q124" s="31"/>
    </row>
    <row r="125" spans="1:17" ht="30.1" customHeight="1" x14ac:dyDescent="0.3">
      <c r="A125" s="21">
        <v>70</v>
      </c>
      <c r="B125" s="15"/>
      <c r="C125" s="16"/>
      <c r="D125" s="16"/>
      <c r="E125" s="16"/>
      <c r="F125" s="16"/>
      <c r="G125" s="29"/>
      <c r="H125" s="16"/>
      <c r="I125" s="205"/>
      <c r="J125" s="153"/>
      <c r="K125" s="89" t="str">
        <f t="shared" si="12"/>
        <v/>
      </c>
      <c r="L125" s="88">
        <f t="shared" si="13"/>
        <v>1</v>
      </c>
      <c r="M125" s="90">
        <f t="shared" si="14"/>
        <v>0</v>
      </c>
      <c r="N125" s="31"/>
      <c r="O125" s="31"/>
      <c r="P125" s="31"/>
      <c r="Q125" s="31"/>
    </row>
    <row r="126" spans="1:17" ht="30.1" customHeight="1" x14ac:dyDescent="0.3">
      <c r="A126" s="21">
        <v>71</v>
      </c>
      <c r="B126" s="15"/>
      <c r="C126" s="16"/>
      <c r="D126" s="16"/>
      <c r="E126" s="16"/>
      <c r="F126" s="16"/>
      <c r="G126" s="29"/>
      <c r="H126" s="16"/>
      <c r="I126" s="205"/>
      <c r="J126" s="153"/>
      <c r="K126" s="89" t="str">
        <f t="shared" si="12"/>
        <v/>
      </c>
      <c r="L126" s="88">
        <f t="shared" si="13"/>
        <v>1</v>
      </c>
      <c r="M126" s="90">
        <f t="shared" si="14"/>
        <v>0</v>
      </c>
      <c r="N126" s="165"/>
      <c r="O126" s="165"/>
      <c r="P126" s="31"/>
      <c r="Q126" s="31"/>
    </row>
    <row r="127" spans="1:17" ht="30.1" customHeight="1" x14ac:dyDescent="0.3">
      <c r="A127" s="21">
        <v>72</v>
      </c>
      <c r="B127" s="15"/>
      <c r="C127" s="16"/>
      <c r="D127" s="16"/>
      <c r="E127" s="16"/>
      <c r="F127" s="16"/>
      <c r="G127" s="29"/>
      <c r="H127" s="16"/>
      <c r="I127" s="205"/>
      <c r="J127" s="153"/>
      <c r="K127" s="89" t="str">
        <f t="shared" si="12"/>
        <v/>
      </c>
      <c r="L127" s="88">
        <f t="shared" si="13"/>
        <v>1</v>
      </c>
      <c r="M127" s="90">
        <f t="shared" si="14"/>
        <v>0</v>
      </c>
      <c r="N127" s="31"/>
      <c r="O127" s="31"/>
      <c r="P127" s="31"/>
      <c r="Q127" s="31"/>
    </row>
    <row r="128" spans="1:17" ht="30.1" customHeight="1" x14ac:dyDescent="0.3">
      <c r="A128" s="21">
        <v>73</v>
      </c>
      <c r="B128" s="15"/>
      <c r="C128" s="16"/>
      <c r="D128" s="16"/>
      <c r="E128" s="16"/>
      <c r="F128" s="16"/>
      <c r="G128" s="29"/>
      <c r="H128" s="16"/>
      <c r="I128" s="205"/>
      <c r="J128" s="153"/>
      <c r="K128" s="89" t="str">
        <f t="shared" si="12"/>
        <v/>
      </c>
      <c r="L128" s="88">
        <f t="shared" si="13"/>
        <v>1</v>
      </c>
      <c r="M128" s="90">
        <f t="shared" si="14"/>
        <v>0</v>
      </c>
      <c r="N128" s="31"/>
      <c r="O128" s="31"/>
      <c r="P128" s="31"/>
      <c r="Q128" s="31"/>
    </row>
    <row r="129" spans="1:17" ht="30.1" customHeight="1" x14ac:dyDescent="0.3">
      <c r="A129" s="21">
        <v>74</v>
      </c>
      <c r="B129" s="15"/>
      <c r="C129" s="16"/>
      <c r="D129" s="16"/>
      <c r="E129" s="16"/>
      <c r="F129" s="16"/>
      <c r="G129" s="29"/>
      <c r="H129" s="16"/>
      <c r="I129" s="205"/>
      <c r="J129" s="153"/>
      <c r="K129" s="89" t="str">
        <f t="shared" si="12"/>
        <v/>
      </c>
      <c r="L129" s="88">
        <f t="shared" si="13"/>
        <v>1</v>
      </c>
      <c r="M129" s="90">
        <f t="shared" si="14"/>
        <v>0</v>
      </c>
      <c r="N129" s="31"/>
      <c r="O129" s="31"/>
      <c r="P129" s="31"/>
      <c r="Q129" s="31"/>
    </row>
    <row r="130" spans="1:17" ht="30.1" customHeight="1" thickBot="1" x14ac:dyDescent="0.35">
      <c r="A130" s="22">
        <v>75</v>
      </c>
      <c r="B130" s="17"/>
      <c r="C130" s="18"/>
      <c r="D130" s="18"/>
      <c r="E130" s="18"/>
      <c r="F130" s="18"/>
      <c r="G130" s="30"/>
      <c r="H130" s="18"/>
      <c r="I130" s="206"/>
      <c r="J130" s="154"/>
      <c r="K130" s="89" t="str">
        <f t="shared" si="12"/>
        <v/>
      </c>
      <c r="L130" s="88">
        <f t="shared" si="13"/>
        <v>1</v>
      </c>
      <c r="M130" s="90">
        <f t="shared" si="14"/>
        <v>0</v>
      </c>
      <c r="N130" s="91">
        <f>IF(COUNTA(G116:J130)&gt;0,1,0)</f>
        <v>0</v>
      </c>
      <c r="O130" s="31"/>
      <c r="P130" s="31"/>
      <c r="Q130" s="31"/>
    </row>
    <row r="131" spans="1:17" ht="30.1" customHeight="1" thickBot="1" x14ac:dyDescent="0.35">
      <c r="A131" s="373" t="s">
        <v>139</v>
      </c>
      <c r="B131" s="373"/>
      <c r="C131" s="373"/>
      <c r="D131" s="373"/>
      <c r="E131" s="373"/>
      <c r="F131" s="373"/>
      <c r="G131" s="374"/>
      <c r="H131" s="4" t="s">
        <v>42</v>
      </c>
      <c r="I131" s="156">
        <f>SUM(I116:I130)+I104</f>
        <v>0</v>
      </c>
      <c r="J131" s="156">
        <f>SUM(J116:J130)+J104</f>
        <v>0</v>
      </c>
      <c r="K131" s="167"/>
      <c r="L131" s="28"/>
      <c r="M131" s="31"/>
      <c r="N131" s="31"/>
      <c r="O131" s="31"/>
      <c r="P131" s="31"/>
      <c r="Q131" s="31"/>
    </row>
    <row r="132" spans="1:17" ht="30.1" customHeight="1" x14ac:dyDescent="0.3">
      <c r="A132" s="19" t="s">
        <v>117</v>
      </c>
      <c r="B132" s="31"/>
      <c r="C132" s="31"/>
      <c r="D132" s="31"/>
      <c r="E132" s="31"/>
      <c r="F132" s="31"/>
      <c r="G132" s="168"/>
      <c r="H132" s="31"/>
      <c r="I132" s="31"/>
      <c r="J132" s="31"/>
      <c r="K132" s="167"/>
      <c r="L132" s="28"/>
      <c r="M132" s="31"/>
      <c r="N132" s="31"/>
      <c r="O132" s="31"/>
      <c r="P132" s="31"/>
      <c r="Q132" s="31"/>
    </row>
    <row r="133" spans="1:17" ht="30.1" customHeight="1" x14ac:dyDescent="0.3">
      <c r="A133" s="31"/>
      <c r="B133" s="31"/>
      <c r="C133" s="31"/>
      <c r="D133" s="31"/>
      <c r="E133" s="31"/>
      <c r="F133" s="31"/>
      <c r="G133" s="168"/>
      <c r="H133" s="31"/>
      <c r="I133" s="31"/>
      <c r="J133" s="31"/>
      <c r="K133" s="32"/>
      <c r="L133" s="28"/>
      <c r="M133" s="31"/>
      <c r="N133" s="31"/>
      <c r="O133" s="31"/>
      <c r="P133" s="31"/>
      <c r="Q133" s="31"/>
    </row>
    <row r="134" spans="1:17" ht="30.1" customHeight="1" x14ac:dyDescent="0.35">
      <c r="A134" s="31"/>
      <c r="B134" s="247" t="s">
        <v>39</v>
      </c>
      <c r="C134" s="248">
        <f ca="1">IF(imzatarihi&gt;0,imzatarihi,"")</f>
        <v>45686</v>
      </c>
      <c r="D134" s="250" t="s">
        <v>158</v>
      </c>
      <c r="E134" s="245" t="str">
        <f>IF(kurulusyetkilisi&gt;0,kurulusyetkilisi,"")</f>
        <v/>
      </c>
      <c r="F134" s="31"/>
      <c r="G134" s="168"/>
      <c r="H134" s="31"/>
      <c r="I134" s="31"/>
      <c r="J134" s="31"/>
      <c r="K134" s="32"/>
      <c r="L134" s="28"/>
      <c r="M134" s="31"/>
      <c r="N134" s="31"/>
      <c r="O134" s="31"/>
      <c r="P134" s="31"/>
      <c r="Q134" s="31"/>
    </row>
    <row r="135" spans="1:17" ht="30.1" customHeight="1" x14ac:dyDescent="0.35">
      <c r="A135" s="31"/>
      <c r="B135" s="249"/>
      <c r="C135" s="249"/>
      <c r="D135" s="250" t="s">
        <v>157</v>
      </c>
      <c r="E135" s="247"/>
      <c r="F135" s="31"/>
      <c r="G135" s="168"/>
      <c r="H135" s="31"/>
      <c r="I135" s="31"/>
      <c r="J135" s="31"/>
      <c r="K135" s="32"/>
      <c r="L135" s="28"/>
      <c r="M135" s="31"/>
      <c r="N135" s="31"/>
      <c r="O135" s="31"/>
      <c r="P135" s="31"/>
      <c r="Q135" s="31"/>
    </row>
    <row r="136" spans="1:17" ht="30.1" customHeight="1" x14ac:dyDescent="0.3">
      <c r="A136" s="375" t="s">
        <v>93</v>
      </c>
      <c r="B136" s="375"/>
      <c r="C136" s="375"/>
      <c r="D136" s="375"/>
      <c r="E136" s="375"/>
      <c r="F136" s="375"/>
      <c r="G136" s="375"/>
      <c r="H136" s="375"/>
      <c r="I136" s="375"/>
      <c r="J136" s="375"/>
      <c r="K136" s="51"/>
      <c r="L136" s="52"/>
      <c r="M136" s="31"/>
      <c r="N136" s="31"/>
      <c r="O136" s="31"/>
      <c r="P136" s="31"/>
      <c r="Q136" s="31"/>
    </row>
    <row r="137" spans="1:17" ht="30.1" customHeight="1" x14ac:dyDescent="0.3">
      <c r="A137" s="329" t="str">
        <f>IF(YilDonem&lt;&gt;"",CONCATENATE(YilDonem,". döneme aittir."),"")</f>
        <v/>
      </c>
      <c r="B137" s="329"/>
      <c r="C137" s="329"/>
      <c r="D137" s="329"/>
      <c r="E137" s="329"/>
      <c r="F137" s="329"/>
      <c r="G137" s="329"/>
      <c r="H137" s="329"/>
      <c r="I137" s="329"/>
      <c r="J137" s="329"/>
      <c r="K137" s="166"/>
      <c r="L137" s="52"/>
      <c r="M137" s="149"/>
      <c r="N137" s="31"/>
      <c r="O137" s="31"/>
      <c r="P137" s="31"/>
      <c r="Q137" s="31"/>
    </row>
    <row r="138" spans="1:17" ht="30.1" customHeight="1" thickBot="1" x14ac:dyDescent="0.35">
      <c r="A138" s="355" t="s">
        <v>97</v>
      </c>
      <c r="B138" s="355"/>
      <c r="C138" s="355"/>
      <c r="D138" s="355"/>
      <c r="E138" s="355"/>
      <c r="F138" s="355"/>
      <c r="G138" s="355"/>
      <c r="H138" s="355"/>
      <c r="I138" s="355"/>
      <c r="J138" s="355"/>
      <c r="K138" s="166"/>
      <c r="L138" s="52"/>
      <c r="M138" s="149"/>
      <c r="N138" s="31"/>
      <c r="O138" s="31"/>
      <c r="P138" s="31"/>
      <c r="Q138" s="31"/>
    </row>
    <row r="139" spans="1:17" ht="30.1" customHeight="1" thickBot="1" x14ac:dyDescent="0.35">
      <c r="A139" s="380" t="s">
        <v>1</v>
      </c>
      <c r="B139" s="382"/>
      <c r="C139" s="380" t="str">
        <f>IF(ProjeNo&gt;0,ProjeNo,"")</f>
        <v/>
      </c>
      <c r="D139" s="381"/>
      <c r="E139" s="381"/>
      <c r="F139" s="381"/>
      <c r="G139" s="381"/>
      <c r="H139" s="381"/>
      <c r="I139" s="381"/>
      <c r="J139" s="382"/>
      <c r="K139" s="32"/>
      <c r="L139" s="28"/>
      <c r="M139" s="31"/>
      <c r="N139" s="31"/>
      <c r="O139" s="31"/>
      <c r="P139" s="31"/>
      <c r="Q139" s="31"/>
    </row>
    <row r="140" spans="1:17" ht="30.1" customHeight="1" thickBot="1" x14ac:dyDescent="0.35">
      <c r="A140" s="388" t="s">
        <v>11</v>
      </c>
      <c r="B140" s="389"/>
      <c r="C140" s="383" t="str">
        <f>IF(ProjeAdi&gt;0,ProjeAdi,"")</f>
        <v/>
      </c>
      <c r="D140" s="384"/>
      <c r="E140" s="384"/>
      <c r="F140" s="384"/>
      <c r="G140" s="384"/>
      <c r="H140" s="384"/>
      <c r="I140" s="384"/>
      <c r="J140" s="385"/>
      <c r="K140" s="32"/>
      <c r="L140" s="28"/>
      <c r="M140" s="31"/>
      <c r="N140" s="31"/>
      <c r="O140" s="31"/>
      <c r="P140" s="31"/>
      <c r="Q140" s="31"/>
    </row>
    <row r="141" spans="1:17" ht="30.1" customHeight="1" thickBot="1" x14ac:dyDescent="0.35">
      <c r="A141" s="376" t="s">
        <v>7</v>
      </c>
      <c r="B141" s="376" t="s">
        <v>94</v>
      </c>
      <c r="C141" s="376" t="s">
        <v>95</v>
      </c>
      <c r="D141" s="376" t="s">
        <v>92</v>
      </c>
      <c r="E141" s="376" t="s">
        <v>90</v>
      </c>
      <c r="F141" s="376" t="s">
        <v>91</v>
      </c>
      <c r="G141" s="386" t="s">
        <v>86</v>
      </c>
      <c r="H141" s="376" t="s">
        <v>87</v>
      </c>
      <c r="I141" s="50" t="s">
        <v>88</v>
      </c>
      <c r="J141" s="50" t="s">
        <v>88</v>
      </c>
      <c r="K141" s="32"/>
      <c r="L141" s="28"/>
      <c r="M141" s="31"/>
      <c r="N141" s="31"/>
      <c r="O141" s="31"/>
      <c r="P141" s="31"/>
      <c r="Q141" s="31"/>
    </row>
    <row r="142" spans="1:17" ht="30.1" customHeight="1" thickBot="1" x14ac:dyDescent="0.35">
      <c r="A142" s="377"/>
      <c r="B142" s="377"/>
      <c r="C142" s="377"/>
      <c r="D142" s="377"/>
      <c r="E142" s="377"/>
      <c r="F142" s="377"/>
      <c r="G142" s="387"/>
      <c r="H142" s="377"/>
      <c r="I142" s="50" t="s">
        <v>143</v>
      </c>
      <c r="J142" s="161" t="s">
        <v>89</v>
      </c>
      <c r="K142" s="32"/>
      <c r="L142" s="28"/>
      <c r="M142" s="31"/>
      <c r="N142" s="31"/>
      <c r="O142" s="31"/>
      <c r="P142" s="31"/>
      <c r="Q142" s="31"/>
    </row>
    <row r="143" spans="1:17" ht="30.1" customHeight="1" x14ac:dyDescent="0.3">
      <c r="A143" s="23">
        <v>76</v>
      </c>
      <c r="B143" s="24"/>
      <c r="C143" s="25"/>
      <c r="D143" s="25"/>
      <c r="E143" s="25"/>
      <c r="F143" s="25"/>
      <c r="G143" s="26"/>
      <c r="H143" s="25"/>
      <c r="I143" s="203"/>
      <c r="J143" s="151"/>
      <c r="K143" s="89" t="str">
        <f t="shared" ref="K143:K157" si="15">IF(AND(COUNTA(B143:F143)&gt;0,L143=1),"Belge Tarihi ve Belge Numarası doldurulduktan sonra KDV Dahil Tutar doldurulabilir.","")</f>
        <v/>
      </c>
      <c r="L143" s="88">
        <f>IF(COUNTA(G143:H143)=2,0,1)</f>
        <v>1</v>
      </c>
      <c r="M143" s="90">
        <f>IF(L143=1,0,100000000)</f>
        <v>0</v>
      </c>
      <c r="N143" s="31"/>
      <c r="O143" s="31"/>
      <c r="P143" s="31"/>
      <c r="Q143" s="31"/>
    </row>
    <row r="144" spans="1:17" ht="30.1" customHeight="1" x14ac:dyDescent="0.3">
      <c r="A144" s="20">
        <v>77</v>
      </c>
      <c r="B144" s="12"/>
      <c r="C144" s="13"/>
      <c r="D144" s="13"/>
      <c r="E144" s="13"/>
      <c r="F144" s="13"/>
      <c r="G144" s="14"/>
      <c r="H144" s="13"/>
      <c r="I144" s="204"/>
      <c r="J144" s="152"/>
      <c r="K144" s="89" t="str">
        <f t="shared" si="15"/>
        <v/>
      </c>
      <c r="L144" s="88">
        <f t="shared" ref="L144:L157" si="16">IF(COUNTA(G144:H144)=2,0,1)</f>
        <v>1</v>
      </c>
      <c r="M144" s="90">
        <f t="shared" ref="M144:M157" si="17">IF(L144=1,0,100000000)</f>
        <v>0</v>
      </c>
      <c r="N144" s="31"/>
      <c r="O144" s="31"/>
      <c r="P144" s="31"/>
      <c r="Q144" s="31"/>
    </row>
    <row r="145" spans="1:17" ht="30.1" customHeight="1" x14ac:dyDescent="0.3">
      <c r="A145" s="20">
        <v>78</v>
      </c>
      <c r="B145" s="12"/>
      <c r="C145" s="13"/>
      <c r="D145" s="13"/>
      <c r="E145" s="13"/>
      <c r="F145" s="13"/>
      <c r="G145" s="14"/>
      <c r="H145" s="13"/>
      <c r="I145" s="204"/>
      <c r="J145" s="152"/>
      <c r="K145" s="89" t="str">
        <f t="shared" si="15"/>
        <v/>
      </c>
      <c r="L145" s="88">
        <f t="shared" si="16"/>
        <v>1</v>
      </c>
      <c r="M145" s="90">
        <f t="shared" si="17"/>
        <v>0</v>
      </c>
      <c r="N145" s="31"/>
      <c r="O145" s="31"/>
      <c r="P145" s="31"/>
      <c r="Q145" s="31"/>
    </row>
    <row r="146" spans="1:17" ht="30.1" customHeight="1" x14ac:dyDescent="0.3">
      <c r="A146" s="20">
        <v>79</v>
      </c>
      <c r="B146" s="12"/>
      <c r="C146" s="13"/>
      <c r="D146" s="13"/>
      <c r="E146" s="13"/>
      <c r="F146" s="13"/>
      <c r="G146" s="14"/>
      <c r="H146" s="13"/>
      <c r="I146" s="204"/>
      <c r="J146" s="152"/>
      <c r="K146" s="89" t="str">
        <f t="shared" si="15"/>
        <v/>
      </c>
      <c r="L146" s="88">
        <f t="shared" si="16"/>
        <v>1</v>
      </c>
      <c r="M146" s="90">
        <f t="shared" si="17"/>
        <v>0</v>
      </c>
      <c r="N146" s="31"/>
      <c r="O146" s="31"/>
      <c r="P146" s="31"/>
      <c r="Q146" s="31"/>
    </row>
    <row r="147" spans="1:17" ht="30.1" customHeight="1" x14ac:dyDescent="0.3">
      <c r="A147" s="20">
        <v>80</v>
      </c>
      <c r="B147" s="12"/>
      <c r="C147" s="13"/>
      <c r="D147" s="13"/>
      <c r="E147" s="13"/>
      <c r="F147" s="13"/>
      <c r="G147" s="14"/>
      <c r="H147" s="13"/>
      <c r="I147" s="204"/>
      <c r="J147" s="152"/>
      <c r="K147" s="89" t="str">
        <f t="shared" si="15"/>
        <v/>
      </c>
      <c r="L147" s="88">
        <f t="shared" si="16"/>
        <v>1</v>
      </c>
      <c r="M147" s="90">
        <f t="shared" si="17"/>
        <v>0</v>
      </c>
      <c r="N147" s="31"/>
      <c r="O147" s="31"/>
      <c r="P147" s="31"/>
      <c r="Q147" s="31"/>
    </row>
    <row r="148" spans="1:17" ht="30.1" customHeight="1" x14ac:dyDescent="0.3">
      <c r="A148" s="20">
        <v>81</v>
      </c>
      <c r="B148" s="12"/>
      <c r="C148" s="13"/>
      <c r="D148" s="13"/>
      <c r="E148" s="13"/>
      <c r="F148" s="13"/>
      <c r="G148" s="14"/>
      <c r="H148" s="13"/>
      <c r="I148" s="204"/>
      <c r="J148" s="152"/>
      <c r="K148" s="89" t="str">
        <f t="shared" si="15"/>
        <v/>
      </c>
      <c r="L148" s="88">
        <f t="shared" si="16"/>
        <v>1</v>
      </c>
      <c r="M148" s="90">
        <f t="shared" si="17"/>
        <v>0</v>
      </c>
      <c r="N148" s="31"/>
      <c r="O148" s="31"/>
      <c r="P148" s="31"/>
      <c r="Q148" s="31"/>
    </row>
    <row r="149" spans="1:17" ht="30.1" customHeight="1" x14ac:dyDescent="0.3">
      <c r="A149" s="21">
        <v>82</v>
      </c>
      <c r="B149" s="15"/>
      <c r="C149" s="16"/>
      <c r="D149" s="16"/>
      <c r="E149" s="16"/>
      <c r="F149" s="16"/>
      <c r="G149" s="29"/>
      <c r="H149" s="16"/>
      <c r="I149" s="205"/>
      <c r="J149" s="153"/>
      <c r="K149" s="89" t="str">
        <f t="shared" si="15"/>
        <v/>
      </c>
      <c r="L149" s="88">
        <f t="shared" si="16"/>
        <v>1</v>
      </c>
      <c r="M149" s="90">
        <f t="shared" si="17"/>
        <v>0</v>
      </c>
      <c r="N149" s="31"/>
      <c r="O149" s="31"/>
      <c r="P149" s="31"/>
      <c r="Q149" s="31"/>
    </row>
    <row r="150" spans="1:17" ht="30.1" customHeight="1" x14ac:dyDescent="0.3">
      <c r="A150" s="21">
        <v>83</v>
      </c>
      <c r="B150" s="15"/>
      <c r="C150" s="16"/>
      <c r="D150" s="16"/>
      <c r="E150" s="16"/>
      <c r="F150" s="16"/>
      <c r="G150" s="29"/>
      <c r="H150" s="16"/>
      <c r="I150" s="205"/>
      <c r="J150" s="153"/>
      <c r="K150" s="89" t="str">
        <f t="shared" si="15"/>
        <v/>
      </c>
      <c r="L150" s="88">
        <f t="shared" si="16"/>
        <v>1</v>
      </c>
      <c r="M150" s="90">
        <f t="shared" si="17"/>
        <v>0</v>
      </c>
      <c r="N150" s="31"/>
      <c r="O150" s="31"/>
      <c r="P150" s="31"/>
      <c r="Q150" s="31"/>
    </row>
    <row r="151" spans="1:17" ht="30.1" customHeight="1" x14ac:dyDescent="0.3">
      <c r="A151" s="21">
        <v>84</v>
      </c>
      <c r="B151" s="15"/>
      <c r="C151" s="16"/>
      <c r="D151" s="16"/>
      <c r="E151" s="16"/>
      <c r="F151" s="16"/>
      <c r="G151" s="29"/>
      <c r="H151" s="16"/>
      <c r="I151" s="205"/>
      <c r="J151" s="153"/>
      <c r="K151" s="89" t="str">
        <f t="shared" si="15"/>
        <v/>
      </c>
      <c r="L151" s="88">
        <f t="shared" si="16"/>
        <v>1</v>
      </c>
      <c r="M151" s="90">
        <f t="shared" si="17"/>
        <v>0</v>
      </c>
      <c r="N151" s="31"/>
      <c r="O151" s="31"/>
      <c r="P151" s="31"/>
      <c r="Q151" s="31"/>
    </row>
    <row r="152" spans="1:17" ht="30.1" customHeight="1" x14ac:dyDescent="0.3">
      <c r="A152" s="21">
        <v>85</v>
      </c>
      <c r="B152" s="15"/>
      <c r="C152" s="16"/>
      <c r="D152" s="16"/>
      <c r="E152" s="16"/>
      <c r="F152" s="16"/>
      <c r="G152" s="29"/>
      <c r="H152" s="16"/>
      <c r="I152" s="205"/>
      <c r="J152" s="153"/>
      <c r="K152" s="89" t="str">
        <f t="shared" si="15"/>
        <v/>
      </c>
      <c r="L152" s="88">
        <f t="shared" si="16"/>
        <v>1</v>
      </c>
      <c r="M152" s="90">
        <f t="shared" si="17"/>
        <v>0</v>
      </c>
      <c r="N152" s="31"/>
      <c r="O152" s="31"/>
      <c r="P152" s="31"/>
      <c r="Q152" s="31"/>
    </row>
    <row r="153" spans="1:17" ht="30.1" customHeight="1" x14ac:dyDescent="0.3">
      <c r="A153" s="21">
        <v>86</v>
      </c>
      <c r="B153" s="15"/>
      <c r="C153" s="16"/>
      <c r="D153" s="16"/>
      <c r="E153" s="16"/>
      <c r="F153" s="16"/>
      <c r="G153" s="29"/>
      <c r="H153" s="16"/>
      <c r="I153" s="205"/>
      <c r="J153" s="153"/>
      <c r="K153" s="89" t="str">
        <f t="shared" si="15"/>
        <v/>
      </c>
      <c r="L153" s="88">
        <f t="shared" si="16"/>
        <v>1</v>
      </c>
      <c r="M153" s="90">
        <f t="shared" si="17"/>
        <v>0</v>
      </c>
      <c r="N153" s="31"/>
      <c r="O153" s="31"/>
      <c r="P153" s="31"/>
      <c r="Q153" s="31"/>
    </row>
    <row r="154" spans="1:17" ht="30.1" customHeight="1" x14ac:dyDescent="0.3">
      <c r="A154" s="21">
        <v>87</v>
      </c>
      <c r="B154" s="15"/>
      <c r="C154" s="16"/>
      <c r="D154" s="16"/>
      <c r="E154" s="16"/>
      <c r="F154" s="16"/>
      <c r="G154" s="29"/>
      <c r="H154" s="16"/>
      <c r="I154" s="205"/>
      <c r="J154" s="153"/>
      <c r="K154" s="89" t="str">
        <f t="shared" si="15"/>
        <v/>
      </c>
      <c r="L154" s="88">
        <f t="shared" si="16"/>
        <v>1</v>
      </c>
      <c r="M154" s="90">
        <f t="shared" si="17"/>
        <v>0</v>
      </c>
      <c r="N154" s="31"/>
      <c r="O154" s="31"/>
      <c r="P154" s="31"/>
      <c r="Q154" s="31"/>
    </row>
    <row r="155" spans="1:17" ht="30.1" customHeight="1" x14ac:dyDescent="0.3">
      <c r="A155" s="21">
        <v>88</v>
      </c>
      <c r="B155" s="15"/>
      <c r="C155" s="16"/>
      <c r="D155" s="16"/>
      <c r="E155" s="16"/>
      <c r="F155" s="16"/>
      <c r="G155" s="29"/>
      <c r="H155" s="16"/>
      <c r="I155" s="205"/>
      <c r="J155" s="153"/>
      <c r="K155" s="89" t="str">
        <f t="shared" si="15"/>
        <v/>
      </c>
      <c r="L155" s="88">
        <f t="shared" si="16"/>
        <v>1</v>
      </c>
      <c r="M155" s="90">
        <f t="shared" si="17"/>
        <v>0</v>
      </c>
      <c r="N155" s="31"/>
      <c r="O155" s="31"/>
      <c r="P155" s="31"/>
      <c r="Q155" s="31"/>
    </row>
    <row r="156" spans="1:17" ht="30.1" customHeight="1" x14ac:dyDescent="0.3">
      <c r="A156" s="21">
        <v>89</v>
      </c>
      <c r="B156" s="15"/>
      <c r="C156" s="16"/>
      <c r="D156" s="16"/>
      <c r="E156" s="16"/>
      <c r="F156" s="16"/>
      <c r="G156" s="29"/>
      <c r="H156" s="16"/>
      <c r="I156" s="205"/>
      <c r="J156" s="153"/>
      <c r="K156" s="89" t="str">
        <f t="shared" si="15"/>
        <v/>
      </c>
      <c r="L156" s="88">
        <f t="shared" si="16"/>
        <v>1</v>
      </c>
      <c r="M156" s="90">
        <f t="shared" si="17"/>
        <v>0</v>
      </c>
      <c r="N156" s="165"/>
      <c r="O156" s="165"/>
      <c r="P156" s="31"/>
      <c r="Q156" s="31"/>
    </row>
    <row r="157" spans="1:17" ht="30.1" customHeight="1" thickBot="1" x14ac:dyDescent="0.35">
      <c r="A157" s="22">
        <v>90</v>
      </c>
      <c r="B157" s="17"/>
      <c r="C157" s="18"/>
      <c r="D157" s="18"/>
      <c r="E157" s="18"/>
      <c r="F157" s="18"/>
      <c r="G157" s="30"/>
      <c r="H157" s="18"/>
      <c r="I157" s="206"/>
      <c r="J157" s="154"/>
      <c r="K157" s="89" t="str">
        <f t="shared" si="15"/>
        <v/>
      </c>
      <c r="L157" s="88">
        <f t="shared" si="16"/>
        <v>1</v>
      </c>
      <c r="M157" s="90">
        <f t="shared" si="17"/>
        <v>0</v>
      </c>
      <c r="N157" s="91">
        <f>IF(COUNTA(G143:J157)&gt;0,1,0)</f>
        <v>0</v>
      </c>
      <c r="O157" s="31"/>
      <c r="P157" s="31"/>
      <c r="Q157" s="31"/>
    </row>
    <row r="158" spans="1:17" ht="30.1" customHeight="1" thickBot="1" x14ac:dyDescent="0.35">
      <c r="A158" s="373" t="s">
        <v>139</v>
      </c>
      <c r="B158" s="373"/>
      <c r="C158" s="373"/>
      <c r="D158" s="373"/>
      <c r="E158" s="373"/>
      <c r="F158" s="373"/>
      <c r="G158" s="374"/>
      <c r="H158" s="4" t="s">
        <v>42</v>
      </c>
      <c r="I158" s="156">
        <f>SUM(I143:I157)+I131</f>
        <v>0</v>
      </c>
      <c r="J158" s="156">
        <f>SUM(J143:J157)+J131</f>
        <v>0</v>
      </c>
      <c r="K158" s="167"/>
      <c r="L158" s="87">
        <f>IF(J158&gt;J131,ROW(A162),0)</f>
        <v>0</v>
      </c>
      <c r="M158" s="31"/>
      <c r="N158" s="31"/>
      <c r="O158" s="31"/>
      <c r="P158" s="31"/>
      <c r="Q158" s="31"/>
    </row>
    <row r="159" spans="1:17" ht="30.1" customHeight="1" x14ac:dyDescent="0.3">
      <c r="A159" s="19" t="s">
        <v>117</v>
      </c>
      <c r="B159" s="31"/>
      <c r="C159" s="31"/>
      <c r="D159" s="31"/>
      <c r="E159" s="31"/>
      <c r="F159" s="31"/>
      <c r="G159" s="168"/>
      <c r="H159" s="31"/>
      <c r="I159" s="31"/>
      <c r="J159" s="31"/>
      <c r="K159" s="167"/>
      <c r="L159" s="28"/>
      <c r="M159" s="31"/>
      <c r="N159" s="31"/>
      <c r="O159" s="31"/>
      <c r="P159" s="31"/>
      <c r="Q159" s="31"/>
    </row>
    <row r="160" spans="1:17" ht="30.1" customHeight="1" x14ac:dyDescent="0.3">
      <c r="A160" s="31"/>
      <c r="B160" s="31"/>
      <c r="C160" s="31"/>
      <c r="D160" s="31"/>
      <c r="E160" s="31"/>
      <c r="F160" s="31"/>
      <c r="G160" s="168"/>
      <c r="H160" s="31"/>
      <c r="I160" s="31"/>
      <c r="J160" s="31"/>
      <c r="K160" s="32"/>
      <c r="L160" s="28"/>
      <c r="M160" s="31"/>
      <c r="N160" s="31"/>
      <c r="O160" s="31"/>
      <c r="P160" s="31"/>
      <c r="Q160" s="31"/>
    </row>
    <row r="161" spans="1:17" ht="30.1" customHeight="1" x14ac:dyDescent="0.35">
      <c r="A161" s="31"/>
      <c r="B161" s="247" t="s">
        <v>39</v>
      </c>
      <c r="C161" s="248">
        <f ca="1">IF(imzatarihi&gt;0,imzatarihi,"")</f>
        <v>45686</v>
      </c>
      <c r="D161" s="250" t="s">
        <v>158</v>
      </c>
      <c r="E161" s="245" t="str">
        <f>IF(kurulusyetkilisi&gt;0,kurulusyetkilisi,"")</f>
        <v/>
      </c>
      <c r="F161" s="31"/>
      <c r="G161" s="168"/>
      <c r="H161" s="31"/>
      <c r="I161" s="31"/>
      <c r="J161" s="31"/>
      <c r="K161" s="32"/>
      <c r="L161" s="28"/>
      <c r="M161" s="31"/>
      <c r="N161" s="31"/>
      <c r="O161" s="31"/>
      <c r="P161" s="31"/>
      <c r="Q161" s="31"/>
    </row>
    <row r="162" spans="1:17" ht="30.1" customHeight="1" x14ac:dyDescent="0.35">
      <c r="A162" s="31"/>
      <c r="B162" s="249"/>
      <c r="C162" s="249"/>
      <c r="D162" s="250" t="s">
        <v>157</v>
      </c>
      <c r="E162" s="247"/>
      <c r="F162" s="31"/>
      <c r="G162" s="168"/>
      <c r="H162" s="31"/>
      <c r="I162" s="31"/>
      <c r="J162" s="31"/>
      <c r="K162" s="32"/>
      <c r="L162" s="28"/>
      <c r="M162" s="31"/>
      <c r="N162" s="31"/>
      <c r="O162" s="31"/>
      <c r="P162" s="31"/>
      <c r="Q162" s="31"/>
    </row>
    <row r="163" spans="1:17" ht="30.1" customHeight="1" x14ac:dyDescent="0.3">
      <c r="A163" s="31"/>
      <c r="B163" s="31"/>
      <c r="C163" s="31"/>
      <c r="D163" s="31"/>
      <c r="E163" s="31"/>
      <c r="F163" s="31"/>
      <c r="G163" s="168"/>
      <c r="H163" s="31"/>
      <c r="I163" s="31"/>
      <c r="J163" s="31"/>
      <c r="K163" s="32"/>
      <c r="L163" s="28"/>
      <c r="M163" s="31"/>
      <c r="N163" s="31"/>
      <c r="O163" s="31"/>
      <c r="P163" s="31"/>
      <c r="Q163" s="31"/>
    </row>
    <row r="164" spans="1:17" ht="30.1" customHeight="1" x14ac:dyDescent="0.3">
      <c r="A164" s="31"/>
      <c r="B164" s="31"/>
      <c r="C164" s="31"/>
      <c r="D164" s="31"/>
      <c r="E164" s="31"/>
      <c r="F164" s="31"/>
      <c r="G164" s="168"/>
      <c r="H164" s="31"/>
      <c r="I164" s="31"/>
      <c r="J164" s="31"/>
      <c r="K164" s="32"/>
      <c r="L164" s="28"/>
      <c r="M164" s="31"/>
      <c r="N164" s="31"/>
      <c r="O164" s="31"/>
      <c r="P164" s="31"/>
      <c r="Q164" s="31"/>
    </row>
    <row r="165" spans="1:17" ht="30.1" customHeight="1" x14ac:dyDescent="0.3">
      <c r="A165" s="31"/>
      <c r="B165" s="31"/>
      <c r="C165" s="31"/>
      <c r="D165" s="31"/>
      <c r="E165" s="31"/>
      <c r="F165" s="31"/>
      <c r="G165" s="168"/>
      <c r="H165" s="31"/>
      <c r="I165" s="31"/>
      <c r="J165" s="31"/>
      <c r="K165" s="32"/>
      <c r="L165" s="28"/>
      <c r="M165" s="31"/>
      <c r="N165" s="31"/>
      <c r="O165" s="31"/>
      <c r="P165" s="31"/>
      <c r="Q165" s="31"/>
    </row>
    <row r="166" spans="1:17" ht="30.1" customHeight="1" x14ac:dyDescent="0.3">
      <c r="A166" s="31"/>
      <c r="B166" s="31"/>
      <c r="C166" s="31"/>
      <c r="D166" s="31"/>
      <c r="E166" s="31"/>
      <c r="F166" s="31"/>
      <c r="G166" s="168"/>
      <c r="H166" s="31"/>
      <c r="I166" s="31"/>
      <c r="J166" s="31"/>
      <c r="K166" s="32"/>
      <c r="L166" s="28"/>
      <c r="M166" s="31"/>
      <c r="N166" s="31"/>
      <c r="O166" s="31"/>
      <c r="P166" s="31"/>
      <c r="Q166" s="31"/>
    </row>
    <row r="167" spans="1:17" ht="30.1" customHeight="1" x14ac:dyDescent="0.3">
      <c r="A167" s="31"/>
      <c r="B167" s="31"/>
      <c r="C167" s="31"/>
      <c r="D167" s="31"/>
      <c r="E167" s="31"/>
      <c r="F167" s="31"/>
      <c r="G167" s="168"/>
      <c r="H167" s="31"/>
      <c r="I167" s="31"/>
      <c r="J167" s="31"/>
      <c r="K167" s="32"/>
      <c r="L167" s="28"/>
      <c r="M167" s="31"/>
      <c r="N167" s="31"/>
      <c r="O167" s="31"/>
      <c r="P167" s="31"/>
      <c r="Q167" s="31"/>
    </row>
    <row r="168" spans="1:17" ht="30.1" customHeight="1" x14ac:dyDescent="0.3">
      <c r="A168" s="31"/>
      <c r="B168" s="31"/>
      <c r="C168" s="31"/>
      <c r="D168" s="31"/>
      <c r="E168" s="31"/>
      <c r="F168" s="31"/>
      <c r="G168" s="168"/>
      <c r="H168" s="31"/>
      <c r="I168" s="31"/>
      <c r="J168" s="31"/>
      <c r="K168" s="32"/>
      <c r="L168" s="28"/>
      <c r="M168" s="31"/>
      <c r="N168" s="31"/>
      <c r="O168" s="31"/>
      <c r="P168" s="31"/>
      <c r="Q168" s="31"/>
    </row>
    <row r="169" spans="1:17" ht="30.1" customHeight="1" x14ac:dyDescent="0.3">
      <c r="A169" s="31"/>
      <c r="B169" s="31"/>
      <c r="C169" s="31"/>
      <c r="D169" s="31"/>
      <c r="E169" s="31"/>
      <c r="F169" s="31"/>
      <c r="G169" s="168"/>
      <c r="H169" s="31"/>
      <c r="I169" s="31"/>
      <c r="J169" s="31"/>
      <c r="K169" s="32"/>
      <c r="L169" s="28"/>
      <c r="M169" s="31"/>
      <c r="N169" s="31"/>
      <c r="O169" s="31"/>
      <c r="P169" s="31"/>
      <c r="Q169" s="31"/>
    </row>
    <row r="170" spans="1:17" ht="30.1" customHeight="1" x14ac:dyDescent="0.3">
      <c r="A170" s="31"/>
      <c r="B170" s="31"/>
      <c r="C170" s="31"/>
      <c r="D170" s="31"/>
      <c r="E170" s="31"/>
      <c r="F170" s="31"/>
      <c r="G170" s="168"/>
      <c r="H170" s="31"/>
      <c r="I170" s="31"/>
      <c r="J170" s="31"/>
      <c r="K170" s="32"/>
      <c r="L170" s="28"/>
      <c r="M170" s="31"/>
      <c r="N170" s="31"/>
      <c r="O170" s="31"/>
      <c r="P170" s="31"/>
      <c r="Q170" s="31"/>
    </row>
    <row r="171" spans="1:17" ht="30.1" customHeight="1" x14ac:dyDescent="0.3">
      <c r="A171" s="31"/>
      <c r="B171" s="31"/>
      <c r="C171" s="31"/>
      <c r="D171" s="31"/>
      <c r="E171" s="31"/>
      <c r="F171" s="31"/>
      <c r="G171" s="168"/>
      <c r="H171" s="31"/>
      <c r="I171" s="31"/>
      <c r="J171" s="31"/>
      <c r="K171" s="32"/>
      <c r="L171" s="28"/>
      <c r="M171" s="31"/>
      <c r="N171" s="31"/>
      <c r="O171" s="31"/>
      <c r="P171" s="31"/>
      <c r="Q171" s="31"/>
    </row>
    <row r="172" spans="1:17" ht="30.1" customHeight="1" x14ac:dyDescent="0.3">
      <c r="A172" s="31"/>
      <c r="B172" s="31"/>
      <c r="C172" s="31"/>
      <c r="D172" s="31"/>
      <c r="E172" s="31"/>
      <c r="F172" s="31"/>
      <c r="G172" s="168"/>
      <c r="H172" s="31"/>
      <c r="I172" s="31"/>
      <c r="J172" s="31"/>
      <c r="K172" s="32"/>
      <c r="L172" s="28"/>
      <c r="M172" s="31"/>
      <c r="N172" s="31"/>
      <c r="O172" s="31"/>
      <c r="P172" s="31"/>
      <c r="Q172" s="31"/>
    </row>
    <row r="173" spans="1:17" ht="30.1" customHeight="1" x14ac:dyDescent="0.3">
      <c r="A173" s="31"/>
      <c r="B173" s="31"/>
      <c r="C173" s="31"/>
      <c r="D173" s="31"/>
      <c r="E173" s="31"/>
      <c r="F173" s="31"/>
      <c r="G173" s="168"/>
      <c r="H173" s="31"/>
      <c r="I173" s="31"/>
      <c r="J173" s="31"/>
      <c r="K173" s="32"/>
      <c r="L173" s="28"/>
      <c r="M173" s="31"/>
      <c r="N173" s="31"/>
      <c r="O173" s="31"/>
      <c r="P173" s="31"/>
      <c r="Q173" s="31"/>
    </row>
    <row r="174" spans="1:17" ht="30.1" customHeight="1" x14ac:dyDescent="0.3">
      <c r="A174" s="31"/>
      <c r="B174" s="31"/>
      <c r="C174" s="31"/>
      <c r="D174" s="31"/>
      <c r="E174" s="31"/>
      <c r="F174" s="31"/>
      <c r="G174" s="168"/>
      <c r="H174" s="31"/>
      <c r="I174" s="31"/>
      <c r="J174" s="31"/>
      <c r="K174" s="32"/>
      <c r="L174" s="28"/>
      <c r="M174" s="31"/>
      <c r="N174" s="31"/>
      <c r="O174" s="31"/>
      <c r="P174" s="31"/>
      <c r="Q174" s="31"/>
    </row>
    <row r="175" spans="1:17" ht="30.1" customHeight="1" x14ac:dyDescent="0.3">
      <c r="A175" s="31"/>
      <c r="B175" s="31"/>
      <c r="C175" s="31"/>
      <c r="D175" s="31"/>
      <c r="E175" s="31"/>
      <c r="F175" s="31"/>
      <c r="G175" s="168"/>
      <c r="H175" s="31"/>
      <c r="I175" s="31"/>
      <c r="J175" s="31"/>
      <c r="K175" s="32"/>
      <c r="L175" s="28"/>
      <c r="M175" s="31"/>
      <c r="N175" s="31"/>
      <c r="O175" s="31"/>
      <c r="P175" s="31"/>
      <c r="Q175" s="31"/>
    </row>
    <row r="176" spans="1:17" ht="30.1" customHeight="1" x14ac:dyDescent="0.3">
      <c r="A176" s="31"/>
      <c r="B176" s="31"/>
      <c r="C176" s="31"/>
      <c r="D176" s="31"/>
      <c r="E176" s="31"/>
      <c r="F176" s="31"/>
      <c r="G176" s="168"/>
      <c r="H176" s="31"/>
      <c r="I176" s="31"/>
      <c r="J176" s="31"/>
      <c r="K176" s="32"/>
      <c r="L176" s="28"/>
      <c r="M176" s="31"/>
      <c r="N176" s="31"/>
      <c r="O176" s="31"/>
      <c r="P176" s="31"/>
      <c r="Q176" s="31"/>
    </row>
    <row r="177" spans="1:17" ht="30.1" customHeight="1" x14ac:dyDescent="0.3">
      <c r="A177" s="31"/>
      <c r="B177" s="31"/>
      <c r="C177" s="31"/>
      <c r="D177" s="31"/>
      <c r="E177" s="31"/>
      <c r="F177" s="31"/>
      <c r="G177" s="168"/>
      <c r="H177" s="31"/>
      <c r="I177" s="31"/>
      <c r="J177" s="31"/>
      <c r="K177" s="32"/>
      <c r="L177" s="28"/>
      <c r="M177" s="31"/>
      <c r="N177" s="31"/>
      <c r="O177" s="31"/>
      <c r="P177" s="31"/>
      <c r="Q177" s="31"/>
    </row>
    <row r="178" spans="1:17" ht="30.1" customHeight="1" x14ac:dyDescent="0.3">
      <c r="A178" s="31"/>
      <c r="B178" s="31"/>
      <c r="C178" s="31"/>
      <c r="D178" s="31"/>
      <c r="E178" s="31"/>
      <c r="F178" s="31"/>
      <c r="G178" s="168"/>
      <c r="H178" s="31"/>
      <c r="I178" s="31"/>
      <c r="J178" s="31"/>
      <c r="K178" s="32"/>
      <c r="L178" s="28"/>
      <c r="M178" s="31"/>
      <c r="N178" s="31"/>
      <c r="O178" s="31"/>
      <c r="P178" s="31"/>
      <c r="Q178" s="31"/>
    </row>
    <row r="179" spans="1:17" ht="30.1" customHeight="1" x14ac:dyDescent="0.3">
      <c r="A179" s="31"/>
      <c r="B179" s="31"/>
      <c r="C179" s="31"/>
      <c r="D179" s="31"/>
      <c r="E179" s="31"/>
      <c r="F179" s="31"/>
      <c r="G179" s="168"/>
      <c r="H179" s="31"/>
      <c r="I179" s="31"/>
      <c r="J179" s="31"/>
      <c r="K179" s="32"/>
      <c r="L179" s="28"/>
      <c r="M179" s="31"/>
      <c r="N179" s="31"/>
      <c r="O179" s="31"/>
      <c r="P179" s="31"/>
      <c r="Q179" s="31"/>
    </row>
    <row r="180" spans="1:17" ht="30.1" customHeight="1" x14ac:dyDescent="0.3">
      <c r="A180" s="31"/>
      <c r="B180" s="31"/>
      <c r="C180" s="31"/>
      <c r="D180" s="31"/>
      <c r="E180" s="31"/>
      <c r="F180" s="31"/>
      <c r="G180" s="168"/>
      <c r="H180" s="31"/>
      <c r="I180" s="31"/>
      <c r="J180" s="31"/>
      <c r="K180" s="32"/>
      <c r="L180" s="28"/>
      <c r="M180" s="31"/>
      <c r="N180" s="31"/>
      <c r="O180" s="31"/>
      <c r="P180" s="31"/>
      <c r="Q180" s="31"/>
    </row>
    <row r="181" spans="1:17" ht="30.1" customHeight="1" x14ac:dyDescent="0.3">
      <c r="A181" s="31"/>
      <c r="B181" s="31"/>
      <c r="C181" s="31"/>
      <c r="D181" s="31"/>
      <c r="E181" s="31"/>
      <c r="F181" s="31"/>
      <c r="G181" s="168"/>
      <c r="H181" s="31"/>
      <c r="I181" s="31"/>
      <c r="J181" s="31"/>
      <c r="K181" s="32"/>
      <c r="L181" s="28"/>
      <c r="M181" s="31"/>
      <c r="N181" s="31"/>
      <c r="O181" s="31"/>
      <c r="P181" s="31"/>
      <c r="Q181" s="31"/>
    </row>
    <row r="182" spans="1:17" ht="30.1" customHeight="1" x14ac:dyDescent="0.3">
      <c r="A182" s="31"/>
      <c r="B182" s="31"/>
      <c r="C182" s="31"/>
      <c r="D182" s="31"/>
      <c r="E182" s="31"/>
      <c r="F182" s="31"/>
      <c r="G182" s="168"/>
      <c r="H182" s="31"/>
      <c r="I182" s="31"/>
      <c r="J182" s="31"/>
      <c r="K182" s="32"/>
      <c r="L182" s="28"/>
      <c r="M182" s="31"/>
      <c r="N182" s="31"/>
      <c r="O182" s="31"/>
      <c r="P182" s="31"/>
      <c r="Q182" s="31"/>
    </row>
    <row r="183" spans="1:17" ht="30.1" customHeight="1" x14ac:dyDescent="0.3">
      <c r="A183" s="31"/>
      <c r="B183" s="31"/>
      <c r="C183" s="31"/>
      <c r="D183" s="31"/>
      <c r="E183" s="31"/>
      <c r="F183" s="31"/>
      <c r="G183" s="168"/>
      <c r="H183" s="31"/>
      <c r="I183" s="31"/>
      <c r="J183" s="31"/>
      <c r="K183" s="32"/>
      <c r="L183" s="28"/>
      <c r="M183" s="31"/>
      <c r="N183" s="31"/>
      <c r="O183" s="31"/>
      <c r="P183" s="31"/>
      <c r="Q183" s="31"/>
    </row>
    <row r="184" spans="1:17" ht="30.1" customHeight="1" x14ac:dyDescent="0.3">
      <c r="A184" s="31"/>
      <c r="B184" s="31"/>
      <c r="C184" s="31"/>
      <c r="D184" s="31"/>
      <c r="E184" s="31"/>
      <c r="F184" s="31"/>
      <c r="G184" s="168"/>
      <c r="H184" s="31"/>
      <c r="I184" s="31"/>
      <c r="J184" s="31"/>
      <c r="K184" s="32"/>
      <c r="L184" s="28"/>
      <c r="M184" s="31"/>
      <c r="N184" s="31"/>
      <c r="O184" s="31"/>
      <c r="P184" s="31"/>
      <c r="Q184" s="31"/>
    </row>
    <row r="185" spans="1:17" ht="30.1" customHeight="1" x14ac:dyDescent="0.3">
      <c r="A185" s="31"/>
      <c r="B185" s="31"/>
      <c r="C185" s="31"/>
      <c r="D185" s="31"/>
      <c r="E185" s="31"/>
      <c r="F185" s="31"/>
      <c r="G185" s="168"/>
      <c r="H185" s="31"/>
      <c r="I185" s="31"/>
      <c r="J185" s="31"/>
      <c r="K185" s="32"/>
      <c r="L185" s="28"/>
      <c r="M185" s="31"/>
      <c r="N185" s="31"/>
      <c r="O185" s="31"/>
      <c r="P185" s="31"/>
      <c r="Q185" s="31"/>
    </row>
    <row r="186" spans="1:17" ht="30.1" customHeight="1" x14ac:dyDescent="0.3">
      <c r="A186" s="31"/>
      <c r="B186" s="31"/>
      <c r="C186" s="31"/>
      <c r="D186" s="31"/>
      <c r="E186" s="31"/>
      <c r="F186" s="31"/>
      <c r="G186" s="168"/>
      <c r="H186" s="31"/>
      <c r="I186" s="31"/>
      <c r="J186" s="31"/>
      <c r="K186" s="32"/>
      <c r="L186" s="28"/>
      <c r="M186" s="31"/>
      <c r="N186" s="165"/>
      <c r="O186" s="165"/>
      <c r="P186" s="31"/>
      <c r="Q186" s="31"/>
    </row>
    <row r="187" spans="1:17" ht="30.1" customHeight="1" x14ac:dyDescent="0.3">
      <c r="A187" s="31"/>
      <c r="B187" s="31"/>
      <c r="C187" s="31"/>
      <c r="D187" s="31"/>
      <c r="E187" s="31"/>
      <c r="F187" s="31"/>
      <c r="G187" s="168"/>
      <c r="H187" s="31"/>
      <c r="I187" s="31"/>
      <c r="J187" s="31"/>
      <c r="K187" s="32"/>
      <c r="L187" s="28"/>
      <c r="M187" s="31"/>
      <c r="N187" s="31"/>
      <c r="O187" s="31"/>
      <c r="P187" s="31"/>
      <c r="Q187" s="31"/>
    </row>
    <row r="188" spans="1:17" ht="30.1" customHeight="1" x14ac:dyDescent="0.3">
      <c r="A188" s="31"/>
      <c r="B188" s="31"/>
      <c r="C188" s="31"/>
      <c r="D188" s="31"/>
      <c r="E188" s="31"/>
      <c r="F188" s="31"/>
      <c r="G188" s="168"/>
      <c r="H188" s="31"/>
      <c r="I188" s="31"/>
      <c r="J188" s="31"/>
      <c r="K188" s="32"/>
      <c r="L188" s="28"/>
      <c r="M188" s="31"/>
      <c r="N188" s="31"/>
      <c r="O188" s="31"/>
      <c r="P188" s="31"/>
      <c r="Q188" s="31"/>
    </row>
    <row r="189" spans="1:17" ht="30.1" customHeight="1" x14ac:dyDescent="0.3">
      <c r="A189" s="31"/>
      <c r="B189" s="31"/>
      <c r="C189" s="31"/>
      <c r="D189" s="31"/>
      <c r="E189" s="31"/>
      <c r="F189" s="31"/>
      <c r="G189" s="168"/>
      <c r="H189" s="31"/>
      <c r="I189" s="31"/>
      <c r="J189" s="31"/>
      <c r="K189" s="32"/>
      <c r="L189" s="28"/>
      <c r="M189" s="31"/>
      <c r="N189" s="31"/>
      <c r="O189" s="31"/>
      <c r="P189" s="31"/>
      <c r="Q189" s="31"/>
    </row>
    <row r="190" spans="1:17" ht="30.1" customHeight="1" x14ac:dyDescent="0.3">
      <c r="A190" s="31"/>
      <c r="B190" s="31"/>
      <c r="C190" s="31"/>
      <c r="D190" s="31"/>
      <c r="E190" s="31"/>
      <c r="F190" s="31"/>
      <c r="G190" s="168"/>
      <c r="H190" s="31"/>
      <c r="I190" s="31"/>
      <c r="J190" s="31"/>
      <c r="K190" s="32"/>
      <c r="L190" s="28"/>
      <c r="M190" s="31"/>
      <c r="N190" s="31"/>
      <c r="O190" s="31"/>
      <c r="P190" s="31"/>
      <c r="Q190" s="31"/>
    </row>
    <row r="191" spans="1:17" ht="30.1" customHeight="1" x14ac:dyDescent="0.3">
      <c r="A191" s="31"/>
      <c r="B191" s="31"/>
      <c r="C191" s="31"/>
      <c r="D191" s="31"/>
      <c r="E191" s="31"/>
      <c r="F191" s="31"/>
      <c r="G191" s="168"/>
      <c r="H191" s="31"/>
      <c r="I191" s="31"/>
      <c r="J191" s="31"/>
      <c r="K191" s="32"/>
      <c r="L191" s="28"/>
      <c r="M191" s="31"/>
      <c r="N191" s="31"/>
      <c r="O191" s="31"/>
      <c r="P191" s="31"/>
      <c r="Q191" s="31"/>
    </row>
    <row r="192" spans="1:17" ht="30.1" customHeight="1" x14ac:dyDescent="0.3">
      <c r="A192" s="31"/>
      <c r="B192" s="31"/>
      <c r="C192" s="31"/>
      <c r="D192" s="31"/>
      <c r="E192" s="31"/>
      <c r="F192" s="31"/>
      <c r="G192" s="168"/>
      <c r="H192" s="31"/>
      <c r="I192" s="31"/>
      <c r="J192" s="31"/>
      <c r="K192" s="32"/>
      <c r="L192" s="28"/>
      <c r="M192" s="31"/>
      <c r="N192" s="31"/>
      <c r="O192" s="31"/>
      <c r="P192" s="31"/>
      <c r="Q192" s="31"/>
    </row>
    <row r="193" spans="1:17" ht="30.1" customHeight="1" x14ac:dyDescent="0.3">
      <c r="A193" s="31"/>
      <c r="B193" s="31"/>
      <c r="C193" s="31"/>
      <c r="D193" s="31"/>
      <c r="E193" s="31"/>
      <c r="F193" s="31"/>
      <c r="G193" s="168"/>
      <c r="H193" s="31"/>
      <c r="I193" s="31"/>
      <c r="J193" s="31"/>
      <c r="K193" s="32"/>
      <c r="L193" s="28"/>
      <c r="M193" s="31"/>
      <c r="N193" s="31"/>
      <c r="O193" s="31"/>
      <c r="P193" s="31"/>
      <c r="Q193" s="31"/>
    </row>
    <row r="194" spans="1:17" ht="30.1" customHeight="1" x14ac:dyDescent="0.3">
      <c r="A194" s="31"/>
      <c r="B194" s="31"/>
      <c r="C194" s="31"/>
      <c r="D194" s="31"/>
      <c r="E194" s="31"/>
      <c r="F194" s="31"/>
      <c r="G194" s="168"/>
      <c r="H194" s="31"/>
      <c r="I194" s="31"/>
      <c r="J194" s="31"/>
      <c r="K194" s="32"/>
      <c r="L194" s="28"/>
      <c r="M194" s="31"/>
      <c r="N194" s="31"/>
      <c r="O194" s="31"/>
      <c r="P194" s="31"/>
      <c r="Q194" s="31"/>
    </row>
    <row r="195" spans="1:17" ht="30.1" customHeight="1" x14ac:dyDescent="0.3">
      <c r="A195" s="31"/>
      <c r="B195" s="31"/>
      <c r="C195" s="31"/>
      <c r="D195" s="31"/>
      <c r="E195" s="31"/>
      <c r="F195" s="31"/>
      <c r="G195" s="168"/>
      <c r="H195" s="31"/>
      <c r="I195" s="31"/>
      <c r="J195" s="31"/>
      <c r="K195" s="32"/>
      <c r="L195" s="28"/>
      <c r="M195" s="31"/>
      <c r="N195" s="31"/>
      <c r="O195" s="31"/>
      <c r="P195" s="31"/>
      <c r="Q195" s="31"/>
    </row>
    <row r="196" spans="1:17" ht="30.1" customHeight="1" x14ac:dyDescent="0.3">
      <c r="A196" s="31"/>
      <c r="B196" s="31"/>
      <c r="C196" s="31"/>
      <c r="D196" s="31"/>
      <c r="E196" s="31"/>
      <c r="F196" s="31"/>
      <c r="G196" s="168"/>
      <c r="H196" s="31"/>
      <c r="I196" s="31"/>
      <c r="J196" s="31"/>
      <c r="K196" s="32"/>
      <c r="L196" s="28"/>
      <c r="M196" s="31"/>
      <c r="N196" s="31"/>
      <c r="O196" s="31"/>
      <c r="P196" s="31"/>
      <c r="Q196" s="31"/>
    </row>
    <row r="197" spans="1:17" ht="30.1" customHeight="1" x14ac:dyDescent="0.3">
      <c r="A197" s="31"/>
      <c r="B197" s="31"/>
      <c r="C197" s="31"/>
      <c r="D197" s="31"/>
      <c r="E197" s="31"/>
      <c r="F197" s="31"/>
      <c r="G197" s="168"/>
      <c r="H197" s="31"/>
      <c r="I197" s="31"/>
      <c r="J197" s="31"/>
      <c r="K197" s="32"/>
      <c r="L197" s="28"/>
      <c r="M197" s="31"/>
      <c r="N197" s="31"/>
      <c r="O197" s="31"/>
      <c r="P197" s="31"/>
      <c r="Q197" s="31"/>
    </row>
    <row r="198" spans="1:17" ht="30.1" customHeight="1" x14ac:dyDescent="0.3">
      <c r="A198" s="31"/>
      <c r="B198" s="31"/>
      <c r="C198" s="31"/>
      <c r="D198" s="31"/>
      <c r="E198" s="31"/>
      <c r="F198" s="31"/>
      <c r="G198" s="168"/>
      <c r="H198" s="31"/>
      <c r="I198" s="31"/>
      <c r="J198" s="31"/>
      <c r="K198" s="32"/>
      <c r="L198" s="28"/>
      <c r="M198" s="31"/>
      <c r="N198" s="31"/>
      <c r="O198" s="31"/>
      <c r="P198" s="31"/>
      <c r="Q198" s="31"/>
    </row>
    <row r="199" spans="1:17" ht="30.1" customHeight="1" x14ac:dyDescent="0.3">
      <c r="A199" s="31"/>
      <c r="B199" s="31"/>
      <c r="C199" s="31"/>
      <c r="D199" s="31"/>
      <c r="E199" s="31"/>
      <c r="F199" s="31"/>
      <c r="G199" s="168"/>
      <c r="H199" s="31"/>
      <c r="I199" s="31"/>
      <c r="J199" s="31"/>
      <c r="K199" s="32"/>
      <c r="L199" s="28"/>
      <c r="M199" s="31"/>
      <c r="N199" s="31"/>
      <c r="O199" s="31"/>
      <c r="P199" s="31"/>
      <c r="Q199" s="31"/>
    </row>
    <row r="200" spans="1:17" ht="30.1" customHeight="1" x14ac:dyDescent="0.3">
      <c r="A200" s="31"/>
      <c r="B200" s="31"/>
      <c r="C200" s="31"/>
      <c r="D200" s="31"/>
      <c r="E200" s="31"/>
      <c r="F200" s="31"/>
      <c r="G200" s="168"/>
      <c r="H200" s="31"/>
      <c r="I200" s="31"/>
      <c r="J200" s="31"/>
      <c r="K200" s="32"/>
      <c r="L200" s="28"/>
      <c r="M200" s="31"/>
      <c r="N200" s="31"/>
      <c r="O200" s="31"/>
      <c r="P200" s="31"/>
      <c r="Q200" s="31"/>
    </row>
    <row r="201" spans="1:17" ht="30.1" customHeight="1" x14ac:dyDescent="0.3">
      <c r="A201" s="31"/>
      <c r="B201" s="31"/>
      <c r="C201" s="31"/>
      <c r="D201" s="31"/>
      <c r="E201" s="31"/>
      <c r="F201" s="31"/>
      <c r="G201" s="168"/>
      <c r="H201" s="31"/>
      <c r="I201" s="31"/>
      <c r="J201" s="31"/>
      <c r="K201" s="32"/>
      <c r="L201" s="28"/>
      <c r="M201" s="31"/>
      <c r="N201" s="31"/>
      <c r="O201" s="31"/>
      <c r="P201" s="31"/>
      <c r="Q201" s="31"/>
    </row>
    <row r="202" spans="1:17" ht="30.1" customHeight="1" x14ac:dyDescent="0.3">
      <c r="A202" s="31"/>
      <c r="B202" s="31"/>
      <c r="C202" s="31"/>
      <c r="D202" s="31"/>
      <c r="E202" s="31"/>
      <c r="F202" s="31"/>
      <c r="G202" s="168"/>
      <c r="H202" s="31"/>
      <c r="I202" s="31"/>
      <c r="J202" s="31"/>
      <c r="K202" s="32"/>
      <c r="L202" s="28"/>
      <c r="M202" s="31"/>
      <c r="N202" s="31"/>
      <c r="O202" s="31"/>
      <c r="P202" s="31"/>
      <c r="Q202" s="31"/>
    </row>
  </sheetData>
  <sheetProtection algorithmName="SHA-512" hashValue="Qq+wijwvMFJ9We+5amgpfShWMrffQ4iXOw3E2KR74wcaLbHk7ZD80XpBX/aNCJMgUUUaROk//XHBh+12eTX06Q==" saltValue="6iMhEgZdEny7mfAagqSfPQ==" spinCount="100000" sheet="1" objects="1" scenarios="1"/>
  <mergeCells count="96">
    <mergeCell ref="F6:F7"/>
    <mergeCell ref="G6:G7"/>
    <mergeCell ref="H6:H7"/>
    <mergeCell ref="A6:A7"/>
    <mergeCell ref="B6:B7"/>
    <mergeCell ref="C6:C7"/>
    <mergeCell ref="D6:D7"/>
    <mergeCell ref="E6:E7"/>
    <mergeCell ref="A5:B5"/>
    <mergeCell ref="C5:J5"/>
    <mergeCell ref="A1:J1"/>
    <mergeCell ref="A2:J2"/>
    <mergeCell ref="A3:J3"/>
    <mergeCell ref="A4:B4"/>
    <mergeCell ref="C4:J4"/>
    <mergeCell ref="A28:J28"/>
    <mergeCell ref="A29:J29"/>
    <mergeCell ref="A30:J30"/>
    <mergeCell ref="A31:B31"/>
    <mergeCell ref="C31:J31"/>
    <mergeCell ref="C32:J32"/>
    <mergeCell ref="A33:A34"/>
    <mergeCell ref="B33:B34"/>
    <mergeCell ref="C33:C34"/>
    <mergeCell ref="D33:D34"/>
    <mergeCell ref="E33:E34"/>
    <mergeCell ref="F33:F34"/>
    <mergeCell ref="G33:G34"/>
    <mergeCell ref="H33:H34"/>
    <mergeCell ref="A32:B32"/>
    <mergeCell ref="A55:J55"/>
    <mergeCell ref="A56:J56"/>
    <mergeCell ref="A57:J57"/>
    <mergeCell ref="A58:B58"/>
    <mergeCell ref="C58:J58"/>
    <mergeCell ref="F87:F88"/>
    <mergeCell ref="G87:G88"/>
    <mergeCell ref="H87:H88"/>
    <mergeCell ref="A59:B59"/>
    <mergeCell ref="C59:J59"/>
    <mergeCell ref="A60:A61"/>
    <mergeCell ref="B60:B61"/>
    <mergeCell ref="C60:C61"/>
    <mergeCell ref="D60:D61"/>
    <mergeCell ref="E60:E61"/>
    <mergeCell ref="F60:F61"/>
    <mergeCell ref="G60:G61"/>
    <mergeCell ref="H60:H61"/>
    <mergeCell ref="C114:C115"/>
    <mergeCell ref="D114:D115"/>
    <mergeCell ref="E114:E115"/>
    <mergeCell ref="F114:F115"/>
    <mergeCell ref="A82:J82"/>
    <mergeCell ref="A83:J83"/>
    <mergeCell ref="A84:J84"/>
    <mergeCell ref="A85:B85"/>
    <mergeCell ref="C85:J85"/>
    <mergeCell ref="A86:B86"/>
    <mergeCell ref="C86:J86"/>
    <mergeCell ref="A87:A88"/>
    <mergeCell ref="B87:B88"/>
    <mergeCell ref="C87:C88"/>
    <mergeCell ref="D87:D88"/>
    <mergeCell ref="E87:E88"/>
    <mergeCell ref="A137:J137"/>
    <mergeCell ref="A138:J138"/>
    <mergeCell ref="A139:B139"/>
    <mergeCell ref="A109:J109"/>
    <mergeCell ref="A110:J110"/>
    <mergeCell ref="A111:J111"/>
    <mergeCell ref="A112:B112"/>
    <mergeCell ref="C112:J112"/>
    <mergeCell ref="C139:J139"/>
    <mergeCell ref="A113:B113"/>
    <mergeCell ref="C113:J113"/>
    <mergeCell ref="G114:G115"/>
    <mergeCell ref="H114:H115"/>
    <mergeCell ref="A131:G131"/>
    <mergeCell ref="A114:A115"/>
    <mergeCell ref="B114:B115"/>
    <mergeCell ref="A158:G158"/>
    <mergeCell ref="A104:G104"/>
    <mergeCell ref="A23:G23"/>
    <mergeCell ref="A50:G50"/>
    <mergeCell ref="A140:B140"/>
    <mergeCell ref="C140:J140"/>
    <mergeCell ref="A141:A142"/>
    <mergeCell ref="B141:B142"/>
    <mergeCell ref="C141:C142"/>
    <mergeCell ref="D141:D142"/>
    <mergeCell ref="E141:E142"/>
    <mergeCell ref="F141:F142"/>
    <mergeCell ref="G141:G142"/>
    <mergeCell ref="H141:H142"/>
    <mergeCell ref="A136:J136"/>
    <mergeCell ref="A77:G77"/>
  </mergeCells>
  <dataValidations count="2">
    <dataValidation type="decimal" allowBlank="1" showInputMessage="1" showErrorMessage="1" error="Belge Tarihi ve Belge Numarası doldurulduktan sonra KDV Dahil Tutar doldurulabilir." prompt="Belge Tarihi ve Belge Numarası doldurulduktan sonra KDV Dahil Tutar doldurulabilir." sqref="J8" xr:uid="{00000000-0002-0000-0E00-000000000000}">
      <formula1>0</formula1>
      <formula2>M8</formula2>
    </dataValidation>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143:J157 J35:J49 J62:J76 J89:J103 J116:J130 J9:J22" xr:uid="{00000000-0002-0000-0E00-000001000000}">
      <formula1>0</formula1>
      <formula2>M9</formula2>
    </dataValidation>
  </dataValidations>
  <pageMargins left="0.7" right="0.7" top="0.75" bottom="0.75" header="0.3" footer="0.3"/>
  <pageSetup paperSize="9" scale="41" orientation="landscape" r:id="rId1"/>
  <colBreaks count="1" manualBreakCount="1">
    <brk id="10" max="1048575" man="1"/>
  </colBreaks>
  <ignoredErrors>
    <ignoredError sqref="K1:K1048576"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
  <dimension ref="A1:I21"/>
  <sheetViews>
    <sheetView zoomScale="80" zoomScaleNormal="80" workbookViewId="0">
      <selection activeCell="E20" sqref="E20"/>
    </sheetView>
  </sheetViews>
  <sheetFormatPr defaultColWidth="8.875" defaultRowHeight="14.3" x14ac:dyDescent="0.25"/>
  <cols>
    <col min="1" max="1" width="5.625" customWidth="1"/>
    <col min="2" max="2" width="16.25" customWidth="1"/>
    <col min="3" max="3" width="9.75" customWidth="1"/>
    <col min="4" max="4" width="10.375" customWidth="1"/>
    <col min="5" max="5" width="9.125"/>
    <col min="6" max="8" width="22.75" customWidth="1"/>
  </cols>
  <sheetData>
    <row r="1" spans="1:8" s="31" customFormat="1" ht="32.1" customHeight="1" x14ac:dyDescent="0.3">
      <c r="A1" s="418"/>
      <c r="B1" s="375" t="s">
        <v>98</v>
      </c>
      <c r="C1" s="375"/>
      <c r="D1" s="375"/>
      <c r="E1" s="375"/>
      <c r="F1" s="375"/>
      <c r="G1" s="375"/>
      <c r="H1" s="375"/>
    </row>
    <row r="2" spans="1:8" s="31" customFormat="1" ht="32.1" customHeight="1" x14ac:dyDescent="0.3">
      <c r="A2" s="418"/>
      <c r="B2" s="329" t="str">
        <f>IF(YilDonem&lt;&gt;"",CONCATENATE(YilDonem,". döneme aittir."),"")</f>
        <v/>
      </c>
      <c r="C2" s="329"/>
      <c r="D2" s="329"/>
      <c r="E2" s="329"/>
      <c r="F2" s="329"/>
      <c r="G2" s="329"/>
      <c r="H2" s="329"/>
    </row>
    <row r="3" spans="1:8" s="31" customFormat="1" ht="32.1" customHeight="1" thickBot="1" x14ac:dyDescent="0.35">
      <c r="A3" s="418"/>
      <c r="B3" s="425" t="s">
        <v>99</v>
      </c>
      <c r="C3" s="425"/>
      <c r="D3" s="425"/>
      <c r="E3" s="425"/>
      <c r="F3" s="425"/>
      <c r="G3" s="425"/>
      <c r="H3" s="425"/>
    </row>
    <row r="4" spans="1:8" s="43" customFormat="1" ht="32.1" customHeight="1" thickBot="1" x14ac:dyDescent="0.35">
      <c r="A4" s="418"/>
      <c r="B4" s="221" t="s">
        <v>1</v>
      </c>
      <c r="C4" s="419" t="str">
        <f>IF(ProjeNo&gt;0,ProjeNo,"")</f>
        <v/>
      </c>
      <c r="D4" s="420"/>
      <c r="E4" s="420"/>
      <c r="F4" s="420"/>
      <c r="G4" s="420"/>
      <c r="H4" s="421"/>
    </row>
    <row r="5" spans="1:8" s="43" customFormat="1" ht="70.5" customHeight="1" thickBot="1" x14ac:dyDescent="0.35">
      <c r="A5" s="418"/>
      <c r="B5" s="222" t="s">
        <v>11</v>
      </c>
      <c r="C5" s="422" t="str">
        <f>IF(ProjeAdi&gt;0,ProjeAdi,"")</f>
        <v/>
      </c>
      <c r="D5" s="423"/>
      <c r="E5" s="423"/>
      <c r="F5" s="423"/>
      <c r="G5" s="423"/>
      <c r="H5" s="424"/>
    </row>
    <row r="6" spans="1:8" ht="32.1" customHeight="1" thickBot="1" x14ac:dyDescent="0.35">
      <c r="A6" s="418"/>
      <c r="B6" s="430" t="s">
        <v>100</v>
      </c>
      <c r="C6" s="431"/>
      <c r="D6" s="431"/>
      <c r="E6" s="431"/>
      <c r="F6" s="431"/>
      <c r="G6" s="395" t="s">
        <v>101</v>
      </c>
      <c r="H6" s="396"/>
    </row>
    <row r="7" spans="1:8" ht="32.1" customHeight="1" thickBot="1" x14ac:dyDescent="0.35">
      <c r="A7" s="418"/>
      <c r="B7" s="415" t="s">
        <v>102</v>
      </c>
      <c r="C7" s="416"/>
      <c r="D7" s="416"/>
      <c r="E7" s="416"/>
      <c r="F7" s="417"/>
      <c r="G7" s="397">
        <f>F8+F9</f>
        <v>0</v>
      </c>
      <c r="H7" s="398"/>
    </row>
    <row r="8" spans="1:8" ht="32.1" customHeight="1" thickBot="1" x14ac:dyDescent="0.35">
      <c r="A8" s="418"/>
      <c r="B8" s="432" t="str">
        <f>CONCATENATE(YilDonem,". Döneme Ait Personel Gideri")</f>
        <v>. Döneme Ait Personel Gideri</v>
      </c>
      <c r="C8" s="433"/>
      <c r="D8" s="433"/>
      <c r="E8" s="434"/>
      <c r="F8" s="223">
        <f>'G011'!I821</f>
        <v>0</v>
      </c>
      <c r="G8" s="399"/>
      <c r="H8" s="400"/>
    </row>
    <row r="9" spans="1:8" ht="37.549999999999997" customHeight="1" thickBot="1" x14ac:dyDescent="0.35">
      <c r="A9" s="418"/>
      <c r="B9" s="435" t="s">
        <v>107</v>
      </c>
      <c r="C9" s="436"/>
      <c r="D9" s="436"/>
      <c r="E9" s="437"/>
      <c r="F9" s="224"/>
      <c r="G9" s="401"/>
      <c r="H9" s="402"/>
    </row>
    <row r="10" spans="1:8" ht="32.1" customHeight="1" thickBot="1" x14ac:dyDescent="0.35">
      <c r="A10" s="418"/>
      <c r="B10" s="427"/>
      <c r="C10" s="428"/>
      <c r="D10" s="428"/>
      <c r="E10" s="428"/>
      <c r="F10" s="429"/>
      <c r="G10" s="228" t="s">
        <v>143</v>
      </c>
      <c r="H10" s="229" t="s">
        <v>89</v>
      </c>
    </row>
    <row r="11" spans="1:8" ht="32.1" customHeight="1" thickBot="1" x14ac:dyDescent="0.35">
      <c r="A11" s="418"/>
      <c r="B11" s="411" t="s">
        <v>105</v>
      </c>
      <c r="C11" s="412"/>
      <c r="D11" s="412"/>
      <c r="E11" s="412"/>
      <c r="F11" s="225" t="s">
        <v>103</v>
      </c>
      <c r="G11" s="226">
        <f>G015A!I158</f>
        <v>0</v>
      </c>
      <c r="H11" s="226">
        <f>G015A!J158</f>
        <v>0</v>
      </c>
    </row>
    <row r="12" spans="1:8" ht="32.1" customHeight="1" thickBot="1" x14ac:dyDescent="0.35">
      <c r="A12" s="418"/>
      <c r="B12" s="413"/>
      <c r="C12" s="414"/>
      <c r="D12" s="414"/>
      <c r="E12" s="414"/>
      <c r="F12" s="227" t="s">
        <v>104</v>
      </c>
      <c r="G12" s="226">
        <f>G015B!I158</f>
        <v>0</v>
      </c>
      <c r="H12" s="226">
        <f>G015B!J158</f>
        <v>0</v>
      </c>
    </row>
    <row r="13" spans="1:8" ht="32.1" customHeight="1" thickBot="1" x14ac:dyDescent="0.35">
      <c r="A13" s="418"/>
      <c r="B13" s="415" t="s">
        <v>144</v>
      </c>
      <c r="C13" s="416"/>
      <c r="D13" s="416"/>
      <c r="E13" s="416"/>
      <c r="F13" s="417"/>
      <c r="G13" s="403">
        <v>0</v>
      </c>
      <c r="H13" s="404"/>
    </row>
    <row r="14" spans="1:8" ht="32.1" customHeight="1" thickBot="1" x14ac:dyDescent="0.4">
      <c r="A14" s="418"/>
      <c r="B14" s="407" t="s">
        <v>145</v>
      </c>
      <c r="C14" s="408"/>
      <c r="D14" s="408"/>
      <c r="E14" s="408"/>
      <c r="F14" s="409"/>
      <c r="G14" s="405">
        <f>SUM(G7:G13)</f>
        <v>0</v>
      </c>
      <c r="H14" s="406"/>
    </row>
    <row r="15" spans="1:8" ht="32.1" customHeight="1" thickBot="1" x14ac:dyDescent="0.4">
      <c r="A15" s="418"/>
      <c r="B15" s="390" t="s">
        <v>146</v>
      </c>
      <c r="C15" s="391"/>
      <c r="D15" s="391"/>
      <c r="E15" s="391"/>
      <c r="F15" s="392"/>
      <c r="G15" s="393">
        <f>G7+H11+H12+G13</f>
        <v>0</v>
      </c>
      <c r="H15" s="394"/>
    </row>
    <row r="16" spans="1:8" x14ac:dyDescent="0.25">
      <c r="A16" s="418"/>
      <c r="B16" s="426" t="s">
        <v>108</v>
      </c>
      <c r="C16" s="426"/>
      <c r="D16" s="426"/>
      <c r="E16" s="426"/>
      <c r="F16" s="426"/>
      <c r="G16" s="426"/>
      <c r="H16" s="43"/>
    </row>
    <row r="17" spans="1:9" x14ac:dyDescent="0.25">
      <c r="A17" s="418"/>
      <c r="B17" s="426"/>
      <c r="C17" s="426"/>
      <c r="D17" s="426"/>
      <c r="E17" s="426"/>
      <c r="F17" s="426"/>
      <c r="G17" s="426"/>
      <c r="H17" s="43"/>
    </row>
    <row r="18" spans="1:9" x14ac:dyDescent="0.25">
      <c r="A18" s="418"/>
      <c r="H18" s="43"/>
    </row>
    <row r="19" spans="1:9" x14ac:dyDescent="0.25">
      <c r="H19" s="43"/>
    </row>
    <row r="20" spans="1:9" ht="21.1" x14ac:dyDescent="0.35">
      <c r="B20" s="252" t="s">
        <v>39</v>
      </c>
      <c r="C20" s="410" t="s">
        <v>40</v>
      </c>
      <c r="D20" s="410"/>
      <c r="E20" s="245" t="str">
        <f>IF(kurulusyetkilisi&gt;0,kurulusyetkilisi,"")</f>
        <v/>
      </c>
      <c r="F20" s="253"/>
      <c r="G20" s="254"/>
      <c r="H20" s="31"/>
      <c r="I20" s="31"/>
    </row>
    <row r="21" spans="1:9" ht="19.05" x14ac:dyDescent="0.35">
      <c r="B21" s="255">
        <f ca="1">IF(imzatarihi&gt;0,imzatarihi,"")</f>
        <v>45686</v>
      </c>
      <c r="C21" s="410" t="s">
        <v>41</v>
      </c>
      <c r="D21" s="410"/>
      <c r="E21" s="252"/>
      <c r="F21" s="253"/>
      <c r="G21" s="254"/>
      <c r="H21" s="31"/>
      <c r="I21" s="31"/>
    </row>
  </sheetData>
  <sheetProtection algorithmName="SHA-512" hashValue="aJER8wi2d3xS6IzYS5mkwiQsjKs0jBAX05irulJn95saNI3KlBnj3Zd5Jjx01BE786MrqKl1bCDh8FhCigc7dA==" saltValue="MOSHVS2ANUJM4ahPKSUhWQ==" spinCount="100000" sheet="1" objects="1" scenarios="1"/>
  <mergeCells count="23">
    <mergeCell ref="C21:D21"/>
    <mergeCell ref="C20:D20"/>
    <mergeCell ref="B11:E12"/>
    <mergeCell ref="B13:F13"/>
    <mergeCell ref="A1:A18"/>
    <mergeCell ref="C4:H4"/>
    <mergeCell ref="C5:H5"/>
    <mergeCell ref="B3:H3"/>
    <mergeCell ref="B1:H1"/>
    <mergeCell ref="B2:H2"/>
    <mergeCell ref="B16:G17"/>
    <mergeCell ref="B10:F10"/>
    <mergeCell ref="B6:F6"/>
    <mergeCell ref="B7:F7"/>
    <mergeCell ref="B8:E8"/>
    <mergeCell ref="B9:E9"/>
    <mergeCell ref="B15:F15"/>
    <mergeCell ref="G15:H15"/>
    <mergeCell ref="G6:H6"/>
    <mergeCell ref="G7:H9"/>
    <mergeCell ref="G13:H13"/>
    <mergeCell ref="G14:H14"/>
    <mergeCell ref="B14:F14"/>
  </mergeCells>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51"/>
  <sheetViews>
    <sheetView zoomScaleNormal="100" workbookViewId="0">
      <selection activeCell="C18" sqref="C18"/>
    </sheetView>
  </sheetViews>
  <sheetFormatPr defaultColWidth="9.125" defaultRowHeight="14.3" x14ac:dyDescent="0.25"/>
  <cols>
    <col min="1" max="1" width="42.125" style="43" customWidth="1"/>
    <col min="2" max="2" width="5.25" style="73" customWidth="1"/>
    <col min="3" max="3" width="62.375" style="43" customWidth="1"/>
    <col min="4" max="4" width="9.125" style="43"/>
    <col min="5" max="6" width="10.75" style="43" customWidth="1"/>
    <col min="7" max="16384" width="9.125" style="43"/>
  </cols>
  <sheetData>
    <row r="1" spans="1:3" ht="21.1" x14ac:dyDescent="0.25">
      <c r="A1" s="291" t="s">
        <v>13</v>
      </c>
      <c r="B1" s="291"/>
      <c r="C1" s="291"/>
    </row>
    <row r="3" spans="1:3" ht="21.1" x14ac:dyDescent="0.25">
      <c r="A3" s="291" t="s">
        <v>113</v>
      </c>
      <c r="B3" s="291"/>
      <c r="C3" s="291"/>
    </row>
    <row r="4" spans="1:3" ht="21.1" x14ac:dyDescent="0.35">
      <c r="A4" s="77"/>
      <c r="B4" s="200"/>
      <c r="C4" s="77"/>
    </row>
    <row r="5" spans="1:3" ht="21.1" customHeight="1" x14ac:dyDescent="0.25">
      <c r="A5" s="294" t="s">
        <v>148</v>
      </c>
      <c r="B5" s="294"/>
      <c r="C5" s="294"/>
    </row>
    <row r="6" spans="1:3" ht="21.1" customHeight="1" x14ac:dyDescent="0.25">
      <c r="A6" s="294"/>
      <c r="B6" s="294"/>
      <c r="C6" s="294"/>
    </row>
    <row r="7" spans="1:3" ht="21.1" customHeight="1" x14ac:dyDescent="0.25">
      <c r="A7" s="235"/>
      <c r="B7" s="235"/>
      <c r="C7" s="235"/>
    </row>
    <row r="8" spans="1:3" ht="21.1" x14ac:dyDescent="0.25">
      <c r="A8" s="291" t="s">
        <v>149</v>
      </c>
      <c r="B8" s="291"/>
      <c r="C8" s="291"/>
    </row>
    <row r="9" spans="1:3" ht="21.1" x14ac:dyDescent="0.25">
      <c r="A9" s="291"/>
      <c r="B9" s="291"/>
      <c r="C9" s="291"/>
    </row>
    <row r="10" spans="1:3" ht="28.55" x14ac:dyDescent="0.25">
      <c r="A10" s="292" t="s">
        <v>112</v>
      </c>
      <c r="B10" s="292"/>
      <c r="C10" s="292"/>
    </row>
    <row r="11" spans="1:3" ht="16.3" x14ac:dyDescent="0.25">
      <c r="A11" s="288" t="s">
        <v>111</v>
      </c>
      <c r="B11" s="288"/>
      <c r="C11" s="288"/>
    </row>
    <row r="12" spans="1:3" ht="15.8" x14ac:dyDescent="0.25">
      <c r="A12" s="78"/>
    </row>
    <row r="14" spans="1:3" ht="23.3" x14ac:dyDescent="0.25">
      <c r="A14" s="293" t="str">
        <f>IF(YilDonem&lt;&gt;"",CONCATENATE(YilDonem,". döneme aittir."),"")</f>
        <v/>
      </c>
      <c r="B14" s="293"/>
      <c r="C14" s="293"/>
    </row>
    <row r="15" spans="1:3" ht="15.8" x14ac:dyDescent="0.25">
      <c r="A15" s="78"/>
    </row>
    <row r="16" spans="1:3" ht="18.7" x14ac:dyDescent="0.25">
      <c r="A16" s="79"/>
    </row>
    <row r="17" spans="1:6" ht="15.8" x14ac:dyDescent="0.25">
      <c r="A17" s="80"/>
    </row>
    <row r="18" spans="1:6" ht="25" customHeight="1" x14ac:dyDescent="0.25">
      <c r="A18" s="158" t="s">
        <v>14</v>
      </c>
      <c r="B18" s="164" t="s">
        <v>15</v>
      </c>
      <c r="C18" s="146" t="str">
        <f>IF(ProjeNo&gt;0,ProjeNo,"")</f>
        <v/>
      </c>
    </row>
    <row r="19" spans="1:6" ht="25" customHeight="1" x14ac:dyDescent="0.3">
      <c r="A19" s="158" t="s">
        <v>16</v>
      </c>
      <c r="B19" s="164" t="s">
        <v>15</v>
      </c>
      <c r="C19" s="81"/>
    </row>
    <row r="20" spans="1:6" ht="50.1" customHeight="1" x14ac:dyDescent="0.3">
      <c r="A20" s="236" t="s">
        <v>17</v>
      </c>
      <c r="B20" s="164" t="s">
        <v>15</v>
      </c>
      <c r="C20" s="81"/>
    </row>
    <row r="21" spans="1:6" ht="50.1" customHeight="1" x14ac:dyDescent="0.3">
      <c r="A21" s="159" t="s">
        <v>18</v>
      </c>
      <c r="B21" s="164" t="s">
        <v>15</v>
      </c>
      <c r="C21" s="81"/>
      <c r="E21" s="287" t="str">
        <f>IF(C24&lt;&gt;"","","SOL TARAFTAKİ BOYALI HÜCRELER DOLDURULMALIDIR. ")</f>
        <v xml:space="preserve">SOL TARAFTAKİ BOYALI HÜCRELER DOLDURULMALIDIR. </v>
      </c>
      <c r="F21" s="287"/>
    </row>
    <row r="22" spans="1:6" ht="25" customHeight="1" x14ac:dyDescent="0.3">
      <c r="A22" s="159" t="s">
        <v>19</v>
      </c>
      <c r="B22" s="164" t="s">
        <v>15</v>
      </c>
      <c r="C22" s="201"/>
      <c r="E22" s="287"/>
      <c r="F22" s="287"/>
    </row>
    <row r="23" spans="1:6" ht="25" customHeight="1" x14ac:dyDescent="0.3">
      <c r="A23" s="159" t="s">
        <v>20</v>
      </c>
      <c r="B23" s="164" t="s">
        <v>15</v>
      </c>
      <c r="C23" s="201"/>
      <c r="E23" s="287"/>
      <c r="F23" s="287"/>
    </row>
    <row r="24" spans="1:6" ht="25" customHeight="1" x14ac:dyDescent="0.3">
      <c r="A24" s="159" t="s">
        <v>21</v>
      </c>
      <c r="B24" s="164" t="s">
        <v>15</v>
      </c>
      <c r="C24" s="201"/>
    </row>
    <row r="25" spans="1:6" ht="40.1" customHeight="1" x14ac:dyDescent="0.3">
      <c r="A25" s="159" t="s">
        <v>22</v>
      </c>
      <c r="B25" s="164" t="s">
        <v>15</v>
      </c>
      <c r="C25" s="147" t="str">
        <f>IF('Proje ve Personel Bilgileri'!D5&gt;0,'Proje ve Personel Bilgileri'!D5,"")</f>
        <v/>
      </c>
    </row>
    <row r="26" spans="1:6" ht="40.1" customHeight="1" x14ac:dyDescent="0.3">
      <c r="A26" s="159" t="s">
        <v>23</v>
      </c>
      <c r="B26" s="164" t="s">
        <v>15</v>
      </c>
      <c r="C26" s="148" t="str">
        <f>IF('Proje ve Personel Bilgileri'!D6,'Proje ve Personel Bilgileri'!D6,"")</f>
        <v/>
      </c>
    </row>
    <row r="27" spans="1:6" ht="16.3" x14ac:dyDescent="0.25">
      <c r="A27" s="82"/>
    </row>
    <row r="28" spans="1:6" ht="16.3" x14ac:dyDescent="0.25">
      <c r="A28" s="82"/>
    </row>
    <row r="29" spans="1:6" ht="16.3" x14ac:dyDescent="0.25">
      <c r="A29" s="82"/>
    </row>
    <row r="30" spans="1:6" ht="16.3" x14ac:dyDescent="0.25">
      <c r="A30" s="82"/>
    </row>
    <row r="31" spans="1:6" ht="16.3" x14ac:dyDescent="0.25">
      <c r="A31" s="82"/>
    </row>
    <row r="32" spans="1:6" ht="16.3" x14ac:dyDescent="0.25">
      <c r="A32" s="82"/>
    </row>
    <row r="33" spans="1:3" ht="16.3" x14ac:dyDescent="0.25">
      <c r="A33" s="82"/>
    </row>
    <row r="34" spans="1:3" ht="16.3" x14ac:dyDescent="0.25">
      <c r="A34" s="82"/>
    </row>
    <row r="35" spans="1:3" ht="16.3" x14ac:dyDescent="0.25">
      <c r="A35" s="82"/>
    </row>
    <row r="36" spans="1:3" ht="19.05" x14ac:dyDescent="0.25">
      <c r="A36" s="83"/>
    </row>
    <row r="37" spans="1:3" ht="19.05" x14ac:dyDescent="0.25">
      <c r="A37" s="83"/>
    </row>
    <row r="38" spans="1:3" ht="19.05" x14ac:dyDescent="0.25">
      <c r="A38" s="83"/>
    </row>
    <row r="39" spans="1:3" ht="19.05" x14ac:dyDescent="0.25">
      <c r="A39" s="289" t="s">
        <v>13</v>
      </c>
      <c r="B39" s="289"/>
      <c r="C39" s="289"/>
    </row>
    <row r="40" spans="1:3" ht="19.05" x14ac:dyDescent="0.35">
      <c r="A40" s="290">
        <v>44197</v>
      </c>
      <c r="B40" s="290"/>
      <c r="C40" s="290"/>
    </row>
    <row r="42" spans="1:3" ht="17" x14ac:dyDescent="0.3">
      <c r="A42" s="75"/>
      <c r="C42" s="76"/>
    </row>
    <row r="43" spans="1:3" ht="17" x14ac:dyDescent="0.3">
      <c r="A43" s="75"/>
      <c r="C43" s="76"/>
    </row>
    <row r="44" spans="1:3" ht="17" x14ac:dyDescent="0.3">
      <c r="A44" s="75"/>
      <c r="C44" s="76"/>
    </row>
    <row r="45" spans="1:3" ht="17" x14ac:dyDescent="0.3">
      <c r="A45" s="75"/>
      <c r="C45" s="76"/>
    </row>
    <row r="46" spans="1:3" ht="17" x14ac:dyDescent="0.3">
      <c r="A46" s="75"/>
      <c r="C46" s="76"/>
    </row>
    <row r="47" spans="1:3" ht="17" x14ac:dyDescent="0.3">
      <c r="A47" s="75"/>
      <c r="C47" s="76"/>
    </row>
    <row r="48" spans="1:3" ht="17" x14ac:dyDescent="0.3">
      <c r="A48" s="75"/>
      <c r="C48" s="76"/>
    </row>
    <row r="49" spans="1:3" ht="17" x14ac:dyDescent="0.3">
      <c r="A49" s="75"/>
      <c r="C49" s="76"/>
    </row>
    <row r="50" spans="1:3" ht="17" x14ac:dyDescent="0.25">
      <c r="A50" s="84"/>
    </row>
    <row r="51" spans="1:3" ht="17" x14ac:dyDescent="0.25">
      <c r="A51" s="84"/>
    </row>
  </sheetData>
  <sheetProtection algorithmName="SHA-512" hashValue="fZxTkFtKFU2jZfyOy/naFszYe2SPijLOLsXtn+fFqcZoEPL4yMntn47vq983H1QH9ZBrz3aRLICSn+cUkbgjjA==" saltValue="rM91DhotTiOlFJW4ZQVrzw==" spinCount="100000" sheet="1" objects="1" scenarios="1"/>
  <mergeCells count="11">
    <mergeCell ref="E21:F23"/>
    <mergeCell ref="A11:C11"/>
    <mergeCell ref="A39:C39"/>
    <mergeCell ref="A40:C40"/>
    <mergeCell ref="A1:C1"/>
    <mergeCell ref="A3:C3"/>
    <mergeCell ref="A9:C9"/>
    <mergeCell ref="A10:C10"/>
    <mergeCell ref="A14:C14"/>
    <mergeCell ref="A5:C6"/>
    <mergeCell ref="A8:C8"/>
  </mergeCells>
  <conditionalFormatting sqref="C18:C26">
    <cfRule type="expression" dxfId="0" priority="1" stopIfTrue="1">
      <formula>C18=""</formula>
    </cfRule>
  </conditionalFormatting>
  <pageMargins left="0.7" right="0.7"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9"/>
  <sheetViews>
    <sheetView zoomScaleNormal="100" workbookViewId="0"/>
  </sheetViews>
  <sheetFormatPr defaultColWidth="8.875" defaultRowHeight="14.3" x14ac:dyDescent="0.25"/>
  <cols>
    <col min="1" max="1" width="113.125" style="112" bestFit="1" customWidth="1"/>
  </cols>
  <sheetData>
    <row r="1" spans="1:3" ht="23.95" customHeight="1" x14ac:dyDescent="0.25">
      <c r="A1" s="239" t="s">
        <v>24</v>
      </c>
      <c r="B1" s="43"/>
      <c r="C1" s="43"/>
    </row>
    <row r="2" spans="1:3" ht="15.8" x14ac:dyDescent="0.25">
      <c r="A2" s="240"/>
      <c r="B2" s="43"/>
      <c r="C2" s="43"/>
    </row>
    <row r="3" spans="1:3" ht="19.899999999999999" customHeight="1" x14ac:dyDescent="0.3">
      <c r="A3" s="237" t="s">
        <v>25</v>
      </c>
      <c r="B3" s="43"/>
      <c r="C3" s="76"/>
    </row>
    <row r="4" spans="1:3" ht="19.899999999999999" customHeight="1" x14ac:dyDescent="0.3">
      <c r="A4" s="237" t="s">
        <v>26</v>
      </c>
      <c r="B4" s="43"/>
      <c r="C4" s="76"/>
    </row>
    <row r="5" spans="1:3" ht="19.899999999999999" customHeight="1" x14ac:dyDescent="0.3">
      <c r="A5" s="237" t="s">
        <v>27</v>
      </c>
      <c r="B5" s="43"/>
      <c r="C5" s="76"/>
    </row>
    <row r="6" spans="1:3" ht="19.899999999999999" customHeight="1" x14ac:dyDescent="0.3">
      <c r="A6" s="237" t="s">
        <v>28</v>
      </c>
      <c r="B6" s="43"/>
      <c r="C6" s="76"/>
    </row>
    <row r="7" spans="1:3" ht="40.6" customHeight="1" x14ac:dyDescent="0.3">
      <c r="A7" s="238" t="s">
        <v>150</v>
      </c>
      <c r="B7" s="43"/>
      <c r="C7" s="76"/>
    </row>
    <row r="8" spans="1:3" ht="17" x14ac:dyDescent="0.25">
      <c r="A8" s="237" t="s">
        <v>151</v>
      </c>
    </row>
    <row r="9" spans="1:3" ht="17" x14ac:dyDescent="0.25">
      <c r="A9" s="237" t="s">
        <v>152</v>
      </c>
    </row>
  </sheetData>
  <sheetProtection algorithmName="SHA-512" hashValue="nbhwCk12BTEPLj/qK4okkTLv44m7K2WIjiayeeYkiURLvAZqfRyKDw0RKmGP6hzIjhH4SqOdLDeGugnoZ7Dn5w==" saltValue="vo71uxewYrUM15K8FMq9Xw=="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23"/>
  <dimension ref="A1:I9"/>
  <sheetViews>
    <sheetView zoomScale="80" zoomScaleNormal="80" workbookViewId="0">
      <selection activeCell="A7" sqref="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84.9" customHeight="1" thickBot="1" x14ac:dyDescent="0.45">
      <c r="A1" s="162" t="s">
        <v>140</v>
      </c>
    </row>
    <row r="2" spans="1:9" ht="109.9" customHeight="1" x14ac:dyDescent="0.25">
      <c r="A2" s="295" t="s">
        <v>153</v>
      </c>
      <c r="C2" s="296" t="s">
        <v>147</v>
      </c>
      <c r="D2" s="297"/>
      <c r="E2" s="297"/>
      <c r="F2" s="297"/>
      <c r="G2" s="297"/>
      <c r="H2" s="297"/>
      <c r="I2" s="298"/>
    </row>
    <row r="3" spans="1:9" ht="109.9" customHeight="1" thickBot="1" x14ac:dyDescent="0.3">
      <c r="A3" s="295"/>
      <c r="C3" s="299"/>
      <c r="D3" s="300"/>
      <c r="E3" s="300"/>
      <c r="F3" s="300"/>
      <c r="G3" s="300"/>
      <c r="H3" s="300"/>
      <c r="I3" s="301"/>
    </row>
    <row r="4" spans="1:9" ht="109.9" customHeight="1" x14ac:dyDescent="0.25">
      <c r="A4" s="295"/>
    </row>
    <row r="5" spans="1:9" ht="109.9" customHeight="1" x14ac:dyDescent="0.25">
      <c r="A5" s="295"/>
    </row>
    <row r="6" spans="1:9" ht="123.8" customHeight="1" x14ac:dyDescent="0.25">
      <c r="A6" s="295"/>
    </row>
    <row r="7" spans="1:9" ht="21.1" x14ac:dyDescent="0.35">
      <c r="A7" s="245" t="str">
        <f>IF(kurulusyetkilisi&gt;0,kurulusyetkilisi,"")</f>
        <v/>
      </c>
    </row>
    <row r="8" spans="1:9" ht="21.1" x14ac:dyDescent="0.35">
      <c r="A8" s="246">
        <f ca="1">IF(imzatarihi&gt;0,imzatarihi,"")</f>
        <v>45686</v>
      </c>
    </row>
    <row r="9" spans="1:9" ht="21.1" x14ac:dyDescent="0.35">
      <c r="A9" s="245" t="s">
        <v>156</v>
      </c>
    </row>
  </sheetData>
  <sheetProtection algorithmName="SHA-512" hashValue="+jPMqor5hb01GQQPcEppUxmo3yi1Ma3SkZ9k9k+MUJ5vtozLTKtfYq+BwFSIXtv4KXvnODtqVkAbzdgudyHSRQ==" saltValue="/y11uTBvSJKROan4z48lJw==" spinCount="100000" sheet="1" objects="1" scenarios="1"/>
  <mergeCells count="2">
    <mergeCell ref="A2:A6"/>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
  <sheetViews>
    <sheetView zoomScale="80" zoomScaleNormal="8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8" t="s">
        <v>29</v>
      </c>
      <c r="B1" s="308"/>
      <c r="C1" s="308"/>
      <c r="D1" s="308"/>
      <c r="E1" s="308"/>
      <c r="F1" s="308"/>
      <c r="G1" s="308"/>
      <c r="H1" s="308"/>
      <c r="I1" s="308"/>
      <c r="J1" s="308"/>
      <c r="K1" s="308"/>
      <c r="L1" s="308"/>
      <c r="M1" s="72"/>
      <c r="N1" s="149"/>
      <c r="O1" s="150"/>
      <c r="V1" s="91"/>
    </row>
    <row r="2" spans="1:27" x14ac:dyDescent="0.3">
      <c r="A2" s="315" t="str">
        <f>IF(YilDonem&lt;&gt;"",CONCATENATE(YilDonem,". dönem"),"")</f>
        <v/>
      </c>
      <c r="B2" s="315"/>
      <c r="C2" s="315"/>
      <c r="D2" s="315"/>
      <c r="E2" s="315"/>
      <c r="F2" s="315"/>
      <c r="G2" s="315"/>
      <c r="H2" s="315"/>
      <c r="I2" s="315"/>
      <c r="J2" s="315"/>
      <c r="K2" s="315"/>
      <c r="L2" s="315"/>
    </row>
    <row r="3" spans="1:27" ht="16.3" thickBot="1" x14ac:dyDescent="0.35">
      <c r="B3" s="33"/>
      <c r="C3" s="33"/>
      <c r="D3" s="33"/>
      <c r="E3" s="306" t="str">
        <f>IF(YilDonem&lt;&gt;"",CONCATENATE(VLOOKUP(DönBasAy,AyTablo,2,0)," ayına aittir."),"")</f>
        <v/>
      </c>
      <c r="F3" s="306"/>
      <c r="G3" s="306"/>
      <c r="H3" s="306"/>
      <c r="I3" s="33"/>
      <c r="J3" s="33"/>
      <c r="K3" s="33"/>
      <c r="L3" s="183" t="s">
        <v>37</v>
      </c>
    </row>
    <row r="4" spans="1:27" ht="31.6" customHeight="1" thickBot="1" x14ac:dyDescent="0.35">
      <c r="A4" s="187" t="s">
        <v>1</v>
      </c>
      <c r="B4" s="309" t="str">
        <f>IF(ProjeNo&gt;0,ProjeNo,"")</f>
        <v/>
      </c>
      <c r="C4" s="310"/>
      <c r="D4" s="310"/>
      <c r="E4" s="310"/>
      <c r="F4" s="310"/>
      <c r="G4" s="310"/>
      <c r="H4" s="310"/>
      <c r="I4" s="310"/>
      <c r="J4" s="310"/>
      <c r="K4" s="310"/>
      <c r="L4" s="311"/>
    </row>
    <row r="5" spans="1:27" ht="31.6" customHeight="1" thickBot="1" x14ac:dyDescent="0.35">
      <c r="A5" s="188" t="s">
        <v>11</v>
      </c>
      <c r="B5" s="312" t="str">
        <f>IF(ProjeAdi&gt;0,ProjeAdi,"")</f>
        <v/>
      </c>
      <c r="C5" s="313"/>
      <c r="D5" s="313"/>
      <c r="E5" s="313"/>
      <c r="F5" s="313"/>
      <c r="G5" s="313"/>
      <c r="H5" s="313"/>
      <c r="I5" s="313"/>
      <c r="J5" s="313"/>
      <c r="K5" s="313"/>
      <c r="L5" s="314"/>
    </row>
    <row r="6" spans="1:27" ht="31.6" customHeight="1" thickBot="1" x14ac:dyDescent="0.3">
      <c r="A6" s="316" t="s">
        <v>7</v>
      </c>
      <c r="B6" s="316" t="s">
        <v>8</v>
      </c>
      <c r="C6" s="316" t="s">
        <v>30</v>
      </c>
      <c r="D6" s="316" t="s">
        <v>109</v>
      </c>
      <c r="E6" s="316" t="s">
        <v>31</v>
      </c>
      <c r="F6" s="316" t="s">
        <v>34</v>
      </c>
      <c r="G6" s="319" t="s">
        <v>32</v>
      </c>
      <c r="H6" s="318" t="s">
        <v>141</v>
      </c>
      <c r="I6" s="319"/>
      <c r="J6" s="319"/>
      <c r="K6" s="320"/>
      <c r="L6" s="316" t="s">
        <v>33</v>
      </c>
      <c r="O6" s="307" t="s">
        <v>38</v>
      </c>
      <c r="P6" s="307"/>
      <c r="Q6" s="307" t="s">
        <v>44</v>
      </c>
      <c r="R6" s="307"/>
      <c r="S6" s="307" t="s">
        <v>45</v>
      </c>
      <c r="T6" s="307"/>
    </row>
    <row r="7" spans="1:27" s="74" customFormat="1" ht="94.45" thickBot="1" x14ac:dyDescent="0.3">
      <c r="A7" s="321"/>
      <c r="B7" s="321"/>
      <c r="C7" s="321"/>
      <c r="D7" s="321"/>
      <c r="E7" s="321"/>
      <c r="F7" s="321"/>
      <c r="G7" s="322"/>
      <c r="H7" s="184" t="s">
        <v>106</v>
      </c>
      <c r="I7" s="184" t="s">
        <v>142</v>
      </c>
      <c r="J7" s="184" t="s">
        <v>159</v>
      </c>
      <c r="K7" s="184" t="s">
        <v>160</v>
      </c>
      <c r="L7" s="317"/>
      <c r="M7" s="6"/>
      <c r="N7" s="185" t="s">
        <v>10</v>
      </c>
      <c r="O7" s="186" t="s">
        <v>35</v>
      </c>
      <c r="P7" s="186" t="s">
        <v>36</v>
      </c>
      <c r="Q7" s="186" t="s">
        <v>43</v>
      </c>
      <c r="R7" s="186" t="s">
        <v>32</v>
      </c>
      <c r="S7" s="186" t="s">
        <v>43</v>
      </c>
      <c r="T7" s="186" t="s">
        <v>36</v>
      </c>
      <c r="V7" s="43"/>
      <c r="AA7" s="43"/>
    </row>
    <row r="8" spans="1:27" ht="22.6" customHeight="1" x14ac:dyDescent="0.3">
      <c r="A8" s="189">
        <v>1</v>
      </c>
      <c r="B8" s="140" t="str">
        <f>IF('Proje ve Personel Bilgileri'!C19&gt;0,'Proje ve Personel Bilgileri'!C19,"")</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Bilgileri'!F19</f>
        <v>0</v>
      </c>
      <c r="O8" s="138">
        <f t="shared" ref="O8:O27" ca="1" si="1">IFERROR(IF(N8="EVET",VLOOKUP(VLOOKUP(DönBasAy,YilDönemTablo,4,0),SGKTAVAN,2,0)*0.2475,VLOOKUP(VLOOKUP(DönBasAy,YilDönemTablo,4,0),SGKTAVAN,2,0)*0.2075),0)</f>
        <v>0</v>
      </c>
      <c r="P8" s="138">
        <f t="shared" ref="P8:P27" ca="1" si="2">IFERROR(IF(N8="EVET",0,VLOOKUP(VLOOKUP(DönBasAy,YilDönemTablo,4,0),SGKTAVAN,2,0)*0.02),0)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Bilgileri'!C20&gt;0,'Proje ve Personel Bilgileri'!C20,"")</f>
        <v/>
      </c>
      <c r="C9" s="37"/>
      <c r="D9" s="38"/>
      <c r="E9" s="38"/>
      <c r="F9" s="38"/>
      <c r="G9" s="38"/>
      <c r="H9" s="38"/>
      <c r="I9" s="38"/>
      <c r="J9" s="38"/>
      <c r="K9" s="38"/>
      <c r="L9" s="139" t="str">
        <f t="shared" ref="L9:L27" si="5">IF(B9&lt;&gt;"",IF(OR(F9&gt;S9,G9&gt;T9),0,D9+E9+F9+G9-H9-I9-J9-K9),"")</f>
        <v/>
      </c>
      <c r="M9" s="137" t="str">
        <f t="shared" ca="1" si="0"/>
        <v/>
      </c>
      <c r="N9" s="196">
        <f>'Proje ve Personel Bilgileri'!F20</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Bilgileri'!C21&gt;0,'Proje ve Personel Bilgileri'!C21,"")</f>
        <v/>
      </c>
      <c r="C10" s="37"/>
      <c r="D10" s="38"/>
      <c r="E10" s="38"/>
      <c r="F10" s="38"/>
      <c r="G10" s="38"/>
      <c r="H10" s="38"/>
      <c r="I10" s="38"/>
      <c r="J10" s="38"/>
      <c r="K10" s="38"/>
      <c r="L10" s="139" t="str">
        <f t="shared" si="5"/>
        <v/>
      </c>
      <c r="M10" s="137" t="str">
        <f t="shared" ca="1" si="0"/>
        <v/>
      </c>
      <c r="N10" s="196">
        <f>'Proje ve Personel Bilgileri'!F21</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Bilgileri'!C22&gt;0,'Proje ve Personel Bilgileri'!C22,"")</f>
        <v/>
      </c>
      <c r="C11" s="37"/>
      <c r="D11" s="38"/>
      <c r="E11" s="38"/>
      <c r="F11" s="38"/>
      <c r="G11" s="38"/>
      <c r="H11" s="38"/>
      <c r="I11" s="38"/>
      <c r="J11" s="38"/>
      <c r="K11" s="38"/>
      <c r="L11" s="139" t="str">
        <f t="shared" si="5"/>
        <v/>
      </c>
      <c r="M11" s="137" t="str">
        <f t="shared" ca="1" si="0"/>
        <v/>
      </c>
      <c r="N11" s="196">
        <f>'Proje ve Personel Bilgileri'!F22</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Bilgileri'!C23&gt;0,'Proje ve Personel Bilgileri'!C23,"")</f>
        <v/>
      </c>
      <c r="C12" s="37"/>
      <c r="D12" s="38"/>
      <c r="E12" s="38"/>
      <c r="F12" s="38"/>
      <c r="G12" s="38"/>
      <c r="H12" s="38"/>
      <c r="I12" s="38"/>
      <c r="J12" s="38"/>
      <c r="K12" s="38"/>
      <c r="L12" s="139" t="str">
        <f t="shared" si="5"/>
        <v/>
      </c>
      <c r="M12" s="137" t="str">
        <f t="shared" ca="1" si="0"/>
        <v/>
      </c>
      <c r="N12" s="196">
        <f>'Proje ve Personel Bilgileri'!F23</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Bilgileri'!C24&gt;0,'Proje ve Personel Bilgileri'!C24,"")</f>
        <v/>
      </c>
      <c r="C13" s="37"/>
      <c r="D13" s="38"/>
      <c r="E13" s="38"/>
      <c r="F13" s="38"/>
      <c r="G13" s="38"/>
      <c r="H13" s="38"/>
      <c r="I13" s="38"/>
      <c r="J13" s="38"/>
      <c r="K13" s="38"/>
      <c r="L13" s="139" t="str">
        <f t="shared" si="5"/>
        <v/>
      </c>
      <c r="M13" s="137" t="str">
        <f t="shared" ca="1" si="0"/>
        <v/>
      </c>
      <c r="N13" s="196">
        <f>'Proje ve Personel Bilgileri'!F24</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Bilgileri'!C25&gt;0,'Proje ve Personel Bilgileri'!C25,"")</f>
        <v/>
      </c>
      <c r="C14" s="37"/>
      <c r="D14" s="38"/>
      <c r="E14" s="38"/>
      <c r="F14" s="38"/>
      <c r="G14" s="38"/>
      <c r="H14" s="38"/>
      <c r="I14" s="38"/>
      <c r="J14" s="38"/>
      <c r="K14" s="38"/>
      <c r="L14" s="139" t="str">
        <f t="shared" si="5"/>
        <v/>
      </c>
      <c r="M14" s="137" t="str">
        <f t="shared" ca="1" si="0"/>
        <v/>
      </c>
      <c r="N14" s="196">
        <f>'Proje ve Personel Bilgileri'!F25</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Bilgileri'!C26&gt;0,'Proje ve Personel Bilgileri'!C26,"")</f>
        <v/>
      </c>
      <c r="C15" s="37"/>
      <c r="D15" s="38"/>
      <c r="E15" s="38"/>
      <c r="F15" s="38"/>
      <c r="G15" s="38"/>
      <c r="H15" s="38"/>
      <c r="I15" s="38"/>
      <c r="J15" s="38"/>
      <c r="K15" s="38"/>
      <c r="L15" s="139" t="str">
        <f t="shared" si="5"/>
        <v/>
      </c>
      <c r="M15" s="137" t="str">
        <f t="shared" ca="1" si="0"/>
        <v/>
      </c>
      <c r="N15" s="196">
        <f>'Proje ve Personel Bilgileri'!F26</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Bilgileri'!C27&gt;0,'Proje ve Personel Bilgileri'!C27,"")</f>
        <v/>
      </c>
      <c r="C16" s="37"/>
      <c r="D16" s="38"/>
      <c r="E16" s="38"/>
      <c r="F16" s="38"/>
      <c r="G16" s="38"/>
      <c r="H16" s="38"/>
      <c r="I16" s="38"/>
      <c r="J16" s="38"/>
      <c r="K16" s="38"/>
      <c r="L16" s="139" t="str">
        <f t="shared" si="5"/>
        <v/>
      </c>
      <c r="M16" s="137" t="str">
        <f t="shared" ca="1" si="0"/>
        <v/>
      </c>
      <c r="N16" s="196">
        <f>'Proje ve Personel Bilgileri'!F27</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Bilgileri'!C28&gt;0,'Proje ve Personel Bilgileri'!C28,"")</f>
        <v/>
      </c>
      <c r="C17" s="37"/>
      <c r="D17" s="38"/>
      <c r="E17" s="38"/>
      <c r="F17" s="38"/>
      <c r="G17" s="38"/>
      <c r="H17" s="38"/>
      <c r="I17" s="38"/>
      <c r="J17" s="38"/>
      <c r="K17" s="38"/>
      <c r="L17" s="139" t="str">
        <f t="shared" si="5"/>
        <v/>
      </c>
      <c r="M17" s="137" t="str">
        <f t="shared" ca="1" si="0"/>
        <v/>
      </c>
      <c r="N17" s="196">
        <f>'Proje ve Personel Bilgileri'!F28</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Bilgileri'!C29&gt;0,'Proje ve Personel Bilgileri'!C29,"")</f>
        <v/>
      </c>
      <c r="C18" s="37"/>
      <c r="D18" s="38"/>
      <c r="E18" s="38"/>
      <c r="F18" s="38"/>
      <c r="G18" s="38"/>
      <c r="H18" s="38"/>
      <c r="I18" s="38"/>
      <c r="J18" s="38"/>
      <c r="K18" s="38"/>
      <c r="L18" s="139" t="str">
        <f t="shared" si="5"/>
        <v/>
      </c>
      <c r="M18" s="137" t="str">
        <f t="shared" ca="1" si="0"/>
        <v/>
      </c>
      <c r="N18" s="196">
        <f>'Proje ve Personel Bilgileri'!F29</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Bilgileri'!C30&gt;0,'Proje ve Personel Bilgileri'!C30,"")</f>
        <v/>
      </c>
      <c r="C19" s="37"/>
      <c r="D19" s="38"/>
      <c r="E19" s="38"/>
      <c r="F19" s="38"/>
      <c r="G19" s="38"/>
      <c r="H19" s="38"/>
      <c r="I19" s="38"/>
      <c r="J19" s="38"/>
      <c r="K19" s="38"/>
      <c r="L19" s="139" t="str">
        <f t="shared" si="5"/>
        <v/>
      </c>
      <c r="M19" s="137" t="str">
        <f t="shared" ca="1" si="0"/>
        <v/>
      </c>
      <c r="N19" s="196">
        <f>'Proje ve Personel Bilgileri'!F30</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Bilgileri'!C31&gt;0,'Proje ve Personel Bilgileri'!C31,"")</f>
        <v/>
      </c>
      <c r="C20" s="37"/>
      <c r="D20" s="38"/>
      <c r="E20" s="38"/>
      <c r="F20" s="38"/>
      <c r="G20" s="38"/>
      <c r="H20" s="38"/>
      <c r="I20" s="38"/>
      <c r="J20" s="38"/>
      <c r="K20" s="38"/>
      <c r="L20" s="139" t="str">
        <f t="shared" si="5"/>
        <v/>
      </c>
      <c r="M20" s="137" t="str">
        <f t="shared" ca="1" si="0"/>
        <v/>
      </c>
      <c r="N20" s="196">
        <f>'Proje ve Personel Bilgileri'!F31</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Bilgileri'!C32&gt;0,'Proje ve Personel Bilgileri'!C32,"")</f>
        <v/>
      </c>
      <c r="C21" s="37"/>
      <c r="D21" s="38"/>
      <c r="E21" s="38"/>
      <c r="F21" s="38"/>
      <c r="G21" s="38"/>
      <c r="H21" s="38"/>
      <c r="I21" s="38"/>
      <c r="J21" s="38"/>
      <c r="K21" s="38"/>
      <c r="L21" s="139" t="str">
        <f t="shared" si="5"/>
        <v/>
      </c>
      <c r="M21" s="137" t="str">
        <f t="shared" ca="1" si="0"/>
        <v/>
      </c>
      <c r="N21" s="196">
        <f>'Proje ve Personel Bilgileri'!F32</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Bilgileri'!C33&gt;0,'Proje ve Personel Bilgileri'!C33,"")</f>
        <v/>
      </c>
      <c r="C22" s="37"/>
      <c r="D22" s="38"/>
      <c r="E22" s="38"/>
      <c r="F22" s="38"/>
      <c r="G22" s="38"/>
      <c r="H22" s="38"/>
      <c r="I22" s="38"/>
      <c r="J22" s="38"/>
      <c r="K22" s="38"/>
      <c r="L22" s="139" t="str">
        <f t="shared" si="5"/>
        <v/>
      </c>
      <c r="M22" s="137" t="str">
        <f t="shared" ca="1" si="0"/>
        <v/>
      </c>
      <c r="N22" s="196">
        <f>'Proje ve Personel Bilgileri'!F33</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Bilgileri'!C34&gt;0,'Proje ve Personel Bilgileri'!C34,"")</f>
        <v/>
      </c>
      <c r="C23" s="37"/>
      <c r="D23" s="38"/>
      <c r="E23" s="38"/>
      <c r="F23" s="38"/>
      <c r="G23" s="38"/>
      <c r="H23" s="38"/>
      <c r="I23" s="38"/>
      <c r="J23" s="38"/>
      <c r="K23" s="38"/>
      <c r="L23" s="139" t="str">
        <f t="shared" si="5"/>
        <v/>
      </c>
      <c r="M23" s="137" t="str">
        <f t="shared" ca="1" si="0"/>
        <v/>
      </c>
      <c r="N23" s="196">
        <f>'Proje ve Personel Bilgileri'!F34</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Bilgileri'!C35&gt;0,'Proje ve Personel Bilgileri'!C35,"")</f>
        <v/>
      </c>
      <c r="C24" s="37"/>
      <c r="D24" s="38"/>
      <c r="E24" s="38"/>
      <c r="F24" s="38"/>
      <c r="G24" s="38"/>
      <c r="H24" s="38"/>
      <c r="I24" s="38"/>
      <c r="J24" s="38"/>
      <c r="K24" s="38"/>
      <c r="L24" s="139" t="str">
        <f t="shared" si="5"/>
        <v/>
      </c>
      <c r="M24" s="137" t="str">
        <f t="shared" ca="1" si="0"/>
        <v/>
      </c>
      <c r="N24" s="196">
        <f>'Proje ve Personel Bilgileri'!F35</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Bilgileri'!C36&gt;0,'Proje ve Personel Bilgileri'!C36,"")</f>
        <v/>
      </c>
      <c r="C25" s="37"/>
      <c r="D25" s="38"/>
      <c r="E25" s="38"/>
      <c r="F25" s="38"/>
      <c r="G25" s="38"/>
      <c r="H25" s="38"/>
      <c r="I25" s="38"/>
      <c r="J25" s="38"/>
      <c r="K25" s="38"/>
      <c r="L25" s="139" t="str">
        <f t="shared" si="5"/>
        <v/>
      </c>
      <c r="M25" s="137" t="str">
        <f t="shared" ca="1" si="0"/>
        <v/>
      </c>
      <c r="N25" s="196">
        <f>'Proje ve Personel Bilgileri'!F36</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Bilgileri'!C37&gt;0,'Proje ve Personel Bilgileri'!C37,"")</f>
        <v/>
      </c>
      <c r="C26" s="37"/>
      <c r="D26" s="38"/>
      <c r="E26" s="38"/>
      <c r="F26" s="38"/>
      <c r="G26" s="38"/>
      <c r="H26" s="38"/>
      <c r="I26" s="38"/>
      <c r="J26" s="38"/>
      <c r="K26" s="38"/>
      <c r="L26" s="139" t="str">
        <f t="shared" si="5"/>
        <v/>
      </c>
      <c r="M26" s="137" t="str">
        <f t="shared" ca="1" si="0"/>
        <v/>
      </c>
      <c r="N26" s="196">
        <f>'Proje ve Personel Bilgileri'!F37</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Bilgileri'!C38&gt;0,'Proje ve Personel Bilgileri'!C38,"")</f>
        <v/>
      </c>
      <c r="C27" s="39"/>
      <c r="D27" s="40"/>
      <c r="E27" s="40"/>
      <c r="F27" s="40"/>
      <c r="G27" s="40"/>
      <c r="H27" s="40"/>
      <c r="I27" s="40"/>
      <c r="J27" s="40"/>
      <c r="K27" s="40"/>
      <c r="L27" s="142" t="str">
        <f t="shared" si="5"/>
        <v/>
      </c>
      <c r="M27" s="137" t="str">
        <f t="shared" ca="1" si="0"/>
        <v/>
      </c>
      <c r="N27" s="196">
        <f>'Proje ve Personel Bilgileri'!F38</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04" t="s">
        <v>42</v>
      </c>
      <c r="B28" s="305"/>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45686</v>
      </c>
      <c r="C31" s="303" t="s">
        <v>40</v>
      </c>
      <c r="D31" s="303"/>
      <c r="E31" s="245" t="str">
        <f>IF(kurulusyetkilisi&gt;0,kurulusyetkilisi,"")</f>
        <v/>
      </c>
      <c r="F31" s="247"/>
      <c r="G31" s="247"/>
      <c r="H31" s="163"/>
      <c r="I31" s="163"/>
      <c r="J31" s="163"/>
    </row>
    <row r="32" spans="1:21" ht="19.7" x14ac:dyDescent="0.35">
      <c r="A32" s="249"/>
      <c r="B32" s="249"/>
      <c r="C32" s="303" t="s">
        <v>41</v>
      </c>
      <c r="D32" s="303"/>
      <c r="E32" s="302"/>
      <c r="F32" s="302"/>
      <c r="G32" s="302"/>
      <c r="H32" s="42"/>
      <c r="I32" s="42"/>
      <c r="J32" s="42"/>
    </row>
  </sheetData>
  <sheetProtection algorithmName="SHA-512" hashValue="3SuOVfWWCd7oKypdbckUWZZ4n8ikqdrjgT/7Yc/asj/aynnkNzdMyuMIofCt5kWdBY2YwK2q2hhtgrQqgVc9wQ==" saltValue="p9FXo1XGe79IPIQQNS478Q==" spinCount="100000" sheet="1" objects="1" scenarios="1"/>
  <mergeCells count="21">
    <mergeCell ref="O6:P6"/>
    <mergeCell ref="Q6:R6"/>
    <mergeCell ref="S6:T6"/>
    <mergeCell ref="A1:L1"/>
    <mergeCell ref="B4:L4"/>
    <mergeCell ref="B5:L5"/>
    <mergeCell ref="A2:L2"/>
    <mergeCell ref="L6:L7"/>
    <mergeCell ref="H6:K6"/>
    <mergeCell ref="A6:A7"/>
    <mergeCell ref="B6:B7"/>
    <mergeCell ref="C6:C7"/>
    <mergeCell ref="D6:D7"/>
    <mergeCell ref="E6:E7"/>
    <mergeCell ref="F6:F7"/>
    <mergeCell ref="G6:G7"/>
    <mergeCell ref="E32:G32"/>
    <mergeCell ref="C32:D32"/>
    <mergeCell ref="A28:B28"/>
    <mergeCell ref="C31:D31"/>
    <mergeCell ref="E3:H3"/>
  </mergeCells>
  <dataValidations xWindow="675" yWindow="371"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4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400-000001000000}">
      <formula1>0</formula1>
      <formula2>S8</formula2>
    </dataValidation>
    <dataValidation type="whole" allowBlank="1" showErrorMessage="1" error="Prim Gün Sayısı en fazla 30 olabilir." prompt="_x000a_" sqref="C8:C27" xr:uid="{00000000-0002-0000-0400-000002000000}">
      <formula1>0</formula1>
      <formula2>30</formula2>
    </dataValidation>
  </dataValidations>
  <pageMargins left="0.59055118110236227" right="0.59055118110236227" top="0.74803149606299213" bottom="0.74803149606299213" header="0.31496062992125984" footer="0.31496062992125984"/>
  <pageSetup paperSize="9" scale="63" orientation="landscape" r:id="rId1"/>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
  <sheetViews>
    <sheetView zoomScale="80" zoomScaleNormal="8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1" width="9.125" style="43" customWidth="1"/>
    <col min="22" max="16384" width="9.125" style="43"/>
  </cols>
  <sheetData>
    <row r="1" spans="1:27" ht="16.3" x14ac:dyDescent="0.3">
      <c r="A1" s="308" t="s">
        <v>29</v>
      </c>
      <c r="B1" s="308"/>
      <c r="C1" s="308"/>
      <c r="D1" s="308"/>
      <c r="E1" s="308"/>
      <c r="F1" s="308"/>
      <c r="G1" s="308"/>
      <c r="H1" s="308"/>
      <c r="I1" s="308"/>
      <c r="J1" s="308"/>
      <c r="K1" s="308"/>
      <c r="L1" s="308"/>
      <c r="M1" s="72"/>
      <c r="N1" s="149"/>
      <c r="O1" s="150"/>
      <c r="V1" s="91"/>
    </row>
    <row r="2" spans="1:27" x14ac:dyDescent="0.3">
      <c r="A2" s="315" t="str">
        <f>IF(YilDonem&lt;&gt;"",CONCATENATE(YilDonem,". dönem"),"")</f>
        <v/>
      </c>
      <c r="B2" s="315"/>
      <c r="C2" s="315"/>
      <c r="D2" s="315"/>
      <c r="E2" s="315"/>
      <c r="F2" s="315"/>
      <c r="G2" s="315"/>
      <c r="H2" s="315"/>
      <c r="I2" s="315"/>
      <c r="J2" s="315"/>
      <c r="K2" s="315"/>
      <c r="L2" s="315"/>
    </row>
    <row r="3" spans="1:27" ht="16.3" thickBot="1" x14ac:dyDescent="0.35">
      <c r="B3" s="33"/>
      <c r="C3" s="33"/>
      <c r="D3" s="33"/>
      <c r="E3" s="306" t="str">
        <f>IF(YilDonem&lt;&gt;"",CONCATENATE(VLOOKUP(DönBasAy+1,AyTablo,2,0)," ayına aittir."),"")</f>
        <v/>
      </c>
      <c r="F3" s="306"/>
      <c r="G3" s="306"/>
      <c r="H3" s="306"/>
      <c r="I3" s="33"/>
      <c r="J3" s="33"/>
      <c r="K3" s="33"/>
      <c r="L3" s="183" t="s">
        <v>37</v>
      </c>
    </row>
    <row r="4" spans="1:27" ht="31.6" customHeight="1" thickBot="1" x14ac:dyDescent="0.35">
      <c r="A4" s="187" t="s">
        <v>1</v>
      </c>
      <c r="B4" s="309" t="str">
        <f>IF(ProjeNo&gt;0,ProjeNo,"")</f>
        <v/>
      </c>
      <c r="C4" s="310"/>
      <c r="D4" s="310"/>
      <c r="E4" s="310"/>
      <c r="F4" s="310"/>
      <c r="G4" s="310"/>
      <c r="H4" s="310"/>
      <c r="I4" s="310"/>
      <c r="J4" s="310"/>
      <c r="K4" s="310"/>
      <c r="L4" s="311"/>
    </row>
    <row r="5" spans="1:27" ht="31.6" customHeight="1" thickBot="1" x14ac:dyDescent="0.35">
      <c r="A5" s="188" t="s">
        <v>11</v>
      </c>
      <c r="B5" s="312" t="str">
        <f>IF(ProjeAdi&gt;0,ProjeAdi,"")</f>
        <v/>
      </c>
      <c r="C5" s="313"/>
      <c r="D5" s="313"/>
      <c r="E5" s="313"/>
      <c r="F5" s="313"/>
      <c r="G5" s="313"/>
      <c r="H5" s="313"/>
      <c r="I5" s="313"/>
      <c r="J5" s="313"/>
      <c r="K5" s="313"/>
      <c r="L5" s="314"/>
    </row>
    <row r="6" spans="1:27" ht="31.6" customHeight="1" thickBot="1" x14ac:dyDescent="0.3">
      <c r="A6" s="316" t="s">
        <v>7</v>
      </c>
      <c r="B6" s="316" t="s">
        <v>8</v>
      </c>
      <c r="C6" s="316" t="s">
        <v>30</v>
      </c>
      <c r="D6" s="316" t="s">
        <v>109</v>
      </c>
      <c r="E6" s="316" t="s">
        <v>31</v>
      </c>
      <c r="F6" s="316" t="s">
        <v>34</v>
      </c>
      <c r="G6" s="319" t="s">
        <v>32</v>
      </c>
      <c r="H6" s="318" t="s">
        <v>141</v>
      </c>
      <c r="I6" s="319"/>
      <c r="J6" s="319"/>
      <c r="K6" s="320"/>
      <c r="L6" s="316" t="s">
        <v>33</v>
      </c>
      <c r="O6" s="307" t="s">
        <v>38</v>
      </c>
      <c r="P6" s="307"/>
      <c r="Q6" s="307" t="s">
        <v>44</v>
      </c>
      <c r="R6" s="307"/>
      <c r="S6" s="307" t="s">
        <v>45</v>
      </c>
      <c r="T6" s="307"/>
    </row>
    <row r="7" spans="1:27" s="74" customFormat="1" ht="94.45" thickBot="1" x14ac:dyDescent="0.3">
      <c r="A7" s="321"/>
      <c r="B7" s="321"/>
      <c r="C7" s="321"/>
      <c r="D7" s="321"/>
      <c r="E7" s="321"/>
      <c r="F7" s="321"/>
      <c r="G7" s="322"/>
      <c r="H7" s="184" t="s">
        <v>106</v>
      </c>
      <c r="I7" s="184" t="s">
        <v>142</v>
      </c>
      <c r="J7" s="184" t="s">
        <v>159</v>
      </c>
      <c r="K7" s="184" t="s">
        <v>160</v>
      </c>
      <c r="L7" s="317"/>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Bilgileri'!C19&gt;0,'Proje ve Personel Bilgileri'!C19,"")</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Bilgileri'!F19</f>
        <v>0</v>
      </c>
      <c r="O8" s="138">
        <f t="shared" ref="O8:O27" ca="1" si="1">IFERROR(IF(N8="EVET",VLOOKUP(VLOOKUP(DönBasAy+1,YilDönemTablo,4,0),SGKTAVAN,2,0)*0.2475,VLOOKUP(VLOOKUP(DönBasAy+1,YilDönemTablo,4,0),SGKTAVAN,2,0)*0.2075),0)</f>
        <v>0</v>
      </c>
      <c r="P8" s="138">
        <f t="shared" ref="P8:P27" ca="1" si="2">IFERROR(IF(N8="EVET",0,VLOOKUP(VLOOKUP(DönBasAy+1,YilDönemTablo,4,0),SGKTAVAN,2,0)*0.02),0)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Bilgileri'!C20&gt;0,'Proje ve Personel Bilgileri'!C20,"")</f>
        <v/>
      </c>
      <c r="C9" s="37"/>
      <c r="D9" s="38"/>
      <c r="E9" s="38"/>
      <c r="F9" s="38"/>
      <c r="G9" s="38"/>
      <c r="H9" s="38"/>
      <c r="I9" s="38"/>
      <c r="J9" s="38"/>
      <c r="K9" s="38"/>
      <c r="L9" s="139" t="str">
        <f t="shared" ref="L9:L27" si="5">IF(B9&lt;&gt;"",IF(OR(F9&gt;S9,G9&gt;T9),0,D9+E9+F9+G9-H9-I9-J9-K9),"")</f>
        <v/>
      </c>
      <c r="M9" s="137" t="str">
        <f t="shared" ca="1" si="0"/>
        <v/>
      </c>
      <c r="N9" s="196">
        <f>'Proje ve Personel Bilgileri'!F20</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Bilgileri'!C21&gt;0,'Proje ve Personel Bilgileri'!C21,"")</f>
        <v/>
      </c>
      <c r="C10" s="37"/>
      <c r="D10" s="38"/>
      <c r="E10" s="38"/>
      <c r="F10" s="38"/>
      <c r="G10" s="38"/>
      <c r="H10" s="38"/>
      <c r="I10" s="38"/>
      <c r="J10" s="38"/>
      <c r="K10" s="38"/>
      <c r="L10" s="139" t="str">
        <f t="shared" si="5"/>
        <v/>
      </c>
      <c r="M10" s="137" t="str">
        <f t="shared" ca="1" si="0"/>
        <v/>
      </c>
      <c r="N10" s="196">
        <f>'Proje ve Personel Bilgileri'!F21</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Bilgileri'!C22&gt;0,'Proje ve Personel Bilgileri'!C22,"")</f>
        <v/>
      </c>
      <c r="C11" s="37"/>
      <c r="D11" s="38"/>
      <c r="E11" s="38"/>
      <c r="F11" s="38"/>
      <c r="G11" s="38"/>
      <c r="H11" s="38"/>
      <c r="I11" s="38"/>
      <c r="J11" s="38"/>
      <c r="K11" s="38"/>
      <c r="L11" s="139" t="str">
        <f t="shared" si="5"/>
        <v/>
      </c>
      <c r="M11" s="137" t="str">
        <f t="shared" ca="1" si="0"/>
        <v/>
      </c>
      <c r="N11" s="196">
        <f>'Proje ve Personel Bilgileri'!F22</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Bilgileri'!C23&gt;0,'Proje ve Personel Bilgileri'!C23,"")</f>
        <v/>
      </c>
      <c r="C12" s="37"/>
      <c r="D12" s="38"/>
      <c r="E12" s="38"/>
      <c r="F12" s="38"/>
      <c r="G12" s="38"/>
      <c r="H12" s="38"/>
      <c r="I12" s="38"/>
      <c r="J12" s="38"/>
      <c r="K12" s="38"/>
      <c r="L12" s="139" t="str">
        <f t="shared" si="5"/>
        <v/>
      </c>
      <c r="M12" s="137" t="str">
        <f t="shared" ca="1" si="0"/>
        <v/>
      </c>
      <c r="N12" s="196">
        <f>'Proje ve Personel Bilgileri'!F23</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Bilgileri'!C24&gt;0,'Proje ve Personel Bilgileri'!C24,"")</f>
        <v/>
      </c>
      <c r="C13" s="37"/>
      <c r="D13" s="38"/>
      <c r="E13" s="38"/>
      <c r="F13" s="38"/>
      <c r="G13" s="38"/>
      <c r="H13" s="38"/>
      <c r="I13" s="38"/>
      <c r="J13" s="38"/>
      <c r="K13" s="38"/>
      <c r="L13" s="139" t="str">
        <f t="shared" si="5"/>
        <v/>
      </c>
      <c r="M13" s="137" t="str">
        <f t="shared" ca="1" si="0"/>
        <v/>
      </c>
      <c r="N13" s="196">
        <f>'Proje ve Personel Bilgileri'!F24</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Bilgileri'!C25&gt;0,'Proje ve Personel Bilgileri'!C25,"")</f>
        <v/>
      </c>
      <c r="C14" s="37"/>
      <c r="D14" s="38"/>
      <c r="E14" s="38"/>
      <c r="F14" s="38"/>
      <c r="G14" s="38"/>
      <c r="H14" s="38"/>
      <c r="I14" s="38"/>
      <c r="J14" s="38"/>
      <c r="K14" s="38"/>
      <c r="L14" s="139" t="str">
        <f t="shared" si="5"/>
        <v/>
      </c>
      <c r="M14" s="137" t="str">
        <f t="shared" ca="1" si="0"/>
        <v/>
      </c>
      <c r="N14" s="196">
        <f>'Proje ve Personel Bilgileri'!F25</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Bilgileri'!C26&gt;0,'Proje ve Personel Bilgileri'!C26,"")</f>
        <v/>
      </c>
      <c r="C15" s="37"/>
      <c r="D15" s="38"/>
      <c r="E15" s="38"/>
      <c r="F15" s="38"/>
      <c r="G15" s="38"/>
      <c r="H15" s="38"/>
      <c r="I15" s="38"/>
      <c r="J15" s="38"/>
      <c r="K15" s="38"/>
      <c r="L15" s="139" t="str">
        <f t="shared" si="5"/>
        <v/>
      </c>
      <c r="M15" s="137" t="str">
        <f t="shared" ca="1" si="0"/>
        <v/>
      </c>
      <c r="N15" s="196">
        <f>'Proje ve Personel Bilgileri'!F26</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Bilgileri'!C27&gt;0,'Proje ve Personel Bilgileri'!C27,"")</f>
        <v/>
      </c>
      <c r="C16" s="37"/>
      <c r="D16" s="38"/>
      <c r="E16" s="38"/>
      <c r="F16" s="38"/>
      <c r="G16" s="38"/>
      <c r="H16" s="38"/>
      <c r="I16" s="38"/>
      <c r="J16" s="38"/>
      <c r="K16" s="38"/>
      <c r="L16" s="139" t="str">
        <f t="shared" si="5"/>
        <v/>
      </c>
      <c r="M16" s="137" t="str">
        <f t="shared" ca="1" si="0"/>
        <v/>
      </c>
      <c r="N16" s="196">
        <f>'Proje ve Personel Bilgileri'!F27</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Bilgileri'!C28&gt;0,'Proje ve Personel Bilgileri'!C28,"")</f>
        <v/>
      </c>
      <c r="C17" s="37"/>
      <c r="D17" s="38"/>
      <c r="E17" s="38"/>
      <c r="F17" s="38"/>
      <c r="G17" s="38"/>
      <c r="H17" s="38"/>
      <c r="I17" s="38"/>
      <c r="J17" s="38"/>
      <c r="K17" s="38"/>
      <c r="L17" s="139" t="str">
        <f t="shared" si="5"/>
        <v/>
      </c>
      <c r="M17" s="137" t="str">
        <f t="shared" ca="1" si="0"/>
        <v/>
      </c>
      <c r="N17" s="196">
        <f>'Proje ve Personel Bilgileri'!F28</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Bilgileri'!C29&gt;0,'Proje ve Personel Bilgileri'!C29,"")</f>
        <v/>
      </c>
      <c r="C18" s="37"/>
      <c r="D18" s="38"/>
      <c r="E18" s="38"/>
      <c r="F18" s="38"/>
      <c r="G18" s="38"/>
      <c r="H18" s="38"/>
      <c r="I18" s="38"/>
      <c r="J18" s="38"/>
      <c r="K18" s="38"/>
      <c r="L18" s="139" t="str">
        <f t="shared" si="5"/>
        <v/>
      </c>
      <c r="M18" s="137" t="str">
        <f t="shared" ca="1" si="0"/>
        <v/>
      </c>
      <c r="N18" s="196">
        <f>'Proje ve Personel Bilgileri'!F29</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Bilgileri'!C30&gt;0,'Proje ve Personel Bilgileri'!C30,"")</f>
        <v/>
      </c>
      <c r="C19" s="37"/>
      <c r="D19" s="38"/>
      <c r="E19" s="38"/>
      <c r="F19" s="38"/>
      <c r="G19" s="38"/>
      <c r="H19" s="38"/>
      <c r="I19" s="38"/>
      <c r="J19" s="38"/>
      <c r="K19" s="38"/>
      <c r="L19" s="139" t="str">
        <f t="shared" si="5"/>
        <v/>
      </c>
      <c r="M19" s="137" t="str">
        <f t="shared" ca="1" si="0"/>
        <v/>
      </c>
      <c r="N19" s="196">
        <f>'Proje ve Personel Bilgileri'!F30</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Bilgileri'!C31&gt;0,'Proje ve Personel Bilgileri'!C31,"")</f>
        <v/>
      </c>
      <c r="C20" s="37"/>
      <c r="D20" s="38"/>
      <c r="E20" s="38"/>
      <c r="F20" s="38"/>
      <c r="G20" s="38"/>
      <c r="H20" s="38"/>
      <c r="I20" s="38"/>
      <c r="J20" s="38"/>
      <c r="K20" s="38"/>
      <c r="L20" s="139" t="str">
        <f t="shared" si="5"/>
        <v/>
      </c>
      <c r="M20" s="137" t="str">
        <f t="shared" ca="1" si="0"/>
        <v/>
      </c>
      <c r="N20" s="196">
        <f>'Proje ve Personel Bilgileri'!F31</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Bilgileri'!C32&gt;0,'Proje ve Personel Bilgileri'!C32,"")</f>
        <v/>
      </c>
      <c r="C21" s="37"/>
      <c r="D21" s="38"/>
      <c r="E21" s="38"/>
      <c r="F21" s="38"/>
      <c r="G21" s="38"/>
      <c r="H21" s="38"/>
      <c r="I21" s="38"/>
      <c r="J21" s="38"/>
      <c r="K21" s="38"/>
      <c r="L21" s="139" t="str">
        <f t="shared" si="5"/>
        <v/>
      </c>
      <c r="M21" s="137" t="str">
        <f t="shared" ca="1" si="0"/>
        <v/>
      </c>
      <c r="N21" s="196">
        <f>'Proje ve Personel Bilgileri'!F32</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Bilgileri'!C33&gt;0,'Proje ve Personel Bilgileri'!C33,"")</f>
        <v/>
      </c>
      <c r="C22" s="37"/>
      <c r="D22" s="38"/>
      <c r="E22" s="38"/>
      <c r="F22" s="38"/>
      <c r="G22" s="38"/>
      <c r="H22" s="38"/>
      <c r="I22" s="38"/>
      <c r="J22" s="38"/>
      <c r="K22" s="38"/>
      <c r="L22" s="139" t="str">
        <f t="shared" si="5"/>
        <v/>
      </c>
      <c r="M22" s="137" t="str">
        <f t="shared" ca="1" si="0"/>
        <v/>
      </c>
      <c r="N22" s="196">
        <f>'Proje ve Personel Bilgileri'!F33</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Bilgileri'!C34&gt;0,'Proje ve Personel Bilgileri'!C34,"")</f>
        <v/>
      </c>
      <c r="C23" s="37"/>
      <c r="D23" s="38"/>
      <c r="E23" s="38"/>
      <c r="F23" s="38"/>
      <c r="G23" s="38"/>
      <c r="H23" s="38"/>
      <c r="I23" s="38"/>
      <c r="J23" s="38"/>
      <c r="K23" s="38"/>
      <c r="L23" s="139" t="str">
        <f t="shared" si="5"/>
        <v/>
      </c>
      <c r="M23" s="137" t="str">
        <f t="shared" ca="1" si="0"/>
        <v/>
      </c>
      <c r="N23" s="196">
        <f>'Proje ve Personel Bilgileri'!F34</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Bilgileri'!C35&gt;0,'Proje ve Personel Bilgileri'!C35,"")</f>
        <v/>
      </c>
      <c r="C24" s="37"/>
      <c r="D24" s="38"/>
      <c r="E24" s="38"/>
      <c r="F24" s="38"/>
      <c r="G24" s="38"/>
      <c r="H24" s="38"/>
      <c r="I24" s="38"/>
      <c r="J24" s="38"/>
      <c r="K24" s="38"/>
      <c r="L24" s="139" t="str">
        <f t="shared" si="5"/>
        <v/>
      </c>
      <c r="M24" s="137" t="str">
        <f t="shared" ca="1" si="0"/>
        <v/>
      </c>
      <c r="N24" s="196">
        <f>'Proje ve Personel Bilgileri'!F35</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Bilgileri'!C36&gt;0,'Proje ve Personel Bilgileri'!C36,"")</f>
        <v/>
      </c>
      <c r="C25" s="37"/>
      <c r="D25" s="38"/>
      <c r="E25" s="38"/>
      <c r="F25" s="38"/>
      <c r="G25" s="38"/>
      <c r="H25" s="38"/>
      <c r="I25" s="38"/>
      <c r="J25" s="38"/>
      <c r="K25" s="38"/>
      <c r="L25" s="139" t="str">
        <f t="shared" si="5"/>
        <v/>
      </c>
      <c r="M25" s="137" t="str">
        <f t="shared" ca="1" si="0"/>
        <v/>
      </c>
      <c r="N25" s="196">
        <f>'Proje ve Personel Bilgileri'!F36</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Bilgileri'!C37&gt;0,'Proje ve Personel Bilgileri'!C37,"")</f>
        <v/>
      </c>
      <c r="C26" s="37"/>
      <c r="D26" s="38"/>
      <c r="E26" s="38"/>
      <c r="F26" s="38"/>
      <c r="G26" s="38"/>
      <c r="H26" s="38"/>
      <c r="I26" s="38"/>
      <c r="J26" s="38"/>
      <c r="K26" s="38"/>
      <c r="L26" s="139" t="str">
        <f t="shared" si="5"/>
        <v/>
      </c>
      <c r="M26" s="137" t="str">
        <f t="shared" ca="1" si="0"/>
        <v/>
      </c>
      <c r="N26" s="196">
        <f>'Proje ve Personel Bilgileri'!F37</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Bilgileri'!C38&gt;0,'Proje ve Personel Bilgileri'!C38,"")</f>
        <v/>
      </c>
      <c r="C27" s="39"/>
      <c r="D27" s="40"/>
      <c r="E27" s="40"/>
      <c r="F27" s="40"/>
      <c r="G27" s="40"/>
      <c r="H27" s="40"/>
      <c r="I27" s="40"/>
      <c r="J27" s="40"/>
      <c r="K27" s="40"/>
      <c r="L27" s="142" t="str">
        <f t="shared" si="5"/>
        <v/>
      </c>
      <c r="M27" s="137" t="str">
        <f t="shared" ca="1" si="0"/>
        <v/>
      </c>
      <c r="N27" s="196">
        <f>'Proje ve Personel Bilgileri'!F38</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04" t="s">
        <v>42</v>
      </c>
      <c r="B28" s="305"/>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45686</v>
      </c>
      <c r="C31" s="303" t="s">
        <v>40</v>
      </c>
      <c r="D31" s="303"/>
      <c r="E31" s="245" t="str">
        <f>IF(kurulusyetkilisi&gt;0,kurulusyetkilisi,"")</f>
        <v/>
      </c>
      <c r="F31" s="247"/>
      <c r="G31" s="247"/>
      <c r="H31" s="163"/>
      <c r="I31" s="163"/>
      <c r="J31" s="163"/>
    </row>
    <row r="32" spans="1:21" ht="19.7" x14ac:dyDescent="0.35">
      <c r="A32" s="249"/>
      <c r="B32" s="249"/>
      <c r="C32" s="303" t="s">
        <v>41</v>
      </c>
      <c r="D32" s="303"/>
      <c r="E32" s="302"/>
      <c r="F32" s="302"/>
      <c r="G32" s="302"/>
      <c r="H32" s="42"/>
      <c r="I32" s="42"/>
      <c r="J32" s="42"/>
    </row>
  </sheetData>
  <sheetProtection algorithmName="SHA-512" hashValue="M+wYKeAF5woYxmjtJ+kb5TXidKOTIbiqN8+E+eQH1sX1YiRaawpW/ysVTaCJZsmWfFLYreidGRsQ7GxbRx/p+Q==" saltValue="ams/JwN/hTUF48wUtQ+YNQ==" spinCount="100000" sheet="1" objects="1" scenarios="1"/>
  <mergeCells count="21">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500-000001000000}">
      <formula1>0</formula1>
      <formula2>T8</formula2>
    </dataValidation>
    <dataValidation type="whole" allowBlank="1" showErrorMessage="1" error="Prim Gün Sayısı en fazla 30 olabilir." prompt="_x000a_" sqref="C8:C27"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
  <sheetViews>
    <sheetView topLeftCell="B1" zoomScale="80" zoomScaleNormal="8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8" t="s">
        <v>29</v>
      </c>
      <c r="B1" s="308"/>
      <c r="C1" s="308"/>
      <c r="D1" s="308"/>
      <c r="E1" s="308"/>
      <c r="F1" s="308"/>
      <c r="G1" s="308"/>
      <c r="H1" s="308"/>
      <c r="I1" s="308"/>
      <c r="J1" s="308"/>
      <c r="K1" s="308"/>
      <c r="L1" s="308"/>
      <c r="M1" s="72"/>
      <c r="N1" s="149"/>
      <c r="O1" s="150"/>
      <c r="V1" s="91"/>
    </row>
    <row r="2" spans="1:27" x14ac:dyDescent="0.3">
      <c r="A2" s="315" t="str">
        <f>IF(YilDonem&lt;&gt;"",CONCATENATE(YilDonem,". dönem"),"")</f>
        <v/>
      </c>
      <c r="B2" s="315"/>
      <c r="C2" s="315"/>
      <c r="D2" s="315"/>
      <c r="E2" s="315"/>
      <c r="F2" s="315"/>
      <c r="G2" s="315"/>
      <c r="H2" s="315"/>
      <c r="I2" s="315"/>
      <c r="J2" s="315"/>
      <c r="K2" s="315"/>
      <c r="L2" s="315"/>
    </row>
    <row r="3" spans="1:27" ht="16.3" thickBot="1" x14ac:dyDescent="0.35">
      <c r="B3" s="33"/>
      <c r="C3" s="33"/>
      <c r="D3" s="33"/>
      <c r="E3" s="306" t="str">
        <f>IF(YilDonem&lt;&gt;"",CONCATENATE(VLOOKUP(DönBasAy+2,AyTablo,2,0)," ayına aittir."),"")</f>
        <v/>
      </c>
      <c r="F3" s="306"/>
      <c r="G3" s="306"/>
      <c r="H3" s="306"/>
      <c r="I3" s="33"/>
      <c r="J3" s="33"/>
      <c r="K3" s="33"/>
      <c r="L3" s="183" t="s">
        <v>37</v>
      </c>
    </row>
    <row r="4" spans="1:27" ht="31.6" customHeight="1" thickBot="1" x14ac:dyDescent="0.35">
      <c r="A4" s="187" t="s">
        <v>1</v>
      </c>
      <c r="B4" s="309" t="str">
        <f>IF(ProjeNo&gt;0,ProjeNo,"")</f>
        <v/>
      </c>
      <c r="C4" s="310"/>
      <c r="D4" s="310"/>
      <c r="E4" s="310"/>
      <c r="F4" s="310"/>
      <c r="G4" s="310"/>
      <c r="H4" s="310"/>
      <c r="I4" s="310"/>
      <c r="J4" s="310"/>
      <c r="K4" s="310"/>
      <c r="L4" s="311"/>
    </row>
    <row r="5" spans="1:27" ht="31.6" customHeight="1" thickBot="1" x14ac:dyDescent="0.35">
      <c r="A5" s="188" t="s">
        <v>11</v>
      </c>
      <c r="B5" s="312" t="str">
        <f>IF(ProjeAdi&gt;0,ProjeAdi,"")</f>
        <v/>
      </c>
      <c r="C5" s="313"/>
      <c r="D5" s="313"/>
      <c r="E5" s="313"/>
      <c r="F5" s="313"/>
      <c r="G5" s="313"/>
      <c r="H5" s="313"/>
      <c r="I5" s="313"/>
      <c r="J5" s="313"/>
      <c r="K5" s="313"/>
      <c r="L5" s="314"/>
    </row>
    <row r="6" spans="1:27" ht="31.6" customHeight="1" thickBot="1" x14ac:dyDescent="0.3">
      <c r="A6" s="316" t="s">
        <v>7</v>
      </c>
      <c r="B6" s="316" t="s">
        <v>8</v>
      </c>
      <c r="C6" s="316" t="s">
        <v>30</v>
      </c>
      <c r="D6" s="316" t="s">
        <v>109</v>
      </c>
      <c r="E6" s="316" t="s">
        <v>31</v>
      </c>
      <c r="F6" s="316" t="s">
        <v>34</v>
      </c>
      <c r="G6" s="319" t="s">
        <v>32</v>
      </c>
      <c r="H6" s="318" t="s">
        <v>141</v>
      </c>
      <c r="I6" s="319"/>
      <c r="J6" s="319"/>
      <c r="K6" s="320"/>
      <c r="L6" s="316" t="s">
        <v>33</v>
      </c>
      <c r="O6" s="307" t="s">
        <v>38</v>
      </c>
      <c r="P6" s="307"/>
      <c r="Q6" s="307" t="s">
        <v>44</v>
      </c>
      <c r="R6" s="307"/>
      <c r="S6" s="307" t="s">
        <v>45</v>
      </c>
      <c r="T6" s="307"/>
    </row>
    <row r="7" spans="1:27" s="74" customFormat="1" ht="94.45" thickBot="1" x14ac:dyDescent="0.3">
      <c r="A7" s="321"/>
      <c r="B7" s="321"/>
      <c r="C7" s="321"/>
      <c r="D7" s="321"/>
      <c r="E7" s="321"/>
      <c r="F7" s="321"/>
      <c r="G7" s="322"/>
      <c r="H7" s="184" t="s">
        <v>106</v>
      </c>
      <c r="I7" s="184" t="s">
        <v>142</v>
      </c>
      <c r="J7" s="184" t="s">
        <v>159</v>
      </c>
      <c r="K7" s="184" t="s">
        <v>160</v>
      </c>
      <c r="L7" s="317"/>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Bilgileri'!C19&gt;0,'Proje ve Personel Bilgileri'!C19,"")</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Bilgileri'!F19</f>
        <v>0</v>
      </c>
      <c r="O8" s="138">
        <f t="shared" ref="O8:O27" ca="1" si="1">IFERROR(IF(N8="EVET",VLOOKUP(VLOOKUP(DönBasAy+2,YilDönemTablo,4,0),SGKTAVAN,2,0)*0.2475,VLOOKUP(VLOOKUP(DönBasAy+2,YilDönemTablo,4,0),SGKTAVAN,2,0)*0.2075),0)</f>
        <v>0</v>
      </c>
      <c r="P8" s="138">
        <f t="shared" ref="P8:P27" ca="1" si="2">IFERROR(IF(N8="EVET",0,VLOOKUP(VLOOKUP(DönBasAy+2,YilDönemTablo,4,0),SGKTAVAN,2,0)*0.02),0)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Bilgileri'!C20&gt;0,'Proje ve Personel Bilgileri'!C20,"")</f>
        <v/>
      </c>
      <c r="C9" s="37"/>
      <c r="D9" s="38"/>
      <c r="E9" s="38"/>
      <c r="F9" s="38"/>
      <c r="G9" s="38"/>
      <c r="H9" s="38"/>
      <c r="I9" s="38"/>
      <c r="J9" s="38"/>
      <c r="K9" s="38"/>
      <c r="L9" s="139" t="str">
        <f t="shared" ref="L9:L27" si="5">IF(B9&lt;&gt;"",IF(OR(F9&gt;S9,G9&gt;T9),0,D9+E9+F9+G9-H9-I9-J9-K9),"")</f>
        <v/>
      </c>
      <c r="M9" s="137" t="str">
        <f t="shared" ca="1" si="0"/>
        <v/>
      </c>
      <c r="N9" s="196">
        <f>'Proje ve Personel Bilgileri'!F20</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Bilgileri'!C21&gt;0,'Proje ve Personel Bilgileri'!C21,"")</f>
        <v/>
      </c>
      <c r="C10" s="37"/>
      <c r="D10" s="38"/>
      <c r="E10" s="38"/>
      <c r="F10" s="38"/>
      <c r="G10" s="38"/>
      <c r="H10" s="38"/>
      <c r="I10" s="38"/>
      <c r="J10" s="38"/>
      <c r="K10" s="38"/>
      <c r="L10" s="139" t="str">
        <f t="shared" si="5"/>
        <v/>
      </c>
      <c r="M10" s="137" t="str">
        <f t="shared" ca="1" si="0"/>
        <v/>
      </c>
      <c r="N10" s="196">
        <f>'Proje ve Personel Bilgileri'!F21</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Bilgileri'!C22&gt;0,'Proje ve Personel Bilgileri'!C22,"")</f>
        <v/>
      </c>
      <c r="C11" s="37"/>
      <c r="D11" s="38"/>
      <c r="E11" s="38"/>
      <c r="F11" s="38"/>
      <c r="G11" s="38"/>
      <c r="H11" s="38"/>
      <c r="I11" s="38"/>
      <c r="J11" s="38"/>
      <c r="K11" s="38"/>
      <c r="L11" s="139" t="str">
        <f t="shared" si="5"/>
        <v/>
      </c>
      <c r="M11" s="137" t="str">
        <f t="shared" ca="1" si="0"/>
        <v/>
      </c>
      <c r="N11" s="196">
        <f>'Proje ve Personel Bilgileri'!F22</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Bilgileri'!C23&gt;0,'Proje ve Personel Bilgileri'!C23,"")</f>
        <v/>
      </c>
      <c r="C12" s="37"/>
      <c r="D12" s="38"/>
      <c r="E12" s="38"/>
      <c r="F12" s="38"/>
      <c r="G12" s="38"/>
      <c r="H12" s="38"/>
      <c r="I12" s="38"/>
      <c r="J12" s="38"/>
      <c r="K12" s="38"/>
      <c r="L12" s="139" t="str">
        <f t="shared" si="5"/>
        <v/>
      </c>
      <c r="M12" s="137" t="str">
        <f t="shared" ca="1" si="0"/>
        <v/>
      </c>
      <c r="N12" s="196">
        <f>'Proje ve Personel Bilgileri'!F23</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Bilgileri'!C24&gt;0,'Proje ve Personel Bilgileri'!C24,"")</f>
        <v/>
      </c>
      <c r="C13" s="37"/>
      <c r="D13" s="38"/>
      <c r="E13" s="38"/>
      <c r="F13" s="38"/>
      <c r="G13" s="38"/>
      <c r="H13" s="38"/>
      <c r="I13" s="38"/>
      <c r="J13" s="38"/>
      <c r="K13" s="38"/>
      <c r="L13" s="139" t="str">
        <f t="shared" si="5"/>
        <v/>
      </c>
      <c r="M13" s="137" t="str">
        <f t="shared" ca="1" si="0"/>
        <v/>
      </c>
      <c r="N13" s="196">
        <f>'Proje ve Personel Bilgileri'!F24</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Bilgileri'!C25&gt;0,'Proje ve Personel Bilgileri'!C25,"")</f>
        <v/>
      </c>
      <c r="C14" s="37"/>
      <c r="D14" s="38"/>
      <c r="E14" s="38"/>
      <c r="F14" s="38"/>
      <c r="G14" s="38"/>
      <c r="H14" s="38"/>
      <c r="I14" s="38"/>
      <c r="J14" s="38"/>
      <c r="K14" s="38"/>
      <c r="L14" s="139" t="str">
        <f t="shared" si="5"/>
        <v/>
      </c>
      <c r="M14" s="137" t="str">
        <f t="shared" ca="1" si="0"/>
        <v/>
      </c>
      <c r="N14" s="196">
        <f>'Proje ve Personel Bilgileri'!F25</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Bilgileri'!C26&gt;0,'Proje ve Personel Bilgileri'!C26,"")</f>
        <v/>
      </c>
      <c r="C15" s="37"/>
      <c r="D15" s="38"/>
      <c r="E15" s="38"/>
      <c r="F15" s="38"/>
      <c r="G15" s="38"/>
      <c r="H15" s="38"/>
      <c r="I15" s="38"/>
      <c r="J15" s="38"/>
      <c r="K15" s="38"/>
      <c r="L15" s="139" t="str">
        <f t="shared" si="5"/>
        <v/>
      </c>
      <c r="M15" s="137" t="str">
        <f t="shared" ca="1" si="0"/>
        <v/>
      </c>
      <c r="N15" s="196">
        <f>'Proje ve Personel Bilgileri'!F26</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Bilgileri'!C27&gt;0,'Proje ve Personel Bilgileri'!C27,"")</f>
        <v/>
      </c>
      <c r="C16" s="37"/>
      <c r="D16" s="38"/>
      <c r="E16" s="38"/>
      <c r="F16" s="38"/>
      <c r="G16" s="38"/>
      <c r="H16" s="38"/>
      <c r="I16" s="38"/>
      <c r="J16" s="38"/>
      <c r="K16" s="38"/>
      <c r="L16" s="139" t="str">
        <f t="shared" si="5"/>
        <v/>
      </c>
      <c r="M16" s="137" t="str">
        <f t="shared" ca="1" si="0"/>
        <v/>
      </c>
      <c r="N16" s="196">
        <f>'Proje ve Personel Bilgileri'!F27</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Bilgileri'!C28&gt;0,'Proje ve Personel Bilgileri'!C28,"")</f>
        <v/>
      </c>
      <c r="C17" s="37"/>
      <c r="D17" s="38"/>
      <c r="E17" s="38"/>
      <c r="F17" s="38"/>
      <c r="G17" s="38"/>
      <c r="H17" s="38"/>
      <c r="I17" s="38"/>
      <c r="J17" s="38"/>
      <c r="K17" s="38"/>
      <c r="L17" s="139" t="str">
        <f t="shared" si="5"/>
        <v/>
      </c>
      <c r="M17" s="137" t="str">
        <f t="shared" ca="1" si="0"/>
        <v/>
      </c>
      <c r="N17" s="196">
        <f>'Proje ve Personel Bilgileri'!F28</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Bilgileri'!C29&gt;0,'Proje ve Personel Bilgileri'!C29,"")</f>
        <v/>
      </c>
      <c r="C18" s="37"/>
      <c r="D18" s="38"/>
      <c r="E18" s="38"/>
      <c r="F18" s="38"/>
      <c r="G18" s="38"/>
      <c r="H18" s="38"/>
      <c r="I18" s="38"/>
      <c r="J18" s="38"/>
      <c r="K18" s="38"/>
      <c r="L18" s="139" t="str">
        <f t="shared" si="5"/>
        <v/>
      </c>
      <c r="M18" s="137" t="str">
        <f t="shared" ca="1" si="0"/>
        <v/>
      </c>
      <c r="N18" s="196">
        <f>'Proje ve Personel Bilgileri'!F29</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Bilgileri'!C30&gt;0,'Proje ve Personel Bilgileri'!C30,"")</f>
        <v/>
      </c>
      <c r="C19" s="37"/>
      <c r="D19" s="38"/>
      <c r="E19" s="38"/>
      <c r="F19" s="38"/>
      <c r="G19" s="38"/>
      <c r="H19" s="38"/>
      <c r="I19" s="38"/>
      <c r="J19" s="38"/>
      <c r="K19" s="38"/>
      <c r="L19" s="139" t="str">
        <f t="shared" si="5"/>
        <v/>
      </c>
      <c r="M19" s="137" t="str">
        <f t="shared" ca="1" si="0"/>
        <v/>
      </c>
      <c r="N19" s="196">
        <f>'Proje ve Personel Bilgileri'!F30</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Bilgileri'!C31&gt;0,'Proje ve Personel Bilgileri'!C31,"")</f>
        <v/>
      </c>
      <c r="C20" s="37"/>
      <c r="D20" s="38"/>
      <c r="E20" s="38"/>
      <c r="F20" s="38"/>
      <c r="G20" s="38"/>
      <c r="H20" s="38"/>
      <c r="I20" s="38"/>
      <c r="J20" s="38"/>
      <c r="K20" s="38"/>
      <c r="L20" s="139" t="str">
        <f t="shared" si="5"/>
        <v/>
      </c>
      <c r="M20" s="137" t="str">
        <f t="shared" ca="1" si="0"/>
        <v/>
      </c>
      <c r="N20" s="196">
        <f>'Proje ve Personel Bilgileri'!F31</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Bilgileri'!C32&gt;0,'Proje ve Personel Bilgileri'!C32,"")</f>
        <v/>
      </c>
      <c r="C21" s="37"/>
      <c r="D21" s="38"/>
      <c r="E21" s="38"/>
      <c r="F21" s="38"/>
      <c r="G21" s="38"/>
      <c r="H21" s="38"/>
      <c r="I21" s="38"/>
      <c r="J21" s="38"/>
      <c r="K21" s="38"/>
      <c r="L21" s="139" t="str">
        <f t="shared" si="5"/>
        <v/>
      </c>
      <c r="M21" s="137" t="str">
        <f t="shared" ca="1" si="0"/>
        <v/>
      </c>
      <c r="N21" s="196">
        <f>'Proje ve Personel Bilgileri'!F32</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Bilgileri'!C33&gt;0,'Proje ve Personel Bilgileri'!C33,"")</f>
        <v/>
      </c>
      <c r="C22" s="37"/>
      <c r="D22" s="38"/>
      <c r="E22" s="38"/>
      <c r="F22" s="38"/>
      <c r="G22" s="38"/>
      <c r="H22" s="38"/>
      <c r="I22" s="38"/>
      <c r="J22" s="38"/>
      <c r="K22" s="38"/>
      <c r="L22" s="139" t="str">
        <f t="shared" si="5"/>
        <v/>
      </c>
      <c r="M22" s="137" t="str">
        <f t="shared" ca="1" si="0"/>
        <v/>
      </c>
      <c r="N22" s="196">
        <f>'Proje ve Personel Bilgileri'!F33</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Bilgileri'!C34&gt;0,'Proje ve Personel Bilgileri'!C34,"")</f>
        <v/>
      </c>
      <c r="C23" s="37"/>
      <c r="D23" s="38"/>
      <c r="E23" s="38"/>
      <c r="F23" s="38"/>
      <c r="G23" s="38"/>
      <c r="H23" s="38"/>
      <c r="I23" s="38"/>
      <c r="J23" s="38"/>
      <c r="K23" s="38"/>
      <c r="L23" s="139" t="str">
        <f t="shared" si="5"/>
        <v/>
      </c>
      <c r="M23" s="137" t="str">
        <f t="shared" ca="1" si="0"/>
        <v/>
      </c>
      <c r="N23" s="196">
        <f>'Proje ve Personel Bilgileri'!F34</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Bilgileri'!C35&gt;0,'Proje ve Personel Bilgileri'!C35,"")</f>
        <v/>
      </c>
      <c r="C24" s="37"/>
      <c r="D24" s="38"/>
      <c r="E24" s="38"/>
      <c r="F24" s="38"/>
      <c r="G24" s="38"/>
      <c r="H24" s="38"/>
      <c r="I24" s="38"/>
      <c r="J24" s="38"/>
      <c r="K24" s="38"/>
      <c r="L24" s="139" t="str">
        <f t="shared" si="5"/>
        <v/>
      </c>
      <c r="M24" s="137" t="str">
        <f t="shared" ca="1" si="0"/>
        <v/>
      </c>
      <c r="N24" s="196">
        <f>'Proje ve Personel Bilgileri'!F35</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Bilgileri'!C36&gt;0,'Proje ve Personel Bilgileri'!C36,"")</f>
        <v/>
      </c>
      <c r="C25" s="37"/>
      <c r="D25" s="38"/>
      <c r="E25" s="38"/>
      <c r="F25" s="38"/>
      <c r="G25" s="38"/>
      <c r="H25" s="38"/>
      <c r="I25" s="38"/>
      <c r="J25" s="38"/>
      <c r="K25" s="38"/>
      <c r="L25" s="139" t="str">
        <f t="shared" si="5"/>
        <v/>
      </c>
      <c r="M25" s="137" t="str">
        <f t="shared" ca="1" si="0"/>
        <v/>
      </c>
      <c r="N25" s="196">
        <f>'Proje ve Personel Bilgileri'!F36</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Bilgileri'!C37&gt;0,'Proje ve Personel Bilgileri'!C37,"")</f>
        <v/>
      </c>
      <c r="C26" s="37"/>
      <c r="D26" s="38"/>
      <c r="E26" s="38"/>
      <c r="F26" s="38"/>
      <c r="G26" s="38"/>
      <c r="H26" s="38"/>
      <c r="I26" s="38"/>
      <c r="J26" s="38"/>
      <c r="K26" s="38"/>
      <c r="L26" s="139" t="str">
        <f t="shared" si="5"/>
        <v/>
      </c>
      <c r="M26" s="137" t="str">
        <f t="shared" ca="1" si="0"/>
        <v/>
      </c>
      <c r="N26" s="196">
        <f>'Proje ve Personel Bilgileri'!F37</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Bilgileri'!C38&gt;0,'Proje ve Personel Bilgileri'!C38,"")</f>
        <v/>
      </c>
      <c r="C27" s="39"/>
      <c r="D27" s="40"/>
      <c r="E27" s="40"/>
      <c r="F27" s="40"/>
      <c r="G27" s="40"/>
      <c r="H27" s="40"/>
      <c r="I27" s="40"/>
      <c r="J27" s="40"/>
      <c r="K27" s="40"/>
      <c r="L27" s="142" t="str">
        <f t="shared" si="5"/>
        <v/>
      </c>
      <c r="M27" s="137" t="str">
        <f t="shared" ca="1" si="0"/>
        <v/>
      </c>
      <c r="N27" s="196">
        <f>'Proje ve Personel Bilgileri'!F38</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04" t="s">
        <v>42</v>
      </c>
      <c r="B28" s="305"/>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45686</v>
      </c>
      <c r="C31" s="303" t="s">
        <v>40</v>
      </c>
      <c r="D31" s="303"/>
      <c r="E31" s="245" t="str">
        <f>IF(kurulusyetkilisi&gt;0,kurulusyetkilisi,"")</f>
        <v/>
      </c>
      <c r="F31" s="247"/>
      <c r="G31" s="247"/>
      <c r="H31" s="163"/>
      <c r="I31" s="163"/>
      <c r="J31" s="163"/>
    </row>
    <row r="32" spans="1:21" ht="19.7" x14ac:dyDescent="0.35">
      <c r="A32" s="249"/>
      <c r="B32" s="249"/>
      <c r="C32" s="303" t="s">
        <v>41</v>
      </c>
      <c r="D32" s="303"/>
      <c r="E32" s="302"/>
      <c r="F32" s="302"/>
      <c r="G32" s="302"/>
      <c r="H32" s="42"/>
      <c r="I32" s="42"/>
      <c r="J32" s="42"/>
    </row>
  </sheetData>
  <sheetProtection algorithmName="SHA-512" hashValue="1lp6nrkhT+/7//K22LR0oxkBZi2LwyfEor426rLYbWGjmSI5JRgkTPt5cKeclWmzJlQP9NxSsq0/uAN1uyxciw==" saltValue="NAUG2kDVaMMy/TdPUgjpIA==" spinCount="100000" sheet="1" objects="1" scenarios="1"/>
  <mergeCells count="21">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6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600-000001000000}">
      <formula1>0</formula1>
      <formula2>S8</formula2>
    </dataValidation>
    <dataValidation type="whole" allowBlank="1" showErrorMessage="1" error="Prim Gün Sayısı en fazla 30 olabilir." prompt="_x000a_" sqref="C8:C27" xr:uid="{00000000-0002-0000-06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
  <sheetViews>
    <sheetView topLeftCell="B1" zoomScale="80" zoomScaleNormal="8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8" t="s">
        <v>29</v>
      </c>
      <c r="B1" s="308"/>
      <c r="C1" s="308"/>
      <c r="D1" s="308"/>
      <c r="E1" s="308"/>
      <c r="F1" s="308"/>
      <c r="G1" s="308"/>
      <c r="H1" s="308"/>
      <c r="I1" s="308"/>
      <c r="J1" s="308"/>
      <c r="K1" s="308"/>
      <c r="L1" s="308"/>
      <c r="M1" s="72"/>
      <c r="N1" s="149"/>
      <c r="O1" s="150"/>
      <c r="V1" s="91"/>
    </row>
    <row r="2" spans="1:27" x14ac:dyDescent="0.3">
      <c r="A2" s="315" t="str">
        <f>IF(YilDonem&lt;&gt;"",CONCATENATE(YilDonem,". dönem"),"")</f>
        <v/>
      </c>
      <c r="B2" s="315"/>
      <c r="C2" s="315"/>
      <c r="D2" s="315"/>
      <c r="E2" s="315"/>
      <c r="F2" s="315"/>
      <c r="G2" s="315"/>
      <c r="H2" s="315"/>
      <c r="I2" s="315"/>
      <c r="J2" s="315"/>
      <c r="K2" s="315"/>
      <c r="L2" s="315"/>
    </row>
    <row r="3" spans="1:27" ht="16.3" thickBot="1" x14ac:dyDescent="0.35">
      <c r="B3" s="33"/>
      <c r="C3" s="33"/>
      <c r="D3" s="33"/>
      <c r="E3" s="306" t="str">
        <f>IF(YilDonem&lt;&gt;"",CONCATENATE(VLOOKUP(DönBasAy+3,AyTablo,2,0)," ayına aittir."),"")</f>
        <v/>
      </c>
      <c r="F3" s="306"/>
      <c r="G3" s="306"/>
      <c r="H3" s="306"/>
      <c r="I3" s="33"/>
      <c r="J3" s="33"/>
      <c r="K3" s="33"/>
      <c r="L3" s="183" t="s">
        <v>37</v>
      </c>
    </row>
    <row r="4" spans="1:27" ht="31.6" customHeight="1" thickBot="1" x14ac:dyDescent="0.35">
      <c r="A4" s="187" t="s">
        <v>1</v>
      </c>
      <c r="B4" s="309" t="str">
        <f>IF(ProjeNo&gt;0,ProjeNo,"")</f>
        <v/>
      </c>
      <c r="C4" s="310"/>
      <c r="D4" s="310"/>
      <c r="E4" s="310"/>
      <c r="F4" s="310"/>
      <c r="G4" s="310"/>
      <c r="H4" s="310"/>
      <c r="I4" s="310"/>
      <c r="J4" s="310"/>
      <c r="K4" s="310"/>
      <c r="L4" s="311"/>
    </row>
    <row r="5" spans="1:27" ht="31.6" customHeight="1" thickBot="1" x14ac:dyDescent="0.35">
      <c r="A5" s="188" t="s">
        <v>11</v>
      </c>
      <c r="B5" s="312" t="str">
        <f>IF(ProjeAdi&gt;0,ProjeAdi,"")</f>
        <v/>
      </c>
      <c r="C5" s="313"/>
      <c r="D5" s="313"/>
      <c r="E5" s="313"/>
      <c r="F5" s="313"/>
      <c r="G5" s="313"/>
      <c r="H5" s="313"/>
      <c r="I5" s="313"/>
      <c r="J5" s="313"/>
      <c r="K5" s="313"/>
      <c r="L5" s="314"/>
    </row>
    <row r="6" spans="1:27" ht="31.6" customHeight="1" thickBot="1" x14ac:dyDescent="0.3">
      <c r="A6" s="316" t="s">
        <v>7</v>
      </c>
      <c r="B6" s="316" t="s">
        <v>8</v>
      </c>
      <c r="C6" s="316" t="s">
        <v>30</v>
      </c>
      <c r="D6" s="316" t="s">
        <v>109</v>
      </c>
      <c r="E6" s="316" t="s">
        <v>31</v>
      </c>
      <c r="F6" s="316" t="s">
        <v>34</v>
      </c>
      <c r="G6" s="319" t="s">
        <v>32</v>
      </c>
      <c r="H6" s="318" t="s">
        <v>141</v>
      </c>
      <c r="I6" s="319"/>
      <c r="J6" s="319"/>
      <c r="K6" s="320"/>
      <c r="L6" s="316" t="s">
        <v>33</v>
      </c>
      <c r="O6" s="307" t="s">
        <v>38</v>
      </c>
      <c r="P6" s="307"/>
      <c r="Q6" s="307" t="s">
        <v>44</v>
      </c>
      <c r="R6" s="307"/>
      <c r="S6" s="307" t="s">
        <v>45</v>
      </c>
      <c r="T6" s="307"/>
    </row>
    <row r="7" spans="1:27" s="74" customFormat="1" ht="94.45" thickBot="1" x14ac:dyDescent="0.3">
      <c r="A7" s="321"/>
      <c r="B7" s="321"/>
      <c r="C7" s="321"/>
      <c r="D7" s="321"/>
      <c r="E7" s="321"/>
      <c r="F7" s="321"/>
      <c r="G7" s="322"/>
      <c r="H7" s="184" t="s">
        <v>106</v>
      </c>
      <c r="I7" s="184" t="s">
        <v>142</v>
      </c>
      <c r="J7" s="184" t="s">
        <v>159</v>
      </c>
      <c r="K7" s="184" t="s">
        <v>160</v>
      </c>
      <c r="L7" s="317"/>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Bilgileri'!C19&gt;0,'Proje ve Personel Bilgileri'!C19,"")</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Bilgileri'!F19</f>
        <v>0</v>
      </c>
      <c r="O8" s="138">
        <f t="shared" ref="O8:O27" ca="1" si="1">IFERROR(IF(N8="EVET",VLOOKUP(VLOOKUP(DönBasAy+3,YilDönemTablo,4,0),SGKTAVAN,2,0)*0.2475,VLOOKUP(VLOOKUP(DönBasAy+3,YilDönemTablo,4,0),SGKTAVAN,2,0)*0.2075),0)</f>
        <v>0</v>
      </c>
      <c r="P8" s="138">
        <f t="shared" ref="P8:P27" ca="1" si="2">IFERROR(IF(N8="EVET",0,VLOOKUP(VLOOKUP(DönBasAy+3,YilDönemTablo,4,0),SGKTAVAN,2,0)*0.02),0)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Bilgileri'!C20&gt;0,'Proje ve Personel Bilgileri'!C20,"")</f>
        <v/>
      </c>
      <c r="C9" s="37"/>
      <c r="D9" s="38"/>
      <c r="E9" s="38"/>
      <c r="F9" s="38"/>
      <c r="G9" s="38"/>
      <c r="H9" s="38"/>
      <c r="I9" s="38"/>
      <c r="J9" s="38"/>
      <c r="K9" s="38"/>
      <c r="L9" s="139" t="str">
        <f t="shared" ref="L9:L27" si="5">IF(B9&lt;&gt;"",IF(OR(F9&gt;S9,G9&gt;T9),0,D9+E9+F9+G9-H9-I9-J9-K9),"")</f>
        <v/>
      </c>
      <c r="M9" s="137" t="str">
        <f t="shared" ca="1" si="0"/>
        <v/>
      </c>
      <c r="N9" s="196">
        <f>'Proje ve Personel Bilgileri'!F20</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Bilgileri'!C21&gt;0,'Proje ve Personel Bilgileri'!C21,"")</f>
        <v/>
      </c>
      <c r="C10" s="37"/>
      <c r="D10" s="38"/>
      <c r="E10" s="38"/>
      <c r="F10" s="38"/>
      <c r="G10" s="38"/>
      <c r="H10" s="38"/>
      <c r="I10" s="38"/>
      <c r="J10" s="38"/>
      <c r="K10" s="38"/>
      <c r="L10" s="139" t="str">
        <f t="shared" si="5"/>
        <v/>
      </c>
      <c r="M10" s="137" t="str">
        <f t="shared" ca="1" si="0"/>
        <v/>
      </c>
      <c r="N10" s="196">
        <f>'Proje ve Personel Bilgileri'!F21</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Bilgileri'!C22&gt;0,'Proje ve Personel Bilgileri'!C22,"")</f>
        <v/>
      </c>
      <c r="C11" s="37"/>
      <c r="D11" s="38"/>
      <c r="E11" s="38"/>
      <c r="F11" s="38"/>
      <c r="G11" s="38"/>
      <c r="H11" s="38"/>
      <c r="I11" s="38"/>
      <c r="J11" s="38"/>
      <c r="K11" s="38"/>
      <c r="L11" s="139" t="str">
        <f t="shared" si="5"/>
        <v/>
      </c>
      <c r="M11" s="137" t="str">
        <f t="shared" ca="1" si="0"/>
        <v/>
      </c>
      <c r="N11" s="196">
        <f>'Proje ve Personel Bilgileri'!F22</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Bilgileri'!C23&gt;0,'Proje ve Personel Bilgileri'!C23,"")</f>
        <v/>
      </c>
      <c r="C12" s="37"/>
      <c r="D12" s="38"/>
      <c r="E12" s="38"/>
      <c r="F12" s="38"/>
      <c r="G12" s="38"/>
      <c r="H12" s="38"/>
      <c r="I12" s="38"/>
      <c r="J12" s="38"/>
      <c r="K12" s="38"/>
      <c r="L12" s="139" t="str">
        <f t="shared" si="5"/>
        <v/>
      </c>
      <c r="M12" s="137" t="str">
        <f t="shared" ca="1" si="0"/>
        <v/>
      </c>
      <c r="N12" s="196">
        <f>'Proje ve Personel Bilgileri'!F23</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Bilgileri'!C24&gt;0,'Proje ve Personel Bilgileri'!C24,"")</f>
        <v/>
      </c>
      <c r="C13" s="37"/>
      <c r="D13" s="38"/>
      <c r="E13" s="38"/>
      <c r="F13" s="38"/>
      <c r="G13" s="38"/>
      <c r="H13" s="38"/>
      <c r="I13" s="38"/>
      <c r="J13" s="38"/>
      <c r="K13" s="38"/>
      <c r="L13" s="139" t="str">
        <f t="shared" si="5"/>
        <v/>
      </c>
      <c r="M13" s="137" t="str">
        <f t="shared" ca="1" si="0"/>
        <v/>
      </c>
      <c r="N13" s="196">
        <f>'Proje ve Personel Bilgileri'!F24</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Bilgileri'!C25&gt;0,'Proje ve Personel Bilgileri'!C25,"")</f>
        <v/>
      </c>
      <c r="C14" s="37"/>
      <c r="D14" s="38"/>
      <c r="E14" s="38"/>
      <c r="F14" s="38"/>
      <c r="G14" s="38"/>
      <c r="H14" s="38"/>
      <c r="I14" s="38"/>
      <c r="J14" s="38"/>
      <c r="K14" s="38"/>
      <c r="L14" s="139" t="str">
        <f t="shared" si="5"/>
        <v/>
      </c>
      <c r="M14" s="137" t="str">
        <f t="shared" ca="1" si="0"/>
        <v/>
      </c>
      <c r="N14" s="196">
        <f>'Proje ve Personel Bilgileri'!F25</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Bilgileri'!C26&gt;0,'Proje ve Personel Bilgileri'!C26,"")</f>
        <v/>
      </c>
      <c r="C15" s="37"/>
      <c r="D15" s="38"/>
      <c r="E15" s="38"/>
      <c r="F15" s="38"/>
      <c r="G15" s="38"/>
      <c r="H15" s="38"/>
      <c r="I15" s="38"/>
      <c r="J15" s="38"/>
      <c r="K15" s="38"/>
      <c r="L15" s="139" t="str">
        <f t="shared" si="5"/>
        <v/>
      </c>
      <c r="M15" s="137" t="str">
        <f t="shared" ca="1" si="0"/>
        <v/>
      </c>
      <c r="N15" s="196">
        <f>'Proje ve Personel Bilgileri'!F26</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Bilgileri'!C27&gt;0,'Proje ve Personel Bilgileri'!C27,"")</f>
        <v/>
      </c>
      <c r="C16" s="37"/>
      <c r="D16" s="38"/>
      <c r="E16" s="38"/>
      <c r="F16" s="38"/>
      <c r="G16" s="38"/>
      <c r="H16" s="38"/>
      <c r="I16" s="38"/>
      <c r="J16" s="38"/>
      <c r="K16" s="38"/>
      <c r="L16" s="139" t="str">
        <f t="shared" si="5"/>
        <v/>
      </c>
      <c r="M16" s="137" t="str">
        <f t="shared" ca="1" si="0"/>
        <v/>
      </c>
      <c r="N16" s="196">
        <f>'Proje ve Personel Bilgileri'!F27</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Bilgileri'!C28&gt;0,'Proje ve Personel Bilgileri'!C28,"")</f>
        <v/>
      </c>
      <c r="C17" s="37"/>
      <c r="D17" s="38"/>
      <c r="E17" s="38"/>
      <c r="F17" s="38"/>
      <c r="G17" s="38"/>
      <c r="H17" s="38"/>
      <c r="I17" s="38"/>
      <c r="J17" s="38"/>
      <c r="K17" s="38"/>
      <c r="L17" s="139" t="str">
        <f t="shared" si="5"/>
        <v/>
      </c>
      <c r="M17" s="137" t="str">
        <f t="shared" ca="1" si="0"/>
        <v/>
      </c>
      <c r="N17" s="196">
        <f>'Proje ve Personel Bilgileri'!F28</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Bilgileri'!C29&gt;0,'Proje ve Personel Bilgileri'!C29,"")</f>
        <v/>
      </c>
      <c r="C18" s="37"/>
      <c r="D18" s="38"/>
      <c r="E18" s="38"/>
      <c r="F18" s="38"/>
      <c r="G18" s="38"/>
      <c r="H18" s="38"/>
      <c r="I18" s="38"/>
      <c r="J18" s="38"/>
      <c r="K18" s="38"/>
      <c r="L18" s="139" t="str">
        <f t="shared" si="5"/>
        <v/>
      </c>
      <c r="M18" s="137" t="str">
        <f t="shared" ca="1" si="0"/>
        <v/>
      </c>
      <c r="N18" s="196">
        <f>'Proje ve Personel Bilgileri'!F29</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Bilgileri'!C30&gt;0,'Proje ve Personel Bilgileri'!C30,"")</f>
        <v/>
      </c>
      <c r="C19" s="37"/>
      <c r="D19" s="38"/>
      <c r="E19" s="38"/>
      <c r="F19" s="38"/>
      <c r="G19" s="38"/>
      <c r="H19" s="38"/>
      <c r="I19" s="38"/>
      <c r="J19" s="38"/>
      <c r="K19" s="38"/>
      <c r="L19" s="139" t="str">
        <f t="shared" si="5"/>
        <v/>
      </c>
      <c r="M19" s="137" t="str">
        <f t="shared" ca="1" si="0"/>
        <v/>
      </c>
      <c r="N19" s="196">
        <f>'Proje ve Personel Bilgileri'!F30</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Bilgileri'!C31&gt;0,'Proje ve Personel Bilgileri'!C31,"")</f>
        <v/>
      </c>
      <c r="C20" s="37"/>
      <c r="D20" s="38"/>
      <c r="E20" s="38"/>
      <c r="F20" s="38"/>
      <c r="G20" s="38"/>
      <c r="H20" s="38"/>
      <c r="I20" s="38"/>
      <c r="J20" s="38"/>
      <c r="K20" s="38"/>
      <c r="L20" s="139" t="str">
        <f t="shared" si="5"/>
        <v/>
      </c>
      <c r="M20" s="137" t="str">
        <f t="shared" ca="1" si="0"/>
        <v/>
      </c>
      <c r="N20" s="196">
        <f>'Proje ve Personel Bilgileri'!F31</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Bilgileri'!C32&gt;0,'Proje ve Personel Bilgileri'!C32,"")</f>
        <v/>
      </c>
      <c r="C21" s="37"/>
      <c r="D21" s="38"/>
      <c r="E21" s="38"/>
      <c r="F21" s="38"/>
      <c r="G21" s="38"/>
      <c r="H21" s="38"/>
      <c r="I21" s="38"/>
      <c r="J21" s="38"/>
      <c r="K21" s="38"/>
      <c r="L21" s="139" t="str">
        <f t="shared" si="5"/>
        <v/>
      </c>
      <c r="M21" s="137" t="str">
        <f t="shared" ca="1" si="0"/>
        <v/>
      </c>
      <c r="N21" s="196">
        <f>'Proje ve Personel Bilgileri'!F32</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Bilgileri'!C33&gt;0,'Proje ve Personel Bilgileri'!C33,"")</f>
        <v/>
      </c>
      <c r="C22" s="37"/>
      <c r="D22" s="38"/>
      <c r="E22" s="38"/>
      <c r="F22" s="38"/>
      <c r="G22" s="38"/>
      <c r="H22" s="38"/>
      <c r="I22" s="38"/>
      <c r="J22" s="38"/>
      <c r="K22" s="38"/>
      <c r="L22" s="139" t="str">
        <f t="shared" si="5"/>
        <v/>
      </c>
      <c r="M22" s="137" t="str">
        <f t="shared" ca="1" si="0"/>
        <v/>
      </c>
      <c r="N22" s="196">
        <f>'Proje ve Personel Bilgileri'!F33</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Bilgileri'!C34&gt;0,'Proje ve Personel Bilgileri'!C34,"")</f>
        <v/>
      </c>
      <c r="C23" s="37"/>
      <c r="D23" s="38"/>
      <c r="E23" s="38"/>
      <c r="F23" s="38"/>
      <c r="G23" s="38"/>
      <c r="H23" s="38"/>
      <c r="I23" s="38"/>
      <c r="J23" s="38"/>
      <c r="K23" s="38"/>
      <c r="L23" s="139" t="str">
        <f t="shared" si="5"/>
        <v/>
      </c>
      <c r="M23" s="137" t="str">
        <f t="shared" ca="1" si="0"/>
        <v/>
      </c>
      <c r="N23" s="196">
        <f>'Proje ve Personel Bilgileri'!F34</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Bilgileri'!C35&gt;0,'Proje ve Personel Bilgileri'!C35,"")</f>
        <v/>
      </c>
      <c r="C24" s="37"/>
      <c r="D24" s="38"/>
      <c r="E24" s="38"/>
      <c r="F24" s="38"/>
      <c r="G24" s="38"/>
      <c r="H24" s="38"/>
      <c r="I24" s="38"/>
      <c r="J24" s="38"/>
      <c r="K24" s="38"/>
      <c r="L24" s="139" t="str">
        <f t="shared" si="5"/>
        <v/>
      </c>
      <c r="M24" s="137" t="str">
        <f t="shared" ca="1" si="0"/>
        <v/>
      </c>
      <c r="N24" s="196">
        <f>'Proje ve Personel Bilgileri'!F35</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Bilgileri'!C36&gt;0,'Proje ve Personel Bilgileri'!C36,"")</f>
        <v/>
      </c>
      <c r="C25" s="37"/>
      <c r="D25" s="38"/>
      <c r="E25" s="38"/>
      <c r="F25" s="38"/>
      <c r="G25" s="38"/>
      <c r="H25" s="38"/>
      <c r="I25" s="38"/>
      <c r="J25" s="38"/>
      <c r="K25" s="38"/>
      <c r="L25" s="139" t="str">
        <f t="shared" si="5"/>
        <v/>
      </c>
      <c r="M25" s="137" t="str">
        <f t="shared" ca="1" si="0"/>
        <v/>
      </c>
      <c r="N25" s="196">
        <f>'Proje ve Personel Bilgileri'!F36</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Bilgileri'!C37&gt;0,'Proje ve Personel Bilgileri'!C37,"")</f>
        <v/>
      </c>
      <c r="C26" s="37"/>
      <c r="D26" s="38"/>
      <c r="E26" s="38"/>
      <c r="F26" s="38"/>
      <c r="G26" s="38"/>
      <c r="H26" s="38"/>
      <c r="I26" s="38"/>
      <c r="J26" s="38"/>
      <c r="K26" s="38"/>
      <c r="L26" s="139" t="str">
        <f t="shared" si="5"/>
        <v/>
      </c>
      <c r="M26" s="137" t="str">
        <f t="shared" ca="1" si="0"/>
        <v/>
      </c>
      <c r="N26" s="196">
        <f>'Proje ve Personel Bilgileri'!F37</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Bilgileri'!C38&gt;0,'Proje ve Personel Bilgileri'!C38,"")</f>
        <v/>
      </c>
      <c r="C27" s="39"/>
      <c r="D27" s="40"/>
      <c r="E27" s="40"/>
      <c r="F27" s="40"/>
      <c r="G27" s="40"/>
      <c r="H27" s="40"/>
      <c r="I27" s="40"/>
      <c r="J27" s="40"/>
      <c r="K27" s="40"/>
      <c r="L27" s="142" t="str">
        <f t="shared" si="5"/>
        <v/>
      </c>
      <c r="M27" s="137" t="str">
        <f t="shared" ca="1" si="0"/>
        <v/>
      </c>
      <c r="N27" s="196">
        <f>'Proje ve Personel Bilgileri'!F38</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04" t="s">
        <v>42</v>
      </c>
      <c r="B28" s="305"/>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45686</v>
      </c>
      <c r="C31" s="303" t="s">
        <v>40</v>
      </c>
      <c r="D31" s="303"/>
      <c r="E31" s="245" t="str">
        <f>IF(kurulusyetkilisi&gt;0,kurulusyetkilisi,"")</f>
        <v/>
      </c>
      <c r="F31" s="247"/>
      <c r="G31" s="247"/>
      <c r="H31" s="163"/>
      <c r="I31" s="163"/>
      <c r="J31" s="163"/>
    </row>
    <row r="32" spans="1:21" ht="19.7" x14ac:dyDescent="0.35">
      <c r="A32" s="249"/>
      <c r="B32" s="249"/>
      <c r="C32" s="303" t="s">
        <v>41</v>
      </c>
      <c r="D32" s="303"/>
      <c r="E32" s="302"/>
      <c r="F32" s="302"/>
      <c r="G32" s="302"/>
      <c r="H32" s="42"/>
      <c r="I32" s="42"/>
      <c r="J32" s="42"/>
    </row>
  </sheetData>
  <sheetProtection algorithmName="SHA-512" hashValue="6ekD0V+a3sGHDpgaX2zewEclBDN6EOoRqSLJTLwOboyLYgALkPRHAPo7w8Vda5qu8lkT3lOHxZ/ngyCNCOMlSA==" saltValue="sXDv8KVqtGhTO9xsmt9v7Q==" spinCount="100000" sheet="1" objects="1" scenarios="1"/>
  <mergeCells count="21">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7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700-000001000000}">
      <formula1>0</formula1>
      <formula2>T8</formula2>
    </dataValidation>
    <dataValidation type="whole" allowBlank="1" showErrorMessage="1" error="Prim Gün Sayısı en fazla 30 olabilir." prompt="_x000a_" sqref="C8:C27" xr:uid="{00000000-0002-0000-07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
  <sheetViews>
    <sheetView zoomScale="80" zoomScaleNormal="8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10.1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8" t="s">
        <v>29</v>
      </c>
      <c r="B1" s="308"/>
      <c r="C1" s="308"/>
      <c r="D1" s="308"/>
      <c r="E1" s="308"/>
      <c r="F1" s="308"/>
      <c r="G1" s="308"/>
      <c r="H1" s="308"/>
      <c r="I1" s="308"/>
      <c r="J1" s="308"/>
      <c r="K1" s="308"/>
      <c r="L1" s="308"/>
      <c r="M1" s="72"/>
      <c r="N1" s="149"/>
      <c r="O1" s="150"/>
      <c r="V1" s="91"/>
    </row>
    <row r="2" spans="1:27" x14ac:dyDescent="0.3">
      <c r="A2" s="315" t="str">
        <f>IF(YilDonem&lt;&gt;"",CONCATENATE(YilDonem,". dönem"),"")</f>
        <v/>
      </c>
      <c r="B2" s="315"/>
      <c r="C2" s="315"/>
      <c r="D2" s="315"/>
      <c r="E2" s="315"/>
      <c r="F2" s="315"/>
      <c r="G2" s="315"/>
      <c r="H2" s="315"/>
      <c r="I2" s="315"/>
      <c r="J2" s="315"/>
      <c r="K2" s="315"/>
      <c r="L2" s="315"/>
    </row>
    <row r="3" spans="1:27" ht="16.3" thickBot="1" x14ac:dyDescent="0.35">
      <c r="B3" s="33"/>
      <c r="C3" s="33"/>
      <c r="D3" s="33"/>
      <c r="E3" s="306" t="str">
        <f>IF(YilDonem&lt;&gt;"",CONCATENATE(VLOOKUP(DönBasAy+4,AyTablo,2,0)," ayına aittir."),"")</f>
        <v/>
      </c>
      <c r="F3" s="306"/>
      <c r="G3" s="306"/>
      <c r="H3" s="306"/>
      <c r="I3" s="33"/>
      <c r="J3" s="33"/>
      <c r="K3" s="33"/>
      <c r="L3" s="183" t="s">
        <v>37</v>
      </c>
    </row>
    <row r="4" spans="1:27" ht="31.6" customHeight="1" thickBot="1" x14ac:dyDescent="0.35">
      <c r="A4" s="187" t="s">
        <v>1</v>
      </c>
      <c r="B4" s="309" t="str">
        <f>IF(ProjeNo&gt;0,ProjeNo,"")</f>
        <v/>
      </c>
      <c r="C4" s="310"/>
      <c r="D4" s="310"/>
      <c r="E4" s="310"/>
      <c r="F4" s="310"/>
      <c r="G4" s="310"/>
      <c r="H4" s="310"/>
      <c r="I4" s="310"/>
      <c r="J4" s="310"/>
      <c r="K4" s="310"/>
      <c r="L4" s="311"/>
    </row>
    <row r="5" spans="1:27" ht="31.6" customHeight="1" thickBot="1" x14ac:dyDescent="0.35">
      <c r="A5" s="188" t="s">
        <v>11</v>
      </c>
      <c r="B5" s="312" t="str">
        <f>IF(ProjeAdi&gt;0,ProjeAdi,"")</f>
        <v/>
      </c>
      <c r="C5" s="313"/>
      <c r="D5" s="313"/>
      <c r="E5" s="313"/>
      <c r="F5" s="313"/>
      <c r="G5" s="313"/>
      <c r="H5" s="313"/>
      <c r="I5" s="313"/>
      <c r="J5" s="313"/>
      <c r="K5" s="313"/>
      <c r="L5" s="314"/>
    </row>
    <row r="6" spans="1:27" ht="31.6" customHeight="1" thickBot="1" x14ac:dyDescent="0.3">
      <c r="A6" s="316" t="s">
        <v>7</v>
      </c>
      <c r="B6" s="316" t="s">
        <v>8</v>
      </c>
      <c r="C6" s="316" t="s">
        <v>30</v>
      </c>
      <c r="D6" s="316" t="s">
        <v>109</v>
      </c>
      <c r="E6" s="316" t="s">
        <v>31</v>
      </c>
      <c r="F6" s="316" t="s">
        <v>34</v>
      </c>
      <c r="G6" s="319" t="s">
        <v>32</v>
      </c>
      <c r="H6" s="318" t="s">
        <v>141</v>
      </c>
      <c r="I6" s="319"/>
      <c r="J6" s="319"/>
      <c r="K6" s="320"/>
      <c r="L6" s="316" t="s">
        <v>33</v>
      </c>
      <c r="O6" s="307" t="s">
        <v>38</v>
      </c>
      <c r="P6" s="307"/>
      <c r="Q6" s="307" t="s">
        <v>44</v>
      </c>
      <c r="R6" s="307"/>
      <c r="S6" s="307" t="s">
        <v>45</v>
      </c>
      <c r="T6" s="307"/>
    </row>
    <row r="7" spans="1:27" s="74" customFormat="1" ht="94.45" thickBot="1" x14ac:dyDescent="0.3">
      <c r="A7" s="321"/>
      <c r="B7" s="321"/>
      <c r="C7" s="321"/>
      <c r="D7" s="321"/>
      <c r="E7" s="321"/>
      <c r="F7" s="321"/>
      <c r="G7" s="322"/>
      <c r="H7" s="184" t="s">
        <v>106</v>
      </c>
      <c r="I7" s="184" t="s">
        <v>142</v>
      </c>
      <c r="J7" s="184" t="s">
        <v>159</v>
      </c>
      <c r="K7" s="184" t="s">
        <v>160</v>
      </c>
      <c r="L7" s="317"/>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Bilgileri'!C19&gt;0,'Proje ve Personel Bilgileri'!C19,"")</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Bilgileri'!F19</f>
        <v>0</v>
      </c>
      <c r="O8" s="138">
        <f t="shared" ref="O8:O27" ca="1" si="1">IFERROR(IF(N8="EVET",VLOOKUP(VLOOKUP(DönBasAy+4,YilDönemTablo,4,0),SGKTAVAN,2,0)*0.2475,VLOOKUP(VLOOKUP(DönBasAy+4,YilDönemTablo,4,0),SGKTAVAN,2,0)*0.2075),0)</f>
        <v>0</v>
      </c>
      <c r="P8" s="138">
        <f t="shared" ref="P8:P27" ca="1" si="2">IFERROR(IF(N8="EVET",0,VLOOKUP(VLOOKUP(DönBasAy+4,YilDönemTablo,4,0),SGKTAVAN,2,0)*0.02),0)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Bilgileri'!C20&gt;0,'Proje ve Personel Bilgileri'!C20,"")</f>
        <v/>
      </c>
      <c r="C9" s="37"/>
      <c r="D9" s="38"/>
      <c r="E9" s="38"/>
      <c r="F9" s="38"/>
      <c r="G9" s="38"/>
      <c r="H9" s="38"/>
      <c r="I9" s="38"/>
      <c r="J9" s="38"/>
      <c r="K9" s="38"/>
      <c r="L9" s="139" t="str">
        <f t="shared" ref="L9:L27" si="5">IF(B9&lt;&gt;"",IF(OR(F9&gt;S9,G9&gt;T9),0,D9+E9+F9+G9-H9-I9-J9-K9),"")</f>
        <v/>
      </c>
      <c r="M9" s="137" t="str">
        <f t="shared" ca="1" si="0"/>
        <v/>
      </c>
      <c r="N9" s="196">
        <f>'Proje ve Personel Bilgileri'!F20</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Bilgileri'!C21&gt;0,'Proje ve Personel Bilgileri'!C21,"")</f>
        <v/>
      </c>
      <c r="C10" s="37"/>
      <c r="D10" s="38"/>
      <c r="E10" s="38"/>
      <c r="F10" s="38"/>
      <c r="G10" s="38"/>
      <c r="H10" s="38"/>
      <c r="I10" s="38"/>
      <c r="J10" s="38"/>
      <c r="K10" s="38"/>
      <c r="L10" s="139" t="str">
        <f t="shared" si="5"/>
        <v/>
      </c>
      <c r="M10" s="137" t="str">
        <f t="shared" ca="1" si="0"/>
        <v/>
      </c>
      <c r="N10" s="196">
        <f>'Proje ve Personel Bilgileri'!F21</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Bilgileri'!C22&gt;0,'Proje ve Personel Bilgileri'!C22,"")</f>
        <v/>
      </c>
      <c r="C11" s="37"/>
      <c r="D11" s="38"/>
      <c r="E11" s="38"/>
      <c r="F11" s="38"/>
      <c r="G11" s="38"/>
      <c r="H11" s="38"/>
      <c r="I11" s="38"/>
      <c r="J11" s="38"/>
      <c r="K11" s="38"/>
      <c r="L11" s="139" t="str">
        <f t="shared" si="5"/>
        <v/>
      </c>
      <c r="M11" s="137" t="str">
        <f t="shared" ca="1" si="0"/>
        <v/>
      </c>
      <c r="N11" s="196">
        <f>'Proje ve Personel Bilgileri'!F22</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Bilgileri'!C23&gt;0,'Proje ve Personel Bilgileri'!C23,"")</f>
        <v/>
      </c>
      <c r="C12" s="37"/>
      <c r="D12" s="38"/>
      <c r="E12" s="38"/>
      <c r="F12" s="38"/>
      <c r="G12" s="38"/>
      <c r="H12" s="38"/>
      <c r="I12" s="38"/>
      <c r="J12" s="38"/>
      <c r="K12" s="38"/>
      <c r="L12" s="139" t="str">
        <f t="shared" si="5"/>
        <v/>
      </c>
      <c r="M12" s="137" t="str">
        <f t="shared" ca="1" si="0"/>
        <v/>
      </c>
      <c r="N12" s="196">
        <f>'Proje ve Personel Bilgileri'!F23</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Bilgileri'!C24&gt;0,'Proje ve Personel Bilgileri'!C24,"")</f>
        <v/>
      </c>
      <c r="C13" s="37"/>
      <c r="D13" s="38"/>
      <c r="E13" s="38"/>
      <c r="F13" s="38"/>
      <c r="G13" s="38"/>
      <c r="H13" s="38"/>
      <c r="I13" s="38"/>
      <c r="J13" s="38"/>
      <c r="K13" s="38"/>
      <c r="L13" s="139" t="str">
        <f t="shared" si="5"/>
        <v/>
      </c>
      <c r="M13" s="137" t="str">
        <f t="shared" ca="1" si="0"/>
        <v/>
      </c>
      <c r="N13" s="196">
        <f>'Proje ve Personel Bilgileri'!F24</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Bilgileri'!C25&gt;0,'Proje ve Personel Bilgileri'!C25,"")</f>
        <v/>
      </c>
      <c r="C14" s="37"/>
      <c r="D14" s="38"/>
      <c r="E14" s="38"/>
      <c r="F14" s="38"/>
      <c r="G14" s="38"/>
      <c r="H14" s="38"/>
      <c r="I14" s="38"/>
      <c r="J14" s="38"/>
      <c r="K14" s="38"/>
      <c r="L14" s="139" t="str">
        <f t="shared" si="5"/>
        <v/>
      </c>
      <c r="M14" s="137" t="str">
        <f t="shared" ca="1" si="0"/>
        <v/>
      </c>
      <c r="N14" s="196">
        <f>'Proje ve Personel Bilgileri'!F25</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Bilgileri'!C26&gt;0,'Proje ve Personel Bilgileri'!C26,"")</f>
        <v/>
      </c>
      <c r="C15" s="37"/>
      <c r="D15" s="38"/>
      <c r="E15" s="38"/>
      <c r="F15" s="38"/>
      <c r="G15" s="38"/>
      <c r="H15" s="38"/>
      <c r="I15" s="38"/>
      <c r="J15" s="38"/>
      <c r="K15" s="38"/>
      <c r="L15" s="139" t="str">
        <f t="shared" si="5"/>
        <v/>
      </c>
      <c r="M15" s="137" t="str">
        <f t="shared" ca="1" si="0"/>
        <v/>
      </c>
      <c r="N15" s="196">
        <f>'Proje ve Personel Bilgileri'!F26</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Bilgileri'!C27&gt;0,'Proje ve Personel Bilgileri'!C27,"")</f>
        <v/>
      </c>
      <c r="C16" s="37"/>
      <c r="D16" s="38"/>
      <c r="E16" s="38"/>
      <c r="F16" s="38"/>
      <c r="G16" s="38"/>
      <c r="H16" s="38"/>
      <c r="I16" s="38"/>
      <c r="J16" s="38"/>
      <c r="K16" s="38"/>
      <c r="L16" s="139" t="str">
        <f t="shared" si="5"/>
        <v/>
      </c>
      <c r="M16" s="137" t="str">
        <f t="shared" ca="1" si="0"/>
        <v/>
      </c>
      <c r="N16" s="196">
        <f>'Proje ve Personel Bilgileri'!F27</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Bilgileri'!C28&gt;0,'Proje ve Personel Bilgileri'!C28,"")</f>
        <v/>
      </c>
      <c r="C17" s="37"/>
      <c r="D17" s="38"/>
      <c r="E17" s="38"/>
      <c r="F17" s="38"/>
      <c r="G17" s="38"/>
      <c r="H17" s="38"/>
      <c r="I17" s="38"/>
      <c r="J17" s="38"/>
      <c r="K17" s="38"/>
      <c r="L17" s="139" t="str">
        <f t="shared" si="5"/>
        <v/>
      </c>
      <c r="M17" s="137" t="str">
        <f t="shared" ca="1" si="0"/>
        <v/>
      </c>
      <c r="N17" s="196">
        <f>'Proje ve Personel Bilgileri'!F28</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Bilgileri'!C29&gt;0,'Proje ve Personel Bilgileri'!C29,"")</f>
        <v/>
      </c>
      <c r="C18" s="37"/>
      <c r="D18" s="38"/>
      <c r="E18" s="38"/>
      <c r="F18" s="38"/>
      <c r="G18" s="38"/>
      <c r="H18" s="38"/>
      <c r="I18" s="38"/>
      <c r="J18" s="38"/>
      <c r="K18" s="38"/>
      <c r="L18" s="139" t="str">
        <f t="shared" si="5"/>
        <v/>
      </c>
      <c r="M18" s="137" t="str">
        <f t="shared" ca="1" si="0"/>
        <v/>
      </c>
      <c r="N18" s="196">
        <f>'Proje ve Personel Bilgileri'!F29</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Bilgileri'!C30&gt;0,'Proje ve Personel Bilgileri'!C30,"")</f>
        <v/>
      </c>
      <c r="C19" s="37"/>
      <c r="D19" s="38"/>
      <c r="E19" s="38"/>
      <c r="F19" s="38"/>
      <c r="G19" s="38"/>
      <c r="H19" s="38"/>
      <c r="I19" s="38"/>
      <c r="J19" s="38"/>
      <c r="K19" s="38"/>
      <c r="L19" s="139" t="str">
        <f t="shared" si="5"/>
        <v/>
      </c>
      <c r="M19" s="137" t="str">
        <f t="shared" ca="1" si="0"/>
        <v/>
      </c>
      <c r="N19" s="196">
        <f>'Proje ve Personel Bilgileri'!F30</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Bilgileri'!C31&gt;0,'Proje ve Personel Bilgileri'!C31,"")</f>
        <v/>
      </c>
      <c r="C20" s="37"/>
      <c r="D20" s="38"/>
      <c r="E20" s="38"/>
      <c r="F20" s="38"/>
      <c r="G20" s="38"/>
      <c r="H20" s="38"/>
      <c r="I20" s="38"/>
      <c r="J20" s="38"/>
      <c r="K20" s="38"/>
      <c r="L20" s="139" t="str">
        <f t="shared" si="5"/>
        <v/>
      </c>
      <c r="M20" s="137" t="str">
        <f t="shared" ca="1" si="0"/>
        <v/>
      </c>
      <c r="N20" s="196">
        <f>'Proje ve Personel Bilgileri'!F31</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Bilgileri'!C32&gt;0,'Proje ve Personel Bilgileri'!C32,"")</f>
        <v/>
      </c>
      <c r="C21" s="37"/>
      <c r="D21" s="38"/>
      <c r="E21" s="38"/>
      <c r="F21" s="38"/>
      <c r="G21" s="38"/>
      <c r="H21" s="38"/>
      <c r="I21" s="38"/>
      <c r="J21" s="38"/>
      <c r="K21" s="38"/>
      <c r="L21" s="139" t="str">
        <f t="shared" si="5"/>
        <v/>
      </c>
      <c r="M21" s="137" t="str">
        <f t="shared" ca="1" si="0"/>
        <v/>
      </c>
      <c r="N21" s="196">
        <f>'Proje ve Personel Bilgileri'!F32</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Bilgileri'!C33&gt;0,'Proje ve Personel Bilgileri'!C33,"")</f>
        <v/>
      </c>
      <c r="C22" s="37"/>
      <c r="D22" s="38"/>
      <c r="E22" s="38"/>
      <c r="F22" s="38"/>
      <c r="G22" s="38"/>
      <c r="H22" s="38"/>
      <c r="I22" s="38"/>
      <c r="J22" s="38"/>
      <c r="K22" s="38"/>
      <c r="L22" s="139" t="str">
        <f t="shared" si="5"/>
        <v/>
      </c>
      <c r="M22" s="137" t="str">
        <f t="shared" ca="1" si="0"/>
        <v/>
      </c>
      <c r="N22" s="196">
        <f>'Proje ve Personel Bilgileri'!F33</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Bilgileri'!C34&gt;0,'Proje ve Personel Bilgileri'!C34,"")</f>
        <v/>
      </c>
      <c r="C23" s="37"/>
      <c r="D23" s="38"/>
      <c r="E23" s="38"/>
      <c r="F23" s="38"/>
      <c r="G23" s="38"/>
      <c r="H23" s="38"/>
      <c r="I23" s="38"/>
      <c r="J23" s="38"/>
      <c r="K23" s="38"/>
      <c r="L23" s="139" t="str">
        <f t="shared" si="5"/>
        <v/>
      </c>
      <c r="M23" s="137" t="str">
        <f t="shared" ca="1" si="0"/>
        <v/>
      </c>
      <c r="N23" s="196">
        <f>'Proje ve Personel Bilgileri'!F34</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Bilgileri'!C35&gt;0,'Proje ve Personel Bilgileri'!C35,"")</f>
        <v/>
      </c>
      <c r="C24" s="37"/>
      <c r="D24" s="38"/>
      <c r="E24" s="38"/>
      <c r="F24" s="38"/>
      <c r="G24" s="38"/>
      <c r="H24" s="38"/>
      <c r="I24" s="38"/>
      <c r="J24" s="38"/>
      <c r="K24" s="38"/>
      <c r="L24" s="139" t="str">
        <f t="shared" si="5"/>
        <v/>
      </c>
      <c r="M24" s="137" t="str">
        <f t="shared" ca="1" si="0"/>
        <v/>
      </c>
      <c r="N24" s="196">
        <f>'Proje ve Personel Bilgileri'!F35</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Bilgileri'!C36&gt;0,'Proje ve Personel Bilgileri'!C36,"")</f>
        <v/>
      </c>
      <c r="C25" s="37"/>
      <c r="D25" s="38"/>
      <c r="E25" s="38"/>
      <c r="F25" s="38"/>
      <c r="G25" s="38"/>
      <c r="H25" s="38"/>
      <c r="I25" s="38"/>
      <c r="J25" s="38"/>
      <c r="K25" s="38"/>
      <c r="L25" s="139" t="str">
        <f t="shared" si="5"/>
        <v/>
      </c>
      <c r="M25" s="137" t="str">
        <f t="shared" ca="1" si="0"/>
        <v/>
      </c>
      <c r="N25" s="196">
        <f>'Proje ve Personel Bilgileri'!F36</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Bilgileri'!C37&gt;0,'Proje ve Personel Bilgileri'!C37,"")</f>
        <v/>
      </c>
      <c r="C26" s="37"/>
      <c r="D26" s="38"/>
      <c r="E26" s="38"/>
      <c r="F26" s="38"/>
      <c r="G26" s="38"/>
      <c r="H26" s="38"/>
      <c r="I26" s="38"/>
      <c r="J26" s="38"/>
      <c r="K26" s="38"/>
      <c r="L26" s="139" t="str">
        <f t="shared" si="5"/>
        <v/>
      </c>
      <c r="M26" s="137" t="str">
        <f t="shared" ca="1" si="0"/>
        <v/>
      </c>
      <c r="N26" s="196">
        <f>'Proje ve Personel Bilgileri'!F37</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Bilgileri'!C38&gt;0,'Proje ve Personel Bilgileri'!C38,"")</f>
        <v/>
      </c>
      <c r="C27" s="39"/>
      <c r="D27" s="40"/>
      <c r="E27" s="40"/>
      <c r="F27" s="40"/>
      <c r="G27" s="40"/>
      <c r="H27" s="40"/>
      <c r="I27" s="40"/>
      <c r="J27" s="40"/>
      <c r="K27" s="40"/>
      <c r="L27" s="142" t="str">
        <f t="shared" si="5"/>
        <v/>
      </c>
      <c r="M27" s="137" t="str">
        <f t="shared" ca="1" si="0"/>
        <v/>
      </c>
      <c r="N27" s="196">
        <f>'Proje ve Personel Bilgileri'!F38</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04" t="s">
        <v>42</v>
      </c>
      <c r="B28" s="305"/>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45686</v>
      </c>
      <c r="C31" s="303" t="s">
        <v>40</v>
      </c>
      <c r="D31" s="303"/>
      <c r="E31" s="245" t="str">
        <f>IF(kurulusyetkilisi&gt;0,kurulusyetkilisi,"")</f>
        <v/>
      </c>
      <c r="F31" s="247"/>
      <c r="G31" s="247"/>
      <c r="H31" s="163"/>
      <c r="I31" s="163"/>
      <c r="J31" s="163"/>
    </row>
    <row r="32" spans="1:21" ht="19.7" x14ac:dyDescent="0.35">
      <c r="A32" s="249"/>
      <c r="B32" s="249"/>
      <c r="C32" s="303" t="s">
        <v>41</v>
      </c>
      <c r="D32" s="303"/>
      <c r="E32" s="302"/>
      <c r="F32" s="302"/>
      <c r="G32" s="302"/>
      <c r="H32" s="42"/>
      <c r="I32" s="42"/>
      <c r="J32" s="42"/>
    </row>
  </sheetData>
  <sheetProtection algorithmName="SHA-512" hashValue="9WT70GYJANc+20oA1v7okWAI+pFdwrojuvP3yU2ncJzi0obHsDoCx1vEVmmafQmIM9QYZku2Ek5w4UDPx8Mwrg==" saltValue="0WE01TL+RxjGei6JpLVO1w==" spinCount="100000" sheet="1" objects="1" scenarios="1"/>
  <mergeCells count="21">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8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800-000001000000}">
      <formula1>0</formula1>
      <formula2>T8</formula2>
    </dataValidation>
    <dataValidation type="whole" allowBlank="1" showErrorMessage="1" error="Prim Gün Sayısı en fazla 30 olabilir." prompt="_x000a_" sqref="C8:C27" xr:uid="{00000000-0002-0000-08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16</vt:i4>
      </vt:variant>
      <vt:variant>
        <vt:lpstr>Adlandırılmış Aralıklar</vt:lpstr>
      </vt:variant>
      <vt:variant>
        <vt:i4>30</vt:i4>
      </vt:variant>
    </vt:vector>
  </HeadingPairs>
  <TitlesOfParts>
    <vt:vector size="46" baseType="lpstr">
      <vt:lpstr>Proje ve Personel Bilgileri</vt:lpstr>
      <vt:lpstr>KAPAK</vt:lpstr>
      <vt:lpstr>İÇİNDEKİLER</vt:lpstr>
      <vt:lpstr>TAAHHÜTNAME </vt:lpstr>
      <vt:lpstr>G011A (1.AY)</vt:lpstr>
      <vt:lpstr>G011A (2.AY)</vt:lpstr>
      <vt:lpstr>G011A (3.AY)</vt:lpstr>
      <vt:lpstr>G011A (4.AY)</vt:lpstr>
      <vt:lpstr>G011A (5.AY)</vt:lpstr>
      <vt:lpstr>G011A (6.AY)</vt:lpstr>
      <vt:lpstr>G011B</vt:lpstr>
      <vt:lpstr>G011C</vt:lpstr>
      <vt:lpstr>G011</vt:lpstr>
      <vt:lpstr>G015A</vt:lpstr>
      <vt:lpstr>G015B</vt:lpstr>
      <vt:lpstr>G020</vt:lpstr>
      <vt:lpstr>AsgariUcret</vt:lpstr>
      <vt:lpstr>AUcret</vt:lpstr>
      <vt:lpstr>AyTablo</vt:lpstr>
      <vt:lpstr>BasvuruTarihi</vt:lpstr>
      <vt:lpstr>DönBasAy</vt:lpstr>
      <vt:lpstr>G011CTablo</vt:lpstr>
      <vt:lpstr>imzatarihi</vt:lpstr>
      <vt:lpstr>kurulusyetkilisi</vt:lpstr>
      <vt:lpstr>Personel</vt:lpstr>
      <vt:lpstr>PersonelTablo</vt:lpstr>
      <vt:lpstr>PKodu</vt:lpstr>
      <vt:lpstr>ProjeAdi</vt:lpstr>
      <vt:lpstr>ProjeNo</vt:lpstr>
      <vt:lpstr>SGKTAVAN</vt:lpstr>
      <vt:lpstr>'G011A (1.AY)'!Yazdırma_Alanı</vt:lpstr>
      <vt:lpstr>'G011A (2.AY)'!Yazdırma_Alanı</vt:lpstr>
      <vt:lpstr>'G011A (3.AY)'!Yazdırma_Alanı</vt:lpstr>
      <vt:lpstr>'G011A (4.AY)'!Yazdırma_Alanı</vt:lpstr>
      <vt:lpstr>'G011A (5.AY)'!Yazdırma_Alanı</vt:lpstr>
      <vt:lpstr>'G011A (6.AY)'!Yazdırma_Alanı</vt:lpstr>
      <vt:lpstr>G011B!Yazdırma_Alanı</vt:lpstr>
      <vt:lpstr>G011C!Yazdırma_Alanı</vt:lpstr>
      <vt:lpstr>'G020'!Yazdırma_Alanı</vt:lpstr>
      <vt:lpstr>KAPAK!Yazdırma_Alanı</vt:lpstr>
      <vt:lpstr>'Proje ve Personel Bilgileri'!Yazdırma_Alanı</vt:lpstr>
      <vt:lpstr>'TAAHHÜTNAME '!Yazdırma_Alanı</vt:lpstr>
      <vt:lpstr>Yıl</vt:lpstr>
      <vt:lpstr>YilDonem</vt:lpstr>
      <vt:lpstr>YilDönemTablo</vt:lpstr>
      <vt:lpstr>Yillar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2021-04-06T13:02:57Z</cp:lastPrinted>
  <dcterms:created xsi:type="dcterms:W3CDTF">2019-01-30T11:52:38Z</dcterms:created>
  <dcterms:modified xsi:type="dcterms:W3CDTF">2025-01-29T12:06:00Z</dcterms:modified>
</cp:coreProperties>
</file>