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backupFile="1"/>
  <mc:AlternateContent xmlns:mc="http://schemas.openxmlformats.org/markup-compatibility/2006">
    <mc:Choice Requires="x15">
      <x15ac:absPath xmlns:x15ac="http://schemas.microsoft.com/office/spreadsheetml/2010/11/ac" url="C:\uni\agile\"/>
    </mc:Choice>
  </mc:AlternateContent>
  <xr:revisionPtr revIDLastSave="0" documentId="13_ncr:1_{0ADF1B22-E651-47CA-A86E-8F1D76159D9E}" xr6:coauthVersionLast="47" xr6:coauthVersionMax="47" xr10:uidLastSave="{00000000-0000-0000-0000-000000000000}"/>
  <bookViews>
    <workbookView xWindow="-108" yWindow="-108" windowWidth="23256" windowHeight="12576" tabRatio="500" firstSheet="1" activeTab="1" xr2:uid="{00000000-000D-0000-FFFF-FFFF00000000}"/>
  </bookViews>
  <sheets>
    <sheet name="Effort Overview Total" sheetId="1" r:id="rId1"/>
    <sheet name="App , Arch Estimation" sheetId="3" r:id="rId2"/>
    <sheet name="Pre, Elic, PM, UAT, Warranty" sheetId="4" r:id="rId3"/>
    <sheet name="Scheduling, Price 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4" l="1"/>
  <c r="G12" i="17"/>
  <c r="H12" i="17" s="1"/>
  <c r="I12" i="17" s="1"/>
  <c r="J12" i="17" s="1"/>
  <c r="K12" i="17" s="1"/>
  <c r="L12" i="17" s="1"/>
  <c r="M12" i="17" s="1"/>
  <c r="N12" i="17" s="1"/>
  <c r="O12" i="17" s="1"/>
  <c r="P12" i="17" s="1"/>
  <c r="Q12" i="17" s="1"/>
  <c r="R12" i="17" s="1"/>
  <c r="S12" i="17" s="1"/>
  <c r="T12" i="17" s="1"/>
  <c r="U12" i="17" s="1"/>
  <c r="O59" i="3" l="1"/>
  <c r="N59" i="3"/>
  <c r="N60" i="3"/>
  <c r="O61" i="3" s="1"/>
  <c r="O51" i="3"/>
  <c r="O53" i="3"/>
  <c r="N46" i="3"/>
  <c r="N45" i="3"/>
  <c r="N44" i="3"/>
  <c r="N43" i="3"/>
  <c r="N42" i="3"/>
  <c r="N41" i="3"/>
  <c r="N40" i="3"/>
  <c r="C40" i="3"/>
  <c r="C41" i="3" s="1"/>
  <c r="C42" i="3" s="1"/>
  <c r="N39" i="3"/>
  <c r="O47" i="3" l="1"/>
  <c r="C43" i="3"/>
  <c r="C44" i="3" s="1"/>
  <c r="C45" i="3"/>
  <c r="C46" i="3" s="1"/>
  <c r="K35" i="3"/>
  <c r="I35" i="3"/>
  <c r="H35" i="3" s="1"/>
  <c r="N35" i="3" s="1"/>
  <c r="K34" i="3"/>
  <c r="I34" i="3"/>
  <c r="H34" i="3" s="1"/>
  <c r="K33" i="3"/>
  <c r="I33" i="3"/>
  <c r="H33" i="3" s="1"/>
  <c r="K32" i="3"/>
  <c r="I32" i="3"/>
  <c r="H32" i="3" s="1"/>
  <c r="K31" i="3"/>
  <c r="I31" i="3"/>
  <c r="H31" i="3" s="1"/>
  <c r="K30" i="3"/>
  <c r="I30" i="3"/>
  <c r="H30" i="3" s="1"/>
  <c r="N29" i="3"/>
  <c r="C29" i="3"/>
  <c r="C30" i="3" s="1"/>
  <c r="C31" i="3" s="1"/>
  <c r="K28" i="3"/>
  <c r="H28" i="3"/>
  <c r="N32" i="3" l="1"/>
  <c r="N33" i="3"/>
  <c r="N30" i="3"/>
  <c r="N31" i="3"/>
  <c r="N28" i="3"/>
  <c r="N34" i="3"/>
  <c r="C34" i="3"/>
  <c r="C35" i="3" s="1"/>
  <c r="C32" i="3"/>
  <c r="C33" i="3" s="1"/>
  <c r="AL25" i="17"/>
  <c r="AK25" i="17"/>
  <c r="AJ25" i="17"/>
  <c r="AI25" i="17"/>
  <c r="AH25" i="17"/>
  <c r="O36" i="3" l="1"/>
  <c r="E15" i="17"/>
  <c r="AG25" i="17"/>
  <c r="AF25" i="17"/>
  <c r="AE25" i="17"/>
  <c r="AD25" i="17"/>
  <c r="AC25" i="17"/>
  <c r="AB25" i="17"/>
  <c r="AA25" i="17"/>
  <c r="Z25" i="17"/>
  <c r="Y25" i="17"/>
  <c r="X25" i="17"/>
  <c r="W25" i="17"/>
  <c r="E22" i="17" l="1"/>
  <c r="C22" i="17"/>
  <c r="C15" i="17"/>
  <c r="K25" i="3"/>
  <c r="I25" i="3"/>
  <c r="H25" i="3" s="1"/>
  <c r="K24" i="3"/>
  <c r="I24" i="3"/>
  <c r="H24" i="3" s="1"/>
  <c r="K23" i="3"/>
  <c r="I23" i="3"/>
  <c r="H23" i="3" s="1"/>
  <c r="I22" i="3"/>
  <c r="K22" i="3"/>
  <c r="N24" i="3" l="1"/>
  <c r="N23" i="3"/>
  <c r="N22" i="3"/>
  <c r="N25" i="3"/>
  <c r="H22" i="3"/>
  <c r="C19" i="3"/>
  <c r="E20" i="17" l="1"/>
  <c r="E19" i="17"/>
  <c r="E18" i="17"/>
  <c r="E17" i="17"/>
  <c r="E16" i="17"/>
  <c r="C32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3" i="17"/>
  <c r="E21" i="17"/>
  <c r="C20" i="17"/>
  <c r="C19" i="17"/>
  <c r="C18" i="17"/>
  <c r="C17" i="17"/>
  <c r="C16" i="17"/>
  <c r="E14" i="17"/>
  <c r="G11" i="17"/>
  <c r="H11" i="17" s="1"/>
  <c r="I11" i="17" s="1"/>
  <c r="J11" i="17" s="1"/>
  <c r="K11" i="17" s="1"/>
  <c r="L11" i="17" s="1"/>
  <c r="M11" i="17" s="1"/>
  <c r="N11" i="17" s="1"/>
  <c r="O11" i="17" s="1"/>
  <c r="P11" i="17" s="1"/>
  <c r="Q11" i="17" s="1"/>
  <c r="R11" i="17" s="1"/>
  <c r="S11" i="17" s="1"/>
  <c r="T11" i="17" s="1"/>
  <c r="U11" i="17" s="1"/>
  <c r="V11" i="17" s="1"/>
  <c r="W11" i="17" s="1"/>
  <c r="X11" i="17" s="1"/>
  <c r="Y11" i="17" s="1"/>
  <c r="Z11" i="17" s="1"/>
  <c r="AA11" i="17" s="1"/>
  <c r="AB11" i="17" s="1"/>
  <c r="AC11" i="17" s="1"/>
  <c r="AD11" i="17" s="1"/>
  <c r="AE11" i="17" s="1"/>
  <c r="AF11" i="17" s="1"/>
  <c r="AG11" i="17" s="1"/>
  <c r="AH11" i="17" s="1"/>
  <c r="AI11" i="17" s="1"/>
  <c r="AJ11" i="17" s="1"/>
  <c r="AK11" i="17" s="1"/>
  <c r="AL11" i="17" s="1"/>
  <c r="AM11" i="17" s="1"/>
  <c r="AN11" i="17" s="1"/>
  <c r="AO11" i="17" s="1"/>
  <c r="AP11" i="17" s="1"/>
  <c r="AQ11" i="17" s="1"/>
  <c r="AR11" i="17" s="1"/>
  <c r="A5" i="17"/>
  <c r="A6" i="17" s="1"/>
  <c r="A7" i="17" s="1"/>
  <c r="A8" i="17" s="1"/>
  <c r="A9" i="17" s="1"/>
  <c r="E27" i="17" l="1"/>
  <c r="E28" i="17"/>
  <c r="H5" i="4" l="1"/>
  <c r="H3" i="4" s="1"/>
  <c r="H14" i="4"/>
  <c r="H13" i="4"/>
  <c r="H12" i="4"/>
  <c r="H11" i="4"/>
  <c r="H27" i="4"/>
  <c r="H26" i="4"/>
  <c r="H25" i="4"/>
  <c r="H9" i="4" l="1"/>
  <c r="H23" i="4"/>
  <c r="B22" i="1" l="1"/>
  <c r="B23" i="1" s="1"/>
  <c r="B24" i="1" s="1"/>
  <c r="B25" i="1" s="1"/>
  <c r="B26" i="1" s="1"/>
  <c r="B27" i="1" s="1"/>
  <c r="B28" i="1" s="1"/>
  <c r="C20" i="3"/>
  <c r="C21" i="3" s="1"/>
  <c r="C24" i="3" l="1"/>
  <c r="C25" i="3" s="1"/>
  <c r="C22" i="3"/>
  <c r="C23" i="3" s="1"/>
  <c r="I18" i="3" l="1"/>
  <c r="H18" i="3" s="1"/>
  <c r="K18" i="3"/>
  <c r="I20" i="3"/>
  <c r="H20" i="3" s="1"/>
  <c r="K20" i="3"/>
  <c r="I21" i="3"/>
  <c r="H21" i="3" s="1"/>
  <c r="K21" i="3"/>
  <c r="N19" i="3" l="1"/>
  <c r="N20" i="3"/>
  <c r="N21" i="3"/>
  <c r="N18" i="3"/>
  <c r="O16" i="3" l="1"/>
  <c r="O26" i="3"/>
  <c r="H34" i="4" l="1"/>
  <c r="E30" i="17" s="1"/>
  <c r="E32" i="17" s="1"/>
  <c r="E31" i="17" l="1"/>
  <c r="H17" i="4"/>
  <c r="F24" i="1" s="1"/>
  <c r="F23" i="1"/>
  <c r="H31" i="4"/>
  <c r="C49" i="17" l="1"/>
  <c r="C51" i="17" s="1"/>
  <c r="E39" i="17"/>
  <c r="E44" i="17" s="1"/>
  <c r="E49" i="17"/>
  <c r="E51" i="17" s="1"/>
  <c r="D49" i="17"/>
  <c r="D51" i="17" s="1"/>
  <c r="F19" i="1"/>
  <c r="G24" i="1" l="1"/>
  <c r="G23" i="1"/>
  <c r="G19" i="1" l="1"/>
</calcChain>
</file>

<file path=xl/sharedStrings.xml><?xml version="1.0" encoding="utf-8"?>
<sst xmlns="http://schemas.openxmlformats.org/spreadsheetml/2006/main" count="280" uniqueCount="129">
  <si>
    <t>#</t>
  </si>
  <si>
    <t xml:space="preserve">Category </t>
  </si>
  <si>
    <t xml:space="preserve">Item Name </t>
  </si>
  <si>
    <t>(Main Caracteristics)</t>
  </si>
  <si>
    <t>Total Item</t>
  </si>
  <si>
    <t>-</t>
  </si>
  <si>
    <t>Project Management</t>
  </si>
  <si>
    <t>Warranty</t>
  </si>
  <si>
    <t xml:space="preserve">100% Normal </t>
  </si>
  <si>
    <t>ANALYSIS</t>
  </si>
  <si>
    <t>Analysis of specifications, client materials</t>
  </si>
  <si>
    <t>Screen mockups</t>
  </si>
  <si>
    <t>Effort Estimation</t>
  </si>
  <si>
    <t>Agreement of the scope with customer</t>
  </si>
  <si>
    <t>Main Assumptions</t>
  </si>
  <si>
    <t xml:space="preserve">Test </t>
  </si>
  <si>
    <t>PM</t>
  </si>
  <si>
    <t>UAT</t>
  </si>
  <si>
    <t>Prepare the test cases, agree with customer</t>
  </si>
  <si>
    <t>SUPPORT</t>
  </si>
  <si>
    <t>Training of the trainers</t>
  </si>
  <si>
    <t>Warranty  effort included in the  base estimation</t>
  </si>
  <si>
    <t xml:space="preserve">2 Weeks support after Live Go included </t>
  </si>
  <si>
    <t xml:space="preserve">Deployment activities for XX devices on client premises included  </t>
  </si>
  <si>
    <t xml:space="preserve">1 Week </t>
  </si>
  <si>
    <t>hrs</t>
  </si>
  <si>
    <t>1 Months</t>
  </si>
  <si>
    <t>EUR/hrs</t>
  </si>
  <si>
    <t>Start Date</t>
  </si>
  <si>
    <t>Week #</t>
  </si>
  <si>
    <t>Effort</t>
  </si>
  <si>
    <t>A/Des/ Buid/Test</t>
  </si>
  <si>
    <t>Total Effort without  Warranty</t>
  </si>
  <si>
    <t xml:space="preserve">Warranty (calculated) </t>
  </si>
  <si>
    <t xml:space="preserve">Total Effort  with Warranty </t>
  </si>
  <si>
    <t xml:space="preserve">Fix Price/ Responsibility </t>
  </si>
  <si>
    <t xml:space="preserve">Fixed Price </t>
  </si>
  <si>
    <t>Price</t>
  </si>
  <si>
    <t>Client side setup of DB connection,  Maintenance Server, Terminal Server</t>
  </si>
  <si>
    <t>out of scope</t>
  </si>
  <si>
    <t>Analysis, Design, Build, Test</t>
  </si>
  <si>
    <t>User Acceptance Test (UAT)</t>
  </si>
  <si>
    <t>Out of scope</t>
  </si>
  <si>
    <t>Solution Preparation</t>
  </si>
  <si>
    <t xml:space="preserve">May </t>
  </si>
  <si>
    <t>%</t>
  </si>
  <si>
    <t xml:space="preserve">Total Effort (Mhrs) </t>
  </si>
  <si>
    <t xml:space="preserve">Out of Scope </t>
  </si>
  <si>
    <t>Deployment on sev Devices</t>
  </si>
  <si>
    <t>In Scope</t>
  </si>
  <si>
    <t>Train the trainer/Documentation</t>
  </si>
  <si>
    <t>Medium</t>
  </si>
  <si>
    <t>`</t>
  </si>
  <si>
    <t xml:space="preserve">Medium </t>
  </si>
  <si>
    <t>Item Name  - UAT</t>
  </si>
  <si>
    <t>Item Name - Warranty-Training</t>
  </si>
  <si>
    <t xml:space="preserve">out of scope </t>
  </si>
  <si>
    <t>Item Name - ELICITATION</t>
  </si>
  <si>
    <t>Item Name - PM</t>
  </si>
  <si>
    <t>Item Name - SOL PREPARATION</t>
  </si>
  <si>
    <t>Developer #3</t>
  </si>
  <si>
    <t>Developer #4</t>
  </si>
  <si>
    <t>#FTE</t>
  </si>
  <si>
    <t>Price without  Warranty</t>
  </si>
  <si>
    <t xml:space="preserve">Total Price with Warranty </t>
  </si>
  <si>
    <t xml:space="preserve">Other Risk / Neg Contingency </t>
  </si>
  <si>
    <t>AVG Hourly rate</t>
  </si>
  <si>
    <t>Version 1</t>
  </si>
  <si>
    <t xml:space="preserve">Analyse </t>
  </si>
  <si>
    <t xml:space="preserve">Design </t>
  </si>
  <si>
    <t>REF</t>
  </si>
  <si>
    <t xml:space="preserve">Demo at supplier (client at Skype?) On-site testing, fixing if necessary. </t>
  </si>
  <si>
    <t>Elicitation/Plan</t>
  </si>
  <si>
    <t>Coding</t>
  </si>
  <si>
    <t xml:space="preserve">Scope: </t>
  </si>
  <si>
    <t>Design elements</t>
  </si>
  <si>
    <t xml:space="preserve">4 Form + JS code to access the location with incidents </t>
  </si>
  <si>
    <t xml:space="preserve">DB setup + DB Model </t>
  </si>
  <si>
    <t>Service (ex. NodeJS) for Dynamic Reports</t>
  </si>
  <si>
    <t>Service (ex. NodeJS) for reported incidents</t>
  </si>
  <si>
    <t xml:space="preserve"> SUM</t>
  </si>
  <si>
    <t>Deployment at the customer</t>
  </si>
  <si>
    <t xml:space="preserve">Deploy </t>
  </si>
  <si>
    <t>November</t>
  </si>
  <si>
    <t xml:space="preserve">Start </t>
  </si>
  <si>
    <t xml:space="preserve">PM </t>
  </si>
  <si>
    <t xml:space="preserve">Architect </t>
  </si>
  <si>
    <t>Developer #2</t>
  </si>
  <si>
    <t>Soft-Eng #1</t>
  </si>
  <si>
    <t>M1</t>
  </si>
  <si>
    <t>M2</t>
  </si>
  <si>
    <t xml:space="preserve">My Company Fixed Price </t>
  </si>
  <si>
    <t xml:space="preserve">External Supplier Price </t>
  </si>
  <si>
    <t xml:space="preserve">Fixed Assets (Tools, license ...) </t>
  </si>
  <si>
    <t xml:space="preserve">My Company  + Supplier Price </t>
  </si>
  <si>
    <t xml:space="preserve">Description </t>
  </si>
  <si>
    <t xml:space="preserve">Architecture </t>
  </si>
  <si>
    <t>Other elements</t>
  </si>
  <si>
    <t xml:space="preserve">Design elements coding </t>
  </si>
  <si>
    <t xml:space="preserve">Effort </t>
  </si>
  <si>
    <t xml:space="preserve">% of Effort </t>
  </si>
  <si>
    <t>Other risk?</t>
  </si>
  <si>
    <t>December</t>
  </si>
  <si>
    <t xml:space="preserve">January </t>
  </si>
  <si>
    <t>February</t>
  </si>
  <si>
    <t>March</t>
  </si>
  <si>
    <t>April</t>
  </si>
  <si>
    <t>Dynamic Report integrated</t>
  </si>
  <si>
    <t>Report an  incident integrated</t>
  </si>
  <si>
    <t xml:space="preserve">Web APP </t>
  </si>
  <si>
    <t xml:space="preserve">Mobile App </t>
  </si>
  <si>
    <t xml:space="preserve">Reference </t>
  </si>
  <si>
    <t xml:space="preserve">Very important thinsg </t>
  </si>
  <si>
    <t>Reports</t>
  </si>
  <si>
    <t xml:space="preserve">Firestore </t>
  </si>
  <si>
    <t xml:space="preserve">Complex </t>
  </si>
  <si>
    <t>Simple</t>
  </si>
  <si>
    <t xml:space="preserve">Service </t>
  </si>
  <si>
    <t xml:space="preserve">Report an  incident </t>
  </si>
  <si>
    <t xml:space="preserve">Service (ex. NodeJS) II </t>
  </si>
  <si>
    <t xml:space="preserve">3 party server </t>
  </si>
  <si>
    <t xml:space="preserve">User Stories as effort </t>
  </si>
  <si>
    <t>Architecture 1</t>
  </si>
  <si>
    <t>Architecture 2</t>
  </si>
  <si>
    <t>Sum</t>
  </si>
  <si>
    <t xml:space="preserve">Sum </t>
  </si>
  <si>
    <t xml:space="preserve">Very important thing </t>
  </si>
  <si>
    <t xml:space="preserve"> X Template instance </t>
  </si>
  <si>
    <t>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</si>
</sst>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\ [$€-1]"/>
  </numFmts>
  <fonts count="19">
    <font>
      <sz val="11"/>
      <color indexed="8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1"/>
      <name val="Calibri"/>
      <family val="2"/>
    </font>
    <font>
      <i/>
      <sz val="11"/>
      <color indexed="23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sz val="11"/>
      <color indexed="8"/>
      <name val="Calibri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9"/>
      <name val="Calibri"/>
      <family val="2"/>
    </font>
    <font>
      <sz val="11"/>
      <name val="Calibri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21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5" fillId="2" borderId="0"/>
    <xf numFmtId="0" fontId="3" fillId="3" borderId="1"/>
    <xf numFmtId="0" fontId="7" fillId="0" borderId="0"/>
    <xf numFmtId="9" fontId="3" fillId="0" borderId="0"/>
    <xf numFmtId="0" fontId="3" fillId="4" borderId="0"/>
    <xf numFmtId="0" fontId="3" fillId="5" borderId="0"/>
    <xf numFmtId="43" fontId="13" fillId="0" borderId="0" applyFont="0" applyFill="0" applyBorder="0" applyAlignment="0" applyProtection="0"/>
    <xf numFmtId="0" fontId="3" fillId="0" borderId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4" borderId="0"/>
    <xf numFmtId="0" fontId="3" fillId="5" borderId="0"/>
    <xf numFmtId="0" fontId="1" fillId="7" borderId="0" applyNumberFormat="0" applyBorder="0" applyAlignment="0" applyProtection="0"/>
  </cellStyleXfs>
  <cellXfs count="94">
    <xf numFmtId="0" fontId="3" fillId="0" borderId="0" xfId="0" applyFont="1"/>
    <xf numFmtId="9" fontId="3" fillId="0" borderId="0" xfId="4"/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5" fillId="2" borderId="0" xfId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1" fontId="4" fillId="0" borderId="0" xfId="0" applyNumberFormat="1" applyFont="1" applyAlignment="1">
      <alignment horizontal="center"/>
    </xf>
    <xf numFmtId="10" fontId="3" fillId="0" borderId="0" xfId="4" applyNumberFormat="1"/>
    <xf numFmtId="2" fontId="4" fillId="0" borderId="0" xfId="0" applyNumberFormat="1" applyFont="1" applyAlignment="1">
      <alignment horizontal="center"/>
    </xf>
    <xf numFmtId="0" fontId="3" fillId="0" borderId="0" xfId="0" quotePrefix="1" applyFont="1"/>
    <xf numFmtId="0" fontId="3" fillId="0" borderId="0" xfId="0" quotePrefix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3" applyFont="1" applyAlignment="1">
      <alignment horizontal="center"/>
    </xf>
    <xf numFmtId="9" fontId="10" fillId="0" borderId="0" xfId="0" applyNumberFormat="1" applyFont="1" applyAlignment="1">
      <alignment horizontal="center"/>
    </xf>
    <xf numFmtId="10" fontId="3" fillId="0" borderId="0" xfId="4" applyNumberForma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Protection="1">
      <protection locked="0"/>
    </xf>
    <xf numFmtId="0" fontId="12" fillId="0" borderId="0" xfId="3" applyFont="1" applyFill="1" applyAlignment="1">
      <alignment horizontal="center"/>
    </xf>
    <xf numFmtId="43" fontId="3" fillId="0" borderId="0" xfId="0" applyNumberFormat="1" applyFont="1" applyAlignment="1" applyProtection="1">
      <alignment horizontal="center"/>
      <protection locked="0"/>
    </xf>
    <xf numFmtId="43" fontId="11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43" fontId="4" fillId="0" borderId="0" xfId="0" applyNumberFormat="1" applyFont="1" applyAlignment="1">
      <alignment horizontal="center"/>
    </xf>
    <xf numFmtId="43" fontId="4" fillId="0" borderId="0" xfId="7" applyFont="1" applyAlignment="1">
      <alignment horizontal="center"/>
    </xf>
    <xf numFmtId="0" fontId="3" fillId="0" borderId="0" xfId="8" applyFont="1"/>
    <xf numFmtId="0" fontId="3" fillId="0" borderId="0" xfId="8" applyFont="1" applyAlignment="1">
      <alignment horizontal="center"/>
    </xf>
    <xf numFmtId="14" fontId="3" fillId="0" borderId="0" xfId="8" applyNumberFormat="1" applyFont="1" applyAlignment="1">
      <alignment horizontal="left" textRotation="90"/>
    </xf>
    <xf numFmtId="0" fontId="4" fillId="0" borderId="0" xfId="8" applyFont="1" applyAlignment="1">
      <alignment horizontal="center"/>
    </xf>
    <xf numFmtId="0" fontId="0" fillId="4" borderId="0" xfId="11" applyFont="1"/>
    <xf numFmtId="0" fontId="3" fillId="4" borderId="0" xfId="11"/>
    <xf numFmtId="164" fontId="3" fillId="4" borderId="0" xfId="11" applyNumberFormat="1" applyAlignment="1">
      <alignment horizontal="center"/>
    </xf>
    <xf numFmtId="0" fontId="15" fillId="4" borderId="0" xfId="11" applyFont="1" applyAlignment="1">
      <alignment horizontal="center" vertical="center"/>
    </xf>
    <xf numFmtId="0" fontId="15" fillId="4" borderId="0" xfId="11" applyFont="1" applyBorder="1" applyAlignment="1">
      <alignment horizontal="center" vertical="center"/>
    </xf>
    <xf numFmtId="0" fontId="3" fillId="4" borderId="0" xfId="11" applyFont="1"/>
    <xf numFmtId="0" fontId="3" fillId="0" borderId="0" xfId="8" applyFont="1" applyAlignment="1">
      <alignment horizontal="center" vertical="center"/>
    </xf>
    <xf numFmtId="0" fontId="3" fillId="5" borderId="0" xfId="12"/>
    <xf numFmtId="164" fontId="3" fillId="5" borderId="0" xfId="12" applyNumberFormat="1" applyAlignment="1">
      <alignment horizontal="center"/>
    </xf>
    <xf numFmtId="0" fontId="3" fillId="5" borderId="0" xfId="12" applyAlignment="1">
      <alignment horizontal="center" vertical="center"/>
    </xf>
    <xf numFmtId="0" fontId="3" fillId="0" borderId="0" xfId="8" applyFont="1" applyAlignment="1">
      <alignment horizontal="right"/>
    </xf>
    <xf numFmtId="0" fontId="4" fillId="4" borderId="0" xfId="11" applyFont="1" applyAlignment="1">
      <alignment horizontal="center"/>
    </xf>
    <xf numFmtId="1" fontId="3" fillId="0" borderId="0" xfId="8" applyNumberFormat="1" applyFont="1" applyAlignment="1">
      <alignment horizontal="center"/>
    </xf>
    <xf numFmtId="4" fontId="4" fillId="5" borderId="0" xfId="12" applyNumberFormat="1" applyFont="1" applyAlignment="1">
      <alignment horizontal="center"/>
    </xf>
    <xf numFmtId="2" fontId="3" fillId="0" borderId="0" xfId="8" applyNumberFormat="1" applyFont="1"/>
    <xf numFmtId="10" fontId="3" fillId="4" borderId="0" xfId="11" applyNumberFormat="1" applyAlignment="1">
      <alignment horizontal="center"/>
    </xf>
    <xf numFmtId="0" fontId="0" fillId="5" borderId="0" xfId="12" applyFont="1"/>
    <xf numFmtId="10" fontId="3" fillId="5" borderId="0" xfId="12" applyNumberFormat="1" applyAlignment="1">
      <alignment horizontal="center" vertical="center"/>
    </xf>
    <xf numFmtId="164" fontId="3" fillId="0" borderId="0" xfId="8" applyNumberFormat="1" applyFont="1"/>
    <xf numFmtId="0" fontId="10" fillId="0" borderId="0" xfId="3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NumberFormat="1" applyFont="1" applyAlignment="1" applyProtection="1">
      <alignment horizontal="center"/>
      <protection locked="0"/>
    </xf>
    <xf numFmtId="3" fontId="4" fillId="5" borderId="0" xfId="12" applyNumberFormat="1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43" fontId="4" fillId="0" borderId="0" xfId="0" applyNumberFormat="1" applyFont="1" applyProtection="1">
      <protection locked="0"/>
    </xf>
    <xf numFmtId="9" fontId="1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6" fillId="2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9" fontId="17" fillId="0" borderId="0" xfId="0" applyNumberFormat="1" applyFont="1" applyAlignment="1">
      <alignment horizontal="center"/>
    </xf>
    <xf numFmtId="0" fontId="18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10" fillId="0" borderId="0" xfId="3" applyFont="1" applyFill="1" applyAlignment="1">
      <alignment horizontal="center"/>
    </xf>
    <xf numFmtId="0" fontId="5" fillId="2" borderId="0" xfId="1"/>
    <xf numFmtId="164" fontId="5" fillId="2" borderId="0" xfId="1" applyNumberFormat="1" applyAlignment="1">
      <alignment horizontal="center"/>
    </xf>
    <xf numFmtId="164" fontId="4" fillId="5" borderId="0" xfId="12" applyNumberFormat="1" applyFont="1" applyAlignment="1">
      <alignment horizontal="center"/>
    </xf>
    <xf numFmtId="0" fontId="4" fillId="0" borderId="0" xfId="8" applyFo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2" borderId="0" xfId="1" applyFont="1" applyAlignment="1">
      <alignment horizontal="center"/>
    </xf>
    <xf numFmtId="0" fontId="4" fillId="0" borderId="2" xfId="0" applyFont="1" applyBorder="1" applyAlignment="1">
      <alignment horizontal="center"/>
    </xf>
    <xf numFmtId="43" fontId="11" fillId="0" borderId="2" xfId="7" applyFont="1" applyBorder="1" applyAlignment="1">
      <alignment horizontal="center"/>
    </xf>
    <xf numFmtId="43" fontId="4" fillId="0" borderId="2" xfId="7" applyFont="1" applyBorder="1" applyAlignment="1" applyProtection="1">
      <alignment horizontal="center"/>
      <protection locked="0"/>
    </xf>
    <xf numFmtId="0" fontId="11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6" borderId="0" xfId="9" applyFont="1" applyAlignment="1">
      <alignment horizontal="center"/>
    </xf>
    <xf numFmtId="0" fontId="1" fillId="7" borderId="0" xfId="10" applyFont="1" applyAlignment="1">
      <alignment horizontal="center"/>
    </xf>
    <xf numFmtId="0" fontId="3" fillId="5" borderId="0" xfId="12" applyAlignment="1">
      <alignment horizontal="left" vertical="center"/>
    </xf>
    <xf numFmtId="0" fontId="3" fillId="4" borderId="0" xfId="11" applyAlignment="1">
      <alignment horizontal="left" vertical="center"/>
    </xf>
    <xf numFmtId="0" fontId="1" fillId="7" borderId="0" xfId="13" applyAlignment="1">
      <alignment horizontal="center"/>
    </xf>
  </cellXfs>
  <cellStyles count="14">
    <cellStyle name="20% - Accent1" xfId="5" builtinId="30" customBuiltin="1"/>
    <cellStyle name="20% - Accent1 2" xfId="11" xr:uid="{00000000-0005-0000-0000-000001000000}"/>
    <cellStyle name="20% - Accent3 2" xfId="9" xr:uid="{00000000-0005-0000-0000-000002000000}"/>
    <cellStyle name="40% - Accent1" xfId="6" builtinId="31" customBuiltin="1"/>
    <cellStyle name="40% - Accent1 2" xfId="12" xr:uid="{00000000-0005-0000-0000-000004000000}"/>
    <cellStyle name="40% - Accent3" xfId="13" builtinId="39"/>
    <cellStyle name="40% - Accent3 2" xfId="10" xr:uid="{00000000-0005-0000-0000-000006000000}"/>
    <cellStyle name="Accent1" xfId="1" builtinId="29" customBuiltin="1"/>
    <cellStyle name="Comma" xfId="7" builtinId="3"/>
    <cellStyle name="Explanatory Text" xfId="3" builtinId="53" customBuiltin="1"/>
    <cellStyle name="Normal" xfId="0" builtinId="0"/>
    <cellStyle name="Normal 2" xfId="8" xr:uid="{00000000-0005-0000-0000-00000B000000}"/>
    <cellStyle name="Note" xfId="2" builtinId="10" customBuiltin="1"/>
    <cellStyle name="Percent" xfId="4" builtinId="5"/>
  </cellStyles>
  <dxfs count="16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1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1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1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5" formatCode="_(* #,##0.00_);_(* \(#,##0.00\);_(* &quot;-&quot;??_);_(@_)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5" formatCode="_(* #,##0.00_);_(* \(#,##0.00\);_(* &quot;-&quot;??_);_(@_)"/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5" formatCode="_(* #,##0.00_);_(* \(#,##0.00\);_(* &quot;-&quot;??_);_(@_)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FF00"/>
      <rgbColor rgb="00FF0000"/>
      <rgbColor rgb="00007F00"/>
      <rgbColor rgb="007F7F00"/>
      <rgbColor rgb="00C0C0C0"/>
      <rgbColor rgb="00E6E6E6"/>
      <rgbColor rgb="00B3B3B3"/>
      <rgbColor rgb="00999999"/>
      <rgbColor rgb="00666666"/>
      <rgbColor rgb="004D4D4D"/>
      <rgbColor rgb="00333333"/>
      <rgbColor rgb="005B9BD5"/>
      <rgbColor rgb="00CCCCCC"/>
      <rgbColor rgb="007F7F7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DDEBF7"/>
      <rgbColor rgb="00BDD7EE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0</xdr:row>
      <xdr:rowOff>85725</xdr:rowOff>
    </xdr:from>
    <xdr:to>
      <xdr:col>5</xdr:col>
      <xdr:colOff>876300</xdr:colOff>
      <xdr:row>13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85725"/>
          <a:ext cx="6915150" cy="2390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Table10" displayName="Table10" ref="B21:G28" headerRowCount="0" totalsRowShown="0">
  <tableColumns count="6">
    <tableColumn id="1" xr3:uid="{00000000-0010-0000-0000-000001000000}" name="Column1" headerRowDxfId="165" dataDxfId="164">
      <calculatedColumnFormula>B20+1</calculatedColumnFormula>
    </tableColumn>
    <tableColumn id="2" xr3:uid="{00000000-0010-0000-0000-000002000000}" name="Column2" headerRowDxfId="163" dataDxfId="162"/>
    <tableColumn id="3" xr3:uid="{00000000-0010-0000-0000-000003000000}" name="Column3" headerRowDxfId="161" dataDxfId="160"/>
    <tableColumn id="4" xr3:uid="{00000000-0010-0000-0000-000004000000}" name="Column4" headerRowDxfId="159" dataDxfId="158"/>
    <tableColumn id="5" xr3:uid="{00000000-0010-0000-0000-000005000000}" name="Column5" headerRowDxfId="157" dataDxfId="156" dataCellStyle="Comma"/>
    <tableColumn id="6" xr3:uid="{00000000-0010-0000-0000-000006000000}" name="Column6" dataDxfId="155" dataCellStyle="Percent"/>
  </tableColumns>
  <tableStyleInfo name="TableStyleMedium2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9000000}" name="Table714" displayName="Table714" ref="B11:H14" headerRowCount="0" totalsRowShown="0">
  <tableColumns count="7">
    <tableColumn id="1" xr3:uid="{00000000-0010-0000-0900-000001000000}" name="Column1" headerRowDxfId="27" dataDxfId="26"/>
    <tableColumn id="2" xr3:uid="{00000000-0010-0000-0900-000002000000}" name="Column2" headerRowDxfId="25" dataDxfId="24"/>
    <tableColumn id="3" xr3:uid="{00000000-0010-0000-0900-000003000000}" name="Column3" headerRowDxfId="23" dataDxfId="22"/>
    <tableColumn id="4" xr3:uid="{00000000-0010-0000-0900-000004000000}" name="Column4" headerRowDxfId="21" dataDxfId="20"/>
    <tableColumn id="5" xr3:uid="{00000000-0010-0000-0900-000005000000}" name="Column5" headerRowDxfId="19" dataDxfId="18"/>
    <tableColumn id="6" xr3:uid="{00000000-0010-0000-0900-000006000000}" name="Column6" headerRowDxfId="17" dataDxfId="16"/>
    <tableColumn id="7" xr3:uid="{00000000-0010-0000-0900-000007000000}" name="Column7" headerRowDxfId="15" dataDxfId="14">
      <calculatedColumnFormula>SUM(F11)*G11</calculatedColumnFormula>
    </tableColumn>
  </tableColumns>
  <tableStyleInfo name="TableStyleMedium2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A000000}" name="Table917" displayName="Table917" ref="B5:H5" headerRowCount="0" totalsRowShown="0">
  <tableColumns count="7">
    <tableColumn id="1" xr3:uid="{00000000-0010-0000-0A00-000001000000}" name="Column1" headerRowDxfId="13" dataDxfId="12"/>
    <tableColumn id="2" xr3:uid="{00000000-0010-0000-0A00-000002000000}" name="Column2" headerRowDxfId="11" dataDxfId="10"/>
    <tableColumn id="3" xr3:uid="{00000000-0010-0000-0A00-000003000000}" name="Column3" headerRowDxfId="9" dataDxfId="8"/>
    <tableColumn id="4" xr3:uid="{00000000-0010-0000-0A00-000004000000}" name="Column4" headerRowDxfId="7" dataDxfId="6"/>
    <tableColumn id="5" xr3:uid="{00000000-0010-0000-0A00-000005000000}" name="Column5" headerRowDxfId="5" dataDxfId="4"/>
    <tableColumn id="6" xr3:uid="{00000000-0010-0000-0A00-000006000000}" name="Column6" headerRowDxfId="3" dataDxfId="2"/>
    <tableColumn id="7" xr3:uid="{00000000-0010-0000-0A00-000007000000}" name="Column7" headerRowDxfId="1" dataDxfId="0">
      <calculatedColumnFormula>SUM(F5)*G5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C18:O26" headerRowCount="0" totalsRowShown="0">
  <tableColumns count="13">
    <tableColumn id="1" xr3:uid="{00000000-0010-0000-0100-000001000000}" name="Column1" dataDxfId="154">
      <calculatedColumnFormula>C17+1</calculatedColumnFormula>
    </tableColumn>
    <tableColumn id="2" xr3:uid="{00000000-0010-0000-0100-000002000000}" name="Column2" dataDxfId="153"/>
    <tableColumn id="12" xr3:uid="{00000000-0010-0000-0100-00000C000000}" name="Column11" dataDxfId="152"/>
    <tableColumn id="3" xr3:uid="{00000000-0010-0000-0100-000003000000}" name="Column3" dataDxfId="151"/>
    <tableColumn id="4" xr3:uid="{00000000-0010-0000-0100-000004000000}" name="Column4" dataDxfId="150"/>
    <tableColumn id="11" xr3:uid="{00000000-0010-0000-0100-00000B000000}" name="Column17" dataDxfId="149">
      <calculatedColumnFormula>I18*$H$14</calculatedColumnFormula>
    </tableColumn>
    <tableColumn id="5" xr3:uid="{00000000-0010-0000-0100-000005000000}" name="Column5" dataDxfId="148">
      <calculatedColumnFormula>J18*$I$14</calculatedColumnFormula>
    </tableColumn>
    <tableColumn id="6" xr3:uid="{00000000-0010-0000-0100-000006000000}" name="Column6" dataDxfId="147" dataCellStyle="Explanatory Text"/>
    <tableColumn id="7" xr3:uid="{00000000-0010-0000-0100-000007000000}" name="Column7" dataDxfId="146">
      <calculatedColumnFormula>J18*$K$14</calculatedColumnFormula>
    </tableColumn>
    <tableColumn id="8" xr3:uid="{00000000-0010-0000-0100-000008000000}" name="Column8" dataDxfId="145"/>
    <tableColumn id="9" xr3:uid="{00000000-0010-0000-0100-000009000000}" name="Column9" dataDxfId="144"/>
    <tableColumn id="10" xr3:uid="{00000000-0010-0000-0100-00000A000000}" name="Column10" dataDxfId="143">
      <calculatedColumnFormula>SUM(I18:K18)*M18*Table1[[#This Row],[Column8]]</calculatedColumnFormula>
    </tableColumn>
    <tableColumn id="14" xr3:uid="{00000000-0010-0000-0100-00000E000000}" name="Column14" dataDxfId="142">
      <calculatedColumnFormula>SUM(L2:L17)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5" displayName="Table15" ref="C28:O36" headerRowCount="0" totalsRowShown="0">
  <tableColumns count="13">
    <tableColumn id="1" xr3:uid="{00000000-0010-0000-0200-000001000000}" name="Column1" dataDxfId="141">
      <calculatedColumnFormula>C27+1</calculatedColumnFormula>
    </tableColumn>
    <tableColumn id="2" xr3:uid="{00000000-0010-0000-0200-000002000000}" name="Column2" dataDxfId="140"/>
    <tableColumn id="12" xr3:uid="{00000000-0010-0000-0200-00000C000000}" name="Column11" dataDxfId="139"/>
    <tableColumn id="3" xr3:uid="{00000000-0010-0000-0200-000003000000}" name="Column3" dataDxfId="138"/>
    <tableColumn id="4" xr3:uid="{00000000-0010-0000-0200-000004000000}" name="Column4" dataDxfId="137"/>
    <tableColumn id="11" xr3:uid="{00000000-0010-0000-0200-00000B000000}" name="Column17" dataDxfId="136">
      <calculatedColumnFormula>I28*$H$14</calculatedColumnFormula>
    </tableColumn>
    <tableColumn id="5" xr3:uid="{00000000-0010-0000-0200-000005000000}" name="Column5" dataDxfId="135">
      <calculatedColumnFormula>J28*$I$14</calculatedColumnFormula>
    </tableColumn>
    <tableColumn id="6" xr3:uid="{00000000-0010-0000-0200-000006000000}" name="Column6" dataDxfId="134" dataCellStyle="Explanatory Text"/>
    <tableColumn id="7" xr3:uid="{00000000-0010-0000-0200-000007000000}" name="Column7" dataDxfId="133">
      <calculatedColumnFormula>J28*$K$14</calculatedColumnFormula>
    </tableColumn>
    <tableColumn id="8" xr3:uid="{00000000-0010-0000-0200-000008000000}" name="Column8" dataDxfId="132"/>
    <tableColumn id="9" xr3:uid="{00000000-0010-0000-0200-000009000000}" name="Column9" dataDxfId="131"/>
    <tableColumn id="10" xr3:uid="{00000000-0010-0000-0200-00000A000000}" name="Column10" dataDxfId="130">
      <calculatedColumnFormula>SUM(I28:K28)*M28*Table15[[#This Row],[Column8]]</calculatedColumnFormula>
    </tableColumn>
    <tableColumn id="14" xr3:uid="{00000000-0010-0000-0200-00000E000000}" name="Column14" dataDxfId="129">
      <calculatedColumnFormula>SUM(L15:L27)</calculatedColumnFormula>
    </tableColumn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36" displayName="Table36" ref="C51:O53" headerRowCount="0" totalsRowShown="0">
  <tableColumns count="13">
    <tableColumn id="1" xr3:uid="{00000000-0010-0000-0300-000001000000}" name="Column1" headerRowDxfId="128" dataDxfId="127"/>
    <tableColumn id="2" xr3:uid="{00000000-0010-0000-0300-000002000000}" name="Column2" headerRowDxfId="126" dataDxfId="125"/>
    <tableColumn id="11" xr3:uid="{00000000-0010-0000-0300-00000B000000}" name="Column11" headerRowDxfId="124" dataDxfId="123"/>
    <tableColumn id="3" xr3:uid="{00000000-0010-0000-0300-000003000000}" name="Column3" headerRowDxfId="122" dataDxfId="121"/>
    <tableColumn id="4" xr3:uid="{00000000-0010-0000-0300-000004000000}" name="Column4" dataDxfId="120"/>
    <tableColumn id="12" xr3:uid="{00000000-0010-0000-0300-00000C000000}" name="Column12" dataDxfId="119"/>
    <tableColumn id="5" xr3:uid="{00000000-0010-0000-0300-000005000000}" name="Column5" headerRowDxfId="118" dataDxfId="117">
      <calculatedColumnFormula>J51*$I$14</calculatedColumnFormula>
    </tableColumn>
    <tableColumn id="6" xr3:uid="{00000000-0010-0000-0300-000006000000}" name="Column6" headerRowDxfId="116" dataDxfId="115" headerRowCellStyle="Explanatory Text" dataCellStyle="Explanatory Text"/>
    <tableColumn id="7" xr3:uid="{00000000-0010-0000-0300-000007000000}" name="Column7" headerRowDxfId="114" dataDxfId="113">
      <calculatedColumnFormula>J51*$K$14</calculatedColumnFormula>
    </tableColumn>
    <tableColumn id="8" xr3:uid="{00000000-0010-0000-0300-000008000000}" name="Column8" headerRowDxfId="112" dataDxfId="111"/>
    <tableColumn id="9" xr3:uid="{00000000-0010-0000-0300-000009000000}" name="Column9" headerRowDxfId="110" dataDxfId="109"/>
    <tableColumn id="10" xr3:uid="{00000000-0010-0000-0300-00000A000000}" name="Column10" headerRowDxfId="108" dataDxfId="107">
      <calculatedColumnFormula>SUM(I51:K51)*M51</calculatedColumnFormula>
    </tableColumn>
    <tableColumn id="14" xr3:uid="{00000000-0010-0000-0300-00000E000000}" name="Column14" headerRowDxfId="106" dataDxfId="105">
      <calculatedColumnFormula>SUM(N49:N50)</calculatedColumnFormula>
    </tableColumn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153" displayName="Table153" ref="C39:O47" headerRowCount="0" totalsRowShown="0">
  <tableColumns count="13">
    <tableColumn id="1" xr3:uid="{00000000-0010-0000-0400-000001000000}" name="Column1" dataDxfId="104">
      <calculatedColumnFormula>C38+1</calculatedColumnFormula>
    </tableColumn>
    <tableColumn id="2" xr3:uid="{00000000-0010-0000-0400-000002000000}" name="Column2" dataDxfId="103"/>
    <tableColumn id="12" xr3:uid="{00000000-0010-0000-0400-00000C000000}" name="Column11" dataDxfId="102"/>
    <tableColumn id="3" xr3:uid="{00000000-0010-0000-0400-000003000000}" name="Column3" dataDxfId="101"/>
    <tableColumn id="4" xr3:uid="{00000000-0010-0000-0400-000004000000}" name="Column4" dataDxfId="100"/>
    <tableColumn id="11" xr3:uid="{00000000-0010-0000-0400-00000B000000}" name="Column17" dataDxfId="99">
      <calculatedColumnFormula>I39*$H$14</calculatedColumnFormula>
    </tableColumn>
    <tableColumn id="5" xr3:uid="{00000000-0010-0000-0400-000005000000}" name="Column5" dataDxfId="98">
      <calculatedColumnFormula>J39*$I$14</calculatedColumnFormula>
    </tableColumn>
    <tableColumn id="6" xr3:uid="{00000000-0010-0000-0400-000006000000}" name="Column6" dataDxfId="97" dataCellStyle="Explanatory Text"/>
    <tableColumn id="7" xr3:uid="{00000000-0010-0000-0400-000007000000}" name="Column7" dataDxfId="96">
      <calculatedColumnFormula>J39*$K$14</calculatedColumnFormula>
    </tableColumn>
    <tableColumn id="8" xr3:uid="{00000000-0010-0000-0400-000008000000}" name="Column8" dataDxfId="95"/>
    <tableColumn id="9" xr3:uid="{00000000-0010-0000-0400-000009000000}" name="Column9" dataDxfId="94"/>
    <tableColumn id="10" xr3:uid="{00000000-0010-0000-0400-00000A000000}" name="Column10" dataDxfId="93">
      <calculatedColumnFormula>SUM(I39:K39)*M39*Table153[[#This Row],[Column8]]</calculatedColumnFormula>
    </tableColumn>
    <tableColumn id="14" xr3:uid="{00000000-0010-0000-0400-00000E000000}" name="Column14" dataDxfId="92">
      <calculatedColumnFormula>SUM(L26:L38)</calculatedColumnFormula>
    </tableColumn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able364" displayName="Table364" ref="C59:O61" headerRowCount="0" totalsRowShown="0">
  <tableColumns count="13">
    <tableColumn id="1" xr3:uid="{00000000-0010-0000-0500-000001000000}" name="Column1" headerRowDxfId="91" dataDxfId="90"/>
    <tableColumn id="2" xr3:uid="{00000000-0010-0000-0500-000002000000}" name="Column2" headerRowDxfId="89" dataDxfId="88"/>
    <tableColumn id="11" xr3:uid="{00000000-0010-0000-0500-00000B000000}" name="Column11" headerRowDxfId="87" dataDxfId="86"/>
    <tableColumn id="3" xr3:uid="{00000000-0010-0000-0500-000003000000}" name="Column3" headerRowDxfId="85" dataDxfId="84"/>
    <tableColumn id="4" xr3:uid="{00000000-0010-0000-0500-000004000000}" name="Column4" dataDxfId="83"/>
    <tableColumn id="12" xr3:uid="{00000000-0010-0000-0500-00000C000000}" name="Column12" dataDxfId="82"/>
    <tableColumn id="5" xr3:uid="{00000000-0010-0000-0500-000005000000}" name="Column5" headerRowDxfId="81" dataDxfId="80">
      <calculatedColumnFormula>J59*$I$14</calculatedColumnFormula>
    </tableColumn>
    <tableColumn id="6" xr3:uid="{00000000-0010-0000-0500-000006000000}" name="Column6" headerRowDxfId="79" dataDxfId="78" headerRowCellStyle="Explanatory Text" dataCellStyle="Explanatory Text"/>
    <tableColumn id="7" xr3:uid="{00000000-0010-0000-0500-000007000000}" name="Column7" headerRowDxfId="77" dataDxfId="76">
      <calculatedColumnFormula>J59*$K$14</calculatedColumnFormula>
    </tableColumn>
    <tableColumn id="8" xr3:uid="{00000000-0010-0000-0500-000008000000}" name="Column8" headerRowDxfId="75" dataDxfId="74"/>
    <tableColumn id="9" xr3:uid="{00000000-0010-0000-0500-000009000000}" name="Column9" headerRowDxfId="73" dataDxfId="72"/>
    <tableColumn id="10" xr3:uid="{00000000-0010-0000-0500-00000A000000}" name="Column10" headerRowDxfId="71" dataDxfId="70">
      <calculatedColumnFormula>SUM(I59:K59)*M59</calculatedColumnFormula>
    </tableColumn>
    <tableColumn id="14" xr3:uid="{00000000-0010-0000-0500-00000E000000}" name="Column14" headerRowDxfId="69" dataDxfId="68">
      <calculatedColumnFormula>SUM(N57:N58)</calculatedColumnFormula>
    </tableColumn>
  </tableColumns>
  <tableStyleInfo name="TableStyleMedium2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B19:H19" headerRowCount="0" totalsRowShown="0">
  <tableColumns count="7">
    <tableColumn id="1" xr3:uid="{00000000-0010-0000-0600-000001000000}" name="Column1" headerRowDxfId="67" dataDxfId="66"/>
    <tableColumn id="2" xr3:uid="{00000000-0010-0000-0600-000002000000}" name="Column2" headerRowDxfId="65" dataDxfId="64"/>
    <tableColumn id="3" xr3:uid="{00000000-0010-0000-0600-000003000000}" name="Column3" headerRowDxfId="63" dataDxfId="62"/>
    <tableColumn id="4" xr3:uid="{00000000-0010-0000-0600-000004000000}" name="Column4" headerRowDxfId="61" dataDxfId="60"/>
    <tableColumn id="5" xr3:uid="{00000000-0010-0000-0600-000005000000}" name="Column5" headerRowDxfId="59" dataDxfId="58"/>
    <tableColumn id="6" xr3:uid="{00000000-0010-0000-0600-000006000000}" name="Column6" headerRowDxfId="57" dataDxfId="56"/>
    <tableColumn id="7" xr3:uid="{00000000-0010-0000-0600-000007000000}" name="Column7" dataDxfId="55">
      <calculatedColumnFormula>'App , Arch Estimation'!O16*F19</calculatedColumnFormula>
    </tableColumn>
  </tableColumns>
  <tableStyleInfo name="TableStyleMedium2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e512" displayName="Table512" ref="B25:H27" headerRowCount="0" totalsRowShown="0">
  <tableColumns count="7">
    <tableColumn id="1" xr3:uid="{00000000-0010-0000-0700-000001000000}" name="Column1" headerRowDxfId="54" dataDxfId="53"/>
    <tableColumn id="2" xr3:uid="{00000000-0010-0000-0700-000002000000}" name="Column2" headerRowDxfId="52" dataDxfId="51"/>
    <tableColumn id="3" xr3:uid="{00000000-0010-0000-0700-000003000000}" name="Column3" headerRowDxfId="50" dataDxfId="49"/>
    <tableColumn id="4" xr3:uid="{00000000-0010-0000-0700-000004000000}" name="Column4" headerRowDxfId="48" dataDxfId="47"/>
    <tableColumn id="5" xr3:uid="{00000000-0010-0000-0700-000005000000}" name="Column5" headerRowDxfId="46" dataDxfId="45"/>
    <tableColumn id="6" xr3:uid="{00000000-0010-0000-0700-000006000000}" name="Column6" headerRowDxfId="44" dataDxfId="43"/>
    <tableColumn id="7" xr3:uid="{00000000-0010-0000-0700-000007000000}" name="Column7" headerRowDxfId="42" dataDxfId="41">
      <calculatedColumnFormula>SUM(F25:F25)*G25</calculatedColumnFormula>
    </tableColumn>
  </tableColumns>
  <tableStyleInfo name="TableStyleMedium2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8000000}" name="Table613" displayName="Table613" ref="B33:H36" headerRowCount="0" totalsRowShown="0">
  <tableColumns count="7">
    <tableColumn id="1" xr3:uid="{00000000-0010-0000-0800-000001000000}" name="Column1" headerRowDxfId="40" dataDxfId="39"/>
    <tableColumn id="2" xr3:uid="{00000000-0010-0000-0800-000002000000}" name="Column2" headerRowDxfId="38" dataDxfId="37"/>
    <tableColumn id="3" xr3:uid="{00000000-0010-0000-0800-000003000000}" name="Column3" headerRowDxfId="36"/>
    <tableColumn id="4" xr3:uid="{00000000-0010-0000-0800-000004000000}" name="Column4" headerRowDxfId="35" dataDxfId="34"/>
    <tableColumn id="5" xr3:uid="{00000000-0010-0000-0800-000005000000}" name="Column5" headerRowDxfId="33" dataDxfId="32"/>
    <tableColumn id="6" xr3:uid="{00000000-0010-0000-0800-000006000000}" name="Column6" headerRowDxfId="31" dataDxfId="30"/>
    <tableColumn id="7" xr3:uid="{00000000-0010-0000-0800-000007000000}" name="Column7" headerRowDxfId="29" dataDxfId="28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H34"/>
  <sheetViews>
    <sheetView topLeftCell="B4" workbookViewId="0">
      <selection activeCell="F19" sqref="F19"/>
    </sheetView>
  </sheetViews>
  <sheetFormatPr defaultColWidth="8.6640625" defaultRowHeight="14.4"/>
  <cols>
    <col min="2" max="3" width="11" customWidth="1"/>
    <col min="4" max="4" width="33.88671875" bestFit="1" customWidth="1"/>
    <col min="5" max="5" width="39.33203125" bestFit="1" customWidth="1"/>
    <col min="6" max="6" width="17.88671875" bestFit="1" customWidth="1"/>
    <col min="7" max="7" width="11" customWidth="1"/>
  </cols>
  <sheetData>
    <row r="13" spans="7:8">
      <c r="G13" s="87" t="s">
        <v>67</v>
      </c>
      <c r="H13" s="88"/>
    </row>
    <row r="18" spans="2:7">
      <c r="B18" s="4" t="s">
        <v>0</v>
      </c>
      <c r="C18" s="4" t="s">
        <v>1</v>
      </c>
      <c r="D18" s="4" t="s">
        <v>2</v>
      </c>
      <c r="E18" s="4" t="s">
        <v>3</v>
      </c>
      <c r="F18" s="18" t="s">
        <v>46</v>
      </c>
      <c r="G18" s="4" t="s">
        <v>45</v>
      </c>
    </row>
    <row r="19" spans="2:7">
      <c r="C19" s="2"/>
      <c r="D19" s="2"/>
      <c r="E19" s="2"/>
      <c r="F19" s="12">
        <f>SUM(F22:F28)</f>
        <v>2146.8744000000002</v>
      </c>
      <c r="G19" s="11">
        <f>SUM(G21:G28)</f>
        <v>0.99999999999999989</v>
      </c>
    </row>
    <row r="21" spans="2:7">
      <c r="B21" s="2">
        <v>1</v>
      </c>
      <c r="C21" s="2"/>
      <c r="D21" s="15" t="s">
        <v>43</v>
      </c>
      <c r="E21" s="16" t="s">
        <v>42</v>
      </c>
      <c r="F21" s="12">
        <v>0</v>
      </c>
      <c r="G21" s="24" t="s">
        <v>5</v>
      </c>
    </row>
    <row r="22" spans="2:7">
      <c r="B22" s="2">
        <f>B21+1</f>
        <v>2</v>
      </c>
      <c r="C22" s="2"/>
      <c r="D22" s="7" t="s">
        <v>72</v>
      </c>
      <c r="E22" s="16" t="s">
        <v>42</v>
      </c>
      <c r="F22" s="33" t="s">
        <v>5</v>
      </c>
      <c r="G22" s="24" t="s">
        <v>5</v>
      </c>
    </row>
    <row r="23" spans="2:7">
      <c r="B23" s="2">
        <f t="shared" ref="B23:B28" si="0">B22+1</f>
        <v>3</v>
      </c>
      <c r="C23" s="2"/>
      <c r="D23" s="15" t="s">
        <v>40</v>
      </c>
      <c r="E23" s="2" t="s">
        <v>49</v>
      </c>
      <c r="F23" s="12">
        <f>'App , Arch Estimation'!O16</f>
        <v>1951.704</v>
      </c>
      <c r="G23" s="24">
        <f>F23/$F$19</f>
        <v>0.90909090909090895</v>
      </c>
    </row>
    <row r="24" spans="2:7">
      <c r="B24" s="2">
        <f t="shared" si="0"/>
        <v>4</v>
      </c>
      <c r="C24" s="2"/>
      <c r="D24" s="7" t="s">
        <v>6</v>
      </c>
      <c r="E24" s="3">
        <v>0.1</v>
      </c>
      <c r="F24" s="12">
        <f>'Pre, Elic, PM, UAT, Warranty'!H17</f>
        <v>195.1704</v>
      </c>
      <c r="G24" s="24">
        <f>F24/$F$19</f>
        <v>9.0909090909090898E-2</v>
      </c>
    </row>
    <row r="25" spans="2:7">
      <c r="B25" s="2">
        <f t="shared" si="0"/>
        <v>5</v>
      </c>
      <c r="C25" s="2"/>
      <c r="D25" s="15" t="s">
        <v>41</v>
      </c>
      <c r="E25" s="2" t="s">
        <v>42</v>
      </c>
      <c r="F25" s="33" t="s">
        <v>5</v>
      </c>
      <c r="G25" s="24" t="s">
        <v>5</v>
      </c>
    </row>
    <row r="26" spans="2:7">
      <c r="B26" s="2">
        <f t="shared" si="0"/>
        <v>6</v>
      </c>
      <c r="C26" s="2"/>
      <c r="D26" s="7" t="s">
        <v>48</v>
      </c>
      <c r="E26" s="16" t="s">
        <v>42</v>
      </c>
      <c r="F26" s="33" t="s">
        <v>5</v>
      </c>
      <c r="G26" s="24" t="s">
        <v>5</v>
      </c>
    </row>
    <row r="27" spans="2:7">
      <c r="B27" s="2">
        <f t="shared" si="0"/>
        <v>7</v>
      </c>
      <c r="C27" s="2"/>
      <c r="D27" s="7" t="s">
        <v>50</v>
      </c>
      <c r="E27" s="16" t="s">
        <v>42</v>
      </c>
      <c r="F27" s="33" t="s">
        <v>5</v>
      </c>
      <c r="G27" s="24" t="s">
        <v>5</v>
      </c>
    </row>
    <row r="28" spans="2:7">
      <c r="B28" s="2">
        <f t="shared" si="0"/>
        <v>8</v>
      </c>
      <c r="C28" s="2"/>
      <c r="D28" s="7" t="s">
        <v>7</v>
      </c>
      <c r="E28" s="3">
        <v>0.05</v>
      </c>
      <c r="F28" s="12" t="s">
        <v>5</v>
      </c>
      <c r="G28" s="24" t="s">
        <v>5</v>
      </c>
    </row>
    <row r="31" spans="2:7">
      <c r="B31" s="2"/>
      <c r="C31" s="2"/>
      <c r="E31" s="16"/>
      <c r="F31" s="10"/>
      <c r="G31" s="11"/>
    </row>
    <row r="32" spans="2:7">
      <c r="B32" s="2"/>
      <c r="C32" s="2"/>
      <c r="D32" s="7"/>
      <c r="E32" s="2"/>
      <c r="F32" s="6"/>
    </row>
    <row r="33" spans="2:6">
      <c r="B33" s="2"/>
      <c r="C33" s="2"/>
      <c r="D33" s="7"/>
      <c r="E33" s="2"/>
      <c r="F33" s="6"/>
    </row>
    <row r="34" spans="2:6">
      <c r="B34" s="2"/>
      <c r="C34" s="2"/>
      <c r="D34" s="7"/>
      <c r="E34" s="2"/>
      <c r="F34" s="6"/>
    </row>
  </sheetData>
  <mergeCells count="1">
    <mergeCell ref="G13:H13"/>
  </mergeCells>
  <pageMargins left="0.7" right="0.7" top="0.75" bottom="0.75" header="0.3" footer="0.3"/>
  <pageSetup paperSize="9" pageOrder="overThenDown" orientation="portrait" horizontalDpi="30066" verticalDpi="26478"/>
  <headerFooter alignWithMargins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S61"/>
  <sheetViews>
    <sheetView tabSelected="1" topLeftCell="D13" zoomScaleNormal="100" workbookViewId="0">
      <selection activeCell="F17" sqref="F17"/>
    </sheetView>
  </sheetViews>
  <sheetFormatPr defaultColWidth="8.6640625" defaultRowHeight="14.4"/>
  <cols>
    <col min="3" max="3" width="5.5546875" customWidth="1"/>
    <col min="4" max="4" width="42.33203125" bestFit="1" customWidth="1"/>
    <col min="5" max="5" width="8" bestFit="1" customWidth="1"/>
    <col min="6" max="6" width="52.109375" bestFit="1" customWidth="1"/>
    <col min="7" max="7" width="11.88671875" customWidth="1"/>
    <col min="8" max="8" width="10.6640625" customWidth="1"/>
    <col min="9" max="9" width="11.109375" customWidth="1"/>
    <col min="10" max="10" width="11.5546875" bestFit="1" customWidth="1"/>
    <col min="11" max="11" width="5.5546875" bestFit="1" customWidth="1"/>
    <col min="12" max="12" width="9.5546875" bestFit="1" customWidth="1"/>
    <col min="13" max="13" width="12.109375" customWidth="1"/>
    <col min="14" max="14" width="14" bestFit="1" customWidth="1"/>
    <col min="15" max="15" width="11.6640625" customWidth="1"/>
    <col min="16" max="16" width="12.109375" customWidth="1"/>
    <col min="17" max="17" width="13.109375" bestFit="1" customWidth="1"/>
    <col min="18" max="18" width="11.44140625" customWidth="1"/>
  </cols>
  <sheetData>
    <row r="3" spans="3:19">
      <c r="C3" t="s">
        <v>74</v>
      </c>
    </row>
    <row r="4" spans="3:19">
      <c r="C4">
        <v>1</v>
      </c>
      <c r="D4" t="s">
        <v>95</v>
      </c>
    </row>
    <row r="5" spans="3:19">
      <c r="C5">
        <v>2</v>
      </c>
      <c r="D5" t="s">
        <v>95</v>
      </c>
    </row>
    <row r="6" spans="3:19">
      <c r="C6" t="s">
        <v>14</v>
      </c>
    </row>
    <row r="7" spans="3:19">
      <c r="C7">
        <v>1</v>
      </c>
      <c r="D7" t="s">
        <v>95</v>
      </c>
    </row>
    <row r="8" spans="3:19">
      <c r="C8">
        <v>2</v>
      </c>
      <c r="D8" t="s">
        <v>95</v>
      </c>
    </row>
    <row r="9" spans="3:19">
      <c r="C9">
        <v>3</v>
      </c>
      <c r="D9" t="s">
        <v>95</v>
      </c>
    </row>
    <row r="10" spans="3:19">
      <c r="C10">
        <v>4</v>
      </c>
      <c r="D10" t="s">
        <v>95</v>
      </c>
    </row>
    <row r="11" spans="3:19">
      <c r="C11">
        <v>5</v>
      </c>
      <c r="D11" t="s">
        <v>95</v>
      </c>
    </row>
    <row r="13" spans="3:19">
      <c r="G13" s="1"/>
      <c r="H13" s="1"/>
      <c r="I13" s="1"/>
      <c r="J13" s="1"/>
      <c r="K13" s="1"/>
      <c r="N13" s="88"/>
      <c r="O13" s="88"/>
      <c r="P13" s="88"/>
      <c r="Q13" s="88"/>
      <c r="R13" s="88"/>
    </row>
    <row r="14" spans="3:19">
      <c r="H14" s="5">
        <v>0.15</v>
      </c>
      <c r="I14" s="5">
        <v>0.3</v>
      </c>
      <c r="J14" s="5" t="s">
        <v>70</v>
      </c>
      <c r="K14" s="5">
        <v>0.6</v>
      </c>
    </row>
    <row r="15" spans="3:19" ht="15" thickBot="1">
      <c r="C15" s="4" t="s">
        <v>0</v>
      </c>
      <c r="D15" s="4" t="s">
        <v>1</v>
      </c>
      <c r="E15" s="4" t="s">
        <v>111</v>
      </c>
      <c r="F15" s="4" t="s">
        <v>2</v>
      </c>
      <c r="G15" s="4" t="s">
        <v>3</v>
      </c>
      <c r="H15" s="4" t="s">
        <v>68</v>
      </c>
      <c r="I15" s="4" t="s">
        <v>69</v>
      </c>
      <c r="J15" s="4" t="s">
        <v>73</v>
      </c>
      <c r="K15" s="4" t="s">
        <v>15</v>
      </c>
      <c r="L15" s="4" t="s">
        <v>0</v>
      </c>
      <c r="M15" s="4" t="s">
        <v>8</v>
      </c>
      <c r="N15" s="4"/>
      <c r="O15" s="4" t="s">
        <v>4</v>
      </c>
    </row>
    <row r="16" spans="3:19" ht="15" thickBot="1">
      <c r="D16" s="2"/>
      <c r="E16" s="2"/>
      <c r="F16" s="2"/>
      <c r="G16" s="19"/>
      <c r="H16" s="19"/>
      <c r="I16" s="19"/>
      <c r="J16" s="19"/>
      <c r="K16" s="20"/>
      <c r="O16" s="84">
        <f>SUM(N18:N61)</f>
        <v>1951.704</v>
      </c>
      <c r="P16" s="62"/>
      <c r="Q16" s="62"/>
      <c r="R16" s="62"/>
      <c r="S16" s="62"/>
    </row>
    <row r="17" spans="3:19">
      <c r="N17" s="26"/>
      <c r="P17" s="61"/>
      <c r="Q17" s="61"/>
      <c r="R17" s="61"/>
      <c r="S17" s="61"/>
    </row>
    <row r="18" spans="3:19">
      <c r="C18" s="2">
        <v>1</v>
      </c>
      <c r="D18" s="2" t="s">
        <v>109</v>
      </c>
      <c r="E18" s="58">
        <v>1</v>
      </c>
      <c r="F18" s="7" t="s">
        <v>98</v>
      </c>
      <c r="G18" s="14" t="s">
        <v>128</v>
      </c>
      <c r="H18" s="19">
        <f t="shared" ref="H18:H21" si="0">I18*$H$14</f>
        <v>0.72</v>
      </c>
      <c r="I18" s="19">
        <f t="shared" ref="I18:I21" si="1">J18*$I$14</f>
        <v>4.8</v>
      </c>
      <c r="J18" s="57">
        <v>16</v>
      </c>
      <c r="K18" s="19">
        <f t="shared" ref="K18:K21" si="2">J18*$K$14</f>
        <v>9.6</v>
      </c>
      <c r="L18" s="19">
        <v>1</v>
      </c>
      <c r="M18" s="23">
        <v>1.2</v>
      </c>
      <c r="N18" s="21">
        <f>SUM(H18:K18)*M18*Table1[[#This Row],[Column8]]</f>
        <v>37.343999999999994</v>
      </c>
      <c r="O18" s="26"/>
    </row>
    <row r="19" spans="3:19">
      <c r="C19" s="2">
        <f>C18+1</f>
        <v>2</v>
      </c>
      <c r="D19" s="79" t="s">
        <v>109</v>
      </c>
      <c r="E19" s="58">
        <v>1</v>
      </c>
      <c r="F19" s="7" t="s">
        <v>127</v>
      </c>
      <c r="G19" s="7" t="s">
        <v>51</v>
      </c>
      <c r="H19" s="66">
        <v>0</v>
      </c>
      <c r="I19" s="19">
        <v>0</v>
      </c>
      <c r="J19" s="57">
        <v>160</v>
      </c>
      <c r="K19" s="19">
        <v>0</v>
      </c>
      <c r="L19" s="19">
        <v>1</v>
      </c>
      <c r="M19" s="23">
        <v>2</v>
      </c>
      <c r="N19" s="21">
        <f>SUM(H19:K19)*M19*Table1[[#This Row],[Column8]]</f>
        <v>320</v>
      </c>
      <c r="O19" s="26"/>
    </row>
    <row r="20" spans="3:19">
      <c r="C20" s="2">
        <f t="shared" ref="C20:C25" si="3">C19+1</f>
        <v>3</v>
      </c>
      <c r="D20" s="79" t="s">
        <v>109</v>
      </c>
      <c r="E20" s="58">
        <v>2</v>
      </c>
      <c r="F20" s="7" t="s">
        <v>76</v>
      </c>
      <c r="G20" s="7" t="s">
        <v>51</v>
      </c>
      <c r="H20" s="66">
        <f t="shared" si="0"/>
        <v>0.72</v>
      </c>
      <c r="I20" s="19">
        <f t="shared" si="1"/>
        <v>4.8</v>
      </c>
      <c r="J20" s="57">
        <v>16</v>
      </c>
      <c r="K20" s="19">
        <f t="shared" si="2"/>
        <v>9.6</v>
      </c>
      <c r="L20" s="19">
        <v>1</v>
      </c>
      <c r="M20" s="23">
        <v>1.5</v>
      </c>
      <c r="N20" s="21">
        <f>SUM(H20:K20)*M20*Table1[[#This Row],[Column8]]</f>
        <v>46.679999999999993</v>
      </c>
      <c r="O20" s="26"/>
    </row>
    <row r="21" spans="3:19">
      <c r="C21" s="2">
        <f t="shared" si="3"/>
        <v>4</v>
      </c>
      <c r="D21" s="79" t="s">
        <v>109</v>
      </c>
      <c r="E21" s="58">
        <v>2</v>
      </c>
      <c r="F21" s="7" t="s">
        <v>107</v>
      </c>
      <c r="G21" s="7" t="s">
        <v>51</v>
      </c>
      <c r="H21" s="66">
        <f t="shared" si="0"/>
        <v>0.72</v>
      </c>
      <c r="I21" s="19">
        <f t="shared" si="1"/>
        <v>4.8</v>
      </c>
      <c r="J21" s="57">
        <v>16</v>
      </c>
      <c r="K21" s="19">
        <f t="shared" si="2"/>
        <v>9.6</v>
      </c>
      <c r="L21" s="19">
        <v>1</v>
      </c>
      <c r="M21" s="23">
        <v>1</v>
      </c>
      <c r="N21" s="21">
        <f>SUM(H21:K21)*M21*Table1[[#This Row],[Column8]]</f>
        <v>31.119999999999997</v>
      </c>
      <c r="O21" s="26"/>
    </row>
    <row r="22" spans="3:19">
      <c r="C22" s="67">
        <f>C21+1</f>
        <v>5</v>
      </c>
      <c r="D22" s="79" t="s">
        <v>109</v>
      </c>
      <c r="E22" s="67">
        <v>2</v>
      </c>
      <c r="F22" s="15" t="s">
        <v>77</v>
      </c>
      <c r="G22" s="15" t="s">
        <v>53</v>
      </c>
      <c r="H22" s="71">
        <f>I22*$H$14</f>
        <v>0.36</v>
      </c>
      <c r="I22" s="68">
        <f>J22*$I$14</f>
        <v>2.4</v>
      </c>
      <c r="J22" s="72">
        <v>8</v>
      </c>
      <c r="K22" s="68">
        <f>J22*$K$14</f>
        <v>4.8</v>
      </c>
      <c r="L22" s="68">
        <v>1</v>
      </c>
      <c r="M22" s="69">
        <v>1</v>
      </c>
      <c r="N22" s="70">
        <f>SUM(I22:K22)*M22*Table1[[#This Row],[Column8]]</f>
        <v>15.2</v>
      </c>
      <c r="O22" s="59"/>
    </row>
    <row r="23" spans="3:19">
      <c r="C23" s="67">
        <f>C22+1</f>
        <v>6</v>
      </c>
      <c r="D23" s="79" t="s">
        <v>109</v>
      </c>
      <c r="E23" s="67">
        <v>2</v>
      </c>
      <c r="F23" s="15" t="s">
        <v>78</v>
      </c>
      <c r="G23" s="15" t="s">
        <v>53</v>
      </c>
      <c r="H23" s="66">
        <f t="shared" ref="H23:H25" si="4">I23*$H$14</f>
        <v>0.72</v>
      </c>
      <c r="I23" s="19">
        <f t="shared" ref="I23:I25" si="5">J23*$I$14</f>
        <v>4.8</v>
      </c>
      <c r="J23" s="57">
        <v>16</v>
      </c>
      <c r="K23" s="19">
        <f t="shared" ref="K23:K25" si="6">J23*$K$14</f>
        <v>9.6</v>
      </c>
      <c r="L23" s="19">
        <v>1</v>
      </c>
      <c r="M23" s="23">
        <v>1</v>
      </c>
      <c r="N23" s="21">
        <f>SUM(H23:K23)*M23*Table1[[#This Row],[Column8]]</f>
        <v>31.119999999999997</v>
      </c>
      <c r="O23" s="59"/>
    </row>
    <row r="24" spans="3:19">
      <c r="C24" s="2">
        <f>C21+1</f>
        <v>5</v>
      </c>
      <c r="D24" s="79" t="s">
        <v>109</v>
      </c>
      <c r="E24" s="58">
        <v>2</v>
      </c>
      <c r="F24" s="7" t="s">
        <v>108</v>
      </c>
      <c r="G24" s="14" t="s">
        <v>53</v>
      </c>
      <c r="H24" s="66">
        <f t="shared" si="4"/>
        <v>0.72</v>
      </c>
      <c r="I24" s="19">
        <f t="shared" si="5"/>
        <v>4.8</v>
      </c>
      <c r="J24" s="57">
        <v>16</v>
      </c>
      <c r="K24" s="19">
        <f t="shared" si="6"/>
        <v>9.6</v>
      </c>
      <c r="L24" s="19">
        <v>1</v>
      </c>
      <c r="M24" s="23">
        <v>1</v>
      </c>
      <c r="N24" s="21">
        <f>SUM(H24:K24)*M24*Table1[[#This Row],[Column8]]</f>
        <v>31.119999999999997</v>
      </c>
      <c r="O24" s="26"/>
    </row>
    <row r="25" spans="3:19" ht="15" thickBot="1">
      <c r="C25" s="64">
        <f t="shared" si="3"/>
        <v>6</v>
      </c>
      <c r="D25" s="79" t="s">
        <v>109</v>
      </c>
      <c r="E25" s="58">
        <v>2</v>
      </c>
      <c r="F25" s="15" t="s">
        <v>79</v>
      </c>
      <c r="G25" s="14" t="s">
        <v>53</v>
      </c>
      <c r="H25" s="66">
        <f t="shared" si="4"/>
        <v>0.72</v>
      </c>
      <c r="I25" s="19">
        <f t="shared" si="5"/>
        <v>4.8</v>
      </c>
      <c r="J25" s="57">
        <v>16</v>
      </c>
      <c r="K25" s="19">
        <f t="shared" si="6"/>
        <v>9.6</v>
      </c>
      <c r="L25" s="19">
        <v>1</v>
      </c>
      <c r="M25" s="23">
        <v>1</v>
      </c>
      <c r="N25" s="21">
        <f>SUM(H25:K25)*M25*Table1[[#This Row],[Column8]]</f>
        <v>31.119999999999997</v>
      </c>
      <c r="O25" s="26"/>
    </row>
    <row r="26" spans="3:19" ht="15" thickBot="1">
      <c r="C26" s="2"/>
      <c r="D26" s="2" t="s">
        <v>80</v>
      </c>
      <c r="E26" s="58"/>
      <c r="F26" s="15"/>
      <c r="G26" s="7"/>
      <c r="H26" s="66"/>
      <c r="I26" s="19"/>
      <c r="J26" s="57"/>
      <c r="K26" s="19"/>
      <c r="L26" s="19"/>
      <c r="M26" s="23"/>
      <c r="N26" s="21"/>
      <c r="O26" s="85">
        <f>SUM(N18:N25)</f>
        <v>543.70399999999995</v>
      </c>
    </row>
    <row r="27" spans="3:19">
      <c r="C27" s="2"/>
      <c r="D27" s="2"/>
      <c r="E27" s="15"/>
      <c r="F27" s="7"/>
      <c r="G27" s="19"/>
      <c r="H27" s="22"/>
      <c r="I27" s="19"/>
      <c r="J27" s="19"/>
      <c r="K27" s="23"/>
      <c r="L27" s="21"/>
      <c r="M27" s="26"/>
      <c r="N27" s="26"/>
      <c r="O27" s="26"/>
    </row>
    <row r="28" spans="3:19">
      <c r="C28" s="77">
        <v>1</v>
      </c>
      <c r="D28" s="77" t="s">
        <v>110</v>
      </c>
      <c r="E28" s="77">
        <v>1</v>
      </c>
      <c r="F28" s="7" t="s">
        <v>75</v>
      </c>
      <c r="G28" s="14" t="s">
        <v>116</v>
      </c>
      <c r="H28" s="19">
        <f t="shared" ref="H28" si="7">I28*$H$14</f>
        <v>1.2</v>
      </c>
      <c r="I28" s="19">
        <v>8</v>
      </c>
      <c r="J28" s="57">
        <v>0</v>
      </c>
      <c r="K28" s="19">
        <f t="shared" ref="K28" si="8">J28*$K$14</f>
        <v>0</v>
      </c>
      <c r="L28" s="19">
        <v>1</v>
      </c>
      <c r="M28" s="23">
        <v>1</v>
      </c>
      <c r="N28" s="21">
        <f>SUM(H28:K28)*M28*Table15[[#This Row],[Column8]]</f>
        <v>9.1999999999999993</v>
      </c>
      <c r="O28" s="26"/>
    </row>
    <row r="29" spans="3:19">
      <c r="C29" s="77">
        <f>C28+1</f>
        <v>2</v>
      </c>
      <c r="D29" s="79" t="s">
        <v>110</v>
      </c>
      <c r="E29" s="77">
        <v>1</v>
      </c>
      <c r="F29" s="7" t="s">
        <v>112</v>
      </c>
      <c r="G29" s="7" t="s">
        <v>51</v>
      </c>
      <c r="H29" s="77">
        <v>0</v>
      </c>
      <c r="I29" s="19">
        <v>0</v>
      </c>
      <c r="J29" s="57">
        <v>160</v>
      </c>
      <c r="K29" s="19">
        <v>0</v>
      </c>
      <c r="L29" s="19">
        <v>1</v>
      </c>
      <c r="M29" s="23">
        <v>2</v>
      </c>
      <c r="N29" s="21">
        <f>SUM(H29:K29)*M29*Table15[[#This Row],[Column8]]</f>
        <v>320</v>
      </c>
      <c r="O29" s="26"/>
    </row>
    <row r="30" spans="3:19">
      <c r="C30" s="77">
        <f t="shared" ref="C30:C35" si="9">C29+1</f>
        <v>3</v>
      </c>
      <c r="D30" s="79" t="s">
        <v>110</v>
      </c>
      <c r="E30" s="77">
        <v>2</v>
      </c>
      <c r="F30" s="7" t="s">
        <v>76</v>
      </c>
      <c r="G30" s="7" t="s">
        <v>115</v>
      </c>
      <c r="H30" s="77">
        <f t="shared" ref="H30:H31" si="10">I30*$H$14</f>
        <v>0.72</v>
      </c>
      <c r="I30" s="19">
        <f t="shared" ref="I30:I31" si="11">J30*$I$14</f>
        <v>4.8</v>
      </c>
      <c r="J30" s="57">
        <v>16</v>
      </c>
      <c r="K30" s="19">
        <f t="shared" ref="K30:K31" si="12">J30*$K$14</f>
        <v>9.6</v>
      </c>
      <c r="L30" s="19">
        <v>1</v>
      </c>
      <c r="M30" s="23">
        <v>1</v>
      </c>
      <c r="N30" s="21">
        <f>SUM(H30:K30)*M30*Table15[[#This Row],[Column8]]</f>
        <v>31.119999999999997</v>
      </c>
      <c r="O30" s="26"/>
    </row>
    <row r="31" spans="3:19">
      <c r="C31" s="77">
        <f t="shared" si="9"/>
        <v>4</v>
      </c>
      <c r="D31" s="79" t="s">
        <v>110</v>
      </c>
      <c r="E31" s="77">
        <v>2</v>
      </c>
      <c r="F31" s="7" t="s">
        <v>113</v>
      </c>
      <c r="G31" s="7" t="s">
        <v>51</v>
      </c>
      <c r="H31" s="77">
        <f t="shared" si="10"/>
        <v>0.72</v>
      </c>
      <c r="I31" s="19">
        <f t="shared" si="11"/>
        <v>4.8</v>
      </c>
      <c r="J31" s="57">
        <v>16</v>
      </c>
      <c r="K31" s="19">
        <f t="shared" si="12"/>
        <v>9.6</v>
      </c>
      <c r="L31" s="19">
        <v>1</v>
      </c>
      <c r="M31" s="23">
        <v>1</v>
      </c>
      <c r="N31" s="21">
        <f>SUM(H31:K31)*M31*Table15[[#This Row],[Column8]]</f>
        <v>31.119999999999997</v>
      </c>
      <c r="O31" s="26"/>
    </row>
    <row r="32" spans="3:19">
      <c r="C32" s="78">
        <f>C31+1</f>
        <v>5</v>
      </c>
      <c r="D32" s="79" t="s">
        <v>110</v>
      </c>
      <c r="E32" s="78">
        <v>2</v>
      </c>
      <c r="F32" s="15" t="s">
        <v>114</v>
      </c>
      <c r="G32" s="15" t="s">
        <v>53</v>
      </c>
      <c r="H32" s="71">
        <f>I32*$H$14</f>
        <v>0.36</v>
      </c>
      <c r="I32" s="68">
        <f>J32*$I$14</f>
        <v>2.4</v>
      </c>
      <c r="J32" s="72">
        <v>8</v>
      </c>
      <c r="K32" s="68">
        <f>J32*$K$14</f>
        <v>4.8</v>
      </c>
      <c r="L32" s="68">
        <v>1</v>
      </c>
      <c r="M32" s="69">
        <v>1</v>
      </c>
      <c r="N32" s="70">
        <f>SUM(I32:K32)*M32*Table15[[#This Row],[Column8]]</f>
        <v>15.2</v>
      </c>
      <c r="O32" s="59"/>
    </row>
    <row r="33" spans="3:18">
      <c r="C33" s="78">
        <f>C32+1</f>
        <v>6</v>
      </c>
      <c r="D33" s="79" t="s">
        <v>110</v>
      </c>
      <c r="E33" s="78">
        <v>2</v>
      </c>
      <c r="F33" s="15" t="s">
        <v>117</v>
      </c>
      <c r="G33" s="15" t="s">
        <v>53</v>
      </c>
      <c r="H33" s="77">
        <f t="shared" ref="H33:H35" si="13">I33*$H$14</f>
        <v>0.72</v>
      </c>
      <c r="I33" s="19">
        <f t="shared" ref="I33:I35" si="14">J33*$I$14</f>
        <v>4.8</v>
      </c>
      <c r="J33" s="57">
        <v>16</v>
      </c>
      <c r="K33" s="19">
        <f t="shared" ref="K33:K35" si="15">J33*$K$14</f>
        <v>9.6</v>
      </c>
      <c r="L33" s="19">
        <v>1</v>
      </c>
      <c r="M33" s="23">
        <v>1</v>
      </c>
      <c r="N33" s="21">
        <f>SUM(H33:K33)*M33*Table15[[#This Row],[Column8]]</f>
        <v>31.119999999999997</v>
      </c>
      <c r="O33" s="59"/>
    </row>
    <row r="34" spans="3:18">
      <c r="C34" s="77">
        <f>C31+1</f>
        <v>5</v>
      </c>
      <c r="D34" s="79" t="s">
        <v>110</v>
      </c>
      <c r="E34" s="77">
        <v>2</v>
      </c>
      <c r="F34" s="7" t="s">
        <v>118</v>
      </c>
      <c r="G34" s="14" t="s">
        <v>53</v>
      </c>
      <c r="H34" s="77">
        <f t="shared" si="13"/>
        <v>0.72</v>
      </c>
      <c r="I34" s="19">
        <f t="shared" si="14"/>
        <v>4.8</v>
      </c>
      <c r="J34" s="57">
        <v>16</v>
      </c>
      <c r="K34" s="19">
        <f t="shared" si="15"/>
        <v>9.6</v>
      </c>
      <c r="L34" s="19">
        <v>1</v>
      </c>
      <c r="M34" s="23">
        <v>1</v>
      </c>
      <c r="N34" s="21">
        <f>SUM(H34:K34)*M34*Table15[[#This Row],[Column8]]</f>
        <v>31.119999999999997</v>
      </c>
      <c r="O34" s="26"/>
    </row>
    <row r="35" spans="3:18" ht="15" thickBot="1">
      <c r="C35" s="77">
        <f t="shared" si="9"/>
        <v>6</v>
      </c>
      <c r="D35" s="79" t="s">
        <v>110</v>
      </c>
      <c r="E35" s="77">
        <v>2</v>
      </c>
      <c r="F35" s="15" t="s">
        <v>119</v>
      </c>
      <c r="G35" s="14" t="s">
        <v>53</v>
      </c>
      <c r="H35" s="77">
        <f t="shared" si="13"/>
        <v>0.72</v>
      </c>
      <c r="I35" s="19">
        <f t="shared" si="14"/>
        <v>4.8</v>
      </c>
      <c r="J35" s="57">
        <v>16</v>
      </c>
      <c r="K35" s="19">
        <f t="shared" si="15"/>
        <v>9.6</v>
      </c>
      <c r="L35" s="19">
        <v>1</v>
      </c>
      <c r="M35" s="23">
        <v>1</v>
      </c>
      <c r="N35" s="21">
        <f>SUM(H35:K35)*M35*Table15[[#This Row],[Column8]]</f>
        <v>31.119999999999997</v>
      </c>
      <c r="O35" s="26"/>
    </row>
    <row r="36" spans="3:18" ht="15" thickBot="1">
      <c r="C36" s="77"/>
      <c r="D36" s="77" t="s">
        <v>80</v>
      </c>
      <c r="E36" s="77"/>
      <c r="F36" s="15"/>
      <c r="G36" s="7"/>
      <c r="H36" s="77"/>
      <c r="I36" s="19"/>
      <c r="J36" s="57"/>
      <c r="K36" s="19"/>
      <c r="L36" s="19"/>
      <c r="M36" s="23"/>
      <c r="N36" s="21"/>
      <c r="O36" s="85">
        <f>SUM(N28:N35)</f>
        <v>500</v>
      </c>
    </row>
    <row r="37" spans="3:18">
      <c r="G37" s="20"/>
      <c r="H37" s="20"/>
      <c r="I37" s="20"/>
      <c r="J37" s="20"/>
      <c r="K37" s="20"/>
      <c r="L37" s="20"/>
      <c r="N37" s="26"/>
      <c r="O37" s="26"/>
      <c r="P37" s="26"/>
      <c r="Q37" s="26"/>
      <c r="R37" s="26"/>
    </row>
    <row r="38" spans="3:18">
      <c r="C38" s="2"/>
      <c r="D38" s="2"/>
      <c r="E38" s="7"/>
      <c r="F38" s="2"/>
      <c r="G38" s="86" t="s">
        <v>121</v>
      </c>
      <c r="H38" s="86"/>
      <c r="I38" s="86"/>
      <c r="J38" s="4" t="s">
        <v>30</v>
      </c>
      <c r="K38" s="86"/>
      <c r="L38" s="4" t="s">
        <v>0</v>
      </c>
      <c r="M38" s="4" t="s">
        <v>8</v>
      </c>
      <c r="N38" s="86"/>
      <c r="O38" s="26"/>
      <c r="P38" s="26"/>
      <c r="Q38" s="26"/>
      <c r="R38" s="26"/>
    </row>
    <row r="39" spans="3:18">
      <c r="C39" s="80">
        <v>1</v>
      </c>
      <c r="D39" s="80" t="s">
        <v>120</v>
      </c>
      <c r="E39" s="80">
        <v>5</v>
      </c>
      <c r="F39" s="7" t="s">
        <v>75</v>
      </c>
      <c r="G39" s="14" t="s">
        <v>116</v>
      </c>
      <c r="H39" s="19"/>
      <c r="I39" s="19"/>
      <c r="J39" s="57">
        <v>32</v>
      </c>
      <c r="K39" s="19"/>
      <c r="L39" s="19">
        <v>1</v>
      </c>
      <c r="M39" s="23">
        <v>1</v>
      </c>
      <c r="N39" s="21">
        <f>SUM(H39:K39)*M39*Table153[[#This Row],[Column8]]</f>
        <v>32</v>
      </c>
      <c r="O39" s="26"/>
    </row>
    <row r="40" spans="3:18">
      <c r="C40" s="80">
        <f>C39+1</f>
        <v>2</v>
      </c>
      <c r="D40" s="80" t="s">
        <v>120</v>
      </c>
      <c r="E40" s="80">
        <v>6</v>
      </c>
      <c r="F40" s="7" t="s">
        <v>126</v>
      </c>
      <c r="G40" s="7" t="s">
        <v>51</v>
      </c>
      <c r="H40" s="80"/>
      <c r="I40" s="19"/>
      <c r="J40" s="57">
        <v>160</v>
      </c>
      <c r="K40" s="19"/>
      <c r="L40" s="19">
        <v>1</v>
      </c>
      <c r="M40" s="23">
        <v>1.2</v>
      </c>
      <c r="N40" s="21">
        <f>SUM(H40:K40)*M40*Table153[[#This Row],[Column8]]</f>
        <v>192</v>
      </c>
      <c r="O40" s="26"/>
    </row>
    <row r="41" spans="3:18">
      <c r="C41" s="80">
        <f t="shared" ref="C41:C46" si="16">C40+1</f>
        <v>3</v>
      </c>
      <c r="D41" s="80" t="s">
        <v>120</v>
      </c>
      <c r="E41" s="80">
        <v>7</v>
      </c>
      <c r="F41" s="7" t="s">
        <v>76</v>
      </c>
      <c r="G41" s="7" t="s">
        <v>115</v>
      </c>
      <c r="H41" s="80"/>
      <c r="I41" s="19"/>
      <c r="J41" s="57">
        <v>16</v>
      </c>
      <c r="K41" s="19"/>
      <c r="L41" s="19">
        <v>1</v>
      </c>
      <c r="M41" s="23">
        <v>1</v>
      </c>
      <c r="N41" s="21">
        <f>SUM(H41:K41)*M41*Table153[[#This Row],[Column8]]</f>
        <v>16</v>
      </c>
      <c r="O41" s="26"/>
    </row>
    <row r="42" spans="3:18">
      <c r="C42" s="80">
        <f t="shared" si="16"/>
        <v>4</v>
      </c>
      <c r="D42" s="80" t="s">
        <v>120</v>
      </c>
      <c r="E42" s="80">
        <v>8</v>
      </c>
      <c r="F42" s="7" t="s">
        <v>113</v>
      </c>
      <c r="G42" s="7" t="s">
        <v>51</v>
      </c>
      <c r="H42" s="80"/>
      <c r="I42" s="19"/>
      <c r="J42" s="57">
        <v>16</v>
      </c>
      <c r="K42" s="19"/>
      <c r="L42" s="19">
        <v>1</v>
      </c>
      <c r="M42" s="23">
        <v>1</v>
      </c>
      <c r="N42" s="21">
        <f>SUM(H42:K42)*M42*Table153[[#This Row],[Column8]]</f>
        <v>16</v>
      </c>
      <c r="O42" s="26"/>
    </row>
    <row r="43" spans="3:18">
      <c r="C43" s="81">
        <f>C42+1</f>
        <v>5</v>
      </c>
      <c r="D43" s="80" t="s">
        <v>120</v>
      </c>
      <c r="E43" s="81">
        <v>9</v>
      </c>
      <c r="F43" s="15" t="s">
        <v>114</v>
      </c>
      <c r="G43" s="15" t="s">
        <v>53</v>
      </c>
      <c r="H43" s="71"/>
      <c r="I43" s="68"/>
      <c r="J43" s="72">
        <v>8</v>
      </c>
      <c r="K43" s="68"/>
      <c r="L43" s="68">
        <v>1</v>
      </c>
      <c r="M43" s="69">
        <v>1</v>
      </c>
      <c r="N43" s="70">
        <f>SUM(I43:K43)*M43*Table153[[#This Row],[Column8]]</f>
        <v>8</v>
      </c>
      <c r="O43" s="59"/>
    </row>
    <row r="44" spans="3:18">
      <c r="C44" s="81">
        <f>C43+1</f>
        <v>6</v>
      </c>
      <c r="D44" s="80" t="s">
        <v>120</v>
      </c>
      <c r="E44" s="81">
        <v>12</v>
      </c>
      <c r="F44" s="15" t="s">
        <v>117</v>
      </c>
      <c r="G44" s="15" t="s">
        <v>53</v>
      </c>
      <c r="H44" s="80"/>
      <c r="I44" s="19"/>
      <c r="J44" s="57">
        <v>32</v>
      </c>
      <c r="K44" s="19"/>
      <c r="L44" s="19">
        <v>1</v>
      </c>
      <c r="M44" s="23">
        <v>1</v>
      </c>
      <c r="N44" s="21">
        <f>SUM(H44:K44)*M44*Table153[[#This Row],[Column8]]</f>
        <v>32</v>
      </c>
      <c r="O44" s="59"/>
    </row>
    <row r="45" spans="3:18">
      <c r="C45" s="80">
        <f>C42+1</f>
        <v>5</v>
      </c>
      <c r="D45" s="80" t="s">
        <v>120</v>
      </c>
      <c r="E45" s="80">
        <v>13</v>
      </c>
      <c r="F45" s="7" t="s">
        <v>118</v>
      </c>
      <c r="G45" s="14" t="s">
        <v>53</v>
      </c>
      <c r="H45" s="80"/>
      <c r="I45" s="19"/>
      <c r="J45" s="57">
        <v>32</v>
      </c>
      <c r="K45" s="19"/>
      <c r="L45" s="19">
        <v>1</v>
      </c>
      <c r="M45" s="23">
        <v>1</v>
      </c>
      <c r="N45" s="21">
        <f>SUM(H45:K45)*M45*Table153[[#This Row],[Column8]]</f>
        <v>32</v>
      </c>
      <c r="O45" s="26"/>
    </row>
    <row r="46" spans="3:18" ht="15" thickBot="1">
      <c r="C46" s="80">
        <f t="shared" si="16"/>
        <v>6</v>
      </c>
      <c r="D46" s="80" t="s">
        <v>120</v>
      </c>
      <c r="E46" s="80">
        <v>14</v>
      </c>
      <c r="F46" s="15" t="s">
        <v>119</v>
      </c>
      <c r="G46" s="14" t="s">
        <v>53</v>
      </c>
      <c r="H46" s="80"/>
      <c r="I46" s="19"/>
      <c r="J46" s="57">
        <v>48</v>
      </c>
      <c r="K46" s="19"/>
      <c r="L46" s="19">
        <v>1</v>
      </c>
      <c r="M46" s="23">
        <v>1</v>
      </c>
      <c r="N46" s="21">
        <f>SUM(H46:K46)*M46*Table153[[#This Row],[Column8]]</f>
        <v>48</v>
      </c>
      <c r="O46" s="26"/>
    </row>
    <row r="47" spans="3:18" ht="15" thickBot="1">
      <c r="C47" s="80"/>
      <c r="D47" s="80" t="s">
        <v>80</v>
      </c>
      <c r="E47" s="80"/>
      <c r="F47" s="15"/>
      <c r="G47" s="7"/>
      <c r="H47" s="80"/>
      <c r="I47" s="19"/>
      <c r="J47" s="57"/>
      <c r="K47" s="19"/>
      <c r="L47" s="19"/>
      <c r="M47" s="23"/>
      <c r="N47" s="21"/>
      <c r="O47" s="85">
        <f>SUM(N39:N46)</f>
        <v>376</v>
      </c>
    </row>
    <row r="48" spans="3:18">
      <c r="N48" s="26"/>
      <c r="O48" s="26"/>
      <c r="P48" s="26"/>
      <c r="Q48" s="26"/>
      <c r="R48" s="26"/>
    </row>
    <row r="49" spans="3:15">
      <c r="D49" t="s">
        <v>97</v>
      </c>
      <c r="G49" s="20"/>
      <c r="H49" s="20"/>
      <c r="I49" s="20"/>
      <c r="J49" s="20"/>
      <c r="K49" s="20"/>
      <c r="L49" s="20"/>
      <c r="N49" s="26"/>
      <c r="O49" s="26"/>
    </row>
    <row r="50" spans="3:15">
      <c r="N50" s="26"/>
      <c r="O50" s="26"/>
    </row>
    <row r="51" spans="3:15">
      <c r="C51" s="77"/>
      <c r="D51" s="77"/>
      <c r="E51" s="77"/>
      <c r="F51" s="7"/>
      <c r="I51" s="19"/>
      <c r="J51" s="27"/>
      <c r="K51" s="19"/>
      <c r="L51" s="19"/>
      <c r="M51" s="23"/>
      <c r="N51" s="21"/>
      <c r="O51" s="28">
        <f t="shared" ref="O51:O53" si="17">SUM(N49:N50)</f>
        <v>0</v>
      </c>
    </row>
    <row r="52" spans="3:15" ht="15" thickBot="1">
      <c r="C52" s="77">
        <v>1</v>
      </c>
      <c r="D52" s="7" t="s">
        <v>81</v>
      </c>
      <c r="E52" s="77"/>
      <c r="F52" s="7"/>
      <c r="I52" s="19"/>
      <c r="J52" s="27"/>
      <c r="K52" s="19"/>
      <c r="L52" s="19"/>
      <c r="M52" s="23"/>
      <c r="N52" s="29">
        <v>32</v>
      </c>
      <c r="O52" s="59"/>
    </row>
    <row r="53" spans="3:15" ht="15" thickBot="1">
      <c r="C53" s="77"/>
      <c r="D53" s="77" t="s">
        <v>124</v>
      </c>
      <c r="E53" s="77"/>
      <c r="F53" s="7"/>
      <c r="G53" s="13"/>
      <c r="H53" s="13"/>
      <c r="I53" s="19"/>
      <c r="J53" s="22"/>
      <c r="K53" s="19"/>
      <c r="L53" s="19"/>
      <c r="M53" s="23"/>
      <c r="N53" s="21"/>
      <c r="O53" s="85">
        <f t="shared" si="17"/>
        <v>32</v>
      </c>
    </row>
    <row r="57" spans="3:15">
      <c r="D57" t="s">
        <v>96</v>
      </c>
      <c r="G57" s="20"/>
      <c r="H57" s="20"/>
      <c r="I57" s="20"/>
      <c r="J57" s="20"/>
      <c r="K57" s="20"/>
      <c r="L57" s="20"/>
      <c r="N57" s="26"/>
      <c r="O57" s="26"/>
    </row>
    <row r="58" spans="3:15">
      <c r="J58" s="4" t="s">
        <v>30</v>
      </c>
      <c r="K58" s="86"/>
      <c r="L58" s="4" t="s">
        <v>0</v>
      </c>
      <c r="M58" s="4" t="s">
        <v>8</v>
      </c>
      <c r="N58" s="26"/>
      <c r="O58" s="26"/>
    </row>
    <row r="59" spans="3:15">
      <c r="C59" s="80">
        <v>1</v>
      </c>
      <c r="D59" s="80" t="s">
        <v>123</v>
      </c>
      <c r="E59" s="80"/>
      <c r="F59" s="7"/>
      <c r="I59" s="19"/>
      <c r="J59" s="27">
        <v>200</v>
      </c>
      <c r="K59" s="19"/>
      <c r="L59" s="19">
        <v>1</v>
      </c>
      <c r="M59" s="23">
        <v>1</v>
      </c>
      <c r="N59" s="21">
        <f>SUM(H59:K59)*M59</f>
        <v>200</v>
      </c>
      <c r="O59" s="28">
        <f t="shared" ref="O59:O61" si="18">SUM(N57:N58)</f>
        <v>0</v>
      </c>
    </row>
    <row r="60" spans="3:15" ht="15" thickBot="1">
      <c r="C60" s="80">
        <v>2</v>
      </c>
      <c r="D60" s="80" t="s">
        <v>122</v>
      </c>
      <c r="E60" s="80"/>
      <c r="F60" s="7"/>
      <c r="I60" s="19"/>
      <c r="J60" s="27">
        <v>150</v>
      </c>
      <c r="K60" s="19"/>
      <c r="L60" s="19">
        <v>1</v>
      </c>
      <c r="M60" s="23">
        <v>2</v>
      </c>
      <c r="N60" s="21">
        <f>SUM(H60:K60)*M60</f>
        <v>300</v>
      </c>
      <c r="O60" s="59"/>
    </row>
    <row r="61" spans="3:15" ht="15" thickBot="1">
      <c r="C61" s="80"/>
      <c r="D61" s="80" t="s">
        <v>125</v>
      </c>
      <c r="E61" s="80"/>
      <c r="F61" s="7"/>
      <c r="G61" s="13"/>
      <c r="H61" s="13"/>
      <c r="I61" s="19"/>
      <c r="J61" s="22"/>
      <c r="K61" s="19"/>
      <c r="L61" s="19"/>
      <c r="M61" s="23"/>
      <c r="N61" s="21"/>
      <c r="O61" s="85">
        <f t="shared" si="18"/>
        <v>500</v>
      </c>
    </row>
  </sheetData>
  <mergeCells count="1">
    <mergeCell ref="N13:R13"/>
  </mergeCells>
  <pageMargins left="0.7" right="0.7" top="0.75" bottom="0.75" header="0.3" footer="0.3"/>
  <pageSetup paperSize="9" orientation="portrait" horizontalDpi="30066" verticalDpi="26478" r:id="rId1"/>
  <headerFooter alignWithMargins="0"/>
  <ignoredErrors>
    <ignoredError sqref="O26" calculatedColumn="1"/>
  </ignoredErrors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38"/>
  <sheetViews>
    <sheetView topLeftCell="A10" workbookViewId="0">
      <selection activeCell="H19" sqref="H19"/>
    </sheetView>
  </sheetViews>
  <sheetFormatPr defaultColWidth="8.6640625" defaultRowHeight="14.4"/>
  <cols>
    <col min="2" max="2" width="11" customWidth="1"/>
    <col min="3" max="3" width="13.33203125" bestFit="1" customWidth="1"/>
    <col min="4" max="4" width="48.33203125" bestFit="1" customWidth="1"/>
    <col min="5" max="6" width="19.33203125" bestFit="1" customWidth="1"/>
    <col min="7" max="8" width="11" customWidth="1"/>
  </cols>
  <sheetData>
    <row r="2" spans="2:12" ht="15" thickBot="1">
      <c r="B2" s="4" t="s">
        <v>0</v>
      </c>
      <c r="C2" s="4" t="s">
        <v>1</v>
      </c>
      <c r="D2" s="65" t="s">
        <v>59</v>
      </c>
      <c r="E2" s="4" t="s">
        <v>3</v>
      </c>
      <c r="F2" s="82" t="s">
        <v>99</v>
      </c>
      <c r="G2" s="4" t="s">
        <v>8</v>
      </c>
      <c r="H2" s="4" t="s">
        <v>4</v>
      </c>
    </row>
    <row r="3" spans="2:12" ht="15" thickBot="1">
      <c r="C3" s="2"/>
      <c r="D3" s="2"/>
      <c r="E3" s="2"/>
      <c r="F3" s="2"/>
      <c r="H3" s="83">
        <f>SUM(Table917[[#All],[Column7]])</f>
        <v>0</v>
      </c>
    </row>
    <row r="5" spans="2:12">
      <c r="B5" s="2">
        <v>1</v>
      </c>
      <c r="C5" s="2" t="s">
        <v>9</v>
      </c>
      <c r="D5" s="7" t="s">
        <v>10</v>
      </c>
      <c r="E5" s="2" t="s">
        <v>47</v>
      </c>
      <c r="F5" s="2" t="s">
        <v>5</v>
      </c>
      <c r="G5" s="3">
        <v>1</v>
      </c>
      <c r="H5" s="6">
        <f>SUM(F5)*G5</f>
        <v>0</v>
      </c>
    </row>
    <row r="6" spans="2:12">
      <c r="L6" t="s">
        <v>52</v>
      </c>
    </row>
    <row r="8" spans="2:12" ht="15" thickBot="1">
      <c r="B8" s="4" t="s">
        <v>0</v>
      </c>
      <c r="C8" s="4" t="s">
        <v>1</v>
      </c>
      <c r="D8" s="65" t="s">
        <v>57</v>
      </c>
      <c r="E8" s="4" t="s">
        <v>3</v>
      </c>
      <c r="F8" s="82" t="s">
        <v>99</v>
      </c>
      <c r="G8" s="4" t="s">
        <v>8</v>
      </c>
      <c r="H8" s="4" t="s">
        <v>4</v>
      </c>
    </row>
    <row r="9" spans="2:12" ht="15" thickBot="1">
      <c r="C9" s="2"/>
      <c r="D9" s="2"/>
      <c r="E9" s="2"/>
      <c r="F9" s="2"/>
      <c r="H9" s="83">
        <f>SUM(H11:H14)</f>
        <v>0</v>
      </c>
    </row>
    <row r="10" spans="2:12">
      <c r="J10" t="s">
        <v>52</v>
      </c>
    </row>
    <row r="11" spans="2:12">
      <c r="B11" s="2">
        <v>1</v>
      </c>
      <c r="C11" s="2" t="s">
        <v>9</v>
      </c>
      <c r="D11" s="7" t="s">
        <v>10</v>
      </c>
      <c r="E11" s="17" t="s">
        <v>42</v>
      </c>
      <c r="F11" s="2" t="s">
        <v>5</v>
      </c>
      <c r="G11" s="3">
        <v>1</v>
      </c>
      <c r="H11" s="6">
        <f>SUM(F11)*G11</f>
        <v>0</v>
      </c>
    </row>
    <row r="12" spans="2:12">
      <c r="B12" s="2">
        <v>2</v>
      </c>
      <c r="C12" s="2" t="s">
        <v>9</v>
      </c>
      <c r="D12" s="7" t="s">
        <v>11</v>
      </c>
      <c r="E12" s="17" t="s">
        <v>42</v>
      </c>
      <c r="F12" s="2" t="s">
        <v>5</v>
      </c>
      <c r="G12" s="3">
        <v>1</v>
      </c>
      <c r="H12" s="6">
        <f>SUM(F12)*G12</f>
        <v>0</v>
      </c>
    </row>
    <row r="13" spans="2:12">
      <c r="B13" s="2">
        <v>3</v>
      </c>
      <c r="C13" s="2" t="s">
        <v>9</v>
      </c>
      <c r="D13" s="7" t="s">
        <v>12</v>
      </c>
      <c r="E13" s="17" t="s">
        <v>42</v>
      </c>
      <c r="F13" s="2" t="s">
        <v>5</v>
      </c>
      <c r="G13" s="3">
        <v>1</v>
      </c>
      <c r="H13" s="6">
        <f>SUM(F13)*G13</f>
        <v>0</v>
      </c>
    </row>
    <row r="14" spans="2:12">
      <c r="B14" s="2">
        <v>3</v>
      </c>
      <c r="C14" s="2" t="s">
        <v>9</v>
      </c>
      <c r="D14" s="7" t="s">
        <v>13</v>
      </c>
      <c r="E14" s="17" t="s">
        <v>42</v>
      </c>
      <c r="F14" s="2" t="s">
        <v>5</v>
      </c>
      <c r="G14" s="3">
        <v>1</v>
      </c>
      <c r="H14" s="6">
        <f>SUM(F14)*G14</f>
        <v>0</v>
      </c>
    </row>
    <row r="16" spans="2:12">
      <c r="B16" s="4" t="s">
        <v>0</v>
      </c>
      <c r="C16" s="4" t="s">
        <v>1</v>
      </c>
      <c r="D16" s="65" t="s">
        <v>58</v>
      </c>
      <c r="E16" s="4" t="s">
        <v>3</v>
      </c>
      <c r="F16" s="4" t="s">
        <v>100</v>
      </c>
      <c r="G16" s="4" t="s">
        <v>101</v>
      </c>
      <c r="H16" s="4" t="s">
        <v>4</v>
      </c>
    </row>
    <row r="17" spans="2:8">
      <c r="C17" s="2"/>
      <c r="D17" s="2"/>
      <c r="E17" s="2"/>
      <c r="H17" s="6">
        <f>H19</f>
        <v>195.1704</v>
      </c>
    </row>
    <row r="19" spans="2:8">
      <c r="B19" s="30">
        <v>1</v>
      </c>
      <c r="C19" s="30" t="s">
        <v>16</v>
      </c>
      <c r="D19" s="31" t="s">
        <v>6</v>
      </c>
      <c r="E19" s="2"/>
      <c r="F19" s="3">
        <v>0.1</v>
      </c>
      <c r="H19" s="32">
        <f>'App , Arch Estimation'!O16*F19</f>
        <v>195.1704</v>
      </c>
    </row>
    <row r="20" spans="2:8">
      <c r="B20" s="2"/>
      <c r="C20" s="2"/>
      <c r="D20" s="8"/>
      <c r="E20" s="2"/>
      <c r="F20" s="3"/>
      <c r="G20" s="6"/>
    </row>
    <row r="21" spans="2:8">
      <c r="B21" s="2"/>
      <c r="C21" s="2"/>
      <c r="D21" s="9"/>
      <c r="E21" s="2"/>
      <c r="F21" s="3"/>
      <c r="G21" s="6"/>
    </row>
    <row r="22" spans="2:8">
      <c r="B22" s="4" t="s">
        <v>0</v>
      </c>
      <c r="C22" s="4" t="s">
        <v>1</v>
      </c>
      <c r="D22" s="65" t="s">
        <v>54</v>
      </c>
      <c r="E22" s="4" t="s">
        <v>3</v>
      </c>
      <c r="F22" s="4" t="s">
        <v>30</v>
      </c>
      <c r="G22" s="4" t="s">
        <v>8</v>
      </c>
      <c r="H22" s="4" t="s">
        <v>4</v>
      </c>
    </row>
    <row r="23" spans="2:8">
      <c r="C23" s="2"/>
      <c r="D23" s="2"/>
      <c r="E23" s="2"/>
      <c r="F23" s="2"/>
      <c r="H23" s="6">
        <f>SUM(H25:H27)</f>
        <v>80</v>
      </c>
    </row>
    <row r="25" spans="2:8">
      <c r="B25" s="2">
        <v>1</v>
      </c>
      <c r="C25" s="2" t="s">
        <v>17</v>
      </c>
      <c r="D25" s="7" t="s">
        <v>18</v>
      </c>
      <c r="E25" s="2" t="s">
        <v>39</v>
      </c>
      <c r="F25" s="2">
        <v>80</v>
      </c>
      <c r="G25" s="3">
        <v>1</v>
      </c>
      <c r="H25" s="6">
        <f>SUM(F25:F25)*G25</f>
        <v>80</v>
      </c>
    </row>
    <row r="26" spans="2:8">
      <c r="B26" s="2">
        <v>2</v>
      </c>
      <c r="C26" s="2" t="s">
        <v>17</v>
      </c>
      <c r="D26" s="15" t="s">
        <v>38</v>
      </c>
      <c r="E26" s="2" t="s">
        <v>39</v>
      </c>
      <c r="F26" s="2" t="s">
        <v>5</v>
      </c>
      <c r="G26" s="3">
        <v>2</v>
      </c>
      <c r="H26" s="6">
        <f>SUM(F26:F26)*G26</f>
        <v>0</v>
      </c>
    </row>
    <row r="27" spans="2:8">
      <c r="B27" s="2">
        <v>3</v>
      </c>
      <c r="C27" s="2" t="s">
        <v>17</v>
      </c>
      <c r="D27" s="7" t="s">
        <v>71</v>
      </c>
      <c r="E27" s="2" t="s">
        <v>56</v>
      </c>
      <c r="F27" s="2" t="s">
        <v>5</v>
      </c>
      <c r="G27" s="3">
        <v>2</v>
      </c>
      <c r="H27" s="6">
        <f>SUM(F27:F27)*G27</f>
        <v>0</v>
      </c>
    </row>
    <row r="28" spans="2:8">
      <c r="B28" s="2"/>
      <c r="C28" s="2"/>
      <c r="D28" s="7"/>
      <c r="E28" s="2"/>
      <c r="F28" s="3"/>
    </row>
    <row r="29" spans="2:8">
      <c r="B29" s="2"/>
      <c r="C29" s="2"/>
      <c r="D29" s="7"/>
      <c r="E29" s="2"/>
      <c r="F29" s="3"/>
      <c r="G29" s="6"/>
    </row>
    <row r="30" spans="2:8">
      <c r="B30" s="4" t="s">
        <v>0</v>
      </c>
      <c r="C30" s="4" t="s">
        <v>1</v>
      </c>
      <c r="D30" s="4" t="s">
        <v>55</v>
      </c>
      <c r="E30" s="4" t="s">
        <v>3</v>
      </c>
      <c r="F30" s="4" t="s">
        <v>30</v>
      </c>
      <c r="G30" s="4" t="s">
        <v>8</v>
      </c>
      <c r="H30" s="4" t="s">
        <v>4</v>
      </c>
    </row>
    <row r="31" spans="2:8">
      <c r="C31" s="2"/>
      <c r="D31" s="2"/>
      <c r="E31" s="2"/>
      <c r="F31" s="2"/>
      <c r="H31" s="6">
        <f>SUM(H33:H36)</f>
        <v>97.5852</v>
      </c>
    </row>
    <row r="33" spans="2:8">
      <c r="B33" s="2">
        <v>1</v>
      </c>
      <c r="C33" s="2" t="s">
        <v>19</v>
      </c>
      <c r="D33" s="7" t="s">
        <v>20</v>
      </c>
      <c r="E33" s="25" t="s">
        <v>39</v>
      </c>
      <c r="F33" s="2" t="s">
        <v>5</v>
      </c>
      <c r="G33" s="3"/>
      <c r="H33" s="6"/>
    </row>
    <row r="34" spans="2:8">
      <c r="B34" s="2">
        <v>2</v>
      </c>
      <c r="C34" s="2" t="s">
        <v>19</v>
      </c>
      <c r="D34" s="31" t="s">
        <v>21</v>
      </c>
      <c r="E34" s="63">
        <v>0.05</v>
      </c>
      <c r="F34" s="2"/>
      <c r="G34" s="3">
        <v>0.05</v>
      </c>
      <c r="H34" s="32">
        <f>'App , Arch Estimation'!O16*G34</f>
        <v>97.5852</v>
      </c>
    </row>
    <row r="35" spans="2:8">
      <c r="B35" s="2">
        <v>3</v>
      </c>
      <c r="C35" s="2" t="s">
        <v>19</v>
      </c>
      <c r="D35" s="31" t="s">
        <v>22</v>
      </c>
      <c r="E35" s="30" t="s">
        <v>39</v>
      </c>
      <c r="F35" s="2" t="s">
        <v>5</v>
      </c>
      <c r="G35" s="3"/>
      <c r="H35" s="6"/>
    </row>
    <row r="36" spans="2:8" ht="28.8">
      <c r="B36" s="2">
        <v>4</v>
      </c>
      <c r="C36" s="2" t="s">
        <v>19</v>
      </c>
      <c r="D36" s="9" t="s">
        <v>23</v>
      </c>
      <c r="E36" s="25" t="s">
        <v>39</v>
      </c>
      <c r="F36" s="2" t="s">
        <v>5</v>
      </c>
      <c r="G36" s="3"/>
      <c r="H36" s="6"/>
    </row>
    <row r="37" spans="2:8">
      <c r="B37" s="2"/>
      <c r="C37" s="2"/>
      <c r="D37" s="7"/>
      <c r="E37" s="2"/>
      <c r="F37" s="3"/>
      <c r="G37" s="6"/>
    </row>
    <row r="38" spans="2:8">
      <c r="B38" s="2"/>
      <c r="C38" s="2"/>
      <c r="D38" s="7"/>
      <c r="E38" s="2"/>
      <c r="F38" s="3"/>
      <c r="G38" s="6"/>
    </row>
  </sheetData>
  <pageMargins left="0.7" right="0.7" top="0.75" bottom="0.75" header="0.3" footer="0.3"/>
  <pageSetup paperSize="9" pageOrder="overThenDown" orientation="portrait" horizontalDpi="30066" verticalDpi="26478" r:id="rId1"/>
  <headerFooter alignWithMargins="0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U55"/>
  <sheetViews>
    <sheetView zoomScaleNormal="100" zoomScaleSheetLayoutView="70" workbookViewId="0">
      <selection activeCell="P19" sqref="P19"/>
    </sheetView>
  </sheetViews>
  <sheetFormatPr defaultColWidth="8.6640625" defaultRowHeight="14.4"/>
  <cols>
    <col min="1" max="1" width="8.6640625" style="34"/>
    <col min="2" max="3" width="27.88671875" style="34" bestFit="1" customWidth="1"/>
    <col min="4" max="4" width="17.44140625" style="34" customWidth="1"/>
    <col min="5" max="5" width="26" style="34" customWidth="1"/>
    <col min="6" max="6" width="5.44140625" style="34" customWidth="1"/>
    <col min="7" max="8" width="3.6640625" style="34" bestFit="1" customWidth="1"/>
    <col min="9" max="9" width="4.6640625" style="34" customWidth="1"/>
    <col min="10" max="11" width="4.33203125" style="34" bestFit="1" customWidth="1"/>
    <col min="12" max="34" width="5" style="34" bestFit="1" customWidth="1"/>
    <col min="35" max="41" width="5.109375" style="34" bestFit="1" customWidth="1"/>
    <col min="42" max="44" width="4.33203125" style="34" bestFit="1" customWidth="1"/>
    <col min="45" max="45" width="3.6640625" style="34" bestFit="1" customWidth="1"/>
    <col min="46" max="54" width="4.33203125" style="34" bestFit="1" customWidth="1"/>
    <col min="55" max="16384" width="8.6640625" style="34"/>
  </cols>
  <sheetData>
    <row r="2" spans="1:47">
      <c r="B2" s="34" t="s">
        <v>24</v>
      </c>
      <c r="C2" s="35">
        <v>34</v>
      </c>
      <c r="D2" s="34" t="s">
        <v>25</v>
      </c>
    </row>
    <row r="3" spans="1:47">
      <c r="B3" s="34" t="s">
        <v>26</v>
      </c>
    </row>
    <row r="4" spans="1:47">
      <c r="A4" s="34">
        <v>1</v>
      </c>
      <c r="B4" s="34" t="s">
        <v>85</v>
      </c>
      <c r="C4" s="35">
        <v>20</v>
      </c>
    </row>
    <row r="5" spans="1:47">
      <c r="A5" s="34">
        <f>A4+1</f>
        <v>2</v>
      </c>
      <c r="B5" s="34" t="s">
        <v>86</v>
      </c>
      <c r="C5" s="35">
        <v>34</v>
      </c>
      <c r="D5" s="34" t="s">
        <v>27</v>
      </c>
    </row>
    <row r="6" spans="1:47">
      <c r="A6" s="34">
        <f t="shared" ref="A6:A9" si="0">A5+1</f>
        <v>3</v>
      </c>
      <c r="B6" s="34" t="s">
        <v>88</v>
      </c>
      <c r="C6" s="35">
        <v>45</v>
      </c>
      <c r="D6" s="34" t="s">
        <v>27</v>
      </c>
    </row>
    <row r="7" spans="1:47">
      <c r="A7" s="34">
        <f t="shared" si="0"/>
        <v>4</v>
      </c>
      <c r="B7" s="34" t="s">
        <v>87</v>
      </c>
      <c r="C7" s="35">
        <v>56</v>
      </c>
      <c r="D7" s="34" t="s">
        <v>27</v>
      </c>
    </row>
    <row r="8" spans="1:47">
      <c r="A8" s="34">
        <f t="shared" si="0"/>
        <v>5</v>
      </c>
      <c r="B8" s="34" t="s">
        <v>60</v>
      </c>
      <c r="C8" s="35">
        <v>56</v>
      </c>
      <c r="D8" s="34" t="s">
        <v>27</v>
      </c>
    </row>
    <row r="9" spans="1:47">
      <c r="A9" s="34">
        <f t="shared" si="0"/>
        <v>6</v>
      </c>
      <c r="B9" s="34" t="s">
        <v>61</v>
      </c>
      <c r="C9" s="35">
        <v>34</v>
      </c>
      <c r="D9" s="34" t="s">
        <v>27</v>
      </c>
      <c r="AL9" s="35"/>
    </row>
    <row r="10" spans="1:47" ht="17.25" customHeight="1">
      <c r="D10" s="34" t="s">
        <v>27</v>
      </c>
      <c r="F10" s="89" t="s">
        <v>83</v>
      </c>
      <c r="G10" s="89"/>
      <c r="H10" s="89"/>
      <c r="I10" s="89"/>
      <c r="J10" s="93" t="s">
        <v>102</v>
      </c>
      <c r="K10" s="93"/>
      <c r="L10" s="93"/>
      <c r="M10" s="93"/>
      <c r="N10" s="93"/>
      <c r="O10" s="89" t="s">
        <v>103</v>
      </c>
      <c r="P10" s="89"/>
      <c r="Q10" s="89"/>
      <c r="R10" s="89"/>
      <c r="S10" s="90" t="s">
        <v>104</v>
      </c>
      <c r="T10" s="90"/>
      <c r="U10" s="90"/>
      <c r="V10" s="90"/>
      <c r="W10" s="89" t="s">
        <v>105</v>
      </c>
      <c r="X10" s="89"/>
      <c r="Y10" s="89"/>
      <c r="Z10" s="89"/>
      <c r="AA10" s="90" t="s">
        <v>106</v>
      </c>
      <c r="AB10" s="90"/>
      <c r="AC10" s="90"/>
      <c r="AD10" s="90"/>
      <c r="AE10" s="90"/>
      <c r="AF10" s="89" t="s">
        <v>44</v>
      </c>
      <c r="AG10" s="89"/>
      <c r="AH10" s="89"/>
      <c r="AI10" s="89"/>
    </row>
    <row r="11" spans="1:47" ht="63" customHeight="1">
      <c r="C11" s="35"/>
      <c r="E11" s="34" t="s">
        <v>28</v>
      </c>
      <c r="F11" s="36">
        <v>44137</v>
      </c>
      <c r="G11" s="36">
        <f t="shared" ref="G11:V11" si="1">F11+7</f>
        <v>44144</v>
      </c>
      <c r="H11" s="36">
        <f t="shared" si="1"/>
        <v>44151</v>
      </c>
      <c r="I11" s="36">
        <f t="shared" si="1"/>
        <v>44158</v>
      </c>
      <c r="J11" s="36">
        <f t="shared" si="1"/>
        <v>44165</v>
      </c>
      <c r="K11" s="36">
        <f t="shared" si="1"/>
        <v>44172</v>
      </c>
      <c r="L11" s="36">
        <f t="shared" si="1"/>
        <v>44179</v>
      </c>
      <c r="M11" s="36">
        <f t="shared" si="1"/>
        <v>44186</v>
      </c>
      <c r="N11" s="36">
        <f t="shared" si="1"/>
        <v>44193</v>
      </c>
      <c r="O11" s="36">
        <f t="shared" si="1"/>
        <v>44200</v>
      </c>
      <c r="P11" s="36">
        <f t="shared" si="1"/>
        <v>44207</v>
      </c>
      <c r="Q11" s="36">
        <f t="shared" si="1"/>
        <v>44214</v>
      </c>
      <c r="R11" s="36">
        <f t="shared" si="1"/>
        <v>44221</v>
      </c>
      <c r="S11" s="36">
        <f t="shared" si="1"/>
        <v>44228</v>
      </c>
      <c r="T11" s="36">
        <f t="shared" si="1"/>
        <v>44235</v>
      </c>
      <c r="U11" s="36">
        <f t="shared" si="1"/>
        <v>44242</v>
      </c>
      <c r="V11" s="36">
        <f t="shared" si="1"/>
        <v>44249</v>
      </c>
      <c r="W11" s="36">
        <f t="shared" ref="W11" si="2">V11+7</f>
        <v>44256</v>
      </c>
      <c r="X11" s="36">
        <f t="shared" ref="X11" si="3">W11+7</f>
        <v>44263</v>
      </c>
      <c r="Y11" s="36">
        <f t="shared" ref="Y11" si="4">X11+7</f>
        <v>44270</v>
      </c>
      <c r="Z11" s="36">
        <f t="shared" ref="Z11" si="5">Y11+7</f>
        <v>44277</v>
      </c>
      <c r="AA11" s="36">
        <f t="shared" ref="AA11" si="6">Z11+7</f>
        <v>44284</v>
      </c>
      <c r="AB11" s="36">
        <f t="shared" ref="AB11" si="7">AA11+7</f>
        <v>44291</v>
      </c>
      <c r="AC11" s="36">
        <f t="shared" ref="AC11" si="8">AB11+7</f>
        <v>44298</v>
      </c>
      <c r="AD11" s="36">
        <f t="shared" ref="AD11" si="9">AC11+7</f>
        <v>44305</v>
      </c>
      <c r="AE11" s="36">
        <f t="shared" ref="AE11" si="10">AD11+7</f>
        <v>44312</v>
      </c>
      <c r="AF11" s="36">
        <f t="shared" ref="AF11" si="11">AE11+7</f>
        <v>44319</v>
      </c>
      <c r="AG11" s="36">
        <f t="shared" ref="AG11" si="12">AF11+7</f>
        <v>44326</v>
      </c>
      <c r="AH11" s="36">
        <f t="shared" ref="AH11" si="13">AG11+7</f>
        <v>44333</v>
      </c>
      <c r="AI11" s="36">
        <f t="shared" ref="AI11" si="14">AH11+7</f>
        <v>44340</v>
      </c>
      <c r="AJ11" s="36">
        <f t="shared" ref="AJ11" si="15">AI11+7</f>
        <v>44347</v>
      </c>
      <c r="AK11" s="36">
        <f t="shared" ref="AK11" si="16">AJ11+7</f>
        <v>44354</v>
      </c>
      <c r="AL11" s="36">
        <f t="shared" ref="AL11" si="17">AK11+7</f>
        <v>44361</v>
      </c>
      <c r="AM11" s="36">
        <f t="shared" ref="AM11" si="18">AL11+7</f>
        <v>44368</v>
      </c>
      <c r="AN11" s="36">
        <f t="shared" ref="AN11" si="19">AM11+7</f>
        <v>44375</v>
      </c>
      <c r="AO11" s="36">
        <f t="shared" ref="AO11" si="20">AN11+7</f>
        <v>44382</v>
      </c>
      <c r="AP11" s="36">
        <f t="shared" ref="AP11" si="21">AO11+7</f>
        <v>44389</v>
      </c>
      <c r="AQ11" s="36">
        <f t="shared" ref="AQ11" si="22">AP11+7</f>
        <v>44396</v>
      </c>
      <c r="AR11" s="36">
        <f t="shared" ref="AR11" si="23">AQ11+7</f>
        <v>44403</v>
      </c>
      <c r="AS11" s="36"/>
      <c r="AT11" s="36"/>
      <c r="AU11" s="36"/>
    </row>
    <row r="12" spans="1:47">
      <c r="E12" s="34" t="s">
        <v>29</v>
      </c>
      <c r="F12" s="34">
        <v>1</v>
      </c>
      <c r="G12" s="34">
        <f>F12+1</f>
        <v>2</v>
      </c>
      <c r="H12" s="34">
        <f t="shared" ref="H12:U12" si="24">G12+1</f>
        <v>3</v>
      </c>
      <c r="I12" s="34">
        <f t="shared" si="24"/>
        <v>4</v>
      </c>
      <c r="J12" s="34">
        <f t="shared" si="24"/>
        <v>5</v>
      </c>
      <c r="K12" s="34">
        <f t="shared" si="24"/>
        <v>6</v>
      </c>
      <c r="L12" s="34">
        <f t="shared" si="24"/>
        <v>7</v>
      </c>
      <c r="M12" s="34">
        <f t="shared" si="24"/>
        <v>8</v>
      </c>
      <c r="N12" s="34">
        <f t="shared" si="24"/>
        <v>9</v>
      </c>
      <c r="O12" s="34">
        <f t="shared" si="24"/>
        <v>10</v>
      </c>
      <c r="P12" s="34">
        <f t="shared" si="24"/>
        <v>11</v>
      </c>
      <c r="Q12" s="34">
        <f t="shared" si="24"/>
        <v>12</v>
      </c>
      <c r="R12" s="34">
        <f t="shared" si="24"/>
        <v>13</v>
      </c>
      <c r="S12" s="34">
        <f t="shared" si="24"/>
        <v>14</v>
      </c>
      <c r="T12" s="34">
        <f t="shared" si="24"/>
        <v>15</v>
      </c>
      <c r="U12" s="34">
        <f t="shared" si="24"/>
        <v>16</v>
      </c>
      <c r="V12" s="35"/>
      <c r="W12" s="35"/>
      <c r="X12" s="35"/>
      <c r="Y12" s="35"/>
      <c r="Z12" s="35"/>
      <c r="AA12" s="35"/>
      <c r="AB12" s="35"/>
      <c r="AC12" s="35"/>
    </row>
    <row r="13" spans="1:47">
      <c r="R13" s="76" t="s">
        <v>84</v>
      </c>
      <c r="W13" s="76" t="s">
        <v>89</v>
      </c>
      <c r="AB13" s="76" t="s">
        <v>90</v>
      </c>
    </row>
    <row r="14" spans="1:47">
      <c r="D14" s="34" t="s">
        <v>30</v>
      </c>
      <c r="E14" s="37">
        <f>SUM(F15:AU20)*C2</f>
        <v>2142</v>
      </c>
    </row>
    <row r="15" spans="1:47">
      <c r="B15" s="92" t="s">
        <v>31</v>
      </c>
      <c r="C15" s="38" t="str">
        <f t="shared" ref="C15:C20" si="25">B4</f>
        <v xml:space="preserve">PM </v>
      </c>
      <c r="D15" s="39"/>
      <c r="E15" s="40">
        <f>SUM(F15:AU15)*$C$4*C2</f>
        <v>10880</v>
      </c>
      <c r="F15" s="41">
        <v>1</v>
      </c>
      <c r="G15" s="41">
        <v>1</v>
      </c>
      <c r="H15" s="41">
        <v>1</v>
      </c>
      <c r="I15" s="41">
        <v>1</v>
      </c>
      <c r="J15" s="41">
        <v>1</v>
      </c>
      <c r="K15" s="41">
        <v>1</v>
      </c>
      <c r="L15" s="41">
        <v>1</v>
      </c>
      <c r="M15" s="41">
        <v>1</v>
      </c>
      <c r="N15" s="41">
        <v>1</v>
      </c>
      <c r="O15" s="41">
        <v>1</v>
      </c>
      <c r="P15" s="41">
        <v>1</v>
      </c>
      <c r="Q15" s="42">
        <v>1</v>
      </c>
      <c r="R15" s="42">
        <v>1</v>
      </c>
      <c r="S15" s="41">
        <v>1</v>
      </c>
      <c r="T15" s="41">
        <v>1</v>
      </c>
      <c r="U15" s="41">
        <v>1</v>
      </c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</row>
    <row r="16" spans="1:47">
      <c r="B16" s="92"/>
      <c r="C16" s="38" t="str">
        <f t="shared" si="25"/>
        <v xml:space="preserve">Architect </v>
      </c>
      <c r="D16" s="39"/>
      <c r="E16" s="40">
        <f>SUM(F16:AU16)*$C$5*C2</f>
        <v>18496</v>
      </c>
      <c r="F16" s="41">
        <v>1</v>
      </c>
      <c r="G16" s="41">
        <v>1</v>
      </c>
      <c r="H16" s="41">
        <v>1</v>
      </c>
      <c r="I16" s="41">
        <v>1</v>
      </c>
      <c r="J16" s="41">
        <v>1</v>
      </c>
      <c r="K16" s="41">
        <v>1</v>
      </c>
      <c r="L16" s="41">
        <v>1</v>
      </c>
      <c r="M16" s="41">
        <v>1</v>
      </c>
      <c r="N16" s="41">
        <v>1</v>
      </c>
      <c r="O16" s="41">
        <v>1</v>
      </c>
      <c r="P16" s="41">
        <v>1</v>
      </c>
      <c r="Q16" s="42">
        <v>1</v>
      </c>
      <c r="R16" s="42">
        <v>1</v>
      </c>
      <c r="S16" s="41">
        <v>1</v>
      </c>
      <c r="T16" s="41">
        <v>1</v>
      </c>
      <c r="U16" s="41">
        <v>1</v>
      </c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</row>
    <row r="17" spans="2:38">
      <c r="B17" s="92"/>
      <c r="C17" s="43" t="str">
        <f t="shared" si="25"/>
        <v>Soft-Eng #1</v>
      </c>
      <c r="D17" s="39"/>
      <c r="E17" s="40">
        <f>SUM(F17:AU17)*$C$6*C2</f>
        <v>22950</v>
      </c>
      <c r="F17" s="41">
        <v>1</v>
      </c>
      <c r="G17" s="41">
        <v>1</v>
      </c>
      <c r="H17" s="41">
        <v>1</v>
      </c>
      <c r="I17" s="41">
        <v>1</v>
      </c>
      <c r="J17" s="41">
        <v>1</v>
      </c>
      <c r="K17" s="41">
        <v>1</v>
      </c>
      <c r="L17" s="41">
        <v>1</v>
      </c>
      <c r="M17" s="41">
        <v>1</v>
      </c>
      <c r="N17" s="41">
        <v>1</v>
      </c>
      <c r="O17" s="41">
        <v>1</v>
      </c>
      <c r="P17" s="42">
        <v>1</v>
      </c>
      <c r="Q17" s="42">
        <v>1</v>
      </c>
      <c r="R17" s="42">
        <v>1</v>
      </c>
      <c r="S17" s="41">
        <v>1</v>
      </c>
      <c r="T17" s="41">
        <v>0.5</v>
      </c>
      <c r="U17" s="41">
        <v>0.5</v>
      </c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</row>
    <row r="18" spans="2:38">
      <c r="B18" s="92"/>
      <c r="C18" s="43" t="str">
        <f t="shared" si="25"/>
        <v>Developer #2</v>
      </c>
      <c r="D18" s="39"/>
      <c r="E18" s="40">
        <f>SUM(F18:AU18)*$C$7*C2</f>
        <v>19040</v>
      </c>
      <c r="F18" s="41"/>
      <c r="G18" s="41">
        <v>1</v>
      </c>
      <c r="H18" s="41">
        <v>1</v>
      </c>
      <c r="I18" s="41">
        <v>1</v>
      </c>
      <c r="J18" s="41">
        <v>1</v>
      </c>
      <c r="K18" s="41">
        <v>1</v>
      </c>
      <c r="L18" s="41">
        <v>1</v>
      </c>
      <c r="M18" s="41">
        <v>1</v>
      </c>
      <c r="N18" s="41">
        <v>1</v>
      </c>
      <c r="O18" s="41">
        <v>1</v>
      </c>
      <c r="P18" s="42">
        <v>1</v>
      </c>
      <c r="Q18" s="42"/>
      <c r="R18" s="42"/>
      <c r="S18" s="41"/>
      <c r="T18" s="41"/>
      <c r="U18" s="41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2:38">
      <c r="B19" s="92"/>
      <c r="C19" s="43" t="str">
        <f t="shared" si="25"/>
        <v>Developer #3</v>
      </c>
      <c r="D19" s="39"/>
      <c r="E19" s="40">
        <f>SUM(F19:AU19)*$C$8*C2</f>
        <v>11424</v>
      </c>
      <c r="F19" s="41"/>
      <c r="G19" s="41"/>
      <c r="H19" s="41">
        <v>1</v>
      </c>
      <c r="I19" s="41">
        <v>1</v>
      </c>
      <c r="J19" s="41">
        <v>1</v>
      </c>
      <c r="K19" s="41">
        <v>1</v>
      </c>
      <c r="L19" s="41">
        <v>1</v>
      </c>
      <c r="M19" s="41">
        <v>1</v>
      </c>
      <c r="N19" s="41"/>
      <c r="O19" s="41"/>
      <c r="P19" s="42"/>
      <c r="Q19" s="42"/>
      <c r="R19" s="42"/>
      <c r="S19" s="41"/>
      <c r="T19" s="41"/>
      <c r="U19" s="41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2:38">
      <c r="B20" s="92"/>
      <c r="C20" s="43" t="str">
        <f t="shared" si="25"/>
        <v>Developer #4</v>
      </c>
      <c r="D20" s="39"/>
      <c r="E20" s="40">
        <f>SUM(F20:AU20)*$C$9*C2</f>
        <v>0</v>
      </c>
      <c r="F20" s="41"/>
      <c r="G20" s="41"/>
      <c r="H20" s="41"/>
      <c r="I20" s="41"/>
      <c r="J20" s="41"/>
      <c r="K20" s="41"/>
      <c r="L20" s="41"/>
      <c r="M20" s="42"/>
      <c r="N20" s="42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</row>
    <row r="21" spans="2:38">
      <c r="D21" s="34" t="s">
        <v>30</v>
      </c>
      <c r="E21" s="37">
        <f>SUM(F22:AN23)*C2</f>
        <v>34</v>
      </c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</row>
    <row r="22" spans="2:38">
      <c r="B22" s="91" t="s">
        <v>82</v>
      </c>
      <c r="C22" s="45" t="str">
        <f>B6</f>
        <v>Soft-Eng #1</v>
      </c>
      <c r="D22" s="45"/>
      <c r="E22" s="46">
        <f>SUM(F22:AN22)*$C$6*C2</f>
        <v>1530</v>
      </c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>
        <v>1</v>
      </c>
      <c r="AD22" s="47"/>
      <c r="AE22" s="47"/>
      <c r="AF22" s="47"/>
      <c r="AG22" s="47"/>
      <c r="AH22" s="47"/>
      <c r="AI22" s="47"/>
      <c r="AJ22" s="47"/>
      <c r="AK22" s="47"/>
      <c r="AL22" s="47"/>
    </row>
    <row r="23" spans="2:38">
      <c r="B23" s="91"/>
      <c r="C23" s="45"/>
      <c r="D23" s="45"/>
      <c r="E23" s="46">
        <f>SUM(F23:AN23)*$C$5*C2</f>
        <v>0</v>
      </c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</row>
    <row r="24" spans="2:38">
      <c r="E24" s="37"/>
    </row>
    <row r="25" spans="2:38">
      <c r="E25" s="48" t="s">
        <v>62</v>
      </c>
      <c r="F25" s="47">
        <f t="shared" ref="F25:AG25" si="26">SUM(F15:F23)</f>
        <v>3</v>
      </c>
      <c r="G25" s="47">
        <f t="shared" si="26"/>
        <v>4</v>
      </c>
      <c r="H25" s="47">
        <f t="shared" si="26"/>
        <v>5</v>
      </c>
      <c r="I25" s="47">
        <f t="shared" si="26"/>
        <v>5</v>
      </c>
      <c r="J25" s="47">
        <f t="shared" si="26"/>
        <v>5</v>
      </c>
      <c r="K25" s="47">
        <f t="shared" si="26"/>
        <v>5</v>
      </c>
      <c r="L25" s="47">
        <f t="shared" si="26"/>
        <v>5</v>
      </c>
      <c r="M25" s="47">
        <f t="shared" si="26"/>
        <v>5</v>
      </c>
      <c r="N25" s="47">
        <f t="shared" si="26"/>
        <v>4</v>
      </c>
      <c r="O25" s="47">
        <f t="shared" si="26"/>
        <v>4</v>
      </c>
      <c r="P25" s="47">
        <f t="shared" si="26"/>
        <v>4</v>
      </c>
      <c r="Q25" s="47">
        <f t="shared" si="26"/>
        <v>3</v>
      </c>
      <c r="R25" s="47">
        <f t="shared" si="26"/>
        <v>3</v>
      </c>
      <c r="S25" s="47">
        <f t="shared" si="26"/>
        <v>3</v>
      </c>
      <c r="T25" s="47">
        <f t="shared" si="26"/>
        <v>2.5</v>
      </c>
      <c r="U25" s="47">
        <f t="shared" si="26"/>
        <v>2.5</v>
      </c>
      <c r="V25" s="47">
        <f t="shared" si="26"/>
        <v>0</v>
      </c>
      <c r="W25" s="47">
        <f t="shared" si="26"/>
        <v>0</v>
      </c>
      <c r="X25" s="47">
        <f t="shared" si="26"/>
        <v>0</v>
      </c>
      <c r="Y25" s="47">
        <f t="shared" si="26"/>
        <v>0</v>
      </c>
      <c r="Z25" s="47">
        <f t="shared" si="26"/>
        <v>0</v>
      </c>
      <c r="AA25" s="47">
        <f t="shared" si="26"/>
        <v>0</v>
      </c>
      <c r="AB25" s="47">
        <f t="shared" si="26"/>
        <v>0</v>
      </c>
      <c r="AC25" s="47">
        <f t="shared" si="26"/>
        <v>1</v>
      </c>
      <c r="AD25" s="47">
        <f t="shared" si="26"/>
        <v>0</v>
      </c>
      <c r="AE25" s="47">
        <f t="shared" si="26"/>
        <v>0</v>
      </c>
      <c r="AF25" s="47">
        <f t="shared" si="26"/>
        <v>0</v>
      </c>
      <c r="AG25" s="47">
        <f t="shared" si="26"/>
        <v>0</v>
      </c>
      <c r="AH25" s="47">
        <f t="shared" ref="AH25:AL25" si="27">SUM(AH15:AH23)</f>
        <v>0</v>
      </c>
      <c r="AI25" s="47">
        <f t="shared" si="27"/>
        <v>0</v>
      </c>
      <c r="AJ25" s="47">
        <f t="shared" si="27"/>
        <v>0</v>
      </c>
      <c r="AK25" s="47">
        <f t="shared" si="27"/>
        <v>0</v>
      </c>
      <c r="AL25" s="47">
        <f t="shared" si="27"/>
        <v>0</v>
      </c>
    </row>
    <row r="26" spans="2:38">
      <c r="E26" s="35"/>
    </row>
    <row r="27" spans="2:38">
      <c r="B27" s="39" t="s">
        <v>32</v>
      </c>
      <c r="C27" s="39"/>
      <c r="D27" s="39" t="s">
        <v>30</v>
      </c>
      <c r="E27" s="49">
        <f>E14+E21</f>
        <v>2176</v>
      </c>
    </row>
    <row r="28" spans="2:38">
      <c r="B28" s="38" t="s">
        <v>63</v>
      </c>
      <c r="C28" s="39"/>
      <c r="D28" s="39" t="s">
        <v>37</v>
      </c>
      <c r="E28" s="40">
        <f>SUM(E15:E20)+SUM(E22:E23)</f>
        <v>84320</v>
      </c>
    </row>
    <row r="29" spans="2:38">
      <c r="E29" s="50"/>
    </row>
    <row r="30" spans="2:38">
      <c r="B30" s="45" t="s">
        <v>33</v>
      </c>
      <c r="C30" s="45"/>
      <c r="D30" s="45" t="s">
        <v>30</v>
      </c>
      <c r="E30" s="60">
        <f>'Pre, Elic, PM, UAT, Warranty'!H34</f>
        <v>97.5852</v>
      </c>
    </row>
    <row r="31" spans="2:38">
      <c r="B31" s="45" t="s">
        <v>34</v>
      </c>
      <c r="C31" s="45"/>
      <c r="D31" s="45" t="s">
        <v>30</v>
      </c>
      <c r="E31" s="51">
        <f>E30+E27</f>
        <v>2273.5852</v>
      </c>
      <c r="F31" s="52"/>
    </row>
    <row r="32" spans="2:38">
      <c r="B32" s="45" t="s">
        <v>64</v>
      </c>
      <c r="C32" s="45" t="str">
        <f>B7</f>
        <v>Developer #2</v>
      </c>
      <c r="D32" s="45"/>
      <c r="E32" s="46">
        <f>E28+E30*$C$6</f>
        <v>88711.334000000003</v>
      </c>
    </row>
    <row r="33" spans="1:5">
      <c r="E33" s="35"/>
    </row>
    <row r="34" spans="1:5">
      <c r="E34" s="35"/>
    </row>
    <row r="35" spans="1:5">
      <c r="B35" s="39" t="s">
        <v>35</v>
      </c>
      <c r="C35" s="39"/>
      <c r="D35" s="39"/>
      <c r="E35" s="53">
        <v>7.0000000000000007E-2</v>
      </c>
    </row>
    <row r="37" spans="1:5">
      <c r="B37" s="54" t="s">
        <v>65</v>
      </c>
      <c r="C37" s="45"/>
      <c r="D37" s="45"/>
      <c r="E37" s="55">
        <v>0</v>
      </c>
    </row>
    <row r="39" spans="1:5">
      <c r="B39" s="45" t="s">
        <v>91</v>
      </c>
      <c r="C39" s="45"/>
      <c r="D39" s="45" t="s">
        <v>37</v>
      </c>
      <c r="E39" s="75">
        <f>E32*(1+E35+E37)</f>
        <v>94921.127380000005</v>
      </c>
    </row>
    <row r="41" spans="1:5">
      <c r="B41" s="45" t="s">
        <v>92</v>
      </c>
      <c r="C41" s="45"/>
      <c r="D41" s="45" t="s">
        <v>37</v>
      </c>
      <c r="E41" s="46">
        <v>1000</v>
      </c>
    </row>
    <row r="42" spans="1:5">
      <c r="B42" s="45" t="s">
        <v>93</v>
      </c>
      <c r="C42" s="45"/>
      <c r="D42" s="45"/>
      <c r="E42" s="46">
        <v>200</v>
      </c>
    </row>
    <row r="44" spans="1:5">
      <c r="B44" s="73" t="s">
        <v>94</v>
      </c>
      <c r="C44" s="73"/>
      <c r="D44" s="73"/>
      <c r="E44" s="74">
        <f>E39+E41+E42</f>
        <v>96121.127380000005</v>
      </c>
    </row>
    <row r="46" spans="1:5">
      <c r="A46" s="39" t="s">
        <v>35</v>
      </c>
      <c r="C46" s="53">
        <v>0</v>
      </c>
      <c r="D46" s="53">
        <v>0.05</v>
      </c>
      <c r="E46" s="53">
        <v>0.1</v>
      </c>
    </row>
    <row r="47" spans="1:5">
      <c r="A47" s="54" t="s">
        <v>65</v>
      </c>
      <c r="C47" s="55">
        <v>0.05</v>
      </c>
      <c r="D47" s="55">
        <v>0.05</v>
      </c>
      <c r="E47" s="55">
        <v>0.05</v>
      </c>
    </row>
    <row r="49" spans="1:9">
      <c r="A49" s="45" t="s">
        <v>36</v>
      </c>
      <c r="C49" s="46">
        <f>E32*(1+C47+C46)</f>
        <v>93146.900700000013</v>
      </c>
      <c r="D49" s="46">
        <f>E32*(1+D47+D46)</f>
        <v>97582.467400000009</v>
      </c>
      <c r="E49" s="46">
        <f>E32*(1+E47+E46)</f>
        <v>102018.03410000002</v>
      </c>
      <c r="I49" s="56"/>
    </row>
    <row r="50" spans="1:9">
      <c r="A50" s="35"/>
    </row>
    <row r="51" spans="1:9">
      <c r="A51" s="39" t="s">
        <v>66</v>
      </c>
      <c r="C51" s="40">
        <f>C49/E31</f>
        <v>40.969170937601113</v>
      </c>
      <c r="D51" s="40">
        <f>D49/E31</f>
        <v>42.920083839391637</v>
      </c>
      <c r="E51" s="40">
        <f>E49/E31</f>
        <v>44.870996741182175</v>
      </c>
    </row>
    <row r="52" spans="1:9">
      <c r="C52" s="35"/>
    </row>
    <row r="53" spans="1:9">
      <c r="C53" s="35"/>
    </row>
    <row r="54" spans="1:9">
      <c r="C54" s="35"/>
    </row>
    <row r="55" spans="1:9">
      <c r="C55" s="35"/>
    </row>
  </sheetData>
  <mergeCells count="9">
    <mergeCell ref="AF10:AI10"/>
    <mergeCell ref="W10:Z10"/>
    <mergeCell ref="AA10:AE10"/>
    <mergeCell ref="B22:B23"/>
    <mergeCell ref="B15:B20"/>
    <mergeCell ref="F10:I10"/>
    <mergeCell ref="J10:N10"/>
    <mergeCell ref="O10:R10"/>
    <mergeCell ref="S10:V10"/>
  </mergeCells>
  <pageMargins left="0.7" right="0.7" top="0.75" bottom="0.75" header="0.3" footer="0.3"/>
  <pageSetup paperSize="9" orientation="portrait" horizontalDpi="30066" verticalDpi="26478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10885ED10656449B48C7EDBE82402E" ma:contentTypeVersion="0" ma:contentTypeDescription="Create a new document." ma:contentTypeScope="" ma:versionID="c5eddcf05eb51fb600958bc6fa73526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F3C6046-B2C3-4EB5-9990-BBB9293DB3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46E2FB6-A3F4-4E08-97B0-18BC1265D1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FF63A8-6ADD-4796-9BF8-18D0BB727F70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1be69d4f-9d67-4058-9447-75400c502ba1}" enabled="1" method="Privileged" siteId="{763b2760-45c5-46d3-883e-29705bba49b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Effort Overview Total</vt:lpstr>
      <vt:lpstr>App , Arch Estimation</vt:lpstr>
      <vt:lpstr>Pre, Elic, PM, UAT, Warranty</vt:lpstr>
      <vt:lpstr>Scheduling, Price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Barabás László</dc:creator>
  <cp:lastModifiedBy>Botond Hegyi</cp:lastModifiedBy>
  <dcterms:created xsi:type="dcterms:W3CDTF">2017-12-01T16:14:36Z</dcterms:created>
  <dcterms:modified xsi:type="dcterms:W3CDTF">2023-01-02T20:45:43Z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0x0101008B10885ED10656449B48C7EDBE82402E</vt:lpwstr>
  </property>
</Properties>
</file>