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++FYP++\MOT Toolkit\TrackEval\"/>
    </mc:Choice>
  </mc:AlternateContent>
  <xr:revisionPtr revIDLastSave="0" documentId="13_ncr:1_{8708B54A-7D25-4D1B-9EE9-91F814C7334D}" xr6:coauthVersionLast="47" xr6:coauthVersionMax="47" xr10:uidLastSave="{00000000-0000-0000-0000-000000000000}"/>
  <bookViews>
    <workbookView xWindow="-108" yWindow="-108" windowWidth="23256" windowHeight="13176" activeTab="5" xr2:uid="{A7B932BC-91FE-45B6-BDFE-792092F02078}"/>
  </bookViews>
  <sheets>
    <sheet name="laptop metrics" sheetId="1" r:id="rId1"/>
    <sheet name="time from agx" sheetId="2" r:id="rId2"/>
    <sheet name="agx metrics" sheetId="3" r:id="rId3"/>
    <sheet name="Sheet1" sheetId="4" r:id="rId4"/>
    <sheet name="AGX metrics (post thesis)" sheetId="5" r:id="rId5"/>
    <sheet name="time from agx (post thesis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2" l="1"/>
  <c r="P19" i="2" s="1"/>
  <c r="P17" i="2"/>
  <c r="P16" i="2"/>
  <c r="P15" i="2"/>
  <c r="P14" i="2"/>
  <c r="P13" i="2"/>
  <c r="P12" i="2"/>
  <c r="P11" i="2"/>
  <c r="P10" i="2"/>
  <c r="P9" i="2"/>
  <c r="P8" i="2"/>
  <c r="P7" i="2"/>
  <c r="P6" i="2"/>
  <c r="P4" i="2"/>
  <c r="P5" i="2"/>
  <c r="P3" i="2"/>
  <c r="P2" i="2"/>
  <c r="G18" i="2"/>
  <c r="G19" i="2" s="1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R18" i="2"/>
  <c r="R19" i="2" s="1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2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3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Q18" i="2" l="1"/>
  <c r="Q19" i="2" s="1"/>
  <c r="N18" i="2"/>
  <c r="N19" i="2" s="1"/>
  <c r="O18" i="2"/>
  <c r="O19" i="2" s="1"/>
  <c r="M18" i="2"/>
  <c r="M19" i="2" s="1"/>
  <c r="T18" i="2"/>
  <c r="T19" i="2" s="1"/>
  <c r="K18" i="2"/>
  <c r="K19" i="2" s="1"/>
  <c r="U18" i="2"/>
  <c r="U19" i="2" s="1"/>
  <c r="L18" i="2"/>
  <c r="L19" i="2" s="1"/>
  <c r="I18" i="2"/>
  <c r="I19" i="2" s="1"/>
  <c r="J18" i="2"/>
  <c r="J19" i="2" s="1"/>
  <c r="D18" i="2"/>
  <c r="D19" i="2" s="1"/>
  <c r="S18" i="2"/>
  <c r="S19" i="2" s="1"/>
  <c r="H18" i="2"/>
  <c r="H19" i="2" s="1"/>
  <c r="E18" i="2"/>
  <c r="E19" i="2" s="1"/>
  <c r="F18" i="2"/>
  <c r="F19" i="2" s="1"/>
  <c r="B18" i="2"/>
  <c r="B19" i="2" s="1"/>
  <c r="C18" i="2"/>
  <c r="C19" i="2" s="1"/>
</calcChain>
</file>

<file path=xl/sharedStrings.xml><?xml version="1.0" encoding="utf-8"?>
<sst xmlns="http://schemas.openxmlformats.org/spreadsheetml/2006/main" count="179" uniqueCount="111">
  <si>
    <t xml:space="preserve">HOTA </t>
  </si>
  <si>
    <t xml:space="preserve">DetA </t>
  </si>
  <si>
    <t xml:space="preserve">AssA </t>
  </si>
  <si>
    <t>baseline_v5s_sz640</t>
  </si>
  <si>
    <t>Algo</t>
  </si>
  <si>
    <t>baseline_v5s_sz960</t>
  </si>
  <si>
    <t>coco_visdrone_118_sz640</t>
  </si>
  <si>
    <t>coco_visdrone_118_sz960</t>
  </si>
  <si>
    <t>coco_visdrone_150_sz640</t>
  </si>
  <si>
    <t>coco_visdrone_150_sz960</t>
  </si>
  <si>
    <t>coco_visdrone_158_sz640</t>
  </si>
  <si>
    <t>coco_visdrone_158_sz960</t>
  </si>
  <si>
    <t>mot_visdrone_p234Batch20_sz960</t>
  </si>
  <si>
    <t>mot_visdrone_sz960</t>
  </si>
  <si>
    <t>LocA</t>
  </si>
  <si>
    <t>yolov5s_motVisdrone_fpn234_sz960</t>
  </si>
  <si>
    <t>visdrone_yolov5s_sz960</t>
  </si>
  <si>
    <t>7225885 parameters</t>
  </si>
  <si>
    <t>213 layers</t>
  </si>
  <si>
    <t>baseline_v5s_sz960_MAXN</t>
  </si>
  <si>
    <t>baseline_v5s_sz960_15W Desktop</t>
  </si>
  <si>
    <t>baseline_v5s_sz960_MAXN_noHalf</t>
  </si>
  <si>
    <t>7012822 para</t>
  </si>
  <si>
    <t>* With optimiser</t>
  </si>
  <si>
    <t>* optimiser stripped</t>
  </si>
  <si>
    <t>remarks:</t>
  </si>
  <si>
    <t>192 layers</t>
  </si>
  <si>
    <t>2119958 para</t>
  </si>
  <si>
    <t>* using dict to store id</t>
  </si>
  <si>
    <t>testing from mot_visdrone_p234Batch20_sz960 onwards (exclusive) uses dict to store id.</t>
  </si>
  <si>
    <t>* using mobilenetv2_x1_0</t>
  </si>
  <si>
    <t>* using osnet_ain_x1_0_MSMT17</t>
  </si>
  <si>
    <t>[1 , 30]</t>
  </si>
  <si>
    <t>ppl density [min,max]</t>
  </si>
  <si>
    <t>layers</t>
  </si>
  <si>
    <t>parameters</t>
  </si>
  <si>
    <t>Average throughput:</t>
  </si>
  <si>
    <t>average FPS</t>
  </si>
  <si>
    <t>mot_visdrone_sz960_Tanh</t>
  </si>
  <si>
    <t>mot_visdrone_sz960_Lrelu</t>
  </si>
  <si>
    <t>mot_visdrone_sz960_lr0.02</t>
  </si>
  <si>
    <t>HOTA</t>
  </si>
  <si>
    <t>DetA</t>
  </si>
  <si>
    <t>AssA</t>
  </si>
  <si>
    <t>DetRe</t>
  </si>
  <si>
    <t>DetPr</t>
  </si>
  <si>
    <t>AssRe</t>
  </si>
  <si>
    <t>AssPr</t>
  </si>
  <si>
    <t>RHOTA</t>
  </si>
  <si>
    <t>HOTA(0)</t>
  </si>
  <si>
    <t>LocA(0)</t>
  </si>
  <si>
    <t>HOTALocA(0)</t>
  </si>
  <si>
    <t>MOTA</t>
  </si>
  <si>
    <t>MOTP</t>
  </si>
  <si>
    <t>MODA</t>
  </si>
  <si>
    <t>CLR_Re</t>
  </si>
  <si>
    <t>CLR_Pr</t>
  </si>
  <si>
    <t>MTR</t>
  </si>
  <si>
    <t>PTR</t>
  </si>
  <si>
    <t>MLR</t>
  </si>
  <si>
    <t>CLR_TP</t>
  </si>
  <si>
    <t>CLR_FN</t>
  </si>
  <si>
    <t>CLR_FP</t>
  </si>
  <si>
    <t>IDSW</t>
  </si>
  <si>
    <t>MT</t>
  </si>
  <si>
    <t>PT</t>
  </si>
  <si>
    <t>ML</t>
  </si>
  <si>
    <t>Frag</t>
  </si>
  <si>
    <t>sMOTA</t>
  </si>
  <si>
    <t>IDF1</t>
  </si>
  <si>
    <t>IDR</t>
  </si>
  <si>
    <t>IDP</t>
  </si>
  <si>
    <t>IDTP</t>
  </si>
  <si>
    <t>IDFN</t>
  </si>
  <si>
    <t>IDFP</t>
  </si>
  <si>
    <t>Dets</t>
  </si>
  <si>
    <t>GT_Dets</t>
  </si>
  <si>
    <t>IDs</t>
  </si>
  <si>
    <t>GT_IDs</t>
  </si>
  <si>
    <t>coco_visdrone_150_sz960_stripped</t>
  </si>
  <si>
    <t>The other mot_visdrone test use dict</t>
  </si>
  <si>
    <t xml:space="preserve">* Just compare dict &amp; list time for ^ </t>
  </si>
  <si>
    <t>mot_visdrone_sz960_osnet_x0_25</t>
  </si>
  <si>
    <t>mot_visdrone_sz960_mobilenetv2_x1_0</t>
  </si>
  <si>
    <t>mot_visdrone_sz960_osnet_ain_x1_0_MSMT17</t>
  </si>
  <si>
    <t>FPS</t>
  </si>
  <si>
    <t>[37 , 50]</t>
  </si>
  <si>
    <t>[75 , 148]</t>
  </si>
  <si>
    <t>[1 , 9]</t>
  </si>
  <si>
    <t>[58 , 98]</t>
  </si>
  <si>
    <t>[3 , 11]</t>
  </si>
  <si>
    <t>[2 , 39]</t>
  </si>
  <si>
    <t>[36 , 53]</t>
  </si>
  <si>
    <t>[11 , 25]</t>
  </si>
  <si>
    <t>[1 , 4]</t>
  </si>
  <si>
    <t>[1 , 6]</t>
  </si>
  <si>
    <t>[12 , 32]</t>
  </si>
  <si>
    <t>[13 , 61]</t>
  </si>
  <si>
    <t>[3 , 27]</t>
  </si>
  <si>
    <t>mot_visdrone_FPN_sz960</t>
  </si>
  <si>
    <t>4821206 para</t>
  </si>
  <si>
    <t>mot_visdrone_sz960_Lrelu_lr0.02</t>
  </si>
  <si>
    <t>Using focal loss, gamma=2</t>
  </si>
  <si>
    <t>coco_visdrone_203_sz960</t>
  </si>
  <si>
    <t>mot_visdrone_sz960_Lrelu_lr0.02_focal</t>
  </si>
  <si>
    <t>mot_visdrone_sz960_lr0.02_osnet_x0_25</t>
  </si>
  <si>
    <t>mot_visdrone_sz960_lr0.02_osnet_ain_x1_0_MSMT17</t>
  </si>
  <si>
    <t>* using osnet_x0_25_market</t>
  </si>
  <si>
    <t>** see that using ain also about the same as not using. Can guss that osnet one also the same</t>
  </si>
  <si>
    <t>mot_visdrone_sz960_lr0.02_osnet_ibn_x1_0_MSMT17</t>
  </si>
  <si>
    <t>*** After FYP thesis checking the performance of updated code (metrics from laptop testing)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</si>
</sst>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&quot;ms&quot;"/>
    <numFmt numFmtId="165" formatCode="0.0&quot;fps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HOTA vs LocA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70143569103606E-2"/>
          <c:y val="5.3825536062378179E-2"/>
          <c:w val="0.75340014316392268"/>
          <c:h val="0.87015529308836392"/>
        </c:manualLayout>
      </c:layout>
      <c:scatterChart>
        <c:scatterStyle val="lineMarker"/>
        <c:varyColors val="0"/>
        <c:ser>
          <c:idx val="0"/>
          <c:order val="0"/>
          <c:tx>
            <c:v>baseline_v5s_640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'laptop metrics'!$E$2</c:f>
              <c:numCache>
                <c:formatCode>General</c:formatCode>
                <c:ptCount val="1"/>
                <c:pt idx="0">
                  <c:v>77.457999999999998</c:v>
                </c:pt>
              </c:numCache>
            </c:numRef>
          </c:xVal>
          <c:yVal>
            <c:numRef>
              <c:f>'laptop metrics'!$B$2</c:f>
              <c:numCache>
                <c:formatCode>General</c:formatCode>
                <c:ptCount val="1"/>
                <c:pt idx="0">
                  <c:v>11.16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E3-4A9F-B30D-2C3E62953485}"/>
            </c:ext>
          </c:extLst>
        </c:ser>
        <c:ser>
          <c:idx val="6"/>
          <c:order val="1"/>
          <c:tx>
            <c:v>baseline_v5s_960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'laptop metrics'!$E$3</c:f>
              <c:numCache>
                <c:formatCode>General</c:formatCode>
                <c:ptCount val="1"/>
                <c:pt idx="0">
                  <c:v>76.543000000000006</c:v>
                </c:pt>
              </c:numCache>
            </c:numRef>
          </c:xVal>
          <c:yVal>
            <c:numRef>
              <c:f>'laptop metrics'!$B$3</c:f>
              <c:numCache>
                <c:formatCode>General</c:formatCode>
                <c:ptCount val="1"/>
                <c:pt idx="0">
                  <c:v>12.833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E3-4A9F-B30D-2C3E62953485}"/>
            </c:ext>
          </c:extLst>
        </c:ser>
        <c:ser>
          <c:idx val="1"/>
          <c:order val="2"/>
          <c:tx>
            <c:v>cocoVisdrone_640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('laptop metrics'!$E$4,'laptop metrics'!$E$6,'laptop metrics'!$E$8)</c:f>
              <c:numCache>
                <c:formatCode>General</c:formatCode>
                <c:ptCount val="3"/>
                <c:pt idx="0">
                  <c:v>75.11</c:v>
                </c:pt>
                <c:pt idx="1">
                  <c:v>75.106999999999999</c:v>
                </c:pt>
                <c:pt idx="2">
                  <c:v>75.102000000000004</c:v>
                </c:pt>
              </c:numCache>
            </c:numRef>
          </c:xVal>
          <c:yVal>
            <c:numRef>
              <c:f>('laptop metrics'!$B$4,'laptop metrics'!$B$6,'laptop metrics'!$B$8)</c:f>
              <c:numCache>
                <c:formatCode>General</c:formatCode>
                <c:ptCount val="3"/>
                <c:pt idx="0">
                  <c:v>21.782</c:v>
                </c:pt>
                <c:pt idx="1">
                  <c:v>21.760999999999999</c:v>
                </c:pt>
                <c:pt idx="2">
                  <c:v>22.126000000000001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E3-4A9F-B30D-2C3E62953485}"/>
            </c:ext>
          </c:extLst>
        </c:ser>
        <c:ser>
          <c:idx val="2"/>
          <c:order val="3"/>
          <c:tx>
            <c:v>cocoVisdrone_960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('laptop metrics'!$E$5,'laptop metrics'!$E$7,'laptop metrics'!$E$9)</c:f>
              <c:numCache>
                <c:formatCode>General</c:formatCode>
                <c:ptCount val="3"/>
                <c:pt idx="0">
                  <c:v>74.995999999999995</c:v>
                </c:pt>
                <c:pt idx="1">
                  <c:v>75.057000000000002</c:v>
                </c:pt>
                <c:pt idx="2">
                  <c:v>75.033000000000001</c:v>
                </c:pt>
              </c:numCache>
            </c:numRef>
          </c:xVal>
          <c:yVal>
            <c:numRef>
              <c:f>('laptop metrics'!$B$5,'laptop metrics'!$B$7,'laptop metrics'!$B$9)</c:f>
              <c:numCache>
                <c:formatCode>General</c:formatCode>
                <c:ptCount val="3"/>
                <c:pt idx="0">
                  <c:v>25.931000000000001</c:v>
                </c:pt>
                <c:pt idx="1">
                  <c:v>26.003</c:v>
                </c:pt>
                <c:pt idx="2">
                  <c:v>25.937999999999999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E3-4A9F-B30D-2C3E62953485}"/>
            </c:ext>
          </c:extLst>
        </c:ser>
        <c:ser>
          <c:idx val="3"/>
          <c:order val="4"/>
          <c:tx>
            <c:v>motVisdrone_960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'laptop metrics'!$E$10</c:f>
              <c:numCache>
                <c:formatCode>General</c:formatCode>
                <c:ptCount val="1"/>
                <c:pt idx="0">
                  <c:v>74.665000000000006</c:v>
                </c:pt>
              </c:numCache>
            </c:numRef>
          </c:xVal>
          <c:yVal>
            <c:numRef>
              <c:f>'laptop metrics'!$B$10</c:f>
              <c:numCache>
                <c:formatCode>General</c:formatCode>
                <c:ptCount val="1"/>
                <c:pt idx="0">
                  <c:v>27.829000000000001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E3-4A9F-B30D-2C3E62953485}"/>
            </c:ext>
          </c:extLst>
        </c:ser>
        <c:ser>
          <c:idx val="4"/>
          <c:order val="5"/>
          <c:tx>
            <c:v>motVisdroneP234_960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'laptop metrics'!$E$11</c:f>
              <c:numCache>
                <c:formatCode>General</c:formatCode>
                <c:ptCount val="1"/>
                <c:pt idx="0">
                  <c:v>74.552999999999997</c:v>
                </c:pt>
              </c:numCache>
            </c:numRef>
          </c:xVal>
          <c:yVal>
            <c:numRef>
              <c:f>'laptop metrics'!$B$11</c:f>
              <c:numCache>
                <c:formatCode>General</c:formatCode>
                <c:ptCount val="1"/>
                <c:pt idx="0">
                  <c:v>25.608000000000001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E3-4A9F-B30D-2C3E62953485}"/>
            </c:ext>
          </c:extLst>
        </c:ser>
        <c:ser>
          <c:idx val="5"/>
          <c:order val="6"/>
          <c:tx>
            <c:v>motVisdroneFpn234_960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'laptop metrics'!$E$12</c:f>
              <c:numCache>
                <c:formatCode>General</c:formatCode>
                <c:ptCount val="1"/>
                <c:pt idx="0">
                  <c:v>74.680999999999997</c:v>
                </c:pt>
              </c:numCache>
            </c:numRef>
          </c:xVal>
          <c:yVal>
            <c:numRef>
              <c:f>'laptop metrics'!$B$12</c:f>
              <c:numCache>
                <c:formatCode>General</c:formatCode>
                <c:ptCount val="1"/>
                <c:pt idx="0">
                  <c:v>23.358000000000001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E3-4A9F-B30D-2C3E62953485}"/>
            </c:ext>
          </c:extLst>
        </c:ser>
        <c:ser>
          <c:idx val="7"/>
          <c:order val="7"/>
          <c:tx>
            <c:strRef>
              <c:f>'laptop metrics'!$A$13</c:f>
              <c:strCache>
                <c:ptCount val="1"/>
                <c:pt idx="0">
                  <c:v>visdrone_yolov5s_sz960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'laptop metrics'!$E$13</c:f>
              <c:numCache>
                <c:formatCode>General</c:formatCode>
                <c:ptCount val="1"/>
                <c:pt idx="0">
                  <c:v>73.944999999999993</c:v>
                </c:pt>
              </c:numCache>
            </c:numRef>
          </c:xVal>
          <c:yVal>
            <c:numRef>
              <c:f>'laptop metrics'!$B$13</c:f>
              <c:numCache>
                <c:formatCode>General</c:formatCode>
                <c:ptCount val="1"/>
                <c:pt idx="0">
                  <c:v>26.815000000000001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E3-4A9F-B30D-2C3E6295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643439"/>
        <c:axId val="1936643855"/>
      </c:scatterChart>
      <c:valAx>
        <c:axId val="193664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43855"/>
        <c:crosses val="autoZero"/>
        <c:crossBetween val="midCat"/>
      </c:valAx>
      <c:valAx>
        <c:axId val="1936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4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AssA vs DetA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71296141173844E-2"/>
          <c:y val="9.9065170940170935E-2"/>
          <c:w val="0.69944847950040723"/>
          <c:h val="0.80370377380712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'laptop metrics'!$A$2</c:f>
              <c:strCache>
                <c:ptCount val="1"/>
                <c:pt idx="0">
                  <c:v>baseline_v5s_sz640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'laptop metrics'!$C$2</c:f>
              <c:numCache>
                <c:formatCode>General</c:formatCode>
                <c:ptCount val="1"/>
                <c:pt idx="0">
                  <c:v>6.2885</c:v>
                </c:pt>
              </c:numCache>
            </c:numRef>
          </c:xVal>
          <c:yVal>
            <c:numRef>
              <c:f>'laptop metrics'!$D$2</c:f>
              <c:numCache>
                <c:formatCode>General</c:formatCode>
                <c:ptCount val="1"/>
                <c:pt idx="0">
                  <c:v>20.294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F6-417E-B567-F7292DBC292D}"/>
            </c:ext>
          </c:extLst>
        </c:ser>
        <c:ser>
          <c:idx val="1"/>
          <c:order val="1"/>
          <c:tx>
            <c:strRef>
              <c:f>'laptop metrics'!$A$3</c:f>
              <c:strCache>
                <c:ptCount val="1"/>
                <c:pt idx="0">
                  <c:v>baseline_v5s_sz960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'laptop metrics'!$C$3</c:f>
              <c:numCache>
                <c:formatCode>General</c:formatCode>
                <c:ptCount val="1"/>
                <c:pt idx="0">
                  <c:v>7.6776</c:v>
                </c:pt>
              </c:numCache>
            </c:numRef>
          </c:xVal>
          <c:yVal>
            <c:numRef>
              <c:f>'laptop metrics'!$D$3</c:f>
              <c:numCache>
                <c:formatCode>General</c:formatCode>
                <c:ptCount val="1"/>
                <c:pt idx="0">
                  <c:v>21.952000000000002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F6-417E-B567-F7292DBC292D}"/>
            </c:ext>
          </c:extLst>
        </c:ser>
        <c:ser>
          <c:idx val="2"/>
          <c:order val="2"/>
          <c:tx>
            <c:v>cocoVisdrone_640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('laptop metrics'!$C$4,'laptop metrics'!$C$6,'laptop metrics'!$C$8)</c:f>
              <c:numCache>
                <c:formatCode>General</c:formatCode>
                <c:ptCount val="3"/>
                <c:pt idx="0">
                  <c:v>19.379000000000001</c:v>
                </c:pt>
                <c:pt idx="1">
                  <c:v>19.509</c:v>
                </c:pt>
                <c:pt idx="2">
                  <c:v>19.919</c:v>
                </c:pt>
              </c:numCache>
            </c:numRef>
          </c:xVal>
          <c:yVal>
            <c:numRef>
              <c:f>('laptop metrics'!$D$4,'laptop metrics'!$D$6,'laptop metrics'!$D$8)</c:f>
              <c:numCache>
                <c:formatCode>General</c:formatCode>
                <c:ptCount val="3"/>
                <c:pt idx="0">
                  <c:v>25.404</c:v>
                </c:pt>
                <c:pt idx="1">
                  <c:v>25.254999999999999</c:v>
                </c:pt>
                <c:pt idx="2">
                  <c:v>25.547999999999998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F6-417E-B567-F7292DBC292D}"/>
            </c:ext>
          </c:extLst>
        </c:ser>
        <c:ser>
          <c:idx val="3"/>
          <c:order val="3"/>
          <c:tx>
            <c:v>cocoVisdrone_960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('laptop metrics'!$C$5,'laptop metrics'!$C$7,'laptop metrics'!$C$9)</c:f>
              <c:numCache>
                <c:formatCode>General</c:formatCode>
                <c:ptCount val="3"/>
                <c:pt idx="0">
                  <c:v>22.988</c:v>
                </c:pt>
                <c:pt idx="1">
                  <c:v>23.335000000000001</c:v>
                </c:pt>
                <c:pt idx="2">
                  <c:v>23.483000000000001</c:v>
                </c:pt>
              </c:numCache>
            </c:numRef>
          </c:xVal>
          <c:yVal>
            <c:numRef>
              <c:f>('laptop metrics'!$D$5,'laptop metrics'!$D$7,'laptop metrics'!$D$9)</c:f>
              <c:numCache>
                <c:formatCode>General</c:formatCode>
                <c:ptCount val="3"/>
                <c:pt idx="0">
                  <c:v>30.29</c:v>
                </c:pt>
                <c:pt idx="1">
                  <c:v>29.989000000000001</c:v>
                </c:pt>
                <c:pt idx="2">
                  <c:v>29.643999999999998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F6-417E-B567-F7292DBC292D}"/>
            </c:ext>
          </c:extLst>
        </c:ser>
        <c:ser>
          <c:idx val="4"/>
          <c:order val="4"/>
          <c:tx>
            <c:strRef>
              <c:f>'laptop metrics'!$A$10</c:f>
              <c:strCache>
                <c:ptCount val="1"/>
                <c:pt idx="0">
                  <c:v>mot_visdrone_sz960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'laptop metrics'!$C$10</c:f>
              <c:numCache>
                <c:formatCode>General</c:formatCode>
                <c:ptCount val="1"/>
                <c:pt idx="0">
                  <c:v>26.23</c:v>
                </c:pt>
              </c:numCache>
            </c:numRef>
          </c:xVal>
          <c:yVal>
            <c:numRef>
              <c:f>'laptop metrics'!$D$10</c:f>
              <c:numCache>
                <c:formatCode>General</c:formatCode>
                <c:ptCount val="1"/>
                <c:pt idx="0">
                  <c:v>30.652000000000001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F6-417E-B567-F7292DBC292D}"/>
            </c:ext>
          </c:extLst>
        </c:ser>
        <c:ser>
          <c:idx val="5"/>
          <c:order val="5"/>
          <c:tx>
            <c:strRef>
              <c:f>'laptop metrics'!$A$11</c:f>
              <c:strCache>
                <c:ptCount val="1"/>
                <c:pt idx="0">
                  <c:v>mot_visdrone_p234Batch20_sz960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'laptop metrics'!$C$11</c:f>
              <c:numCache>
                <c:formatCode>General</c:formatCode>
                <c:ptCount val="1"/>
                <c:pt idx="0">
                  <c:v>23.7</c:v>
                </c:pt>
              </c:numCache>
            </c:numRef>
          </c:xVal>
          <c:yVal>
            <c:numRef>
              <c:f>'laptop metrics'!$D$11</c:f>
              <c:numCache>
                <c:formatCode>General</c:formatCode>
                <c:ptCount val="1"/>
                <c:pt idx="0">
                  <c:v>28.779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F6-417E-B567-F7292DBC292D}"/>
            </c:ext>
          </c:extLst>
        </c:ser>
        <c:ser>
          <c:idx val="6"/>
          <c:order val="6"/>
          <c:tx>
            <c:strRef>
              <c:f>'laptop metrics'!$A$12</c:f>
              <c:strCache>
                <c:ptCount val="1"/>
                <c:pt idx="0">
                  <c:v>yolov5s_motVisdrone_fpn234_sz960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'laptop metrics'!$C$12</c:f>
              <c:numCache>
                <c:formatCode>General</c:formatCode>
                <c:ptCount val="1"/>
                <c:pt idx="0">
                  <c:v>22.181999999999999</c:v>
                </c:pt>
              </c:numCache>
            </c:numRef>
          </c:xVal>
          <c:yVal>
            <c:numRef>
              <c:f>'laptop metrics'!$D$12</c:f>
              <c:numCache>
                <c:formatCode>General</c:formatCode>
                <c:ptCount val="1"/>
                <c:pt idx="0">
                  <c:v>25.568000000000001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F6-417E-B567-F7292DBC292D}"/>
            </c:ext>
          </c:extLst>
        </c:ser>
        <c:ser>
          <c:idx val="7"/>
          <c:order val="7"/>
          <c:tx>
            <c:strRef>
              <c:f>'laptop metrics'!$A$13</c:f>
              <c:strCache>
                <c:ptCount val="1"/>
                <c:pt idx="0">
                  <c:v>visdrone_yolov5s_sz960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'laptop metrics'!$C$13</c:f>
              <c:numCache>
                <c:formatCode>General</c:formatCode>
                <c:ptCount val="1"/>
                <c:pt idx="0">
                  <c:v>25.56</c:v>
                </c:pt>
              </c:numCache>
            </c:numRef>
          </c:xVal>
          <c:yVal>
            <c:numRef>
              <c:f>'laptop metrics'!$D$13</c:f>
              <c:numCache>
                <c:formatCode>General</c:formatCode>
                <c:ptCount val="1"/>
                <c:pt idx="0">
                  <c:v>28.87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F6-417E-B567-F7292DBC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5391"/>
        <c:axId val="81613727"/>
      </c:scatterChart>
      <c:valAx>
        <c:axId val="81615391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3727"/>
        <c:crosses val="autoZero"/>
        <c:crossBetween val="midCat"/>
      </c:valAx>
      <c:valAx>
        <c:axId val="81613727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AssA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>
                <a:latin typeface="Trebuchet MS" panose="020B0603020202020204" pitchFamily="34" charset="0"/>
              </a:rPr>
              <a:t>combined and focal loss comparisons</a:t>
            </a:r>
            <a:endParaRPr lang="en-SG">
              <a:latin typeface="Trebuchet MS" panose="020B06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152400" cap="sq">
                <a:solidFill>
                  <a:schemeClr val="accent1"/>
                </a:solidFill>
                <a:miter lim="800000"/>
              </a:ln>
              <a:effectLst/>
            </c:spPr>
          </c:marker>
          <c:xVal>
            <c:numRef>
              <c:f>'agx metrics'!$B$2</c:f>
              <c:numCache>
                <c:formatCode>General</c:formatCode>
                <c:ptCount val="1"/>
                <c:pt idx="0">
                  <c:v>9.9126448175453827</c:v>
                </c:pt>
              </c:numCache>
            </c:numRef>
          </c:xVal>
          <c:yVal>
            <c:numRef>
              <c:f>'agx metrics'!$C$2</c:f>
              <c:numCache>
                <c:formatCode>General</c:formatCode>
                <c:ptCount val="1"/>
                <c:pt idx="0">
                  <c:v>15.398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1-4E45-89D1-0B65D881D584}"/>
            </c:ext>
          </c:extLst>
        </c:ser>
        <c:ser>
          <c:idx val="2"/>
          <c:order val="2"/>
          <c:tx>
            <c:v>motvisdrone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152400" cap="sq">
                <a:solidFill>
                  <a:schemeClr val="accent3"/>
                </a:solidFill>
                <a:miter lim="800000"/>
              </a:ln>
              <a:effectLst/>
            </c:spPr>
          </c:marker>
          <c:xVal>
            <c:numRef>
              <c:f>'agx metrics'!$B$10</c:f>
              <c:numCache>
                <c:formatCode>General</c:formatCode>
                <c:ptCount val="1"/>
                <c:pt idx="0">
                  <c:v>3.2709134025676674</c:v>
                </c:pt>
              </c:numCache>
            </c:numRef>
          </c:xVal>
          <c:yVal>
            <c:numRef>
              <c:f>'agx metrics'!$C$10</c:f>
              <c:numCache>
                <c:formatCode>General</c:formatCode>
                <c:ptCount val="1"/>
                <c:pt idx="0">
                  <c:v>27.79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F1-4E45-89D1-0B65D881D584}"/>
            </c:ext>
          </c:extLst>
        </c:ser>
        <c:ser>
          <c:idx val="6"/>
          <c:order val="6"/>
          <c:tx>
            <c:v>motvisdrone_Tanh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2400" cap="sq">
                <a:solidFill>
                  <a:schemeClr val="accent1">
                    <a:lumMod val="6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metrics'!$B$15</c:f>
              <c:numCache>
                <c:formatCode>General</c:formatCode>
                <c:ptCount val="1"/>
                <c:pt idx="0">
                  <c:v>3.1899198532636865</c:v>
                </c:pt>
              </c:numCache>
            </c:numRef>
          </c:xVal>
          <c:yVal>
            <c:numRef>
              <c:f>'agx metrics'!$C$15</c:f>
              <c:numCache>
                <c:formatCode>General</c:formatCode>
                <c:ptCount val="1"/>
                <c:pt idx="0">
                  <c:v>27.227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F1-4E45-89D1-0B65D881D584}"/>
            </c:ext>
          </c:extLst>
        </c:ser>
        <c:ser>
          <c:idx val="7"/>
          <c:order val="7"/>
          <c:tx>
            <c:v>motvisdrone_LReLU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noFill/>
              <a:ln w="152400" cap="sq" cmpd="sng">
                <a:solidFill>
                  <a:schemeClr val="accent2">
                    <a:lumMod val="6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metrics'!$B$16</c:f>
              <c:numCache>
                <c:formatCode>General</c:formatCode>
                <c:ptCount val="1"/>
                <c:pt idx="0">
                  <c:v>3.2753326509723646</c:v>
                </c:pt>
              </c:numCache>
            </c:numRef>
          </c:xVal>
          <c:yVal>
            <c:numRef>
              <c:f>'agx metrics'!$C$16</c:f>
              <c:numCache>
                <c:formatCode>General</c:formatCode>
                <c:ptCount val="1"/>
                <c:pt idx="0">
                  <c:v>28.094000000000001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F1-4E45-89D1-0B65D881D584}"/>
            </c:ext>
          </c:extLst>
        </c:ser>
        <c:ser>
          <c:idx val="8"/>
          <c:order val="8"/>
          <c:tx>
            <c:v>motvisdrone_lr0.02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152400" cap="sq">
                <a:solidFill>
                  <a:schemeClr val="accent3">
                    <a:lumMod val="6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metrics'!$B$17</c:f>
              <c:numCache>
                <c:formatCode>General</c:formatCode>
                <c:ptCount val="1"/>
                <c:pt idx="0">
                  <c:v>3.2766070733755193</c:v>
                </c:pt>
              </c:numCache>
            </c:numRef>
          </c:xVal>
          <c:yVal>
            <c:numRef>
              <c:f>'agx metrics'!$C$17</c:f>
              <c:numCache>
                <c:formatCode>General</c:formatCode>
                <c:ptCount val="1"/>
                <c:pt idx="0">
                  <c:v>28.751000000000001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F1-4E45-89D1-0B65D881D584}"/>
            </c:ext>
          </c:extLst>
        </c:ser>
        <c:ser>
          <c:idx val="9"/>
          <c:order val="9"/>
          <c:tx>
            <c:v>motvisdrone_P234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152400" cap="sq">
                <a:solidFill>
                  <a:schemeClr val="accent4">
                    <a:lumMod val="6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metrics'!$B$20</c:f>
              <c:numCache>
                <c:formatCode>General</c:formatCode>
                <c:ptCount val="1"/>
                <c:pt idx="0">
                  <c:v>3.1649325473750842</c:v>
                </c:pt>
              </c:numCache>
            </c:numRef>
          </c:xVal>
          <c:yVal>
            <c:numRef>
              <c:f>'agx metrics'!$C$20</c:f>
              <c:numCache>
                <c:formatCode>General</c:formatCode>
                <c:ptCount val="1"/>
                <c:pt idx="0">
                  <c:v>25.661999999999999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F1-4E45-89D1-0B65D881D584}"/>
            </c:ext>
          </c:extLst>
        </c:ser>
        <c:ser>
          <c:idx val="10"/>
          <c:order val="10"/>
          <c:tx>
            <c:v>visdrone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152400" cap="sq">
                <a:solidFill>
                  <a:schemeClr val="accent5">
                    <a:lumMod val="6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metrics'!$B$30</c:f>
              <c:numCache>
                <c:formatCode>General</c:formatCode>
                <c:ptCount val="1"/>
                <c:pt idx="0">
                  <c:v>2.8374328326446649</c:v>
                </c:pt>
              </c:numCache>
            </c:numRef>
          </c:xVal>
          <c:yVal>
            <c:numRef>
              <c:f>'agx metrics'!$C$30</c:f>
              <c:numCache>
                <c:formatCode>General</c:formatCode>
                <c:ptCount val="1"/>
                <c:pt idx="0">
                  <c:v>26.863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F1-4E45-89D1-0B65D881D584}"/>
            </c:ext>
          </c:extLst>
        </c:ser>
        <c:ser>
          <c:idx val="11"/>
          <c:order val="11"/>
          <c:tx>
            <c:v>baseline_15W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152400" cap="sq">
                <a:solidFill>
                  <a:schemeClr val="accent6">
                    <a:lumMod val="6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metrics'!$B$3</c:f>
              <c:numCache>
                <c:formatCode>General</c:formatCode>
                <c:ptCount val="1"/>
                <c:pt idx="0">
                  <c:v>6.9138363149252431</c:v>
                </c:pt>
              </c:numCache>
            </c:numRef>
          </c:xVal>
          <c:yVal>
            <c:numRef>
              <c:f>'agx metrics'!$C$3</c:f>
              <c:numCache>
                <c:formatCode>General</c:formatCode>
                <c:ptCount val="1"/>
                <c:pt idx="0">
                  <c:v>15.398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F1-4E45-89D1-0B65D881D584}"/>
            </c:ext>
          </c:extLst>
        </c:ser>
        <c:ser>
          <c:idx val="12"/>
          <c:order val="12"/>
          <c:tx>
            <c:v>baseline_noHalf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2400" cap="sq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x"/>
              <c:size val="6"/>
              <c:spPr>
                <a:noFill/>
                <a:ln w="152400" cap="sq">
                  <a:solidFill>
                    <a:schemeClr val="accent1">
                      <a:lumMod val="80000"/>
                      <a:lumOff val="20000"/>
                    </a:schemeClr>
                  </a:solidFill>
                  <a:miter lim="800000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5F1-4E45-89D1-0B65D881D584}"/>
              </c:ext>
            </c:extLst>
          </c:dPt>
          <c:xVal>
            <c:numRef>
              <c:f>'agx metrics'!$B$4</c:f>
              <c:numCache>
                <c:formatCode>General</c:formatCode>
                <c:ptCount val="1"/>
                <c:pt idx="0">
                  <c:v>9.1575091575091569</c:v>
                </c:pt>
              </c:numCache>
            </c:numRef>
          </c:xVal>
          <c:yVal>
            <c:numRef>
              <c:f>'agx metrics'!$C$4</c:f>
              <c:numCache>
                <c:formatCode>General</c:formatCode>
                <c:ptCount val="1"/>
                <c:pt idx="0">
                  <c:v>15.429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F1-4E45-89D1-0B65D881D584}"/>
            </c:ext>
          </c:extLst>
        </c:ser>
        <c:ser>
          <c:idx val="13"/>
          <c:order val="13"/>
          <c:tx>
            <c:v>cocovisdrone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2400" cap="sq">
                <a:solidFill>
                  <a:schemeClr val="accent2">
                    <a:lumMod val="80000"/>
                    <a:lumOff val="2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metrics'!$B$8</c:f>
              <c:numCache>
                <c:formatCode>General</c:formatCode>
                <c:ptCount val="1"/>
                <c:pt idx="0">
                  <c:v>3.8634278263389192</c:v>
                </c:pt>
              </c:numCache>
            </c:numRef>
          </c:xVal>
          <c:yVal>
            <c:numRef>
              <c:f>'agx metrics'!$C$8</c:f>
              <c:numCache>
                <c:formatCode>General</c:formatCode>
                <c:ptCount val="1"/>
                <c:pt idx="0">
                  <c:v>26.274999999999999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5F1-4E45-89D1-0B65D881D584}"/>
            </c:ext>
          </c:extLst>
        </c:ser>
        <c:ser>
          <c:idx val="14"/>
          <c:order val="14"/>
          <c:tx>
            <c:v>motvisdrone_FPN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152400" cap="sq">
                <a:solidFill>
                  <a:schemeClr val="accent3">
                    <a:lumMod val="80000"/>
                    <a:lumOff val="2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metrics'!$B$21</c:f>
              <c:numCache>
                <c:formatCode>General</c:formatCode>
                <c:ptCount val="1"/>
                <c:pt idx="0">
                  <c:v>3.3496629401666458</c:v>
                </c:pt>
              </c:numCache>
            </c:numRef>
          </c:xVal>
          <c:yVal>
            <c:numRef>
              <c:f>'agx metrics'!$C$21</c:f>
              <c:numCache>
                <c:formatCode>General</c:formatCode>
                <c:ptCount val="1"/>
                <c:pt idx="0">
                  <c:v>26.49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5F1-4E45-89D1-0B65D881D584}"/>
            </c:ext>
          </c:extLst>
        </c:ser>
        <c:ser>
          <c:idx val="15"/>
          <c:order val="15"/>
          <c:tx>
            <c:v>motvisdrone_combined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2400" cap="sq">
                <a:solidFill>
                  <a:schemeClr val="accent4">
                    <a:lumMod val="80000"/>
                    <a:lumOff val="2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metrics'!$B$18</c:f>
              <c:numCache>
                <c:formatCode>General</c:formatCode>
                <c:ptCount val="1"/>
                <c:pt idx="0">
                  <c:v>3.283533081595797</c:v>
                </c:pt>
              </c:numCache>
            </c:numRef>
          </c:xVal>
          <c:yVal>
            <c:numRef>
              <c:f>'agx metrics'!$C$18</c:f>
              <c:numCache>
                <c:formatCode>General</c:formatCode>
                <c:ptCount val="1"/>
                <c:pt idx="0">
                  <c:v>27.843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5F1-4E45-89D1-0B65D881D584}"/>
            </c:ext>
          </c:extLst>
        </c:ser>
        <c:ser>
          <c:idx val="16"/>
          <c:order val="16"/>
          <c:tx>
            <c:v>motvisdrone_combined_Focal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152400" cap="sq">
                <a:solidFill>
                  <a:schemeClr val="accent5">
                    <a:lumMod val="80000"/>
                    <a:lumOff val="2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metrics'!$B$19</c:f>
              <c:numCache>
                <c:formatCode>General</c:formatCode>
                <c:ptCount val="1"/>
                <c:pt idx="0">
                  <c:v>4.1825691430961465</c:v>
                </c:pt>
              </c:numCache>
            </c:numRef>
          </c:xVal>
          <c:yVal>
            <c:numRef>
              <c:f>'agx metrics'!$C$19</c:f>
              <c:numCache>
                <c:formatCode>General</c:formatCode>
                <c:ptCount val="1"/>
                <c:pt idx="0">
                  <c:v>24.914000000000001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5F1-4E45-89D1-0B65D881D584}"/>
            </c:ext>
          </c:extLst>
        </c:ser>
        <c:ser>
          <c:idx val="17"/>
          <c:order val="17"/>
          <c:tx>
            <c:v>motvisdrone_lr0.02_osnet_ain_x1_0_MSMT17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152400" cap="sq">
                <a:solidFill>
                  <a:schemeClr val="accent6">
                    <a:lumMod val="80000"/>
                    <a:lumOff val="2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metrics'!$B$24</c:f>
              <c:numCache>
                <c:formatCode>General</c:formatCode>
                <c:ptCount val="1"/>
                <c:pt idx="0">
                  <c:v>3.3116009520852736</c:v>
                </c:pt>
              </c:numCache>
            </c:numRef>
          </c:xVal>
          <c:yVal>
            <c:numRef>
              <c:f>'agx metrics'!$C$24</c:f>
              <c:numCache>
                <c:formatCode>General</c:formatCode>
                <c:ptCount val="1"/>
                <c:pt idx="0">
                  <c:v>28.751000000000001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5F1-4E45-89D1-0B65D881D584}"/>
            </c:ext>
          </c:extLst>
        </c:ser>
        <c:ser>
          <c:idx val="18"/>
          <c:order val="18"/>
          <c:tx>
            <c:v>motvisdrone_lr0.02_osnet_x0_25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152400" cap="sq">
                <a:solidFill>
                  <a:schemeClr val="accent1">
                    <a:lumMod val="80000"/>
                  </a:schemeClr>
                </a:solidFill>
                <a:miter lim="800000"/>
              </a:ln>
              <a:effectLst/>
            </c:spPr>
          </c:marker>
          <c:xVal>
            <c:numRef>
              <c:f>'agx metrics'!$B$23</c:f>
              <c:numCache>
                <c:formatCode>General</c:formatCode>
                <c:ptCount val="1"/>
                <c:pt idx="0">
                  <c:v>4.6029919447640975</c:v>
                </c:pt>
              </c:numCache>
            </c:numRef>
          </c:xVal>
          <c:yVal>
            <c:numRef>
              <c:f>'agx metrics'!$C$23</c:f>
              <c:numCache>
                <c:formatCode>General</c:formatCode>
                <c:ptCount val="1"/>
                <c:pt idx="0">
                  <c:v>28.751000000000001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5F1-4E45-89D1-0B65D881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33887"/>
        <c:axId val="5347334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'agx metrics'!$A$6</c15:sqref>
                        </c15:formulaRef>
                      </c:ext>
                    </c:extLst>
                    <c:strCache>
                      <c:ptCount val="1"/>
                      <c:pt idx="0">
                        <c:v>coco_visdrone_150_sz960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'agx metrics'!$B$6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3.9945075521158411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'agx metrics'!$C$6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25.893999999999998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5F1-4E45-89D1-0B65D881D58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'agx metrics'!$A$12</c15:sqref>
                        </c15:formulaRef>
                      </c:ext>
                    </c:extLst>
                    <c:strCache>
                      <c:ptCount val="1"/>
                      <c:pt idx="0">
                        <c:v>mot_visdrone_sz960_osnet_x0_25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'agx metrics'!$B$12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4.6029919447640975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'agx metrics'!$C$12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F1-4E45-89D1-0B65D881D58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'agx metrics'!$A$13</c15:sqref>
                        </c15:formulaRef>
                      </c:ext>
                    </c:extLst>
                    <c:strCache>
                      <c:ptCount val="1"/>
                      <c:pt idx="0">
                        <c:v>mot_visdrone_sz960_mobilenetv2_x1_0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'agx metrics'!$B$13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4.4112376278569654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'agx metrics'!$C$13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F1-4E45-89D1-0B65D881D58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'agx metrics'!$A$14</c15:sqref>
                        </c15:formulaRef>
                      </c:ext>
                    </c:extLst>
                    <c:strCache>
                      <c:ptCount val="1"/>
                      <c:pt idx="0">
                        <c:v>mot_visdrone_sz960_osnet_ain_x1_0_MSMT17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'agx metrics'!$B$14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3.314138945275281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'agx metrics'!$C$14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F1-4E45-89D1-0B65D881D584}"/>
                  </c:ext>
                </c:extLst>
              </c15:ser>
            </c15:filteredScatterSeries>
          </c:ext>
        </c:extLst>
      </c:scatterChart>
      <c:valAx>
        <c:axId val="5347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3471"/>
        <c:crosses val="autoZero"/>
        <c:crossBetween val="midCat"/>
      </c:valAx>
      <c:valAx>
        <c:axId val="534733471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HOTA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VisDrone-MOT2020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E-4234-B6E8-78D4C1A74D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10-48E0-9D73-3C16512280C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VisDrone-MOT2021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C3-4C9D-AF6E-FD420F47626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C3-4C9D-AF6E-FD420F4762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Sheet1!$A$7:$B$7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3-4C9D-AF6E-FD420F47626B}"/>
            </c:ext>
          </c:extLst>
        </c:ser>
        <c:ser>
          <c:idx val="0"/>
          <c:order val="1"/>
          <c:tx>
            <c:v>VisDrone-MOT2021</c:v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60-478B-9050-80614A2B6C5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C3-4C9D-AF6E-FD420F4762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Sheet1!$A$6:$B$6</c:f>
              <c:numCache>
                <c:formatCode>General</c:formatCode>
                <c:ptCount val="2"/>
                <c:pt idx="0">
                  <c:v>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3-4C9D-AF6E-FD420F4762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</xdr:row>
      <xdr:rowOff>45720</xdr:rowOff>
    </xdr:from>
    <xdr:to>
      <xdr:col>21</xdr:col>
      <xdr:colOff>411480</xdr:colOff>
      <xdr:row>29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71B45-0A32-4348-89A9-0E7F54EFF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30</xdr:row>
      <xdr:rowOff>38100</xdr:rowOff>
    </xdr:from>
    <xdr:to>
      <xdr:col>21</xdr:col>
      <xdr:colOff>365760</xdr:colOff>
      <xdr:row>57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DB338-0E71-4314-A5E5-2C1B2407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1440180</xdr:colOff>
      <xdr:row>31</xdr:row>
      <xdr:rowOff>0</xdr:rowOff>
    </xdr:from>
    <xdr:to>
      <xdr:col>14</xdr:col>
      <xdr:colOff>419100</xdr:colOff>
      <xdr:row>88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411C6-11CC-4480-9CD4-07A7C96B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129540</xdr:rowOff>
    </xdr:from>
    <xdr:to>
      <xdr:col>13</xdr:col>
      <xdr:colOff>533400</xdr:colOff>
      <xdr:row>22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BF853-2B83-3CBA-015C-DE17F752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297180</xdr:colOff>
      <xdr:row>8</xdr:row>
      <xdr:rowOff>45720</xdr:rowOff>
    </xdr:from>
    <xdr:to>
      <xdr:col>21</xdr:col>
      <xdr:colOff>601980</xdr:colOff>
      <xdr:row>23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9AF93D-9E8E-97FB-A90A-8C4B9AB20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48E0-21AF-455A-9367-6D6753FD8DCF}">
  <dimension ref="A1:F13"/>
  <sheetViews>
    <sheetView workbookViewId="0">
      <selection activeCell="A9" sqref="A9"/>
    </sheetView>
  </sheetViews>
  <sheetFormatPr defaultRowHeight="14.4" x14ac:dyDescent="0.3"/>
  <cols>
    <col min="1" max="1" width="31.44140625" bestFit="1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2</v>
      </c>
      <c r="E1" t="s">
        <v>14</v>
      </c>
    </row>
    <row r="2" spans="1:6" x14ac:dyDescent="0.3">
      <c r="A2" t="s">
        <v>3</v>
      </c>
      <c r="B2">
        <v>11.16</v>
      </c>
      <c r="C2">
        <v>6.2885</v>
      </c>
      <c r="D2">
        <v>20.294</v>
      </c>
      <c r="E2">
        <v>77.457999999999998</v>
      </c>
    </row>
    <row r="3" spans="1:6" x14ac:dyDescent="0.3">
      <c r="A3" t="s">
        <v>5</v>
      </c>
      <c r="B3">
        <v>12.833</v>
      </c>
      <c r="C3">
        <v>7.6776</v>
      </c>
      <c r="D3">
        <v>21.952000000000002</v>
      </c>
      <c r="E3">
        <v>76.543000000000006</v>
      </c>
      <c r="F3" s="1"/>
    </row>
    <row r="4" spans="1:6" x14ac:dyDescent="0.3">
      <c r="A4" t="s">
        <v>6</v>
      </c>
      <c r="B4">
        <v>21.782</v>
      </c>
      <c r="C4">
        <v>19.379000000000001</v>
      </c>
      <c r="D4">
        <v>25.404</v>
      </c>
      <c r="E4">
        <v>75.11</v>
      </c>
    </row>
    <row r="5" spans="1:6" x14ac:dyDescent="0.3">
      <c r="A5" t="s">
        <v>7</v>
      </c>
      <c r="B5">
        <v>25.931000000000001</v>
      </c>
      <c r="C5">
        <v>22.988</v>
      </c>
      <c r="D5">
        <v>30.29</v>
      </c>
      <c r="E5">
        <v>74.995999999999995</v>
      </c>
    </row>
    <row r="6" spans="1:6" x14ac:dyDescent="0.3">
      <c r="A6" t="s">
        <v>8</v>
      </c>
      <c r="B6">
        <v>21.760999999999999</v>
      </c>
      <c r="C6">
        <v>19.509</v>
      </c>
      <c r="D6">
        <v>25.254999999999999</v>
      </c>
      <c r="E6">
        <v>75.106999999999999</v>
      </c>
    </row>
    <row r="7" spans="1:6" x14ac:dyDescent="0.3">
      <c r="A7" t="s">
        <v>9</v>
      </c>
      <c r="B7">
        <v>26.003</v>
      </c>
      <c r="C7">
        <v>23.335000000000001</v>
      </c>
      <c r="D7">
        <v>29.989000000000001</v>
      </c>
      <c r="E7">
        <v>75.057000000000002</v>
      </c>
      <c r="F7" s="1"/>
    </row>
    <row r="8" spans="1:6" x14ac:dyDescent="0.3">
      <c r="A8" t="s">
        <v>10</v>
      </c>
      <c r="B8">
        <v>22.126000000000001</v>
      </c>
      <c r="C8">
        <v>19.919</v>
      </c>
      <c r="D8">
        <v>25.547999999999998</v>
      </c>
      <c r="E8">
        <v>75.102000000000004</v>
      </c>
    </row>
    <row r="9" spans="1:6" x14ac:dyDescent="0.3">
      <c r="A9" t="s">
        <v>11</v>
      </c>
      <c r="B9">
        <v>25.937999999999999</v>
      </c>
      <c r="C9">
        <v>23.483000000000001</v>
      </c>
      <c r="D9">
        <v>29.643999999999998</v>
      </c>
      <c r="E9">
        <v>75.033000000000001</v>
      </c>
    </row>
    <row r="10" spans="1:6" x14ac:dyDescent="0.3">
      <c r="A10" t="s">
        <v>13</v>
      </c>
      <c r="B10">
        <v>27.829000000000001</v>
      </c>
      <c r="C10">
        <v>26.23</v>
      </c>
      <c r="D10">
        <v>30.652000000000001</v>
      </c>
      <c r="E10">
        <v>74.665000000000006</v>
      </c>
      <c r="F10" s="1"/>
    </row>
    <row r="11" spans="1:6" x14ac:dyDescent="0.3">
      <c r="A11" t="s">
        <v>12</v>
      </c>
      <c r="B11">
        <v>25.608000000000001</v>
      </c>
      <c r="C11">
        <v>23.7</v>
      </c>
      <c r="D11">
        <v>28.779</v>
      </c>
      <c r="E11">
        <v>74.552999999999997</v>
      </c>
      <c r="F11" s="1"/>
    </row>
    <row r="12" spans="1:6" x14ac:dyDescent="0.3">
      <c r="A12" t="s">
        <v>15</v>
      </c>
      <c r="B12">
        <v>23.358000000000001</v>
      </c>
      <c r="C12">
        <v>22.181999999999999</v>
      </c>
      <c r="D12">
        <v>25.568000000000001</v>
      </c>
      <c r="E12">
        <v>74.680999999999997</v>
      </c>
      <c r="F12" s="7"/>
    </row>
    <row r="13" spans="1:6" x14ac:dyDescent="0.3">
      <c r="A13" t="s">
        <v>16</v>
      </c>
      <c r="B13">
        <v>26.815000000000001</v>
      </c>
      <c r="C13">
        <v>25.56</v>
      </c>
      <c r="D13">
        <v>28.87</v>
      </c>
      <c r="E13">
        <v>73.944999999999993</v>
      </c>
      <c r="F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543B-34B7-4747-8059-7377F40F2CCD}">
  <dimension ref="A1:V25"/>
  <sheetViews>
    <sheetView workbookViewId="0">
      <pane xSplit="1" topLeftCell="G1" activePane="topRight" state="frozen"/>
      <selection pane="topRight" activeCell="J19" sqref="J19"/>
    </sheetView>
  </sheetViews>
  <sheetFormatPr defaultRowHeight="14.4" x14ac:dyDescent="0.3"/>
  <cols>
    <col min="1" max="1" width="18.5546875" bestFit="1" customWidth="1"/>
    <col min="2" max="3" width="29.21875" bestFit="1" customWidth="1"/>
    <col min="4" max="4" width="30" bestFit="1" customWidth="1"/>
    <col min="5" max="6" width="22.77734375" bestFit="1" customWidth="1"/>
    <col min="7" max="7" width="22.77734375" customWidth="1"/>
    <col min="8" max="8" width="18" bestFit="1" customWidth="1"/>
    <col min="9" max="9" width="19" bestFit="1" customWidth="1"/>
    <col min="10" max="10" width="24.5546875" bestFit="1" customWidth="1"/>
    <col min="11" max="11" width="22.33203125" bestFit="1" customWidth="1"/>
    <col min="12" max="12" width="28.5546875" bestFit="1" customWidth="1"/>
    <col min="13" max="18" width="28.5546875" customWidth="1"/>
    <col min="19" max="19" width="30" bestFit="1" customWidth="1"/>
    <col min="20" max="20" width="30" customWidth="1"/>
    <col min="21" max="21" width="30" bestFit="1" customWidth="1"/>
    <col min="22" max="22" width="20.88671875" bestFit="1" customWidth="1"/>
  </cols>
  <sheetData>
    <row r="1" spans="1:22" x14ac:dyDescent="0.3">
      <c r="A1" t="s">
        <v>33</v>
      </c>
      <c r="B1" t="s">
        <v>19</v>
      </c>
      <c r="C1" t="s">
        <v>20</v>
      </c>
      <c r="D1" t="s">
        <v>21</v>
      </c>
      <c r="E1" t="s">
        <v>9</v>
      </c>
      <c r="F1" t="s">
        <v>9</v>
      </c>
      <c r="G1" t="s">
        <v>103</v>
      </c>
      <c r="H1" t="s">
        <v>13</v>
      </c>
      <c r="I1" t="s">
        <v>13</v>
      </c>
      <c r="J1" t="s">
        <v>13</v>
      </c>
      <c r="K1" t="s">
        <v>13</v>
      </c>
      <c r="L1" t="s">
        <v>13</v>
      </c>
      <c r="M1" t="s">
        <v>38</v>
      </c>
      <c r="N1" t="s">
        <v>39</v>
      </c>
      <c r="O1" t="s">
        <v>40</v>
      </c>
      <c r="P1" t="s">
        <v>40</v>
      </c>
      <c r="Q1" t="s">
        <v>101</v>
      </c>
      <c r="R1" t="s">
        <v>101</v>
      </c>
      <c r="S1" t="s">
        <v>12</v>
      </c>
      <c r="T1" t="s">
        <v>99</v>
      </c>
      <c r="U1" t="s">
        <v>16</v>
      </c>
    </row>
    <row r="2" spans="1:22" x14ac:dyDescent="0.3">
      <c r="A2" t="s">
        <v>32</v>
      </c>
      <c r="B2" s="2">
        <f>1.2+27.8+3.2+28</f>
        <v>60.2</v>
      </c>
      <c r="C2" s="2">
        <f>1.5+45.1+4+28.8</f>
        <v>79.400000000000006</v>
      </c>
      <c r="D2" s="2">
        <f>1.2+38.5+3.1+24.5</f>
        <v>67.300000000000011</v>
      </c>
      <c r="E2" s="2">
        <f>1.2+26.1+3+105.1</f>
        <v>135.4</v>
      </c>
      <c r="F2" s="2">
        <f>1.2+26.6+3.1+105.7</f>
        <v>136.6</v>
      </c>
      <c r="G2" s="2">
        <f>1.3+27.5+3.9+129.5</f>
        <v>162.19999999999999</v>
      </c>
      <c r="H2" s="2">
        <f>1.2+31.3+3.2+148.3</f>
        <v>184</v>
      </c>
      <c r="I2" s="2">
        <f>1.2+25+3.1+143.9</f>
        <v>173.20000000000002</v>
      </c>
      <c r="J2" s="2">
        <f>1.2+25.7+3.5+102.7</f>
        <v>133.1</v>
      </c>
      <c r="K2" s="2">
        <f>1.2+24.7+3.4+96.4</f>
        <v>125.7</v>
      </c>
      <c r="L2" s="2">
        <f>1.2+25.4+3.6+146.1</f>
        <v>176.29999999999998</v>
      </c>
      <c r="M2" s="2">
        <f>1.3+29.3+3.9+176.9</f>
        <v>211.4</v>
      </c>
      <c r="N2" s="2">
        <f>1.2+26.3+3.8+149.4</f>
        <v>180.70000000000002</v>
      </c>
      <c r="O2" s="2">
        <f>1.3+25.7+3.6+146.8</f>
        <v>177.4</v>
      </c>
      <c r="P2" s="2">
        <f>1.2+25.4+3.5+145.6</f>
        <v>175.7</v>
      </c>
      <c r="Q2" s="2">
        <f>1.3+26.2+3.5+161.6</f>
        <v>192.6</v>
      </c>
      <c r="R2" s="2">
        <f>1.2+24.5+3.5+111.1</f>
        <v>140.29999999999998</v>
      </c>
      <c r="S2" s="2">
        <f>1.3+28.7+3.8+185.1</f>
        <v>218.89999999999998</v>
      </c>
      <c r="T2" s="2">
        <f>1.2+28+4+165.6</f>
        <v>198.8</v>
      </c>
      <c r="U2" s="2">
        <f>1.2+24.4+3.2+176.5</f>
        <v>205.3</v>
      </c>
      <c r="V2" s="2"/>
    </row>
    <row r="3" spans="1:22" x14ac:dyDescent="0.3">
      <c r="A3" t="s">
        <v>86</v>
      </c>
      <c r="B3" s="2">
        <f>1.2+24.9+3.5+122.3</f>
        <v>151.9</v>
      </c>
      <c r="C3" s="2">
        <f>1.6+44.8+4.7+176</f>
        <v>227.1</v>
      </c>
      <c r="D3" s="2">
        <f>1.2+38+3.6+114.8</f>
        <v>157.6</v>
      </c>
      <c r="E3" s="2">
        <f>1.2+23.3+3.2+302.3</f>
        <v>330</v>
      </c>
      <c r="F3" s="2">
        <f>1.2+23.1+3.1+302.9</f>
        <v>330.29999999999995</v>
      </c>
      <c r="G3" s="2">
        <f>1.2+24+3.3+322.6</f>
        <v>351.1</v>
      </c>
      <c r="H3" s="2">
        <f>1.2+23.7+3.1+410.7</f>
        <v>438.7</v>
      </c>
      <c r="I3" s="2">
        <f>1.2+23.1+3.1+396.6</f>
        <v>424</v>
      </c>
      <c r="J3" s="2">
        <f>1.3+25.6+3.5+283.7</f>
        <v>314.09999999999997</v>
      </c>
      <c r="K3" s="2">
        <f>1.2+23.4+3.5+291.3</f>
        <v>319.40000000000003</v>
      </c>
      <c r="L3" s="2">
        <f>1.2+23.9+3.7+404.6</f>
        <v>433.40000000000003</v>
      </c>
      <c r="M3" s="2">
        <f>1.3+27.3+3.5+419.3</f>
        <v>451.40000000000003</v>
      </c>
      <c r="N3" s="2">
        <f>1.2+22.6+3.6+364.2</f>
        <v>391.59999999999997</v>
      </c>
      <c r="O3" s="2">
        <f>1.2+24+3.5+364</f>
        <v>392.7</v>
      </c>
      <c r="P3" s="2">
        <f>1.1+23+3.7+356.9</f>
        <v>384.7</v>
      </c>
      <c r="Q3" s="2">
        <f>1.2+24.7+3.4+394.8</f>
        <v>424.1</v>
      </c>
      <c r="R3" s="2">
        <f>1.2+22.8+3.7+310.3</f>
        <v>338</v>
      </c>
      <c r="S3" s="2">
        <f>1.2+27.8+3.8+451.7</f>
        <v>484.5</v>
      </c>
      <c r="T3" s="2">
        <f>1.2+25.6+3.9+379.5</f>
        <v>410.2</v>
      </c>
      <c r="U3" s="2">
        <f>1.2+23+3.2+424.1</f>
        <v>451.5</v>
      </c>
      <c r="V3" s="2"/>
    </row>
    <row r="4" spans="1:22" x14ac:dyDescent="0.3">
      <c r="A4" t="s">
        <v>87</v>
      </c>
      <c r="B4" s="2">
        <f>1.2+24.4+3.5+184.7</f>
        <v>213.79999999999998</v>
      </c>
      <c r="C4" s="2">
        <f>1.6+45+4.8+266</f>
        <v>317.39999999999998</v>
      </c>
      <c r="D4" s="2">
        <f>1.2+37.8+3.8+176</f>
        <v>218.8</v>
      </c>
      <c r="E4" s="2">
        <f>1.2+23.8+3.2+367.5</f>
        <v>395.7</v>
      </c>
      <c r="F4" s="2">
        <f>1.2+23.2+3.2+362.1</f>
        <v>389.70000000000005</v>
      </c>
      <c r="G4" s="2">
        <f>1.2+23.5+3.4+370.7</f>
        <v>398.8</v>
      </c>
      <c r="H4" s="2">
        <f>1.1+23.1+3.2+505.4</f>
        <v>532.79999999999995</v>
      </c>
      <c r="I4" s="2">
        <f>1.2+22.9+3.2+494.7</f>
        <v>522</v>
      </c>
      <c r="J4" s="2">
        <f>1.3+25+3.4+336.5</f>
        <v>366.2</v>
      </c>
      <c r="K4" s="2">
        <f>1.2+23.3+3.5+366.2</f>
        <v>394.2</v>
      </c>
      <c r="L4" s="2">
        <f>1.2+23.2+3.7+496.9</f>
        <v>525</v>
      </c>
      <c r="M4" s="2">
        <f>1.2+27+3.5+486.8</f>
        <v>518.5</v>
      </c>
      <c r="N4" s="2">
        <f>1.2+23+3.4+505.6</f>
        <v>533.20000000000005</v>
      </c>
      <c r="O4" s="2">
        <f>1.3+23.1+3.5+490.8</f>
        <v>518.70000000000005</v>
      </c>
      <c r="P4" s="2">
        <f>1.1+23.1+3.3+489</f>
        <v>516.5</v>
      </c>
      <c r="Q4" s="2">
        <f>1.3+25.1+3.5+505.3</f>
        <v>535.20000000000005</v>
      </c>
      <c r="R4" s="2">
        <f>1.2+22.8+3.7+372.2</f>
        <v>399.9</v>
      </c>
      <c r="S4" s="2">
        <f>1.2+28.2+3.8+524.7</f>
        <v>557.90000000000009</v>
      </c>
      <c r="T4" s="2">
        <f>1.2+25.4+4+494.2</f>
        <v>524.79999999999995</v>
      </c>
      <c r="U4" s="2">
        <f>1.2+23+3.2+567.7</f>
        <v>595.1</v>
      </c>
      <c r="V4" s="2"/>
    </row>
    <row r="5" spans="1:22" x14ac:dyDescent="0.3">
      <c r="A5" t="s">
        <v>88</v>
      </c>
      <c r="B5" s="2">
        <f>1.2+25.6+3.3+38.3</f>
        <v>68.400000000000006</v>
      </c>
      <c r="C5" s="2">
        <f>1.6+44.9+4.2+40.7</f>
        <v>91.4</v>
      </c>
      <c r="D5" s="2">
        <f>1.2+38.8+3.1+34.2</f>
        <v>77.300000000000011</v>
      </c>
      <c r="E5" s="2">
        <f>1.2+24.4+2.8+44.7</f>
        <v>73.099999999999994</v>
      </c>
      <c r="F5" s="2">
        <f>1.2+23.6+2.8+44.9</f>
        <v>72.5</v>
      </c>
      <c r="G5" s="2">
        <f>1.2+24.4+3.3+49.3</f>
        <v>78.199999999999989</v>
      </c>
      <c r="H5" s="2">
        <f>1.2+25.5+3.1+53.5</f>
        <v>83.3</v>
      </c>
      <c r="I5" s="2">
        <f>1.2+23.4+2.9+53.9</f>
        <v>81.399999999999991</v>
      </c>
      <c r="J5" s="2">
        <f>1.2+23.6+3.5+53.5</f>
        <v>81.8</v>
      </c>
      <c r="K5" s="2">
        <f>1.2+24.1+3.2+29.1</f>
        <v>57.6</v>
      </c>
      <c r="L5" s="2">
        <f>1.2+27.3+3.3+58.1</f>
        <v>89.9</v>
      </c>
      <c r="M5" s="2">
        <f>1.2+24.8+3.1+56.7</f>
        <v>85.800000000000011</v>
      </c>
      <c r="N5" s="2">
        <f>1.2+23+3.2+51.4</f>
        <v>78.8</v>
      </c>
      <c r="O5" s="2">
        <f>1.2+24.6+3.2+53.5</f>
        <v>82.5</v>
      </c>
      <c r="P5" s="2">
        <f>1.1+23.3+3.5+54.2</f>
        <v>82.100000000000009</v>
      </c>
      <c r="Q5" s="2">
        <f>1.2+24.9+3.3+52.9</f>
        <v>82.3</v>
      </c>
      <c r="R5" s="2">
        <f>1.2+25.5+3.3+44.4</f>
        <v>74.400000000000006</v>
      </c>
      <c r="S5" s="2">
        <f>1.2+27.7+3+51.4</f>
        <v>83.3</v>
      </c>
      <c r="T5" s="2">
        <f>1.2+25.6+3.4+53.1</f>
        <v>83.3</v>
      </c>
      <c r="U5" s="2">
        <f>1.2+25.8+3+51.6</f>
        <v>81.599999999999994</v>
      </c>
      <c r="V5" s="2"/>
    </row>
    <row r="6" spans="1:22" x14ac:dyDescent="0.3">
      <c r="A6" t="s">
        <v>89</v>
      </c>
      <c r="B6" s="2">
        <f>1.2+24.7+3.4+202.4</f>
        <v>231.7</v>
      </c>
      <c r="C6" s="2">
        <f>1.6+44.9+4.6+292</f>
        <v>343.1</v>
      </c>
      <c r="D6" s="2">
        <f>1.2+37.8+3.6+194.3</f>
        <v>236.9</v>
      </c>
      <c r="E6" s="2">
        <f>1.2+22.9+3.2+560</f>
        <v>587.29999999999995</v>
      </c>
      <c r="F6" s="2">
        <f>1.2+23.6+3.2+562</f>
        <v>590</v>
      </c>
      <c r="G6" s="2">
        <f>1.2+23.2+3.8+582.2</f>
        <v>610.40000000000009</v>
      </c>
      <c r="H6" s="2">
        <f>1.1+23.2+3.3+704.3</f>
        <v>731.9</v>
      </c>
      <c r="I6" s="2">
        <f>1.2+23+3.2+687.4</f>
        <v>714.8</v>
      </c>
      <c r="J6" s="2">
        <f>1.2+23.3+3.7+464.7</f>
        <v>492.9</v>
      </c>
      <c r="K6" s="2">
        <f>1.2+23.2+3.5+520</f>
        <v>547.9</v>
      </c>
      <c r="L6" s="2">
        <f>1.2+23.2+3.4+689.1</f>
        <v>716.9</v>
      </c>
      <c r="M6" s="2">
        <f>1.2+23.2+3.4+699.7</f>
        <v>727.5</v>
      </c>
      <c r="N6" s="2">
        <f>1.2+22.8+3.5+731.1</f>
        <v>758.6</v>
      </c>
      <c r="O6" s="2">
        <f>1.3+23+3.5+714</f>
        <v>741.8</v>
      </c>
      <c r="P6" s="2">
        <f>1.1+23.5+3.7+720.6</f>
        <v>748.9</v>
      </c>
      <c r="Q6" s="2">
        <f>1.2+23.6+3.5+760.3</f>
        <v>788.59999999999991</v>
      </c>
      <c r="R6" s="2">
        <f>1.2+22.8+3.7+584.8</f>
        <v>612.5</v>
      </c>
      <c r="S6" s="2">
        <f>1.2+28.1+3.5+670</f>
        <v>702.8</v>
      </c>
      <c r="T6" s="2">
        <f>1.2+25.6+3.7+673.8</f>
        <v>704.3</v>
      </c>
      <c r="U6" s="2">
        <f>1.2+23.1+3.2+821.8</f>
        <v>849.3</v>
      </c>
      <c r="V6" s="2"/>
    </row>
    <row r="7" spans="1:22" x14ac:dyDescent="0.3">
      <c r="A7" t="s">
        <v>90</v>
      </c>
      <c r="B7" s="2">
        <f>1.2+25.1+3.2+45.2</f>
        <v>74.7</v>
      </c>
      <c r="C7" s="2">
        <f>1.6+45+4.2+49.4</f>
        <v>100.2</v>
      </c>
      <c r="D7" s="2">
        <f>1.2+38.1+3.1+41.3</f>
        <v>83.7</v>
      </c>
      <c r="E7" s="2">
        <f>1.2+32.8+3.3+79</f>
        <v>116.3</v>
      </c>
      <c r="F7" s="2">
        <f>1.2+26.4+3.3+75.5</f>
        <v>106.4</v>
      </c>
      <c r="G7" s="2">
        <f>1.2+23.6+3.7+80.4</f>
        <v>108.9</v>
      </c>
      <c r="H7" s="2">
        <f>1.3+28+3.3+99.9</f>
        <v>132.5</v>
      </c>
      <c r="I7" s="2">
        <f>1.2+24+3.1+94.6</f>
        <v>122.89999999999999</v>
      </c>
      <c r="J7" s="2">
        <f>1.3+28.2+3.8+81.4</f>
        <v>114.7</v>
      </c>
      <c r="K7" s="2">
        <f>1.2+26.3+3.3+62.4</f>
        <v>93.2</v>
      </c>
      <c r="L7" s="2">
        <f>1.2+25+3.4+96.9</f>
        <v>126.5</v>
      </c>
      <c r="M7" s="2">
        <f>1.2+24.8+3.4+96.5</f>
        <v>125.9</v>
      </c>
      <c r="N7" s="2">
        <f>1.3+28.4+3.7+98.7</f>
        <v>132.1</v>
      </c>
      <c r="O7" s="2">
        <f>1.2+24.7+3.4+100.2</f>
        <v>129.5</v>
      </c>
      <c r="P7" s="2">
        <f>1.2+25.7+3.7+100.5</f>
        <v>131.1</v>
      </c>
      <c r="Q7" s="2">
        <f>1.2+23.3+3.4+94.1</f>
        <v>122</v>
      </c>
      <c r="R7" s="2">
        <f>1.3+31.5+4.1+77.3</f>
        <v>114.19999999999999</v>
      </c>
      <c r="S7" s="2">
        <f>1.2+28.3+3.3+93.8</f>
        <v>126.6</v>
      </c>
      <c r="T7" s="2">
        <f>1.2+26.5+3.6+90.8</f>
        <v>122.1</v>
      </c>
      <c r="U7" s="2">
        <f>1.2+23.8+3.1+122.7</f>
        <v>150.80000000000001</v>
      </c>
      <c r="V7" s="2"/>
    </row>
    <row r="8" spans="1:22" x14ac:dyDescent="0.3">
      <c r="A8" t="s">
        <v>91</v>
      </c>
      <c r="B8" s="2">
        <f>1.2+24.3+3.3+61.5</f>
        <v>90.3</v>
      </c>
      <c r="C8" s="2">
        <f>1.5+45+4.3+71.2</f>
        <v>122</v>
      </c>
      <c r="D8" s="2">
        <f>1.2+37.8+3.2+56.4</f>
        <v>98.6</v>
      </c>
      <c r="E8" s="2">
        <f>1.2+23+3.2+238.6</f>
        <v>266</v>
      </c>
      <c r="F8" s="2">
        <f>1.1+23+3.1+237.8</f>
        <v>265</v>
      </c>
      <c r="G8" s="2">
        <f>1.1+22.9+3.8+239.7</f>
        <v>267.5</v>
      </c>
      <c r="H8" s="2">
        <f>1.1+22.9+3.2+247.2</f>
        <v>274.39999999999998</v>
      </c>
      <c r="I8" s="2">
        <f>1.2+22.9+3.2+243.4</f>
        <v>270.7</v>
      </c>
      <c r="J8" s="2">
        <f>1.2+23.5+3.7+161</f>
        <v>189.4</v>
      </c>
      <c r="K8" s="2">
        <f>1.2+23+3.4+172</f>
        <v>199.6</v>
      </c>
      <c r="L8" s="2">
        <f>1.2+23.2+3.4+246</f>
        <v>273.8</v>
      </c>
      <c r="M8" s="2">
        <f>1.2+22.7+3.3+283.2</f>
        <v>310.39999999999998</v>
      </c>
      <c r="N8" s="2">
        <f>1.2+22.5+3.7+252.2</f>
        <v>279.59999999999997</v>
      </c>
      <c r="O8" s="2">
        <f>1.2+23+3.4+216</f>
        <v>243.6</v>
      </c>
      <c r="P8" s="2">
        <f>1.1+23.1+3.7+215.8</f>
        <v>243.70000000000002</v>
      </c>
      <c r="Q8" s="2">
        <f>1.2+22.6+3.4+249</f>
        <v>276.2</v>
      </c>
      <c r="R8" s="2">
        <f>1.2+22.7+3.7+194.6</f>
        <v>222.2</v>
      </c>
      <c r="S8" s="2">
        <f>1.2+27.5+3.4+231.8</f>
        <v>263.90000000000003</v>
      </c>
      <c r="T8" s="2">
        <f>1.2+25.4+3.8+227.6</f>
        <v>258</v>
      </c>
      <c r="U8" s="2">
        <f>1.2+23.2+3+268.2</f>
        <v>295.59999999999997</v>
      </c>
      <c r="V8" s="2"/>
    </row>
    <row r="9" spans="1:22" x14ac:dyDescent="0.3">
      <c r="A9" t="s">
        <v>92</v>
      </c>
      <c r="B9" s="2">
        <f>1.3+25.7+3.3+46.2</f>
        <v>76.5</v>
      </c>
      <c r="C9" s="2">
        <f>1.6+44.9+4.2+51.1</f>
        <v>101.80000000000001</v>
      </c>
      <c r="D9" s="2">
        <f>1.2+38+3.1+42.6</f>
        <v>84.9</v>
      </c>
      <c r="E9" s="2">
        <f>1.2+23+3.1+304.2</f>
        <v>331.5</v>
      </c>
      <c r="F9" s="2">
        <f>1.1+23.1+3.1+301.5</f>
        <v>328.8</v>
      </c>
      <c r="G9" s="2">
        <f>1.1+23+3.8+315</f>
        <v>342.9</v>
      </c>
      <c r="H9" s="2">
        <f>1.1+23+3.1+359.4</f>
        <v>386.59999999999997</v>
      </c>
      <c r="I9" s="2">
        <f>1.2+22.9+3.1+355.5</f>
        <v>382.7</v>
      </c>
      <c r="J9" s="2">
        <f>1.2+24+3.4+228.7</f>
        <v>257.3</v>
      </c>
      <c r="K9" s="2">
        <f>1.2+24.3+3.5+260.8</f>
        <v>289.8</v>
      </c>
      <c r="L9" s="2">
        <f>1.2+23+3.4+357.7</f>
        <v>385.3</v>
      </c>
      <c r="M9" s="2">
        <f>1.2+23.2+3.4+345.2</f>
        <v>373</v>
      </c>
      <c r="N9" s="2">
        <f>1.2+22.7+3.7+362.6</f>
        <v>390.20000000000005</v>
      </c>
      <c r="O9" s="2">
        <f>1.2+23+3.5+371.2</f>
        <v>398.9</v>
      </c>
      <c r="P9" s="2">
        <f>1.1+23.3+3.6+372.6</f>
        <v>400.6</v>
      </c>
      <c r="Q9" s="2">
        <f>1.2+23.3+3.5+350.2</f>
        <v>378.2</v>
      </c>
      <c r="R9" s="2">
        <f>1.2+23.6+3.5+248.9</f>
        <v>277.2</v>
      </c>
      <c r="S9" s="2">
        <f>1.2+27.5+3.3+318.5</f>
        <v>350.5</v>
      </c>
      <c r="T9" s="2">
        <f>1.2+25.5+3.9+298.4</f>
        <v>329</v>
      </c>
      <c r="U9" s="2">
        <f>1.2+23.6+3.1+470.5</f>
        <v>498.4</v>
      </c>
      <c r="V9" s="2"/>
    </row>
    <row r="10" spans="1:22" x14ac:dyDescent="0.3">
      <c r="A10" t="s">
        <v>93</v>
      </c>
      <c r="B10" s="2">
        <f>1.2+27.4+3+13.6</f>
        <v>45.199999999999996</v>
      </c>
      <c r="C10" s="2">
        <f>1.6+44.9+4+14.7</f>
        <v>65.2</v>
      </c>
      <c r="D10" s="2">
        <f>1.2+37.9+2.7+12.2</f>
        <v>54</v>
      </c>
      <c r="E10" s="2">
        <f>1.2+23.8+3+112.6</f>
        <v>140.6</v>
      </c>
      <c r="F10" s="2">
        <f>1.2+23.8+3.2+112.6</f>
        <v>140.79999999999998</v>
      </c>
      <c r="G10" s="2">
        <f>1.1+23.2+3.6+124.3</f>
        <v>152.19999999999999</v>
      </c>
      <c r="H10" s="2">
        <f>1.2+23.3+3.1+142</f>
        <v>169.6</v>
      </c>
      <c r="I10" s="2">
        <f>1.2+23.4+3+140.5</f>
        <v>168.1</v>
      </c>
      <c r="J10" s="2">
        <f>1.3+25.2+3.3+104.4</f>
        <v>134.20000000000002</v>
      </c>
      <c r="K10" s="2">
        <f>1.2+23.4+3.3+95.4</f>
        <v>123.30000000000001</v>
      </c>
      <c r="L10" s="2">
        <f>1.2+23+3.2+140.2</f>
        <v>167.6</v>
      </c>
      <c r="M10" s="2">
        <f>1.2+22.9+3.3+154.2</f>
        <v>181.6</v>
      </c>
      <c r="N10" s="2">
        <f>1.2+22.6+3.5+156.5</f>
        <v>183.8</v>
      </c>
      <c r="O10" s="2">
        <f>1.3+24.1+3.5+147.8</f>
        <v>176.70000000000002</v>
      </c>
      <c r="P10" s="2">
        <f>1.2+23.6+3.5+145.4</f>
        <v>173.70000000000002</v>
      </c>
      <c r="Q10" s="2">
        <f>1.2+23.3+3.4+141.9</f>
        <v>169.8</v>
      </c>
      <c r="R10" s="2">
        <f>1.2+22.9+3.5+89.4</f>
        <v>117</v>
      </c>
      <c r="S10" s="2">
        <f>1.2+28+3.3+117.5</f>
        <v>150</v>
      </c>
      <c r="T10" s="2">
        <f>1.2+25.9+3.8+105.9</f>
        <v>136.80000000000001</v>
      </c>
      <c r="U10" s="2">
        <f>1.2+23.3+2.8+204.4</f>
        <v>231.70000000000002</v>
      </c>
      <c r="V10" s="2"/>
    </row>
    <row r="11" spans="1:22" x14ac:dyDescent="0.3">
      <c r="A11" t="s">
        <v>88</v>
      </c>
      <c r="B11" s="2">
        <f>1.2+25.1+2.7+9.3</f>
        <v>38.299999999999997</v>
      </c>
      <c r="C11" s="2">
        <f>1.5+44.9+3.9+10.3</f>
        <v>60.599999999999994</v>
      </c>
      <c r="D11" s="2">
        <f>1.2+38.4+2.7+8.6</f>
        <v>50.900000000000006</v>
      </c>
      <c r="E11" s="2">
        <f>1.2+25.7+2.9+57.2</f>
        <v>87</v>
      </c>
      <c r="F11" s="2">
        <f>1.2+23.2+3+57.7</f>
        <v>85.1</v>
      </c>
      <c r="G11" s="2">
        <f>1.1+23.4+3.7+65.2</f>
        <v>93.4</v>
      </c>
      <c r="H11" s="2">
        <f>1.1+26.3+3.3+83.6</f>
        <v>114.3</v>
      </c>
      <c r="I11" s="2">
        <f>1.2+23.2+3+81.1</f>
        <v>108.5</v>
      </c>
      <c r="J11" s="2">
        <f>1.2+23.5+3.3+69.6</f>
        <v>97.6</v>
      </c>
      <c r="K11" s="2">
        <f>1.2+25.2+3.4+51</f>
        <v>80.8</v>
      </c>
      <c r="L11" s="2">
        <f>1.2+23.8+3.3+83.4</f>
        <v>111.7</v>
      </c>
      <c r="M11" s="2">
        <f>1.1+22.9+3.3+83.5</f>
        <v>110.8</v>
      </c>
      <c r="N11" s="2">
        <f>1.2+22.7+3.7+75.5</f>
        <v>103.1</v>
      </c>
      <c r="O11" s="2">
        <f>1.2+24.9+3.4+80.4</f>
        <v>109.9</v>
      </c>
      <c r="P11" s="2">
        <f>1.1+23.7+3.6+79.6</f>
        <v>108</v>
      </c>
      <c r="Q11" s="2">
        <f>1.2+23.9+3.5+76.3</f>
        <v>104.89999999999999</v>
      </c>
      <c r="R11" s="2">
        <f>1.2+24.9+3.5+55.4</f>
        <v>85</v>
      </c>
      <c r="S11" s="2">
        <f>1.2+27.6+3.2+73.2</f>
        <v>105.2</v>
      </c>
      <c r="T11" s="2">
        <f>1.2+26.1+3.5+65.6</f>
        <v>96.399999999999991</v>
      </c>
      <c r="U11" s="2">
        <f>1.2+23.1+2.8+118.2</f>
        <v>145.30000000000001</v>
      </c>
      <c r="V11" s="2"/>
    </row>
    <row r="12" spans="1:22" x14ac:dyDescent="0.3">
      <c r="A12" t="s">
        <v>94</v>
      </c>
      <c r="B12" s="2">
        <f>1.2+25.2+3.1+31.4</f>
        <v>60.9</v>
      </c>
      <c r="C12" s="2">
        <f>1.5+44.9+3.9+34</f>
        <v>84.3</v>
      </c>
      <c r="D12" s="2">
        <f>1.2+38.1+3.3+28.9</f>
        <v>71.5</v>
      </c>
      <c r="E12" s="2">
        <f>1.2+25.8+2.6+48.7</f>
        <v>78.300000000000011</v>
      </c>
      <c r="F12" s="2">
        <f>1.2+23.1+2.7+49.3</f>
        <v>76.3</v>
      </c>
      <c r="G12" s="2">
        <f>1.2+23.8+3.4+52.9</f>
        <v>81.3</v>
      </c>
      <c r="H12" s="2">
        <f>1.1+23.9+2.8+55.2</f>
        <v>83</v>
      </c>
      <c r="I12" s="2">
        <f>1.2+23.8+2.8+55.2</f>
        <v>83</v>
      </c>
      <c r="J12" s="2">
        <f>1.2+30.1+3.3+49.5</f>
        <v>84.1</v>
      </c>
      <c r="K12" s="2">
        <f>1.2+24.5+3.1+32.5</f>
        <v>61.3</v>
      </c>
      <c r="L12" s="2">
        <f>1.2+23.4+3+57.6</f>
        <v>85.2</v>
      </c>
      <c r="M12" s="2">
        <f>1.2+23.4+3.1+60.4</f>
        <v>88.1</v>
      </c>
      <c r="N12" s="2">
        <f>1.2+23.5+3.4+56</f>
        <v>84.1</v>
      </c>
      <c r="O12" s="2">
        <f>1.2+24.6+3.4+60.1</f>
        <v>89.3</v>
      </c>
      <c r="P12" s="2">
        <f>1.1+23.5+3.3+59</f>
        <v>86.9</v>
      </c>
      <c r="Q12" s="2">
        <f>1.2+23.2+3.1+54</f>
        <v>81.5</v>
      </c>
      <c r="R12" s="2">
        <f>1.2+26.3+3.2+43.1</f>
        <v>73.8</v>
      </c>
      <c r="S12" s="2">
        <f>1.2+27.7+3+54.4</f>
        <v>86.3</v>
      </c>
      <c r="T12" s="2">
        <f>1.2+27.6+3.5+54.8</f>
        <v>87.1</v>
      </c>
      <c r="U12" s="2">
        <f>1.2+23.3+3.1+67.7</f>
        <v>95.300000000000011</v>
      </c>
      <c r="V12" s="2"/>
    </row>
    <row r="13" spans="1:22" x14ac:dyDescent="0.3">
      <c r="A13" t="s">
        <v>95</v>
      </c>
      <c r="B13" s="2">
        <f>1.2+26+2.9+18.5</f>
        <v>48.599999999999994</v>
      </c>
      <c r="C13" s="2">
        <f>1.5+44.9+3.8+20.8</f>
        <v>71</v>
      </c>
      <c r="D13" s="2">
        <f>1.2+37.9+3.1+17.4</f>
        <v>59.6</v>
      </c>
      <c r="E13" s="2">
        <f>1.2+24.6+3+63.1</f>
        <v>91.9</v>
      </c>
      <c r="F13" s="2">
        <f>1.2+23.8+3+63.6</f>
        <v>91.6</v>
      </c>
      <c r="G13" s="2">
        <f>1.1+23.7+3.6+66.5</f>
        <v>94.9</v>
      </c>
      <c r="H13" s="2">
        <f>1.1+26.3+3.2+72.1</f>
        <v>102.69999999999999</v>
      </c>
      <c r="I13" s="2">
        <f>1.2+25.6+3+71.7</f>
        <v>101.5</v>
      </c>
      <c r="J13" s="2">
        <f>1.2+24.9+3.4+65.1</f>
        <v>94.6</v>
      </c>
      <c r="K13" s="2">
        <f>1.2+26+3.4+45.8</f>
        <v>76.399999999999991</v>
      </c>
      <c r="L13" s="2">
        <f>1.2+23.9+73.7</f>
        <v>98.8</v>
      </c>
      <c r="M13" s="2">
        <f>1.3+28.1+3.7+73.8</f>
        <v>106.9</v>
      </c>
      <c r="N13" s="2">
        <f>1.2+24.3+3.7+74.1</f>
        <v>103.3</v>
      </c>
      <c r="O13" s="2">
        <f>1.2+31.9+4.2+78.6</f>
        <v>115.9</v>
      </c>
      <c r="P13" s="2">
        <f>1.2+25.2+3.7+73</f>
        <v>103.1</v>
      </c>
      <c r="Q13" s="2">
        <f>1.2+26.6+3.5+73.9</f>
        <v>105.2</v>
      </c>
      <c r="R13" s="2">
        <f>1.2+23.7+3.6+62.4</f>
        <v>90.9</v>
      </c>
      <c r="S13" s="2">
        <f>1.2+27.8+3+73.7</f>
        <v>105.7</v>
      </c>
      <c r="T13" s="2">
        <f>1.2+27.8+3.7+70.2</f>
        <v>102.9</v>
      </c>
      <c r="U13" s="2">
        <f>1.2+23.4+3.1+92.9</f>
        <v>120.60000000000001</v>
      </c>
      <c r="V13" s="2"/>
    </row>
    <row r="14" spans="1:22" x14ac:dyDescent="0.3">
      <c r="A14" t="s">
        <v>96</v>
      </c>
      <c r="B14" s="2">
        <f>1.2+26.9+3.7+107.2</f>
        <v>139</v>
      </c>
      <c r="C14" s="2">
        <f>1.5+44.9+4.5+147.6</f>
        <v>198.5</v>
      </c>
      <c r="D14" s="2">
        <f>1.2+38.1+3.3+98.2</f>
        <v>140.80000000000001</v>
      </c>
      <c r="E14" s="2">
        <f>1.1+23.1+3.2+503.6</f>
        <v>531</v>
      </c>
      <c r="F14" s="2">
        <f>1.1+23.2+3.1+500.3</f>
        <v>527.70000000000005</v>
      </c>
      <c r="G14" s="2">
        <f>1.1+23.4+3.7+518.2</f>
        <v>546.40000000000009</v>
      </c>
      <c r="H14" s="2">
        <f>1.1+23.5+3.2+641</f>
        <v>668.8</v>
      </c>
      <c r="I14" s="2">
        <f>1.2+23.4+3.3+636.9</f>
        <v>664.8</v>
      </c>
      <c r="J14" s="2">
        <f>1.2+23.7+3.4+405.8</f>
        <v>434.1</v>
      </c>
      <c r="K14" s="2">
        <f>1.2+24+3.5+475.7</f>
        <v>504.4</v>
      </c>
      <c r="L14" s="2">
        <f>1.2+23+3.3+628.7</f>
        <v>656.2</v>
      </c>
      <c r="M14" s="2">
        <f>1.2+23.1+3.5+676.3</f>
        <v>704.09999999999991</v>
      </c>
      <c r="N14" s="2">
        <f>1.2+22.9+3.7+644.4</f>
        <v>672.19999999999993</v>
      </c>
      <c r="O14" s="2">
        <f>1.2+23+3.8+670.6</f>
        <v>698.6</v>
      </c>
      <c r="P14" s="2">
        <f>1.1+23.4+3.7+661.1</f>
        <v>689.30000000000007</v>
      </c>
      <c r="Q14" s="2">
        <f>1.2+23.4+3.6+630.1</f>
        <v>658.30000000000007</v>
      </c>
      <c r="R14" s="2">
        <f>1.2+23+3.7+456.1</f>
        <v>484</v>
      </c>
      <c r="S14" s="2">
        <f>1.3+28.1+3.2+721</f>
        <v>753.6</v>
      </c>
      <c r="T14" s="2">
        <f>1.2+25.4+3.8+650.2</f>
        <v>680.6</v>
      </c>
      <c r="U14" s="2">
        <f>1.2+23.1+3.3+748</f>
        <v>775.6</v>
      </c>
      <c r="V14" s="2"/>
    </row>
    <row r="15" spans="1:22" x14ac:dyDescent="0.3">
      <c r="A15" t="s">
        <v>97</v>
      </c>
      <c r="B15" s="2">
        <f>1.2+24.2+3.7+130.6</f>
        <v>159.69999999999999</v>
      </c>
      <c r="C15" s="2">
        <f>1.5+44.8+4.6+195.4</f>
        <v>246.3</v>
      </c>
      <c r="D15" s="2">
        <f>1.2+37.7+3.6+128.5</f>
        <v>171</v>
      </c>
      <c r="E15" s="2">
        <f>1.1+23.1+3.2+557.7</f>
        <v>585.1</v>
      </c>
      <c r="F15" s="2">
        <f>1.2+23.1+3.2+554.2</f>
        <v>581.70000000000005</v>
      </c>
      <c r="G15" s="2">
        <f>1.1+23.1+3.7+568.9</f>
        <v>596.79999999999995</v>
      </c>
      <c r="H15" s="2">
        <f>1.1+23.3+3.2+691.2</f>
        <v>718.80000000000007</v>
      </c>
      <c r="I15" s="2">
        <f>1.2+23.1+3.2+680.7</f>
        <v>708.2</v>
      </c>
      <c r="J15" s="2">
        <f>1.2+23.1+3.3+430</f>
        <v>457.6</v>
      </c>
      <c r="K15" s="2">
        <f>1.2+24.1+3.5+523.3</f>
        <v>552.09999999999991</v>
      </c>
      <c r="L15" s="2">
        <f>1.2+23.3+3.3+683.4</f>
        <v>711.19999999999993</v>
      </c>
      <c r="M15" s="2">
        <f>1.2+23.4+3.5+717.9</f>
        <v>746</v>
      </c>
      <c r="N15" s="2">
        <f>1.2+23.2+3.7+696.8</f>
        <v>724.9</v>
      </c>
      <c r="O15" s="2">
        <f>1.2+23.2+3.8+708.9</f>
        <v>737.1</v>
      </c>
      <c r="P15" s="2">
        <f>1.1+23+3.6+699.5</f>
        <v>727.2</v>
      </c>
      <c r="Q15" s="2">
        <f>1.1+22.9+3.5+665</f>
        <v>692.5</v>
      </c>
      <c r="R15" s="2">
        <f>1.1+22.6+3.6+547.7</f>
        <v>575</v>
      </c>
      <c r="S15" s="2">
        <f>1.2+27.6+3.4+769.3</f>
        <v>801.5</v>
      </c>
      <c r="T15" s="2">
        <f>1.2+26.3+4.1+745.5</f>
        <v>777.1</v>
      </c>
      <c r="U15" s="2">
        <f>1.2+23.2+3.2+797.3</f>
        <v>824.9</v>
      </c>
      <c r="V15" s="2"/>
    </row>
    <row r="16" spans="1:22" x14ac:dyDescent="0.3">
      <c r="A16" t="s">
        <v>98</v>
      </c>
      <c r="B16" s="2">
        <f>1.2+25.8+3.4+47.7</f>
        <v>78.099999999999994</v>
      </c>
      <c r="C16" s="2">
        <f>1.5+44.8+4.3+52.8</f>
        <v>103.39999999999999</v>
      </c>
      <c r="D16" s="2">
        <f>1.2+38.3+3.2+44.6</f>
        <v>87.300000000000011</v>
      </c>
      <c r="E16" s="2">
        <f>1.2+26+3.2+142.8</f>
        <v>173.20000000000002</v>
      </c>
      <c r="F16" s="2">
        <f>1.1+23.2+3.1+135.5</f>
        <v>162.9</v>
      </c>
      <c r="G16" s="2">
        <f>1.2+23.1+3.6+141.3</f>
        <v>169.20000000000002</v>
      </c>
      <c r="H16" s="2">
        <f>1.1+23.2+3.2+152.2</f>
        <v>179.7</v>
      </c>
      <c r="I16" s="2">
        <f>1.2+23.2+3.1+149.5</f>
        <v>177</v>
      </c>
      <c r="J16" s="2">
        <f>1.2+27.1+3.5+109.2</f>
        <v>141</v>
      </c>
      <c r="K16" s="2">
        <f>1.2+24.3+3.4+104.1</f>
        <v>133</v>
      </c>
      <c r="L16" s="2">
        <f>1.2+23.2+3.2+148.8</f>
        <v>176.4</v>
      </c>
      <c r="M16" s="2">
        <f>1.2+22.9+3.3+157.9</f>
        <v>185.3</v>
      </c>
      <c r="N16" s="2">
        <f>1.2+22.9+3.7+153.4</f>
        <v>181.2</v>
      </c>
      <c r="O16" s="2">
        <f>1.2+23.3+3.7+145.5</f>
        <v>173.7</v>
      </c>
      <c r="P16" s="2">
        <f>1.1+23.2+3.6+143.8</f>
        <v>171.70000000000002</v>
      </c>
      <c r="Q16" s="2">
        <f>1.2+22.8+3.4+144.9</f>
        <v>172.3</v>
      </c>
      <c r="R16" s="2">
        <f>1.2+22.7+3.6+116.9</f>
        <v>144.4</v>
      </c>
      <c r="S16" s="2">
        <f>1.2+27.6+3.2+138.3</f>
        <v>170.3</v>
      </c>
      <c r="T16" s="2">
        <f>1.2+26.3+3.9+141.3</f>
        <v>172.70000000000002</v>
      </c>
      <c r="U16" s="2">
        <f>1.2+23.3+3.2+193.7</f>
        <v>221.39999999999998</v>
      </c>
      <c r="V16" s="2"/>
    </row>
    <row r="17" spans="1:22" x14ac:dyDescent="0.3">
      <c r="A17" s="5" t="s">
        <v>95</v>
      </c>
      <c r="B17" s="4">
        <f>1.2+24.3+3.7+47.6</f>
        <v>76.8</v>
      </c>
      <c r="C17" s="4">
        <f>1.5+44.8+4.3+51.9</f>
        <v>102.5</v>
      </c>
      <c r="D17" s="4">
        <f>1.2+39+3.1+43.7</f>
        <v>87</v>
      </c>
      <c r="E17" s="4">
        <f>1.2+23.7+3.1+55.1</f>
        <v>83.1</v>
      </c>
      <c r="F17" s="4">
        <f>1.2+24.6+3.2+56.2</f>
        <v>85.2</v>
      </c>
      <c r="G17" s="4">
        <f>1.2+25.4+3.8+56.8</f>
        <v>87.199999999999989</v>
      </c>
      <c r="H17" s="4">
        <f>1.1+24.2+3.2+62</f>
        <v>90.5</v>
      </c>
      <c r="I17" s="4">
        <f>1.2+23.8+3.2+62.5</f>
        <v>90.7</v>
      </c>
      <c r="J17" s="4">
        <f>1.2+23.7+3.3+55.1</f>
        <v>83.3</v>
      </c>
      <c r="K17" s="4">
        <f>1.2+27.3+3.6+36.3</f>
        <v>68.400000000000006</v>
      </c>
      <c r="L17" s="4">
        <f>1.2+23.9+3.3+65.2</f>
        <v>93.6</v>
      </c>
      <c r="M17" s="4">
        <f>1.3+26.5+3.5+57.8</f>
        <v>89.1</v>
      </c>
      <c r="N17" s="4">
        <f>1.2+25.9+3.8+56.7</f>
        <v>87.6</v>
      </c>
      <c r="O17" s="4">
        <f>1.2+31.7+4.1+59.8</f>
        <v>96.8</v>
      </c>
      <c r="P17" s="4">
        <f>1.2+24.4+3.7+59</f>
        <v>88.3</v>
      </c>
      <c r="Q17" s="4">
        <f>1.2+24.8+3.5+59.6</f>
        <v>89.1</v>
      </c>
      <c r="R17" s="4">
        <f>1.2+24.9+3.4+47.1</f>
        <v>76.599999999999994</v>
      </c>
      <c r="S17" s="4">
        <f>1.2+27.8+3.4+62</f>
        <v>94.4</v>
      </c>
      <c r="T17" s="4">
        <f>1.2+27.4+4+59.9</f>
        <v>92.5</v>
      </c>
      <c r="U17" s="4">
        <f>1.2+23.6+3.3+68.4</f>
        <v>96.5</v>
      </c>
      <c r="V17" s="4"/>
    </row>
    <row r="18" spans="1:22" x14ac:dyDescent="0.3">
      <c r="A18" t="s">
        <v>36</v>
      </c>
      <c r="B18" s="2">
        <f t="shared" ref="B18:U18" si="0">AVERAGE(B2:B17)</f>
        <v>100.88124999999999</v>
      </c>
      <c r="C18" s="2">
        <f t="shared" si="0"/>
        <v>144.63750000000002</v>
      </c>
      <c r="D18" s="2">
        <f t="shared" si="0"/>
        <v>109.2</v>
      </c>
      <c r="E18" s="2">
        <f t="shared" si="0"/>
        <v>250.34375</v>
      </c>
      <c r="F18" s="2">
        <f t="shared" si="0"/>
        <v>248.16249999999999</v>
      </c>
      <c r="G18" s="2">
        <f t="shared" ref="G18" si="1">AVERAGE(G2:G17)</f>
        <v>258.83749999999998</v>
      </c>
      <c r="H18" s="2">
        <f t="shared" si="0"/>
        <v>305.72499999999997</v>
      </c>
      <c r="I18" s="2">
        <f t="shared" si="0"/>
        <v>299.59374999999994</v>
      </c>
      <c r="J18" s="2">
        <f t="shared" ref="J18:K18" si="2">AVERAGE(J2:J17)</f>
        <v>217.24999999999997</v>
      </c>
      <c r="K18" s="2">
        <f t="shared" si="2"/>
        <v>226.69375000000002</v>
      </c>
      <c r="L18" s="2">
        <f t="shared" ref="L18:R18" si="3">AVERAGE(L2:L17)</f>
        <v>301.73750000000001</v>
      </c>
      <c r="M18" s="2">
        <f t="shared" si="3"/>
        <v>313.48750000000001</v>
      </c>
      <c r="N18" s="2">
        <f t="shared" si="3"/>
        <v>305.3125</v>
      </c>
      <c r="O18" s="2">
        <f t="shared" si="3"/>
        <v>305.19375000000002</v>
      </c>
      <c r="P18" s="2">
        <f t="shared" si="3"/>
        <v>301.96875</v>
      </c>
      <c r="Q18" s="2">
        <f t="shared" si="3"/>
        <v>304.55</v>
      </c>
      <c r="R18" s="2">
        <f t="shared" si="3"/>
        <v>239.08750000000001</v>
      </c>
      <c r="S18" s="2">
        <f t="shared" si="0"/>
        <v>315.96249999999998</v>
      </c>
      <c r="T18" s="2">
        <f t="shared" ref="T18" si="4">AVERAGE(T2:T17)</f>
        <v>298.53750000000002</v>
      </c>
      <c r="U18" s="2">
        <f t="shared" si="0"/>
        <v>352.43124999999998</v>
      </c>
      <c r="V18" s="2"/>
    </row>
    <row r="19" spans="1:22" x14ac:dyDescent="0.3">
      <c r="A19" t="s">
        <v>37</v>
      </c>
      <c r="B19" s="3">
        <f t="shared" ref="B19:U19" si="5">1/(B18/1000)</f>
        <v>9.9126448175453827</v>
      </c>
      <c r="C19" s="3">
        <f t="shared" si="5"/>
        <v>6.9138363149252431</v>
      </c>
      <c r="D19" s="3">
        <f t="shared" si="5"/>
        <v>9.1575091575091569</v>
      </c>
      <c r="E19" s="3">
        <f t="shared" si="5"/>
        <v>3.9945075521158411</v>
      </c>
      <c r="F19" s="3">
        <f t="shared" si="5"/>
        <v>4.0296176900216594</v>
      </c>
      <c r="G19" s="3">
        <f t="shared" ref="G19" si="6">1/(G18/1000)</f>
        <v>3.8634278263389192</v>
      </c>
      <c r="H19" s="3">
        <f t="shared" si="5"/>
        <v>3.2709134025676674</v>
      </c>
      <c r="I19" s="3">
        <f t="shared" si="5"/>
        <v>3.3378533430687396</v>
      </c>
      <c r="J19" s="3">
        <f t="shared" ref="J19:K19" si="7">1/(J18/1000)</f>
        <v>4.6029919447640975</v>
      </c>
      <c r="K19" s="3">
        <f t="shared" si="7"/>
        <v>4.4112376278569654</v>
      </c>
      <c r="L19" s="3">
        <f t="shared" ref="L19" si="8">1/(L18/1000)</f>
        <v>3.314138945275281</v>
      </c>
      <c r="M19" s="3">
        <f t="shared" ref="M19" si="9">1/(M18/1000)</f>
        <v>3.1899198532636865</v>
      </c>
      <c r="N19" s="3">
        <f t="shared" ref="N19" si="10">1/(N18/1000)</f>
        <v>3.2753326509723646</v>
      </c>
      <c r="O19" s="3">
        <f t="shared" ref="O19:Q19" si="11">1/(O18/1000)</f>
        <v>3.2766070733755193</v>
      </c>
      <c r="P19" s="3">
        <f t="shared" ref="P19" si="12">1/(P18/1000)</f>
        <v>3.3116009520852736</v>
      </c>
      <c r="Q19" s="3">
        <f t="shared" si="11"/>
        <v>3.283533081595797</v>
      </c>
      <c r="R19" s="3">
        <f t="shared" ref="R19" si="13">1/(R18/1000)</f>
        <v>4.1825691430961465</v>
      </c>
      <c r="S19" s="3">
        <f t="shared" si="5"/>
        <v>3.1649325473750842</v>
      </c>
      <c r="T19" s="3">
        <f t="shared" ref="T19" si="14">1/(T18/1000)</f>
        <v>3.3496629401666458</v>
      </c>
      <c r="U19" s="3">
        <f t="shared" si="5"/>
        <v>2.8374328326446649</v>
      </c>
      <c r="V19" s="3"/>
    </row>
    <row r="20" spans="1:22" x14ac:dyDescent="0.3">
      <c r="A20" t="s">
        <v>34</v>
      </c>
      <c r="B20" t="s">
        <v>18</v>
      </c>
      <c r="E20" t="s">
        <v>18</v>
      </c>
      <c r="H20" t="s">
        <v>18</v>
      </c>
      <c r="S20" t="s">
        <v>26</v>
      </c>
      <c r="T20" t="s">
        <v>26</v>
      </c>
      <c r="U20" t="s">
        <v>18</v>
      </c>
    </row>
    <row r="21" spans="1:22" x14ac:dyDescent="0.3">
      <c r="A21" t="s">
        <v>35</v>
      </c>
      <c r="B21" t="s">
        <v>17</v>
      </c>
      <c r="E21" t="s">
        <v>22</v>
      </c>
      <c r="H21" t="s">
        <v>22</v>
      </c>
      <c r="S21" t="s">
        <v>27</v>
      </c>
      <c r="T21" t="s">
        <v>100</v>
      </c>
      <c r="U21" t="s">
        <v>22</v>
      </c>
    </row>
    <row r="23" spans="1:22" x14ac:dyDescent="0.3">
      <c r="A23" t="s">
        <v>25</v>
      </c>
      <c r="E23" t="s">
        <v>23</v>
      </c>
      <c r="F23" t="s">
        <v>24</v>
      </c>
      <c r="I23" t="s">
        <v>28</v>
      </c>
      <c r="J23" t="s">
        <v>107</v>
      </c>
      <c r="K23" t="s">
        <v>30</v>
      </c>
      <c r="L23" t="s">
        <v>31</v>
      </c>
      <c r="P23" t="s">
        <v>31</v>
      </c>
      <c r="R23" t="s">
        <v>102</v>
      </c>
    </row>
    <row r="24" spans="1:22" ht="72" x14ac:dyDescent="0.3">
      <c r="I24" s="6" t="s">
        <v>29</v>
      </c>
      <c r="J24" s="6"/>
      <c r="K24" s="6"/>
      <c r="L24" s="6"/>
      <c r="M24" s="6"/>
      <c r="N24" s="6"/>
      <c r="O24" s="6"/>
      <c r="P24" s="6"/>
      <c r="Q24" s="6"/>
      <c r="R24" s="6"/>
    </row>
    <row r="25" spans="1:22" ht="43.2" x14ac:dyDescent="0.3">
      <c r="I25" s="6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135D-FDE3-47AA-BAF1-D4B91E16BD8A}">
  <dimension ref="A1:AO30"/>
  <sheetViews>
    <sheetView workbookViewId="0">
      <selection activeCell="A26" sqref="A26:A28"/>
    </sheetView>
  </sheetViews>
  <sheetFormatPr defaultRowHeight="14.4" x14ac:dyDescent="0.3"/>
  <cols>
    <col min="1" max="1" width="46.5546875" bestFit="1" customWidth="1"/>
    <col min="2" max="2" width="12" bestFit="1" customWidth="1"/>
  </cols>
  <sheetData>
    <row r="1" spans="1:41" x14ac:dyDescent="0.3">
      <c r="B1" t="s">
        <v>85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14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</row>
    <row r="2" spans="1:41" x14ac:dyDescent="0.3">
      <c r="A2" t="s">
        <v>19</v>
      </c>
      <c r="B2">
        <v>9.9126448175453827</v>
      </c>
      <c r="C2">
        <v>15.398</v>
      </c>
      <c r="D2">
        <v>10.888</v>
      </c>
      <c r="E2">
        <v>22.225999999999999</v>
      </c>
      <c r="F2">
        <v>11.199</v>
      </c>
      <c r="G2">
        <v>66.677000000000007</v>
      </c>
      <c r="H2">
        <v>23.873999999999999</v>
      </c>
      <c r="I2">
        <v>76.697999999999993</v>
      </c>
      <c r="J2">
        <v>77.278000000000006</v>
      </c>
      <c r="K2">
        <v>15.645</v>
      </c>
      <c r="L2">
        <v>20.405999999999999</v>
      </c>
      <c r="M2">
        <v>70.543000000000006</v>
      </c>
      <c r="N2">
        <v>14.395</v>
      </c>
      <c r="O2">
        <v>11.186999999999999</v>
      </c>
      <c r="P2">
        <v>73.212999999999994</v>
      </c>
      <c r="Q2">
        <v>11.904</v>
      </c>
      <c r="R2">
        <v>14.35</v>
      </c>
      <c r="S2">
        <v>85.436999999999998</v>
      </c>
      <c r="T2">
        <v>4.5191999999999997</v>
      </c>
      <c r="U2">
        <v>18.654</v>
      </c>
      <c r="V2">
        <v>76.826999999999998</v>
      </c>
      <c r="W2">
        <v>19788</v>
      </c>
      <c r="X2">
        <v>118112</v>
      </c>
      <c r="Y2">
        <v>3373</v>
      </c>
      <c r="Z2">
        <v>988</v>
      </c>
      <c r="AA2">
        <v>47</v>
      </c>
      <c r="AB2">
        <v>194</v>
      </c>
      <c r="AC2">
        <v>799</v>
      </c>
      <c r="AD2">
        <v>1249</v>
      </c>
      <c r="AE2">
        <v>7.3433000000000002</v>
      </c>
      <c r="AF2">
        <v>15.141999999999999</v>
      </c>
      <c r="AG2">
        <v>8.8425999999999991</v>
      </c>
      <c r="AH2">
        <v>52.649000000000001</v>
      </c>
      <c r="AI2">
        <v>12194</v>
      </c>
      <c r="AJ2">
        <v>125706</v>
      </c>
      <c r="AK2">
        <v>10967</v>
      </c>
      <c r="AL2">
        <v>23161</v>
      </c>
      <c r="AM2">
        <v>137900</v>
      </c>
      <c r="AN2">
        <v>1550</v>
      </c>
      <c r="AO2">
        <v>1040</v>
      </c>
    </row>
    <row r="3" spans="1:41" x14ac:dyDescent="0.3">
      <c r="A3" t="s">
        <v>20</v>
      </c>
      <c r="B3">
        <v>6.9138363149252431</v>
      </c>
      <c r="C3">
        <v>15.398</v>
      </c>
      <c r="D3">
        <v>10.888</v>
      </c>
      <c r="E3">
        <v>22.225999999999999</v>
      </c>
      <c r="F3">
        <v>11.199</v>
      </c>
      <c r="G3">
        <v>66.677000000000007</v>
      </c>
      <c r="H3">
        <v>23.873999999999999</v>
      </c>
      <c r="I3">
        <v>76.697999999999993</v>
      </c>
      <c r="J3">
        <v>77.278000000000006</v>
      </c>
      <c r="K3">
        <v>15.645</v>
      </c>
      <c r="L3">
        <v>20.405999999999999</v>
      </c>
      <c r="M3">
        <v>70.543000000000006</v>
      </c>
      <c r="N3">
        <v>14.395</v>
      </c>
      <c r="O3">
        <v>11.186999999999999</v>
      </c>
      <c r="P3">
        <v>73.212999999999994</v>
      </c>
      <c r="Q3">
        <v>11.904</v>
      </c>
      <c r="R3">
        <v>14.35</v>
      </c>
      <c r="S3">
        <v>85.436999999999998</v>
      </c>
      <c r="T3">
        <v>4.5191999999999997</v>
      </c>
      <c r="U3">
        <v>18.654</v>
      </c>
      <c r="V3">
        <v>76.826999999999998</v>
      </c>
      <c r="W3">
        <v>19788</v>
      </c>
      <c r="X3">
        <v>118112</v>
      </c>
      <c r="Y3">
        <v>3373</v>
      </c>
      <c r="Z3">
        <v>988</v>
      </c>
      <c r="AA3">
        <v>47</v>
      </c>
      <c r="AB3">
        <v>194</v>
      </c>
      <c r="AC3">
        <v>799</v>
      </c>
      <c r="AD3">
        <v>1249</v>
      </c>
      <c r="AE3">
        <v>7.3433000000000002</v>
      </c>
      <c r="AF3">
        <v>15.141999999999999</v>
      </c>
      <c r="AG3">
        <v>8.8425999999999991</v>
      </c>
      <c r="AH3">
        <v>52.649000000000001</v>
      </c>
      <c r="AI3">
        <v>12194</v>
      </c>
      <c r="AJ3">
        <v>125706</v>
      </c>
      <c r="AK3">
        <v>10967</v>
      </c>
      <c r="AL3">
        <v>23161</v>
      </c>
      <c r="AM3">
        <v>137900</v>
      </c>
      <c r="AN3">
        <v>1550</v>
      </c>
      <c r="AO3">
        <v>1040</v>
      </c>
    </row>
    <row r="4" spans="1:41" x14ac:dyDescent="0.3">
      <c r="A4" t="s">
        <v>21</v>
      </c>
      <c r="B4">
        <v>9.1575091575091569</v>
      </c>
      <c r="C4">
        <v>15.429</v>
      </c>
      <c r="D4">
        <v>10.909000000000001</v>
      </c>
      <c r="E4">
        <v>22.28</v>
      </c>
      <c r="F4">
        <v>11.222</v>
      </c>
      <c r="G4">
        <v>66.7</v>
      </c>
      <c r="H4">
        <v>23.931000000000001</v>
      </c>
      <c r="I4">
        <v>76.863</v>
      </c>
      <c r="J4">
        <v>77.326999999999998</v>
      </c>
      <c r="K4">
        <v>15.677</v>
      </c>
      <c r="L4">
        <v>20.425000000000001</v>
      </c>
      <c r="M4">
        <v>70.603999999999999</v>
      </c>
      <c r="N4">
        <v>14.420999999999999</v>
      </c>
      <c r="O4">
        <v>11.196</v>
      </c>
      <c r="P4">
        <v>73.284000000000006</v>
      </c>
      <c r="Q4">
        <v>11.904</v>
      </c>
      <c r="R4">
        <v>14.364000000000001</v>
      </c>
      <c r="S4">
        <v>85.376000000000005</v>
      </c>
      <c r="T4">
        <v>4.3269000000000002</v>
      </c>
      <c r="U4">
        <v>19.038</v>
      </c>
      <c r="V4">
        <v>76.635000000000005</v>
      </c>
      <c r="W4">
        <v>19808</v>
      </c>
      <c r="X4">
        <v>118092</v>
      </c>
      <c r="Y4">
        <v>3393</v>
      </c>
      <c r="Z4">
        <v>976</v>
      </c>
      <c r="AA4">
        <v>45</v>
      </c>
      <c r="AB4">
        <v>198</v>
      </c>
      <c r="AC4">
        <v>797</v>
      </c>
      <c r="AD4">
        <v>1235</v>
      </c>
      <c r="AE4">
        <v>7.3582999999999998</v>
      </c>
      <c r="AF4">
        <v>15.162000000000001</v>
      </c>
      <c r="AG4">
        <v>8.8564000000000007</v>
      </c>
      <c r="AH4">
        <v>52.64</v>
      </c>
      <c r="AI4">
        <v>12213</v>
      </c>
      <c r="AJ4">
        <v>125687</v>
      </c>
      <c r="AK4">
        <v>10988</v>
      </c>
      <c r="AL4">
        <v>23201</v>
      </c>
      <c r="AM4">
        <v>137900</v>
      </c>
      <c r="AN4">
        <v>1546</v>
      </c>
      <c r="AO4">
        <v>1040</v>
      </c>
    </row>
    <row r="6" spans="1:41" x14ac:dyDescent="0.3">
      <c r="A6" t="s">
        <v>9</v>
      </c>
      <c r="B6">
        <v>3.9945075521158411</v>
      </c>
      <c r="C6">
        <v>25.893999999999998</v>
      </c>
      <c r="D6">
        <v>23.312000000000001</v>
      </c>
      <c r="E6">
        <v>29.762</v>
      </c>
      <c r="F6">
        <v>31.106000000000002</v>
      </c>
      <c r="G6">
        <v>42.003</v>
      </c>
      <c r="H6">
        <v>33.369</v>
      </c>
      <c r="I6">
        <v>71.355999999999995</v>
      </c>
      <c r="J6">
        <v>75.037000000000006</v>
      </c>
      <c r="K6">
        <v>30.067</v>
      </c>
      <c r="L6">
        <v>36.72</v>
      </c>
      <c r="M6">
        <v>65.641999999999996</v>
      </c>
      <c r="N6">
        <v>24.103999999999999</v>
      </c>
      <c r="O6">
        <v>3.3793000000000002</v>
      </c>
      <c r="P6">
        <v>70.957999999999998</v>
      </c>
      <c r="Q6">
        <v>4.7854000000000001</v>
      </c>
      <c r="R6">
        <v>39.420999999999999</v>
      </c>
      <c r="S6">
        <v>53.231000000000002</v>
      </c>
      <c r="T6">
        <v>18.846</v>
      </c>
      <c r="U6">
        <v>40.768999999999998</v>
      </c>
      <c r="V6">
        <v>40.384999999999998</v>
      </c>
      <c r="W6">
        <v>54362</v>
      </c>
      <c r="X6">
        <v>83538</v>
      </c>
      <c r="Y6">
        <v>47763</v>
      </c>
      <c r="Z6">
        <v>1939</v>
      </c>
      <c r="AA6">
        <v>196</v>
      </c>
      <c r="AB6">
        <v>424</v>
      </c>
      <c r="AC6">
        <v>420</v>
      </c>
      <c r="AD6">
        <v>3199</v>
      </c>
      <c r="AE6">
        <v>-8.0695999999999994</v>
      </c>
      <c r="AF6">
        <v>29.484000000000002</v>
      </c>
      <c r="AG6">
        <v>25.66</v>
      </c>
      <c r="AH6">
        <v>34.649000000000001</v>
      </c>
      <c r="AI6">
        <v>35385</v>
      </c>
      <c r="AJ6">
        <v>102515</v>
      </c>
      <c r="AK6">
        <v>66740</v>
      </c>
      <c r="AL6">
        <v>102125</v>
      </c>
      <c r="AM6">
        <v>137900</v>
      </c>
      <c r="AN6">
        <v>5580</v>
      </c>
      <c r="AO6">
        <v>1040</v>
      </c>
    </row>
    <row r="7" spans="1:41" x14ac:dyDescent="0.3">
      <c r="A7" t="s">
        <v>79</v>
      </c>
      <c r="B7">
        <v>4.0296176900216594</v>
      </c>
      <c r="C7">
        <v>25.893999999999998</v>
      </c>
      <c r="D7">
        <v>23.312000000000001</v>
      </c>
      <c r="E7">
        <v>29.762</v>
      </c>
      <c r="F7">
        <v>31.106000000000002</v>
      </c>
      <c r="G7">
        <v>42.003</v>
      </c>
      <c r="H7">
        <v>33.369</v>
      </c>
      <c r="I7">
        <v>71.355999999999995</v>
      </c>
      <c r="J7">
        <v>75.037000000000006</v>
      </c>
      <c r="K7">
        <v>30.067</v>
      </c>
      <c r="L7">
        <v>36.72</v>
      </c>
      <c r="M7">
        <v>65.641999999999996</v>
      </c>
      <c r="N7">
        <v>24.103999999999999</v>
      </c>
      <c r="O7">
        <v>3.3793000000000002</v>
      </c>
      <c r="P7">
        <v>70.957999999999998</v>
      </c>
      <c r="Q7">
        <v>4.7854000000000001</v>
      </c>
      <c r="R7">
        <v>39.420999999999999</v>
      </c>
      <c r="S7">
        <v>53.231000000000002</v>
      </c>
      <c r="T7">
        <v>18.846</v>
      </c>
      <c r="U7">
        <v>40.768999999999998</v>
      </c>
      <c r="V7">
        <v>40.384999999999998</v>
      </c>
      <c r="W7">
        <v>54362</v>
      </c>
      <c r="X7">
        <v>83538</v>
      </c>
      <c r="Y7">
        <v>47763</v>
      </c>
      <c r="Z7">
        <v>1939</v>
      </c>
      <c r="AA7">
        <v>196</v>
      </c>
      <c r="AB7">
        <v>424</v>
      </c>
      <c r="AC7">
        <v>420</v>
      </c>
      <c r="AD7">
        <v>3199</v>
      </c>
      <c r="AE7">
        <v>-8.0695999999999994</v>
      </c>
      <c r="AF7">
        <v>29.484000000000002</v>
      </c>
      <c r="AG7">
        <v>25.66</v>
      </c>
      <c r="AH7">
        <v>34.649000000000001</v>
      </c>
      <c r="AI7">
        <v>35385</v>
      </c>
      <c r="AJ7">
        <v>102515</v>
      </c>
      <c r="AK7">
        <v>66740</v>
      </c>
      <c r="AL7">
        <v>102125</v>
      </c>
      <c r="AM7">
        <v>137900</v>
      </c>
      <c r="AN7">
        <v>5580</v>
      </c>
      <c r="AO7">
        <v>1040</v>
      </c>
    </row>
    <row r="8" spans="1:41" x14ac:dyDescent="0.3">
      <c r="A8" t="s">
        <v>103</v>
      </c>
      <c r="B8">
        <v>3.8634278263389192</v>
      </c>
      <c r="C8">
        <v>26.274999999999999</v>
      </c>
      <c r="D8">
        <v>23.585999999999999</v>
      </c>
      <c r="E8">
        <v>30.152000000000001</v>
      </c>
      <c r="F8">
        <v>31.867999999999999</v>
      </c>
      <c r="G8">
        <v>41.57</v>
      </c>
      <c r="H8">
        <v>33.79</v>
      </c>
      <c r="I8">
        <v>71.09</v>
      </c>
      <c r="J8">
        <v>75.116</v>
      </c>
      <c r="K8">
        <v>30.690999999999999</v>
      </c>
      <c r="L8">
        <v>37.308</v>
      </c>
      <c r="M8">
        <v>65.724999999999994</v>
      </c>
      <c r="N8">
        <v>24.521000000000001</v>
      </c>
      <c r="O8">
        <v>2.6613000000000002</v>
      </c>
      <c r="P8">
        <v>71.069999999999993</v>
      </c>
      <c r="Q8">
        <v>4.0876999999999999</v>
      </c>
      <c r="R8">
        <v>40.374000000000002</v>
      </c>
      <c r="S8">
        <v>52.665999999999997</v>
      </c>
      <c r="T8">
        <v>19.712</v>
      </c>
      <c r="U8">
        <v>41.537999999999997</v>
      </c>
      <c r="V8">
        <v>38.75</v>
      </c>
      <c r="W8">
        <v>55676</v>
      </c>
      <c r="X8">
        <v>82224</v>
      </c>
      <c r="Y8">
        <v>50039</v>
      </c>
      <c r="Z8">
        <v>1967</v>
      </c>
      <c r="AA8">
        <v>205</v>
      </c>
      <c r="AB8">
        <v>432</v>
      </c>
      <c r="AC8">
        <v>403</v>
      </c>
      <c r="AD8">
        <v>3206</v>
      </c>
      <c r="AE8">
        <v>-9.0188000000000006</v>
      </c>
      <c r="AF8">
        <v>29.863</v>
      </c>
      <c r="AG8">
        <v>26.378</v>
      </c>
      <c r="AH8">
        <v>34.408999999999999</v>
      </c>
      <c r="AI8">
        <v>36375</v>
      </c>
      <c r="AJ8">
        <v>101525</v>
      </c>
      <c r="AK8">
        <v>69340</v>
      </c>
      <c r="AL8">
        <v>105715</v>
      </c>
      <c r="AM8">
        <v>137900</v>
      </c>
      <c r="AN8">
        <v>5747</v>
      </c>
      <c r="AO8">
        <v>1040</v>
      </c>
    </row>
    <row r="10" spans="1:41" x14ac:dyDescent="0.3">
      <c r="A10" t="s">
        <v>13</v>
      </c>
      <c r="B10">
        <v>3.2709134025676674</v>
      </c>
      <c r="C10">
        <v>27.79</v>
      </c>
      <c r="D10">
        <v>26.206</v>
      </c>
      <c r="E10">
        <v>30.581</v>
      </c>
      <c r="F10">
        <v>37.688000000000002</v>
      </c>
      <c r="G10">
        <v>40.287999999999997</v>
      </c>
      <c r="H10">
        <v>34.454999999999998</v>
      </c>
      <c r="I10">
        <v>69.963999999999999</v>
      </c>
      <c r="J10">
        <v>74.644999999999996</v>
      </c>
      <c r="K10">
        <v>33.529000000000003</v>
      </c>
      <c r="L10">
        <v>40.1</v>
      </c>
      <c r="M10">
        <v>64.816999999999993</v>
      </c>
      <c r="N10">
        <v>25.992000000000001</v>
      </c>
      <c r="O10">
        <v>6.8890999999999994E-2</v>
      </c>
      <c r="P10">
        <v>70.501999999999995</v>
      </c>
      <c r="Q10">
        <v>1.6012</v>
      </c>
      <c r="R10">
        <v>47.573999999999998</v>
      </c>
      <c r="S10">
        <v>50.856000000000002</v>
      </c>
      <c r="T10">
        <v>23.75</v>
      </c>
      <c r="U10">
        <v>46.731000000000002</v>
      </c>
      <c r="V10">
        <v>29.518999999999998</v>
      </c>
      <c r="W10">
        <v>65605</v>
      </c>
      <c r="X10">
        <v>72295</v>
      </c>
      <c r="Y10">
        <v>63397</v>
      </c>
      <c r="Z10">
        <v>2113</v>
      </c>
      <c r="AA10">
        <v>247</v>
      </c>
      <c r="AB10">
        <v>486</v>
      </c>
      <c r="AC10">
        <v>307</v>
      </c>
      <c r="AD10">
        <v>3683</v>
      </c>
      <c r="AE10">
        <v>-13.964</v>
      </c>
      <c r="AF10">
        <v>32.231999999999999</v>
      </c>
      <c r="AG10">
        <v>31.192</v>
      </c>
      <c r="AH10">
        <v>33.344000000000001</v>
      </c>
      <c r="AI10">
        <v>43014</v>
      </c>
      <c r="AJ10">
        <v>94886</v>
      </c>
      <c r="AK10">
        <v>85988</v>
      </c>
      <c r="AL10">
        <v>129002</v>
      </c>
      <c r="AM10">
        <v>137900</v>
      </c>
      <c r="AN10">
        <v>6572</v>
      </c>
      <c r="AO10">
        <v>1040</v>
      </c>
    </row>
    <row r="11" spans="1:41" x14ac:dyDescent="0.3">
      <c r="A11" t="s">
        <v>81</v>
      </c>
      <c r="B11">
        <v>3.3378533430687396</v>
      </c>
    </row>
    <row r="12" spans="1:41" x14ac:dyDescent="0.3">
      <c r="A12" t="s">
        <v>82</v>
      </c>
      <c r="B12">
        <v>4.6029919447640975</v>
      </c>
      <c r="C12">
        <v>27.79</v>
      </c>
      <c r="D12">
        <v>26.206</v>
      </c>
      <c r="E12">
        <v>30.581</v>
      </c>
      <c r="F12">
        <v>37.688000000000002</v>
      </c>
      <c r="G12">
        <v>40.287999999999997</v>
      </c>
      <c r="H12">
        <v>34.454999999999998</v>
      </c>
      <c r="I12">
        <v>69.963999999999999</v>
      </c>
      <c r="J12">
        <v>74.644999999999996</v>
      </c>
      <c r="K12">
        <v>33.529000000000003</v>
      </c>
      <c r="L12">
        <v>40.1</v>
      </c>
      <c r="M12">
        <v>64.816999999999993</v>
      </c>
      <c r="N12">
        <v>25.992000000000001</v>
      </c>
      <c r="O12">
        <v>6.8890999999999994E-2</v>
      </c>
      <c r="P12">
        <v>70.501999999999995</v>
      </c>
      <c r="Q12">
        <v>1.6012</v>
      </c>
      <c r="R12">
        <v>47.573999999999998</v>
      </c>
      <c r="S12">
        <v>50.856000000000002</v>
      </c>
      <c r="T12">
        <v>23.75</v>
      </c>
      <c r="U12">
        <v>46.731000000000002</v>
      </c>
      <c r="V12">
        <v>29.518999999999998</v>
      </c>
      <c r="W12">
        <v>65605</v>
      </c>
      <c r="X12">
        <v>72295</v>
      </c>
      <c r="Y12">
        <v>63397</v>
      </c>
      <c r="Z12">
        <v>2113</v>
      </c>
      <c r="AA12">
        <v>247</v>
      </c>
      <c r="AB12">
        <v>486</v>
      </c>
      <c r="AC12">
        <v>307</v>
      </c>
      <c r="AD12">
        <v>3683</v>
      </c>
      <c r="AE12">
        <v>-13.964</v>
      </c>
      <c r="AF12">
        <v>32.231999999999999</v>
      </c>
      <c r="AG12">
        <v>31.192</v>
      </c>
      <c r="AH12">
        <v>33.344000000000001</v>
      </c>
      <c r="AI12">
        <v>43014</v>
      </c>
      <c r="AJ12">
        <v>94886</v>
      </c>
      <c r="AK12">
        <v>85988</v>
      </c>
      <c r="AL12">
        <v>129002</v>
      </c>
      <c r="AM12">
        <v>137900</v>
      </c>
      <c r="AN12">
        <v>6572</v>
      </c>
      <c r="AO12">
        <v>1040</v>
      </c>
    </row>
    <row r="13" spans="1:41" x14ac:dyDescent="0.3">
      <c r="A13" t="s">
        <v>83</v>
      </c>
      <c r="B13">
        <v>4.4112376278569654</v>
      </c>
      <c r="C13">
        <v>27.79</v>
      </c>
      <c r="D13">
        <v>26.206</v>
      </c>
      <c r="E13">
        <v>30.581</v>
      </c>
      <c r="F13">
        <v>37.688000000000002</v>
      </c>
      <c r="G13">
        <v>40.287999999999997</v>
      </c>
      <c r="H13">
        <v>34.454999999999998</v>
      </c>
      <c r="I13">
        <v>69.963999999999999</v>
      </c>
      <c r="J13">
        <v>74.644999999999996</v>
      </c>
      <c r="K13">
        <v>33.529000000000003</v>
      </c>
      <c r="L13">
        <v>40.1</v>
      </c>
      <c r="M13">
        <v>64.816999999999993</v>
      </c>
      <c r="N13">
        <v>25.992000000000001</v>
      </c>
      <c r="O13">
        <v>6.8890999999999994E-2</v>
      </c>
      <c r="P13">
        <v>70.501999999999995</v>
      </c>
      <c r="Q13">
        <v>1.6012</v>
      </c>
      <c r="R13">
        <v>47.573999999999998</v>
      </c>
      <c r="S13">
        <v>50.856000000000002</v>
      </c>
      <c r="T13">
        <v>23.75</v>
      </c>
      <c r="U13">
        <v>46.731000000000002</v>
      </c>
      <c r="V13">
        <v>29.518999999999998</v>
      </c>
      <c r="W13">
        <v>65605</v>
      </c>
      <c r="X13">
        <v>72295</v>
      </c>
      <c r="Y13">
        <v>63397</v>
      </c>
      <c r="Z13">
        <v>2113</v>
      </c>
      <c r="AA13">
        <v>247</v>
      </c>
      <c r="AB13">
        <v>486</v>
      </c>
      <c r="AC13">
        <v>307</v>
      </c>
      <c r="AD13">
        <v>3683</v>
      </c>
      <c r="AE13">
        <v>-13.964</v>
      </c>
      <c r="AF13">
        <v>32.231999999999999</v>
      </c>
      <c r="AG13">
        <v>31.192</v>
      </c>
      <c r="AH13">
        <v>33.344000000000001</v>
      </c>
      <c r="AI13">
        <v>43014</v>
      </c>
      <c r="AJ13">
        <v>94886</v>
      </c>
      <c r="AK13">
        <v>85988</v>
      </c>
      <c r="AL13">
        <v>129002</v>
      </c>
      <c r="AM13">
        <v>137900</v>
      </c>
      <c r="AN13">
        <v>6572</v>
      </c>
      <c r="AO13">
        <v>1040</v>
      </c>
    </row>
    <row r="14" spans="1:41" x14ac:dyDescent="0.3">
      <c r="A14" t="s">
        <v>84</v>
      </c>
      <c r="B14">
        <v>3.314138945275281</v>
      </c>
      <c r="C14">
        <v>27.79</v>
      </c>
      <c r="D14">
        <v>26.206</v>
      </c>
      <c r="E14">
        <v>30.581</v>
      </c>
      <c r="F14">
        <v>37.688000000000002</v>
      </c>
      <c r="G14">
        <v>40.287999999999997</v>
      </c>
      <c r="H14">
        <v>34.454999999999998</v>
      </c>
      <c r="I14">
        <v>69.963999999999999</v>
      </c>
      <c r="J14">
        <v>74.644999999999996</v>
      </c>
      <c r="K14">
        <v>33.529000000000003</v>
      </c>
      <c r="L14">
        <v>40.1</v>
      </c>
      <c r="M14">
        <v>64.816999999999993</v>
      </c>
      <c r="N14">
        <v>25.992000000000001</v>
      </c>
      <c r="O14">
        <v>6.8890999999999994E-2</v>
      </c>
      <c r="P14">
        <v>70.501999999999995</v>
      </c>
      <c r="Q14">
        <v>1.6012</v>
      </c>
      <c r="R14">
        <v>47.573999999999998</v>
      </c>
      <c r="S14">
        <v>50.856000000000002</v>
      </c>
      <c r="T14">
        <v>23.75</v>
      </c>
      <c r="U14">
        <v>46.731000000000002</v>
      </c>
      <c r="V14">
        <v>29.518999999999998</v>
      </c>
      <c r="W14">
        <v>65605</v>
      </c>
      <c r="X14">
        <v>72295</v>
      </c>
      <c r="Y14">
        <v>63397</v>
      </c>
      <c r="Z14">
        <v>2113</v>
      </c>
      <c r="AA14">
        <v>247</v>
      </c>
      <c r="AB14">
        <v>486</v>
      </c>
      <c r="AC14">
        <v>307</v>
      </c>
      <c r="AD14">
        <v>3683</v>
      </c>
      <c r="AE14">
        <v>-13.964</v>
      </c>
      <c r="AF14">
        <v>32.231999999999999</v>
      </c>
      <c r="AG14">
        <v>31.192</v>
      </c>
      <c r="AH14">
        <v>33.344000000000001</v>
      </c>
      <c r="AI14">
        <v>43014</v>
      </c>
      <c r="AJ14">
        <v>94886</v>
      </c>
      <c r="AK14">
        <v>85988</v>
      </c>
      <c r="AL14">
        <v>129002</v>
      </c>
      <c r="AM14">
        <v>137900</v>
      </c>
      <c r="AN14">
        <v>6572</v>
      </c>
      <c r="AO14">
        <v>1040</v>
      </c>
    </row>
    <row r="15" spans="1:41" x14ac:dyDescent="0.3">
      <c r="A15" t="s">
        <v>38</v>
      </c>
      <c r="B15">
        <v>3.1899198532636865</v>
      </c>
      <c r="C15">
        <v>27.227</v>
      </c>
      <c r="D15">
        <v>24.724</v>
      </c>
      <c r="E15">
        <v>31.033000000000001</v>
      </c>
      <c r="F15">
        <v>36.012</v>
      </c>
      <c r="G15">
        <v>38.61</v>
      </c>
      <c r="H15">
        <v>34.832999999999998</v>
      </c>
      <c r="I15">
        <v>70.421000000000006</v>
      </c>
      <c r="J15">
        <v>74.501000000000005</v>
      </c>
      <c r="K15">
        <v>33.042000000000002</v>
      </c>
      <c r="L15">
        <v>39.299999999999997</v>
      </c>
      <c r="M15">
        <v>64.629000000000005</v>
      </c>
      <c r="N15">
        <v>25.399000000000001</v>
      </c>
      <c r="O15">
        <v>-3.5185</v>
      </c>
      <c r="P15">
        <v>70.343000000000004</v>
      </c>
      <c r="Q15">
        <v>-1.9652000000000001</v>
      </c>
      <c r="R15">
        <v>45.652999999999999</v>
      </c>
      <c r="S15">
        <v>48.947000000000003</v>
      </c>
      <c r="T15">
        <v>22.404</v>
      </c>
      <c r="U15">
        <v>45.962000000000003</v>
      </c>
      <c r="V15">
        <v>31.635000000000002</v>
      </c>
      <c r="W15">
        <v>62956</v>
      </c>
      <c r="X15">
        <v>74944</v>
      </c>
      <c r="Y15">
        <v>65666</v>
      </c>
      <c r="Z15">
        <v>2142</v>
      </c>
      <c r="AA15">
        <v>233</v>
      </c>
      <c r="AB15">
        <v>478</v>
      </c>
      <c r="AC15">
        <v>329</v>
      </c>
      <c r="AD15">
        <v>3629</v>
      </c>
      <c r="AE15">
        <v>-17.058</v>
      </c>
      <c r="AF15">
        <v>31.149000000000001</v>
      </c>
      <c r="AG15">
        <v>30.100999999999999</v>
      </c>
      <c r="AH15">
        <v>32.271999999999998</v>
      </c>
      <c r="AI15">
        <v>41509</v>
      </c>
      <c r="AJ15">
        <v>96391</v>
      </c>
      <c r="AK15">
        <v>87113</v>
      </c>
      <c r="AL15">
        <v>128622</v>
      </c>
      <c r="AM15">
        <v>137900</v>
      </c>
      <c r="AN15">
        <v>6701</v>
      </c>
      <c r="AO15">
        <v>1040</v>
      </c>
    </row>
    <row r="16" spans="1:41" x14ac:dyDescent="0.3">
      <c r="A16" t="s">
        <v>39</v>
      </c>
      <c r="B16">
        <v>3.2753326509723646</v>
      </c>
      <c r="C16">
        <v>28.094000000000001</v>
      </c>
      <c r="D16">
        <v>26.094999999999999</v>
      </c>
      <c r="E16">
        <v>31.393999999999998</v>
      </c>
      <c r="F16">
        <v>37.463999999999999</v>
      </c>
      <c r="G16">
        <v>40.241</v>
      </c>
      <c r="H16">
        <v>35.067</v>
      </c>
      <c r="I16">
        <v>70.843999999999994</v>
      </c>
      <c r="J16">
        <v>74.543999999999997</v>
      </c>
      <c r="K16">
        <v>33.869</v>
      </c>
      <c r="L16">
        <v>40.598999999999997</v>
      </c>
      <c r="M16">
        <v>64.561000000000007</v>
      </c>
      <c r="N16">
        <v>26.210999999999999</v>
      </c>
      <c r="O16">
        <v>-0.30674000000000001</v>
      </c>
      <c r="P16">
        <v>70.498999999999995</v>
      </c>
      <c r="Q16">
        <v>1.2508999999999999</v>
      </c>
      <c r="R16">
        <v>47.174999999999997</v>
      </c>
      <c r="S16">
        <v>50.671999999999997</v>
      </c>
      <c r="T16">
        <v>23.654</v>
      </c>
      <c r="U16">
        <v>47.212000000000003</v>
      </c>
      <c r="V16">
        <v>29.135000000000002</v>
      </c>
      <c r="W16">
        <v>65054</v>
      </c>
      <c r="X16">
        <v>72846</v>
      </c>
      <c r="Y16">
        <v>63329</v>
      </c>
      <c r="Z16">
        <v>2148</v>
      </c>
      <c r="AA16">
        <v>246</v>
      </c>
      <c r="AB16">
        <v>491</v>
      </c>
      <c r="AC16">
        <v>303</v>
      </c>
      <c r="AD16">
        <v>3779</v>
      </c>
      <c r="AE16">
        <v>-14.224</v>
      </c>
      <c r="AF16">
        <v>32.228000000000002</v>
      </c>
      <c r="AG16">
        <v>31.116</v>
      </c>
      <c r="AH16">
        <v>33.423000000000002</v>
      </c>
      <c r="AI16">
        <v>42909</v>
      </c>
      <c r="AJ16">
        <v>94991</v>
      </c>
      <c r="AK16">
        <v>85474</v>
      </c>
      <c r="AL16">
        <v>128383</v>
      </c>
      <c r="AM16">
        <v>137900</v>
      </c>
      <c r="AN16">
        <v>6583</v>
      </c>
      <c r="AO16">
        <v>1040</v>
      </c>
    </row>
    <row r="17" spans="1:41" x14ac:dyDescent="0.3">
      <c r="A17" t="s">
        <v>40</v>
      </c>
      <c r="B17">
        <v>3.2766070733755193</v>
      </c>
      <c r="C17">
        <v>28.751000000000001</v>
      </c>
      <c r="D17">
        <v>26.614999999999998</v>
      </c>
      <c r="E17">
        <v>32.177</v>
      </c>
      <c r="F17">
        <v>38.033999999999999</v>
      </c>
      <c r="G17">
        <v>40.866</v>
      </c>
      <c r="H17">
        <v>36.121000000000002</v>
      </c>
      <c r="I17">
        <v>70.448999999999998</v>
      </c>
      <c r="J17">
        <v>74.673000000000002</v>
      </c>
      <c r="K17">
        <v>34.576999999999998</v>
      </c>
      <c r="L17">
        <v>41.543999999999997</v>
      </c>
      <c r="M17">
        <v>64.879000000000005</v>
      </c>
      <c r="N17">
        <v>26.952999999999999</v>
      </c>
      <c r="O17">
        <v>1.2596000000000001</v>
      </c>
      <c r="P17">
        <v>70.611999999999995</v>
      </c>
      <c r="Q17">
        <v>2.7970000000000002</v>
      </c>
      <c r="R17">
        <v>47.933</v>
      </c>
      <c r="S17">
        <v>51.503</v>
      </c>
      <c r="T17">
        <v>23.846</v>
      </c>
      <c r="U17">
        <v>46.923000000000002</v>
      </c>
      <c r="V17">
        <v>29.231000000000002</v>
      </c>
      <c r="W17">
        <v>66100</v>
      </c>
      <c r="X17">
        <v>71800</v>
      </c>
      <c r="Y17">
        <v>62243</v>
      </c>
      <c r="Z17">
        <v>2120</v>
      </c>
      <c r="AA17">
        <v>248</v>
      </c>
      <c r="AB17">
        <v>488</v>
      </c>
      <c r="AC17">
        <v>304</v>
      </c>
      <c r="AD17">
        <v>3842</v>
      </c>
      <c r="AE17">
        <v>-12.827</v>
      </c>
      <c r="AF17">
        <v>33.222000000000001</v>
      </c>
      <c r="AG17">
        <v>32.07</v>
      </c>
      <c r="AH17">
        <v>34.457999999999998</v>
      </c>
      <c r="AI17">
        <v>44225</v>
      </c>
      <c r="AJ17">
        <v>93675</v>
      </c>
      <c r="AK17">
        <v>84118</v>
      </c>
      <c r="AL17">
        <v>128343</v>
      </c>
      <c r="AM17">
        <v>137900</v>
      </c>
      <c r="AN17">
        <v>6318</v>
      </c>
      <c r="AO17">
        <v>1040</v>
      </c>
    </row>
    <row r="18" spans="1:41" x14ac:dyDescent="0.3">
      <c r="A18" t="s">
        <v>101</v>
      </c>
      <c r="B18">
        <v>3.283533081595797</v>
      </c>
      <c r="C18">
        <v>27.843</v>
      </c>
      <c r="D18">
        <v>26.001000000000001</v>
      </c>
      <c r="E18">
        <v>30.882999999999999</v>
      </c>
      <c r="F18">
        <v>36.950000000000003</v>
      </c>
      <c r="G18">
        <v>40.758000000000003</v>
      </c>
      <c r="H18">
        <v>34.529000000000003</v>
      </c>
      <c r="I18">
        <v>71.192999999999998</v>
      </c>
      <c r="J18">
        <v>74.84</v>
      </c>
      <c r="K18">
        <v>33.384</v>
      </c>
      <c r="L18">
        <v>40.084000000000003</v>
      </c>
      <c r="M18">
        <v>65.171000000000006</v>
      </c>
      <c r="N18">
        <v>26.123000000000001</v>
      </c>
      <c r="O18">
        <v>1.0848</v>
      </c>
      <c r="P18">
        <v>70.730999999999995</v>
      </c>
      <c r="Q18">
        <v>2.6337999999999999</v>
      </c>
      <c r="R18">
        <v>46.645000000000003</v>
      </c>
      <c r="S18">
        <v>51.453000000000003</v>
      </c>
      <c r="T18">
        <v>23.558</v>
      </c>
      <c r="U18">
        <v>45.192</v>
      </c>
      <c r="V18">
        <v>31.25</v>
      </c>
      <c r="W18">
        <v>64324</v>
      </c>
      <c r="X18">
        <v>73576</v>
      </c>
      <c r="Y18">
        <v>60692</v>
      </c>
      <c r="Z18">
        <v>2136</v>
      </c>
      <c r="AA18">
        <v>245</v>
      </c>
      <c r="AB18">
        <v>470</v>
      </c>
      <c r="AC18">
        <v>325</v>
      </c>
      <c r="AD18">
        <v>3685</v>
      </c>
      <c r="AE18">
        <v>-12.568</v>
      </c>
      <c r="AF18">
        <v>31.873999999999999</v>
      </c>
      <c r="AG18">
        <v>30.385000000000002</v>
      </c>
      <c r="AH18">
        <v>33.517000000000003</v>
      </c>
      <c r="AI18">
        <v>41901</v>
      </c>
      <c r="AJ18">
        <v>95999</v>
      </c>
      <c r="AK18">
        <v>83115</v>
      </c>
      <c r="AL18">
        <v>125016</v>
      </c>
      <c r="AM18">
        <v>137900</v>
      </c>
      <c r="AN18">
        <v>6392</v>
      </c>
      <c r="AO18">
        <v>1040</v>
      </c>
    </row>
    <row r="19" spans="1:41" x14ac:dyDescent="0.3">
      <c r="A19" t="s">
        <v>104</v>
      </c>
      <c r="B19">
        <v>4.1825691430961465</v>
      </c>
      <c r="C19">
        <v>24.914000000000001</v>
      </c>
      <c r="D19">
        <v>24.109000000000002</v>
      </c>
      <c r="E19">
        <v>26.617000000000001</v>
      </c>
      <c r="F19">
        <v>30.981000000000002</v>
      </c>
      <c r="G19">
        <v>45.277999999999999</v>
      </c>
      <c r="H19">
        <v>29.58</v>
      </c>
      <c r="I19">
        <v>72.947999999999993</v>
      </c>
      <c r="J19">
        <v>75.718999999999994</v>
      </c>
      <c r="K19">
        <v>28.384</v>
      </c>
      <c r="L19">
        <v>34.805</v>
      </c>
      <c r="M19">
        <v>67.010000000000005</v>
      </c>
      <c r="N19">
        <v>23.323</v>
      </c>
      <c r="O19">
        <v>8.9913000000000007</v>
      </c>
      <c r="P19">
        <v>71.543000000000006</v>
      </c>
      <c r="Q19">
        <v>10.552</v>
      </c>
      <c r="R19">
        <v>39.487000000000002</v>
      </c>
      <c r="S19">
        <v>57.710999999999999</v>
      </c>
      <c r="T19">
        <v>16.922999999999998</v>
      </c>
      <c r="U19">
        <v>42.884999999999998</v>
      </c>
      <c r="V19">
        <v>40.192</v>
      </c>
      <c r="W19">
        <v>54453</v>
      </c>
      <c r="X19">
        <v>83447</v>
      </c>
      <c r="Y19">
        <v>39902</v>
      </c>
      <c r="Z19">
        <v>2152</v>
      </c>
      <c r="AA19">
        <v>176</v>
      </c>
      <c r="AB19">
        <v>446</v>
      </c>
      <c r="AC19">
        <v>418</v>
      </c>
      <c r="AD19">
        <v>3211</v>
      </c>
      <c r="AE19">
        <v>-2.2454999999999998</v>
      </c>
      <c r="AF19">
        <v>28.065000000000001</v>
      </c>
      <c r="AG19">
        <v>23.634</v>
      </c>
      <c r="AH19">
        <v>34.540999999999997</v>
      </c>
      <c r="AI19">
        <v>32591</v>
      </c>
      <c r="AJ19">
        <v>105309</v>
      </c>
      <c r="AK19">
        <v>61764</v>
      </c>
      <c r="AL19">
        <v>94355</v>
      </c>
      <c r="AM19">
        <v>137900</v>
      </c>
      <c r="AN19">
        <v>5672</v>
      </c>
      <c r="AO19">
        <v>1040</v>
      </c>
    </row>
    <row r="20" spans="1:41" x14ac:dyDescent="0.3">
      <c r="A20" t="s">
        <v>12</v>
      </c>
      <c r="B20">
        <v>3.1649325473750842</v>
      </c>
      <c r="C20">
        <v>25.661999999999999</v>
      </c>
      <c r="D20">
        <v>23.707999999999998</v>
      </c>
      <c r="E20">
        <v>28.885000000000002</v>
      </c>
      <c r="F20">
        <v>34.046999999999997</v>
      </c>
      <c r="G20">
        <v>38.427999999999997</v>
      </c>
      <c r="H20">
        <v>32.284999999999997</v>
      </c>
      <c r="I20">
        <v>71.561000000000007</v>
      </c>
      <c r="J20">
        <v>74.56</v>
      </c>
      <c r="K20">
        <v>30.928000000000001</v>
      </c>
      <c r="L20">
        <v>36.771999999999998</v>
      </c>
      <c r="M20">
        <v>64.885000000000005</v>
      </c>
      <c r="N20">
        <v>23.86</v>
      </c>
      <c r="O20">
        <v>-3.0950000000000002</v>
      </c>
      <c r="P20">
        <v>70.191000000000003</v>
      </c>
      <c r="Q20">
        <v>-1.5076000000000001</v>
      </c>
      <c r="R20">
        <v>43.545999999999999</v>
      </c>
      <c r="S20">
        <v>49.149000000000001</v>
      </c>
      <c r="T20">
        <v>19.135000000000002</v>
      </c>
      <c r="U20">
        <v>46.25</v>
      </c>
      <c r="V20">
        <v>34.615000000000002</v>
      </c>
      <c r="W20">
        <v>60050</v>
      </c>
      <c r="X20">
        <v>77850</v>
      </c>
      <c r="Y20">
        <v>62129</v>
      </c>
      <c r="Z20">
        <v>2189</v>
      </c>
      <c r="AA20">
        <v>199</v>
      </c>
      <c r="AB20">
        <v>481</v>
      </c>
      <c r="AC20">
        <v>360</v>
      </c>
      <c r="AD20">
        <v>3514</v>
      </c>
      <c r="AE20">
        <v>-16.076000000000001</v>
      </c>
      <c r="AF20">
        <v>29.248999999999999</v>
      </c>
      <c r="AG20">
        <v>27.582000000000001</v>
      </c>
      <c r="AH20">
        <v>31.131</v>
      </c>
      <c r="AI20">
        <v>38035</v>
      </c>
      <c r="AJ20">
        <v>99865</v>
      </c>
      <c r="AK20">
        <v>84144</v>
      </c>
      <c r="AL20">
        <v>122179</v>
      </c>
      <c r="AM20">
        <v>137900</v>
      </c>
      <c r="AN20">
        <v>7199</v>
      </c>
      <c r="AO20">
        <v>1040</v>
      </c>
    </row>
    <row r="21" spans="1:41" x14ac:dyDescent="0.3">
      <c r="A21" t="s">
        <v>99</v>
      </c>
      <c r="B21">
        <v>3.3496629401666458</v>
      </c>
      <c r="C21">
        <v>26.49</v>
      </c>
      <c r="D21">
        <v>24.582999999999998</v>
      </c>
      <c r="E21">
        <v>29.518999999999998</v>
      </c>
      <c r="F21">
        <v>34.686</v>
      </c>
      <c r="G21">
        <v>40.046999999999997</v>
      </c>
      <c r="H21">
        <v>33.137999999999998</v>
      </c>
      <c r="I21">
        <v>70.930000000000007</v>
      </c>
      <c r="J21">
        <v>74.879000000000005</v>
      </c>
      <c r="K21">
        <v>31.637</v>
      </c>
      <c r="L21">
        <v>37.686999999999998</v>
      </c>
      <c r="M21">
        <v>65.515000000000001</v>
      </c>
      <c r="N21">
        <v>24.690999999999999</v>
      </c>
      <c r="O21">
        <v>0.34734999999999999</v>
      </c>
      <c r="P21">
        <v>70.650000000000006</v>
      </c>
      <c r="Q21">
        <v>1.9036</v>
      </c>
      <c r="R21">
        <v>44.258000000000003</v>
      </c>
      <c r="S21">
        <v>51.098999999999997</v>
      </c>
      <c r="T21">
        <v>20.288</v>
      </c>
      <c r="U21">
        <v>45.962000000000003</v>
      </c>
      <c r="V21">
        <v>33.75</v>
      </c>
      <c r="W21">
        <v>61032</v>
      </c>
      <c r="X21">
        <v>76868</v>
      </c>
      <c r="Y21">
        <v>58407</v>
      </c>
      <c r="Z21">
        <v>2146</v>
      </c>
      <c r="AA21">
        <v>211</v>
      </c>
      <c r="AB21">
        <v>478</v>
      </c>
      <c r="AC21">
        <v>351</v>
      </c>
      <c r="AD21">
        <v>3482</v>
      </c>
      <c r="AE21">
        <v>-12.641999999999999</v>
      </c>
      <c r="AF21">
        <v>30.372</v>
      </c>
      <c r="AG21">
        <v>28.338999999999999</v>
      </c>
      <c r="AH21">
        <v>32.72</v>
      </c>
      <c r="AI21">
        <v>39080</v>
      </c>
      <c r="AJ21">
        <v>98820</v>
      </c>
      <c r="AK21">
        <v>80359</v>
      </c>
      <c r="AL21">
        <v>119439</v>
      </c>
      <c r="AM21">
        <v>137900</v>
      </c>
      <c r="AN21">
        <v>6397</v>
      </c>
      <c r="AO21">
        <v>1040</v>
      </c>
    </row>
    <row r="22" spans="1:41" x14ac:dyDescent="0.3">
      <c r="A22" t="s">
        <v>108</v>
      </c>
    </row>
    <row r="23" spans="1:41" x14ac:dyDescent="0.3">
      <c r="A23" t="s">
        <v>105</v>
      </c>
      <c r="B23">
        <v>4.6029919447640975</v>
      </c>
      <c r="C23">
        <v>28.751000000000001</v>
      </c>
      <c r="D23">
        <v>26.614999999999998</v>
      </c>
      <c r="E23">
        <v>32.177</v>
      </c>
      <c r="F23">
        <v>38.033999999999999</v>
      </c>
      <c r="G23">
        <v>40.866</v>
      </c>
      <c r="H23">
        <v>36.121000000000002</v>
      </c>
      <c r="I23">
        <v>70.448999999999998</v>
      </c>
      <c r="J23">
        <v>74.673000000000002</v>
      </c>
      <c r="K23">
        <v>34.576999999999998</v>
      </c>
      <c r="L23">
        <v>41.543999999999997</v>
      </c>
      <c r="M23">
        <v>64.879000000000005</v>
      </c>
      <c r="N23">
        <v>26.952999999999999</v>
      </c>
      <c r="O23">
        <v>1.2596000000000001</v>
      </c>
      <c r="P23">
        <v>70.611999999999995</v>
      </c>
      <c r="Q23">
        <v>2.7970000000000002</v>
      </c>
      <c r="R23">
        <v>47.933</v>
      </c>
      <c r="S23">
        <v>51.503</v>
      </c>
      <c r="T23">
        <v>23.846</v>
      </c>
      <c r="U23">
        <v>46.923000000000002</v>
      </c>
      <c r="V23">
        <v>29.231000000000002</v>
      </c>
      <c r="W23">
        <v>66100</v>
      </c>
      <c r="X23">
        <v>71800</v>
      </c>
      <c r="Y23">
        <v>62243</v>
      </c>
      <c r="Z23">
        <v>2120</v>
      </c>
      <c r="AA23">
        <v>248</v>
      </c>
      <c r="AB23">
        <v>488</v>
      </c>
      <c r="AC23">
        <v>304</v>
      </c>
      <c r="AD23">
        <v>3842</v>
      </c>
      <c r="AE23">
        <v>-12.827</v>
      </c>
      <c r="AF23">
        <v>33.222000000000001</v>
      </c>
      <c r="AG23">
        <v>32.07</v>
      </c>
      <c r="AH23">
        <v>34.457999999999998</v>
      </c>
      <c r="AI23">
        <v>44225</v>
      </c>
      <c r="AJ23">
        <v>93675</v>
      </c>
      <c r="AK23">
        <v>84118</v>
      </c>
      <c r="AL23">
        <v>128343</v>
      </c>
      <c r="AM23">
        <v>137900</v>
      </c>
      <c r="AN23">
        <v>6318</v>
      </c>
      <c r="AO23">
        <v>1040</v>
      </c>
    </row>
    <row r="24" spans="1:41" x14ac:dyDescent="0.3">
      <c r="A24" t="s">
        <v>106</v>
      </c>
      <c r="B24">
        <v>3.3116009520852736</v>
      </c>
      <c r="C24">
        <v>28.751000000000001</v>
      </c>
      <c r="D24">
        <v>26.614999999999998</v>
      </c>
      <c r="E24">
        <v>32.177</v>
      </c>
      <c r="F24">
        <v>38.033999999999999</v>
      </c>
      <c r="G24">
        <v>40.866</v>
      </c>
      <c r="H24">
        <v>36.121000000000002</v>
      </c>
      <c r="I24">
        <v>70.448999999999998</v>
      </c>
      <c r="J24">
        <v>74.673000000000002</v>
      </c>
      <c r="K24">
        <v>34.576999999999998</v>
      </c>
      <c r="L24">
        <v>41.543999999999997</v>
      </c>
      <c r="M24">
        <v>64.879000000000005</v>
      </c>
      <c r="N24">
        <v>26.952999999999999</v>
      </c>
      <c r="O24">
        <v>1.2596000000000001</v>
      </c>
      <c r="P24">
        <v>70.611999999999995</v>
      </c>
      <c r="Q24">
        <v>2.7970000000000002</v>
      </c>
      <c r="R24">
        <v>47.933</v>
      </c>
      <c r="S24">
        <v>51.503</v>
      </c>
      <c r="T24">
        <v>23.846</v>
      </c>
      <c r="U24">
        <v>46.923000000000002</v>
      </c>
      <c r="V24">
        <v>29.231000000000002</v>
      </c>
      <c r="W24">
        <v>66100</v>
      </c>
      <c r="X24">
        <v>71800</v>
      </c>
      <c r="Y24">
        <v>62243</v>
      </c>
      <c r="Z24">
        <v>2120</v>
      </c>
      <c r="AA24">
        <v>248</v>
      </c>
      <c r="AB24">
        <v>488</v>
      </c>
      <c r="AC24">
        <v>304</v>
      </c>
      <c r="AD24">
        <v>3842</v>
      </c>
      <c r="AE24">
        <v>-12.827</v>
      </c>
      <c r="AF24">
        <v>33.222000000000001</v>
      </c>
      <c r="AG24">
        <v>32.07</v>
      </c>
      <c r="AH24">
        <v>34.457999999999998</v>
      </c>
      <c r="AI24">
        <v>44225</v>
      </c>
      <c r="AJ24">
        <v>93675</v>
      </c>
      <c r="AK24">
        <v>84118</v>
      </c>
      <c r="AL24">
        <v>128343</v>
      </c>
      <c r="AM24">
        <v>137900</v>
      </c>
      <c r="AN24">
        <v>6318</v>
      </c>
      <c r="AO24">
        <v>1040</v>
      </c>
    </row>
    <row r="25" spans="1:41" x14ac:dyDescent="0.3">
      <c r="A25" t="s">
        <v>110</v>
      </c>
    </row>
    <row r="26" spans="1:41" x14ac:dyDescent="0.3">
      <c r="A26" t="s">
        <v>109</v>
      </c>
      <c r="C26">
        <v>33.270000000000003</v>
      </c>
      <c r="D26">
        <v>26.690999999999999</v>
      </c>
      <c r="E26">
        <v>42.414999999999999</v>
      </c>
      <c r="F26">
        <v>40.234999999999999</v>
      </c>
      <c r="G26">
        <v>38.567999999999998</v>
      </c>
      <c r="H26">
        <v>50.506999999999998</v>
      </c>
      <c r="I26">
        <v>63.259</v>
      </c>
      <c r="J26">
        <v>74.233999999999995</v>
      </c>
      <c r="K26">
        <v>41.04</v>
      </c>
      <c r="L26">
        <v>50.414000000000001</v>
      </c>
      <c r="M26">
        <v>63.743000000000002</v>
      </c>
      <c r="N26">
        <v>32.134999999999998</v>
      </c>
      <c r="O26">
        <v>-4.3082000000000003</v>
      </c>
      <c r="P26">
        <v>70.225999999999999</v>
      </c>
      <c r="Q26">
        <v>-3.4931000000000001</v>
      </c>
      <c r="R26">
        <v>50.414999999999999</v>
      </c>
      <c r="S26">
        <v>48.326000000000001</v>
      </c>
      <c r="T26">
        <v>27.212</v>
      </c>
      <c r="U26">
        <v>46.345999999999997</v>
      </c>
      <c r="V26">
        <v>26.442</v>
      </c>
      <c r="W26">
        <v>69522</v>
      </c>
      <c r="X26">
        <v>68378</v>
      </c>
      <c r="Y26">
        <v>74339</v>
      </c>
      <c r="Z26">
        <v>1124</v>
      </c>
      <c r="AA26">
        <v>283</v>
      </c>
      <c r="AB26">
        <v>482</v>
      </c>
      <c r="AC26">
        <v>275</v>
      </c>
      <c r="AD26">
        <v>4185</v>
      </c>
      <c r="AE26">
        <v>-19.318000000000001</v>
      </c>
      <c r="AF26">
        <v>41.676000000000002</v>
      </c>
      <c r="AG26">
        <v>42.576999999999998</v>
      </c>
      <c r="AH26">
        <v>40.811999999999998</v>
      </c>
      <c r="AI26">
        <v>58713</v>
      </c>
      <c r="AJ26">
        <v>79187</v>
      </c>
      <c r="AK26">
        <v>85148</v>
      </c>
      <c r="AL26">
        <v>143861</v>
      </c>
      <c r="AM26">
        <v>137900</v>
      </c>
      <c r="AN26">
        <v>2592</v>
      </c>
      <c r="AO26">
        <v>1040</v>
      </c>
    </row>
    <row r="27" spans="1:41" x14ac:dyDescent="0.3">
      <c r="A27" t="s">
        <v>105</v>
      </c>
      <c r="C27">
        <v>29.675000000000001</v>
      </c>
      <c r="D27">
        <v>26.021999999999998</v>
      </c>
      <c r="E27">
        <v>34.685000000000002</v>
      </c>
      <c r="F27">
        <v>40.131999999999998</v>
      </c>
      <c r="G27">
        <v>37.179000000000002</v>
      </c>
      <c r="H27">
        <v>46.692</v>
      </c>
      <c r="I27">
        <v>48.938000000000002</v>
      </c>
      <c r="J27">
        <v>73.960999999999999</v>
      </c>
      <c r="K27">
        <v>37.033999999999999</v>
      </c>
      <c r="L27">
        <v>45.319000000000003</v>
      </c>
      <c r="M27">
        <v>62.774000000000001</v>
      </c>
      <c r="N27">
        <v>28.448</v>
      </c>
      <c r="O27">
        <v>-8.9332999999999991</v>
      </c>
      <c r="P27">
        <v>70.125</v>
      </c>
      <c r="Q27">
        <v>-7.8136000000000001</v>
      </c>
      <c r="R27">
        <v>50.064999999999998</v>
      </c>
      <c r="S27">
        <v>46.381</v>
      </c>
      <c r="T27">
        <v>26.635000000000002</v>
      </c>
      <c r="U27">
        <v>46.731000000000002</v>
      </c>
      <c r="V27">
        <v>26.635000000000002</v>
      </c>
      <c r="W27">
        <v>69039</v>
      </c>
      <c r="X27">
        <v>68861</v>
      </c>
      <c r="Y27">
        <v>79814</v>
      </c>
      <c r="Z27">
        <v>1544</v>
      </c>
      <c r="AA27">
        <v>277</v>
      </c>
      <c r="AB27">
        <v>486</v>
      </c>
      <c r="AC27">
        <v>277</v>
      </c>
      <c r="AD27">
        <v>4580</v>
      </c>
      <c r="AE27">
        <v>-23.89</v>
      </c>
      <c r="AF27">
        <v>36.466000000000001</v>
      </c>
      <c r="AG27">
        <v>37.914000000000001</v>
      </c>
      <c r="AH27">
        <v>35.124000000000002</v>
      </c>
      <c r="AI27">
        <v>52283</v>
      </c>
      <c r="AJ27">
        <v>85617</v>
      </c>
      <c r="AK27">
        <v>96570</v>
      </c>
      <c r="AL27">
        <v>148853</v>
      </c>
      <c r="AM27">
        <v>137900</v>
      </c>
      <c r="AN27">
        <v>1640</v>
      </c>
      <c r="AO27">
        <v>1040</v>
      </c>
    </row>
    <row r="28" spans="1:41" x14ac:dyDescent="0.3">
      <c r="A28" t="s">
        <v>106</v>
      </c>
      <c r="C28">
        <v>32.332999999999998</v>
      </c>
      <c r="D28">
        <v>26.26</v>
      </c>
      <c r="E28">
        <v>40.840000000000003</v>
      </c>
      <c r="F28">
        <v>40.143999999999998</v>
      </c>
      <c r="G28">
        <v>37.71</v>
      </c>
      <c r="H28">
        <v>50.621000000000002</v>
      </c>
      <c r="I28">
        <v>58.204000000000001</v>
      </c>
      <c r="J28">
        <v>74.111000000000004</v>
      </c>
      <c r="K28">
        <v>40.182000000000002</v>
      </c>
      <c r="L28">
        <v>48.83</v>
      </c>
      <c r="M28">
        <v>63.212000000000003</v>
      </c>
      <c r="N28">
        <v>30.867000000000001</v>
      </c>
      <c r="O28">
        <v>-6.9318</v>
      </c>
      <c r="P28">
        <v>70.192999999999998</v>
      </c>
      <c r="Q28">
        <v>-6.0507999999999997</v>
      </c>
      <c r="R28">
        <v>50.201000000000001</v>
      </c>
      <c r="S28">
        <v>47.158000000000001</v>
      </c>
      <c r="T28">
        <v>27.212</v>
      </c>
      <c r="U28">
        <v>46.154000000000003</v>
      </c>
      <c r="V28">
        <v>26.635000000000002</v>
      </c>
      <c r="W28">
        <v>69227</v>
      </c>
      <c r="X28">
        <v>68673</v>
      </c>
      <c r="Y28">
        <v>77571</v>
      </c>
      <c r="Z28">
        <v>1215</v>
      </c>
      <c r="AA28">
        <v>283</v>
      </c>
      <c r="AB28">
        <v>480</v>
      </c>
      <c r="AC28">
        <v>277</v>
      </c>
      <c r="AD28">
        <v>4334</v>
      </c>
      <c r="AE28">
        <v>-21.895</v>
      </c>
      <c r="AF28">
        <v>40.247999999999998</v>
      </c>
      <c r="AG28">
        <v>41.546999999999997</v>
      </c>
      <c r="AH28">
        <v>39.027999999999999</v>
      </c>
      <c r="AI28">
        <v>57293</v>
      </c>
      <c r="AJ28">
        <v>80607</v>
      </c>
      <c r="AK28">
        <v>89505</v>
      </c>
      <c r="AL28">
        <v>146798</v>
      </c>
      <c r="AM28">
        <v>137900</v>
      </c>
      <c r="AN28">
        <v>1943</v>
      </c>
      <c r="AO28">
        <v>1040</v>
      </c>
    </row>
    <row r="30" spans="1:41" x14ac:dyDescent="0.3">
      <c r="A30" t="s">
        <v>16</v>
      </c>
      <c r="B30">
        <v>2.8374328326446649</v>
      </c>
      <c r="C30">
        <v>26.863</v>
      </c>
      <c r="D30">
        <v>25.567</v>
      </c>
      <c r="E30">
        <v>28.948</v>
      </c>
      <c r="F30">
        <v>40.307000000000002</v>
      </c>
      <c r="G30">
        <v>36.109000000000002</v>
      </c>
      <c r="H30">
        <v>32.841000000000001</v>
      </c>
      <c r="I30">
        <v>67.444000000000003</v>
      </c>
      <c r="J30">
        <v>73.921000000000006</v>
      </c>
      <c r="K30">
        <v>33.896999999999998</v>
      </c>
      <c r="L30">
        <v>40.040999999999997</v>
      </c>
      <c r="M30">
        <v>63.396000000000001</v>
      </c>
      <c r="N30">
        <v>25.384</v>
      </c>
      <c r="O30">
        <v>-11.978</v>
      </c>
      <c r="P30">
        <v>69.977000000000004</v>
      </c>
      <c r="Q30">
        <v>-10.273999999999999</v>
      </c>
      <c r="R30">
        <v>50.676000000000002</v>
      </c>
      <c r="S30">
        <v>45.398000000000003</v>
      </c>
      <c r="T30">
        <v>25</v>
      </c>
      <c r="U30">
        <v>48.558</v>
      </c>
      <c r="V30">
        <v>26.442</v>
      </c>
      <c r="W30">
        <v>69882</v>
      </c>
      <c r="X30">
        <v>68018</v>
      </c>
      <c r="Y30">
        <v>84050</v>
      </c>
      <c r="Z30">
        <v>2350</v>
      </c>
      <c r="AA30">
        <v>260</v>
      </c>
      <c r="AB30">
        <v>505</v>
      </c>
      <c r="AC30">
        <v>275</v>
      </c>
      <c r="AD30">
        <v>4068</v>
      </c>
      <c r="AE30">
        <v>-27.193000000000001</v>
      </c>
      <c r="AF30">
        <v>30.677</v>
      </c>
      <c r="AG30">
        <v>32.46</v>
      </c>
      <c r="AH30">
        <v>29.079000000000001</v>
      </c>
      <c r="AI30">
        <v>44762</v>
      </c>
      <c r="AJ30">
        <v>93138</v>
      </c>
      <c r="AK30">
        <v>109170</v>
      </c>
      <c r="AL30">
        <v>153932</v>
      </c>
      <c r="AM30">
        <v>137900</v>
      </c>
      <c r="AN30">
        <v>7925</v>
      </c>
      <c r="AO30">
        <v>1040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949-3DFC-4DAE-97A3-700277BD79BF}">
  <dimension ref="A5:B7"/>
  <sheetViews>
    <sheetView workbookViewId="0">
      <selection activeCell="G29" sqref="G29"/>
    </sheetView>
  </sheetViews>
  <sheetFormatPr defaultRowHeight="14.4" x14ac:dyDescent="0.3"/>
  <sheetData>
    <row r="5" spans="1:2" x14ac:dyDescent="0.3">
      <c r="A5">
        <v>12</v>
      </c>
      <c r="B5">
        <v>0</v>
      </c>
    </row>
    <row r="6" spans="1:2" x14ac:dyDescent="0.3">
      <c r="A6">
        <v>8</v>
      </c>
      <c r="B6">
        <v>21</v>
      </c>
    </row>
    <row r="7" spans="1:2" x14ac:dyDescent="0.3">
      <c r="A7">
        <v>8</v>
      </c>
      <c r="B7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13FF-52AD-4E96-B84C-8D8640E0DA76}">
  <dimension ref="A1:A23"/>
  <sheetViews>
    <sheetView workbookViewId="0">
      <selection activeCell="D27" sqref="D27"/>
    </sheetView>
  </sheetViews>
  <sheetFormatPr defaultRowHeight="14.4" x14ac:dyDescent="0.3"/>
  <cols>
    <col min="1" max="1" width="46.5546875" bestFit="1" customWidth="1"/>
  </cols>
  <sheetData>
    <row r="1" spans="1:1" x14ac:dyDescent="0.3">
      <c r="A1" s="1" t="s">
        <v>19</v>
      </c>
    </row>
    <row r="3" spans="1:1" x14ac:dyDescent="0.3">
      <c r="A3" t="s">
        <v>103</v>
      </c>
    </row>
    <row r="4" spans="1:1" x14ac:dyDescent="0.3">
      <c r="A4" t="s">
        <v>16</v>
      </c>
    </row>
    <row r="5" spans="1:1" x14ac:dyDescent="0.3">
      <c r="A5" s="1" t="s">
        <v>13</v>
      </c>
    </row>
    <row r="7" spans="1:1" x14ac:dyDescent="0.3">
      <c r="A7" t="s">
        <v>12</v>
      </c>
    </row>
    <row r="8" spans="1:1" x14ac:dyDescent="0.3">
      <c r="A8" t="s">
        <v>99</v>
      </c>
    </row>
    <row r="10" spans="1:1" x14ac:dyDescent="0.3">
      <c r="A10" t="s">
        <v>38</v>
      </c>
    </row>
    <row r="11" spans="1:1" x14ac:dyDescent="0.3">
      <c r="A11" s="1" t="s">
        <v>39</v>
      </c>
    </row>
    <row r="13" spans="1:1" x14ac:dyDescent="0.3">
      <c r="A13" s="1" t="s">
        <v>40</v>
      </c>
    </row>
    <row r="15" spans="1:1" x14ac:dyDescent="0.3">
      <c r="A15" s="1" t="s">
        <v>101</v>
      </c>
    </row>
    <row r="16" spans="1:1" x14ac:dyDescent="0.3">
      <c r="A16" s="1" t="s">
        <v>104</v>
      </c>
    </row>
    <row r="18" spans="1:1" x14ac:dyDescent="0.3">
      <c r="A18" t="s">
        <v>82</v>
      </c>
    </row>
    <row r="19" spans="1:1" x14ac:dyDescent="0.3">
      <c r="A19" t="s">
        <v>84</v>
      </c>
    </row>
    <row r="21" spans="1:1" x14ac:dyDescent="0.3">
      <c r="A21" t="s">
        <v>109</v>
      </c>
    </row>
    <row r="22" spans="1:1" x14ac:dyDescent="0.3">
      <c r="A22" t="s">
        <v>105</v>
      </c>
    </row>
    <row r="23" spans="1:1" x14ac:dyDescent="0.3">
      <c r="A23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4D9F-2D4B-488C-8248-0E81F941A0D9}">
  <dimension ref="A1:W1"/>
  <sheetViews>
    <sheetView tabSelected="1" workbookViewId="0">
      <selection activeCell="X27" sqref="X27"/>
    </sheetView>
  </sheetViews>
  <sheetFormatPr defaultRowHeight="14.4" x14ac:dyDescent="0.3"/>
  <cols>
    <col min="1" max="1" width="23.33203125" bestFit="1" customWidth="1"/>
    <col min="3" max="3" width="22.77734375" bestFit="1" customWidth="1"/>
    <col min="4" max="4" width="20.88671875" bestFit="1" customWidth="1"/>
    <col min="5" max="5" width="18" bestFit="1" customWidth="1"/>
    <col min="7" max="7" width="30" bestFit="1" customWidth="1"/>
    <col min="8" max="8" width="22.33203125" bestFit="1" customWidth="1"/>
    <col min="10" max="11" width="23.109375" bestFit="1" customWidth="1"/>
    <col min="13" max="13" width="23.77734375" bestFit="1" customWidth="1"/>
    <col min="15" max="15" width="28.88671875" bestFit="1" customWidth="1"/>
    <col min="16" max="16" width="34.21875" bestFit="1" customWidth="1"/>
    <col min="18" max="18" width="29.77734375" bestFit="1" customWidth="1"/>
    <col min="19" max="19" width="40.6640625" bestFit="1" customWidth="1"/>
    <col min="21" max="21" width="46.5546875" bestFit="1" customWidth="1"/>
    <col min="22" max="22" width="35.5546875" bestFit="1" customWidth="1"/>
    <col min="23" max="23" width="46.5546875" bestFit="1" customWidth="1"/>
  </cols>
  <sheetData>
    <row r="1" spans="1:23" x14ac:dyDescent="0.3">
      <c r="A1" s="1" t="s">
        <v>19</v>
      </c>
      <c r="C1" t="s">
        <v>103</v>
      </c>
      <c r="D1" t="s">
        <v>16</v>
      </c>
      <c r="E1" s="1" t="s">
        <v>13</v>
      </c>
      <c r="G1" t="s">
        <v>12</v>
      </c>
      <c r="H1" t="s">
        <v>99</v>
      </c>
      <c r="J1" t="s">
        <v>38</v>
      </c>
      <c r="K1" s="1" t="s">
        <v>39</v>
      </c>
      <c r="M1" s="1" t="s">
        <v>40</v>
      </c>
      <c r="O1" s="1" t="s">
        <v>101</v>
      </c>
      <c r="P1" s="1" t="s">
        <v>104</v>
      </c>
      <c r="R1" t="s">
        <v>82</v>
      </c>
      <c r="S1" t="s">
        <v>84</v>
      </c>
      <c r="U1" t="s">
        <v>109</v>
      </c>
      <c r="V1" t="s">
        <v>105</v>
      </c>
      <c r="W1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laptop metrics</vt:lpstr>
      <vt:lpstr>time from agx</vt:lpstr>
      <vt:lpstr>agx metrics</vt:lpstr>
      <vt:lpstr>Sheet1</vt:lpstr>
      <vt:lpstr>AGX metrics (post thesis)</vt:lpstr>
      <vt:lpstr>time from agx (post thesis)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2022-03-29T14:12:31Z</dcterms:created>
  <dcterms:modified xsi:type="dcterms:W3CDTF">2022-05-08T23:21:47Z</dcterms:modified>
</cp:coreProperties>
</file>