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202300"/>
  <mc:AlternateContent xmlns:mc="http://schemas.openxmlformats.org/markup-compatibility/2006">
    <mc:Choice Requires="x15">
      <x15ac:absPath xmlns:x15ac="http://schemas.microsoft.com/office/spreadsheetml/2010/11/ac" url="/Users/apple/Downloads/"/>
    </mc:Choice>
  </mc:AlternateContent>
  <xr:revisionPtr revIDLastSave="0" documentId="8_{58439AB1-5613-C74E-AB43-EEA52544E4B5}" xr6:coauthVersionLast="47" xr6:coauthVersionMax="47" xr10:uidLastSave="{00000000-0000-0000-0000-000000000000}"/>
  <bookViews>
    <workbookView xWindow="0" yWindow="640" windowWidth="25600" windowHeight="16000" xr2:uid="{351E1BC6-40E8-4348-A4AA-160C26E0FF72}"/>
  </bookViews>
  <sheets>
    <sheet name="Sheet1" sheetId="1" r:id="rId1"/>
  </sheets>
  <externalReferences>
    <externalReference r:id="rId2"/>
  </externalReferences>
  <calcPr calcId="18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15" i="1" l="1"/>
  <c r="I215" i="1" s="1"/>
  <c r="J215" i="1" s="1"/>
  <c r="K215" i="1" s="1"/>
  <c r="C204" i="1"/>
  <c r="C203" i="1"/>
  <c r="J200" i="1"/>
  <c r="I200" i="1"/>
  <c r="H200" i="1"/>
  <c r="G200" i="1"/>
  <c r="K199" i="1"/>
  <c r="K198" i="1" s="1"/>
  <c r="J199" i="1"/>
  <c r="J198" i="1"/>
  <c r="I198" i="1"/>
  <c r="H198" i="1"/>
  <c r="G198" i="1"/>
  <c r="K196" i="1"/>
  <c r="J196" i="1"/>
  <c r="I196" i="1"/>
  <c r="H196" i="1"/>
  <c r="G196" i="1"/>
  <c r="K195" i="1"/>
  <c r="J195" i="1"/>
  <c r="K194" i="1"/>
  <c r="J194" i="1"/>
  <c r="I194" i="1"/>
  <c r="H194" i="1"/>
  <c r="G194" i="1"/>
  <c r="J192" i="1"/>
  <c r="I192" i="1"/>
  <c r="H192" i="1"/>
  <c r="G192" i="1"/>
  <c r="K191" i="1"/>
  <c r="K190" i="1" s="1"/>
  <c r="J191" i="1"/>
  <c r="J190" i="1"/>
  <c r="I190" i="1"/>
  <c r="H190" i="1"/>
  <c r="G190" i="1"/>
  <c r="K188" i="1"/>
  <c r="J188" i="1"/>
  <c r="I188" i="1"/>
  <c r="H188" i="1"/>
  <c r="G188" i="1"/>
  <c r="K186" i="1"/>
  <c r="J186" i="1"/>
  <c r="I186" i="1"/>
  <c r="H186" i="1"/>
  <c r="G186" i="1"/>
  <c r="K184" i="1"/>
  <c r="J184" i="1"/>
  <c r="I184" i="1"/>
  <c r="H184" i="1"/>
  <c r="G184" i="1"/>
  <c r="K182" i="1"/>
  <c r="J182" i="1"/>
  <c r="I182" i="1"/>
  <c r="H182" i="1"/>
  <c r="G182" i="1"/>
  <c r="F179" i="1"/>
  <c r="F177" i="1"/>
  <c r="H175" i="1"/>
  <c r="D173" i="1"/>
  <c r="H178" i="1" s="1"/>
  <c r="H39" i="1" s="1"/>
  <c r="F157" i="1"/>
  <c r="E157" i="1"/>
  <c r="D157" i="1"/>
  <c r="H156" i="1"/>
  <c r="I156" i="1" s="1"/>
  <c r="G156" i="1"/>
  <c r="F151" i="1"/>
  <c r="E151" i="1"/>
  <c r="G148" i="1"/>
  <c r="F147" i="1"/>
  <c r="E147" i="1"/>
  <c r="F148" i="1" s="1"/>
  <c r="K146" i="1"/>
  <c r="J146" i="1"/>
  <c r="I146" i="1"/>
  <c r="H146" i="1"/>
  <c r="G146" i="1"/>
  <c r="F143" i="1"/>
  <c r="E143" i="1"/>
  <c r="D143" i="1"/>
  <c r="C141" i="1"/>
  <c r="C140" i="1"/>
  <c r="F136" i="1"/>
  <c r="G133" i="1" s="1"/>
  <c r="E136" i="1"/>
  <c r="D136" i="1"/>
  <c r="C124" i="1"/>
  <c r="C123" i="1"/>
  <c r="F120" i="1"/>
  <c r="D120" i="1"/>
  <c r="H119" i="1"/>
  <c r="I119" i="1" s="1"/>
  <c r="G119" i="1"/>
  <c r="G87" i="1" s="1"/>
  <c r="I118" i="1"/>
  <c r="H118" i="1"/>
  <c r="H88" i="1" s="1"/>
  <c r="G118" i="1"/>
  <c r="G116" i="1"/>
  <c r="F113" i="1"/>
  <c r="E113" i="1"/>
  <c r="G110" i="1"/>
  <c r="F107" i="1"/>
  <c r="E107" i="1"/>
  <c r="D107" i="1"/>
  <c r="F105" i="1"/>
  <c r="F106" i="1" s="1"/>
  <c r="G106" i="1" s="1"/>
  <c r="E105" i="1"/>
  <c r="E106" i="1" s="1"/>
  <c r="D105" i="1"/>
  <c r="D106" i="1" s="1"/>
  <c r="F102" i="1"/>
  <c r="G102" i="1" s="1"/>
  <c r="E102" i="1"/>
  <c r="D102" i="1"/>
  <c r="F100" i="1"/>
  <c r="G97" i="1" s="1"/>
  <c r="E100" i="1"/>
  <c r="C95" i="1"/>
  <c r="C94" i="1"/>
  <c r="G88" i="1"/>
  <c r="G85" i="1"/>
  <c r="I82" i="1"/>
  <c r="I83" i="1" s="1"/>
  <c r="H82" i="1"/>
  <c r="H83" i="1" s="1"/>
  <c r="G82" i="1"/>
  <c r="G83" i="1" s="1"/>
  <c r="C71" i="1"/>
  <c r="C70" i="1"/>
  <c r="F65" i="1"/>
  <c r="E65" i="1"/>
  <c r="G64" i="1"/>
  <c r="H64" i="1" s="1"/>
  <c r="I64" i="1" s="1"/>
  <c r="J64" i="1" s="1"/>
  <c r="K64" i="1" s="1"/>
  <c r="E63" i="1"/>
  <c r="E120" i="1" s="1"/>
  <c r="G58" i="1"/>
  <c r="G151" i="1" s="1"/>
  <c r="F58" i="1"/>
  <c r="E58" i="1"/>
  <c r="F56" i="1"/>
  <c r="F60" i="1" s="1"/>
  <c r="E56" i="1"/>
  <c r="E60" i="1" s="1"/>
  <c r="E52" i="1"/>
  <c r="E67" i="1" s="1"/>
  <c r="F49" i="1"/>
  <c r="E49" i="1"/>
  <c r="F46" i="1"/>
  <c r="G127" i="1" s="1"/>
  <c r="E46" i="1"/>
  <c r="C45" i="1"/>
  <c r="C44" i="1"/>
  <c r="J41" i="1"/>
  <c r="F40" i="1"/>
  <c r="E40" i="1"/>
  <c r="D40" i="1"/>
  <c r="F39" i="1"/>
  <c r="E39" i="1"/>
  <c r="D39" i="1"/>
  <c r="F37" i="1"/>
  <c r="E37" i="1"/>
  <c r="J26" i="1"/>
  <c r="K26" i="1" s="1"/>
  <c r="I26" i="1"/>
  <c r="H26" i="1"/>
  <c r="G26" i="1"/>
  <c r="F23" i="1"/>
  <c r="F27" i="1" s="1"/>
  <c r="F41" i="1" s="1"/>
  <c r="F20" i="1"/>
  <c r="F38" i="1" s="1"/>
  <c r="E20" i="1"/>
  <c r="E23" i="1" s="1"/>
  <c r="E32" i="1" s="1"/>
  <c r="E34" i="1" s="1"/>
  <c r="D20" i="1"/>
  <c r="D38" i="1" s="1"/>
  <c r="G16" i="1"/>
  <c r="G71" i="1" s="1"/>
  <c r="F16" i="1"/>
  <c r="F95" i="1" s="1"/>
  <c r="E16" i="1"/>
  <c r="E95" i="1" s="1"/>
  <c r="G15" i="1"/>
  <c r="G203" i="1" s="1"/>
  <c r="F15" i="1"/>
  <c r="F94" i="1" s="1"/>
  <c r="E15" i="1"/>
  <c r="E94" i="1" s="1"/>
  <c r="D15" i="1"/>
  <c r="D94" i="1" s="1"/>
  <c r="C2" i="1"/>
  <c r="J156" i="1" l="1"/>
  <c r="J119" i="1"/>
  <c r="I213" i="1"/>
  <c r="I87" i="1"/>
  <c r="H106" i="1"/>
  <c r="H102" i="1"/>
  <c r="G99" i="1"/>
  <c r="F153" i="1"/>
  <c r="F152" i="1" s="1"/>
  <c r="G152" i="1" s="1"/>
  <c r="G100" i="1"/>
  <c r="F29" i="1"/>
  <c r="H87" i="1"/>
  <c r="G95" i="1"/>
  <c r="G123" i="1"/>
  <c r="G124" i="1"/>
  <c r="E148" i="1"/>
  <c r="E153" i="1" s="1"/>
  <c r="E152" i="1" s="1"/>
  <c r="I176" i="1"/>
  <c r="G178" i="1"/>
  <c r="G39" i="1" s="1"/>
  <c r="K179" i="1"/>
  <c r="K40" i="1" s="1"/>
  <c r="E203" i="1"/>
  <c r="E204" i="1"/>
  <c r="H213" i="1"/>
  <c r="D16" i="1"/>
  <c r="F32" i="1"/>
  <c r="F34" i="1" s="1"/>
  <c r="J118" i="1"/>
  <c r="I88" i="1"/>
  <c r="E141" i="1"/>
  <c r="F175" i="1"/>
  <c r="J176" i="1"/>
  <c r="F203" i="1"/>
  <c r="F204" i="1"/>
  <c r="D23" i="1"/>
  <c r="K41" i="1"/>
  <c r="G70" i="1"/>
  <c r="F140" i="1"/>
  <c r="F141" i="1"/>
  <c r="K178" i="1"/>
  <c r="K39" i="1" s="1"/>
  <c r="I177" i="1"/>
  <c r="I38" i="1" s="1"/>
  <c r="G176" i="1"/>
  <c r="J178" i="1"/>
  <c r="J39" i="1" s="1"/>
  <c r="H177" i="1"/>
  <c r="H38" i="1" s="1"/>
  <c r="F176" i="1"/>
  <c r="G175" i="1"/>
  <c r="K176" i="1"/>
  <c r="I178" i="1"/>
  <c r="I39" i="1" s="1"/>
  <c r="G204" i="1"/>
  <c r="G94" i="1"/>
  <c r="G173" i="1"/>
  <c r="H15" i="1"/>
  <c r="D203" i="1"/>
  <c r="D140" i="1"/>
  <c r="D123" i="1"/>
  <c r="E140" i="1"/>
  <c r="E123" i="1"/>
  <c r="E45" i="1"/>
  <c r="G140" i="1"/>
  <c r="G141" i="1"/>
  <c r="E44" i="1"/>
  <c r="F45" i="1"/>
  <c r="F52" i="1"/>
  <c r="F67" i="1" s="1"/>
  <c r="I175" i="1"/>
  <c r="G177" i="1"/>
  <c r="G38" i="1" s="1"/>
  <c r="G179" i="1"/>
  <c r="G40" i="1" s="1"/>
  <c r="H16" i="1"/>
  <c r="F44" i="1"/>
  <c r="G45" i="1"/>
  <c r="H58" i="1"/>
  <c r="G157" i="1"/>
  <c r="G24" i="1" s="1"/>
  <c r="J175" i="1"/>
  <c r="J177" i="1"/>
  <c r="J38" i="1" s="1"/>
  <c r="H179" i="1"/>
  <c r="H40" i="1" s="1"/>
  <c r="E27" i="1"/>
  <c r="E38" i="1"/>
  <c r="G44" i="1"/>
  <c r="E124" i="1"/>
  <c r="G174" i="1"/>
  <c r="K175" i="1"/>
  <c r="K177" i="1"/>
  <c r="K38" i="1" s="1"/>
  <c r="I179" i="1"/>
  <c r="I40" i="1" s="1"/>
  <c r="K200" i="1"/>
  <c r="F123" i="1"/>
  <c r="F124" i="1"/>
  <c r="H176" i="1"/>
  <c r="F178" i="1"/>
  <c r="J179" i="1"/>
  <c r="J40" i="1" s="1"/>
  <c r="K192" i="1"/>
  <c r="G213" i="1"/>
  <c r="F206" i="1" l="1"/>
  <c r="F117" i="1"/>
  <c r="H71" i="1"/>
  <c r="H174" i="1"/>
  <c r="H45" i="1"/>
  <c r="I16" i="1"/>
  <c r="H141" i="1"/>
  <c r="H204" i="1"/>
  <c r="H124" i="1"/>
  <c r="H95" i="1"/>
  <c r="D141" i="1"/>
  <c r="D124" i="1"/>
  <c r="D204" i="1"/>
  <c r="D95" i="1"/>
  <c r="E29" i="1"/>
  <c r="E41" i="1"/>
  <c r="K118" i="1"/>
  <c r="K88" i="1" s="1"/>
  <c r="J88" i="1"/>
  <c r="K119" i="1"/>
  <c r="J213" i="1"/>
  <c r="J87" i="1"/>
  <c r="D32" i="1"/>
  <c r="D34" i="1" s="1"/>
  <c r="D27" i="1"/>
  <c r="I102" i="1"/>
  <c r="H99" i="1"/>
  <c r="K156" i="1"/>
  <c r="H85" i="1"/>
  <c r="I58" i="1"/>
  <c r="H151" i="1"/>
  <c r="H173" i="1"/>
  <c r="H44" i="1"/>
  <c r="H140" i="1"/>
  <c r="H203" i="1"/>
  <c r="H70" i="1"/>
  <c r="I15" i="1"/>
  <c r="H94" i="1"/>
  <c r="H123" i="1"/>
  <c r="G50" i="1"/>
  <c r="H97" i="1"/>
  <c r="H100" i="1" s="1"/>
  <c r="H152" i="1"/>
  <c r="G153" i="1"/>
  <c r="G143" i="1" s="1"/>
  <c r="G25" i="1" s="1"/>
  <c r="I106" i="1"/>
  <c r="I97" i="1" l="1"/>
  <c r="H50" i="1"/>
  <c r="J106" i="1"/>
  <c r="I85" i="1"/>
  <c r="I151" i="1"/>
  <c r="J58" i="1"/>
  <c r="D41" i="1"/>
  <c r="D29" i="1"/>
  <c r="I152" i="1"/>
  <c r="H153" i="1"/>
  <c r="K213" i="1"/>
  <c r="K87" i="1"/>
  <c r="I140" i="1"/>
  <c r="I203" i="1"/>
  <c r="I70" i="1"/>
  <c r="I173" i="1"/>
  <c r="I94" i="1"/>
  <c r="J15" i="1"/>
  <c r="I123" i="1"/>
  <c r="I44" i="1"/>
  <c r="I45" i="1"/>
  <c r="J16" i="1"/>
  <c r="I141" i="1"/>
  <c r="I204" i="1"/>
  <c r="I124" i="1"/>
  <c r="I95" i="1"/>
  <c r="I174" i="1"/>
  <c r="I71" i="1"/>
  <c r="J102" i="1"/>
  <c r="I99" i="1"/>
  <c r="E206" i="1"/>
  <c r="E117" i="1"/>
  <c r="F208" i="1"/>
  <c r="F211" i="1"/>
  <c r="K102" i="1" l="1"/>
  <c r="J151" i="1"/>
  <c r="J85" i="1"/>
  <c r="K58" i="1"/>
  <c r="J140" i="1"/>
  <c r="J203" i="1"/>
  <c r="J70" i="1"/>
  <c r="J173" i="1"/>
  <c r="J94" i="1"/>
  <c r="J123" i="1"/>
  <c r="K15" i="1"/>
  <c r="J44" i="1"/>
  <c r="E208" i="1"/>
  <c r="E211" i="1"/>
  <c r="J152" i="1"/>
  <c r="I153" i="1"/>
  <c r="D206" i="1"/>
  <c r="D117" i="1"/>
  <c r="K106" i="1"/>
  <c r="J204" i="1"/>
  <c r="J174" i="1"/>
  <c r="J141" i="1"/>
  <c r="J124" i="1"/>
  <c r="J95" i="1"/>
  <c r="J71" i="1"/>
  <c r="J45" i="1"/>
  <c r="K16" i="1"/>
  <c r="I100" i="1"/>
  <c r="J97" i="1" l="1"/>
  <c r="I50" i="1"/>
  <c r="K204" i="1"/>
  <c r="K174" i="1"/>
  <c r="K141" i="1"/>
  <c r="K124" i="1"/>
  <c r="K45" i="1"/>
  <c r="K95" i="1"/>
  <c r="K71" i="1"/>
  <c r="K85" i="1"/>
  <c r="K151" i="1"/>
  <c r="K203" i="1"/>
  <c r="K44" i="1"/>
  <c r="K140" i="1"/>
  <c r="K70" i="1"/>
  <c r="K173" i="1"/>
  <c r="K94" i="1"/>
  <c r="K123" i="1"/>
  <c r="D211" i="1"/>
  <c r="D208" i="1"/>
  <c r="K152" i="1"/>
  <c r="K153" i="1" s="1"/>
  <c r="J153" i="1"/>
  <c r="G37" i="1" l="1"/>
  <c r="G47" i="1" l="1"/>
  <c r="G33" i="1"/>
  <c r="G55" i="1"/>
  <c r="G56" i="1"/>
  <c r="H56" i="1" s="1"/>
  <c r="G59" i="1"/>
  <c r="G18" i="1"/>
  <c r="G51" i="1"/>
  <c r="G49" i="1"/>
  <c r="H49" i="1" s="1"/>
  <c r="H37" i="1"/>
  <c r="H55" i="1" l="1"/>
  <c r="H51" i="1"/>
  <c r="G113" i="1"/>
  <c r="G20" i="1"/>
  <c r="G22" i="1"/>
  <c r="H18" i="1"/>
  <c r="G105" i="1"/>
  <c r="G21" i="1"/>
  <c r="H59" i="1"/>
  <c r="G79" i="1"/>
  <c r="G214" i="1"/>
  <c r="G207" i="1" s="1"/>
  <c r="H33" i="1"/>
  <c r="G75" i="1"/>
  <c r="G62" i="1"/>
  <c r="H47" i="1"/>
  <c r="H62" i="1" l="1"/>
  <c r="H75" i="1"/>
  <c r="H214" i="1"/>
  <c r="H207" i="1" s="1"/>
  <c r="G210" i="1"/>
  <c r="G19" i="1"/>
  <c r="G23" i="1"/>
  <c r="H110" i="1"/>
  <c r="H113" i="1"/>
  <c r="G111" i="1"/>
  <c r="G112" i="1" s="1"/>
  <c r="G78" i="1" s="1"/>
  <c r="G107" i="1"/>
  <c r="G31" i="1" s="1"/>
  <c r="G74" i="1" s="1"/>
  <c r="H22" i="1"/>
  <c r="H20" i="1"/>
  <c r="H21" i="1"/>
  <c r="H105" i="1"/>
  <c r="H79" i="1"/>
  <c r="G48" i="1" l="1"/>
  <c r="G54" i="1"/>
  <c r="H210" i="1"/>
  <c r="I110" i="1"/>
  <c r="H111" i="1"/>
  <c r="H112" i="1" s="1"/>
  <c r="H78" i="1" s="1"/>
  <c r="H107" i="1"/>
  <c r="H31" i="1" s="1"/>
  <c r="H74" i="1" s="1"/>
  <c r="H19" i="1"/>
  <c r="H23" i="1"/>
  <c r="G27" i="1"/>
  <c r="G32" i="1"/>
  <c r="G34" i="1" s="1"/>
  <c r="G28" i="1" l="1"/>
  <c r="G29" i="1"/>
  <c r="H32" i="1"/>
  <c r="H34" i="1" s="1"/>
  <c r="G77" i="1"/>
  <c r="H54" i="1"/>
  <c r="H48" i="1"/>
  <c r="G76" i="1"/>
  <c r="H77" i="1" l="1"/>
  <c r="G117" i="1"/>
  <c r="G120" i="1" s="1"/>
  <c r="G73" i="1"/>
  <c r="G80" i="1" s="1"/>
  <c r="D163" i="1"/>
  <c r="G206" i="1"/>
  <c r="H76" i="1"/>
  <c r="H116" i="1" l="1"/>
  <c r="G63" i="1"/>
  <c r="G65" i="1" s="1"/>
  <c r="G211" i="1"/>
  <c r="G208" i="1"/>
  <c r="G129" i="1"/>
  <c r="G130" i="1" s="1"/>
  <c r="G134" i="1" s="1"/>
  <c r="G136" i="1" s="1"/>
  <c r="H133" i="1" l="1"/>
  <c r="G57" i="1"/>
  <c r="G137" i="1"/>
  <c r="G147" i="1" l="1"/>
  <c r="H148" i="1" s="1"/>
  <c r="H143" i="1" s="1"/>
  <c r="H25" i="1" s="1"/>
  <c r="G86" i="1"/>
  <c r="G89" i="1" s="1"/>
  <c r="G91" i="1" s="1"/>
  <c r="G46" i="1" s="1"/>
  <c r="G60" i="1"/>
  <c r="G52" i="1" l="1"/>
  <c r="G67" i="1" s="1"/>
  <c r="H127" i="1"/>
  <c r="H157" i="1"/>
  <c r="H24" i="1" s="1"/>
  <c r="H27" i="1" s="1"/>
  <c r="H28" i="1" l="1"/>
  <c r="H29" i="1"/>
  <c r="H117" i="1" l="1"/>
  <c r="H120" i="1" s="1"/>
  <c r="H73" i="1"/>
  <c r="H80" i="1" s="1"/>
  <c r="H206" i="1"/>
  <c r="H211" i="1" l="1"/>
  <c r="H208" i="1"/>
  <c r="H129" i="1"/>
  <c r="H130" i="1" s="1"/>
  <c r="H134" i="1" s="1"/>
  <c r="H136" i="1" s="1"/>
  <c r="H63" i="1"/>
  <c r="H65" i="1" s="1"/>
  <c r="I116" i="1"/>
  <c r="H57" i="1" l="1"/>
  <c r="H137" i="1"/>
  <c r="I133" i="1"/>
  <c r="H147" i="1" l="1"/>
  <c r="I148" i="1" s="1"/>
  <c r="I143" i="1" s="1"/>
  <c r="I25" i="1" s="1"/>
  <c r="H86" i="1"/>
  <c r="H89" i="1" s="1"/>
  <c r="H91" i="1" s="1"/>
  <c r="H46" i="1" s="1"/>
  <c r="H60" i="1"/>
  <c r="H52" i="1" l="1"/>
  <c r="H67" i="1" s="1"/>
  <c r="I127" i="1"/>
  <c r="I157" i="1"/>
  <c r="I24" i="1" s="1"/>
  <c r="I37" i="1" l="1"/>
  <c r="K37" i="1" l="1"/>
  <c r="J37" i="1"/>
  <c r="J98" i="1" s="1"/>
  <c r="I49" i="1"/>
  <c r="I55" i="1"/>
  <c r="I56" i="1"/>
  <c r="J56" i="1" s="1"/>
  <c r="I33" i="1"/>
  <c r="I18" i="1"/>
  <c r="I51" i="1"/>
  <c r="I47" i="1"/>
  <c r="I59" i="1"/>
  <c r="K56" i="1" l="1"/>
  <c r="J55" i="1"/>
  <c r="K55" i="1" s="1"/>
  <c r="J49" i="1"/>
  <c r="K49" i="1" s="1"/>
  <c r="I75" i="1"/>
  <c r="I214" i="1"/>
  <c r="I207" i="1" s="1"/>
  <c r="J33" i="1"/>
  <c r="I62" i="1"/>
  <c r="I79" i="1"/>
  <c r="J59" i="1"/>
  <c r="J82" i="1"/>
  <c r="J83" i="1" s="1"/>
  <c r="K98" i="1"/>
  <c r="J99" i="1"/>
  <c r="J100" i="1" s="1"/>
  <c r="J47" i="1"/>
  <c r="J51" i="1"/>
  <c r="I113" i="1"/>
  <c r="I22" i="1"/>
  <c r="I20" i="1"/>
  <c r="J18" i="1"/>
  <c r="I21" i="1"/>
  <c r="I105" i="1"/>
  <c r="I19" i="1" l="1"/>
  <c r="I23" i="1"/>
  <c r="K82" i="1"/>
  <c r="K83" i="1" s="1"/>
  <c r="K99" i="1"/>
  <c r="J110" i="1"/>
  <c r="J79" i="1"/>
  <c r="K59" i="1"/>
  <c r="K79" i="1" s="1"/>
  <c r="J113" i="1"/>
  <c r="K51" i="1"/>
  <c r="K113" i="1" s="1"/>
  <c r="J62" i="1"/>
  <c r="I111" i="1"/>
  <c r="I112" i="1" s="1"/>
  <c r="I78" i="1" s="1"/>
  <c r="I107" i="1"/>
  <c r="I31" i="1" s="1"/>
  <c r="I74" i="1" s="1"/>
  <c r="K47" i="1"/>
  <c r="J214" i="1"/>
  <c r="J207" i="1" s="1"/>
  <c r="J75" i="1"/>
  <c r="K33" i="1"/>
  <c r="K97" i="1"/>
  <c r="J50" i="1"/>
  <c r="I210" i="1"/>
  <c r="J20" i="1"/>
  <c r="K18" i="1"/>
  <c r="J22" i="1"/>
  <c r="J21" i="1"/>
  <c r="J105" i="1"/>
  <c r="J111" i="1" s="1"/>
  <c r="J210" i="1" l="1"/>
  <c r="J107" i="1"/>
  <c r="J31" i="1" s="1"/>
  <c r="J74" i="1" s="1"/>
  <c r="K100" i="1"/>
  <c r="K50" i="1" s="1"/>
  <c r="J23" i="1"/>
  <c r="J19" i="1"/>
  <c r="K214" i="1"/>
  <c r="K207" i="1" s="1"/>
  <c r="K75" i="1"/>
  <c r="K62" i="1"/>
  <c r="I32" i="1"/>
  <c r="I34" i="1" s="1"/>
  <c r="I27" i="1"/>
  <c r="K22" i="1"/>
  <c r="K20" i="1"/>
  <c r="K21" i="1"/>
  <c r="K105" i="1"/>
  <c r="K111" i="1" s="1"/>
  <c r="K110" i="1"/>
  <c r="J112" i="1"/>
  <c r="J78" i="1" s="1"/>
  <c r="I54" i="1"/>
  <c r="I48" i="1"/>
  <c r="K210" i="1" l="1"/>
  <c r="K112" i="1"/>
  <c r="K78" i="1" s="1"/>
  <c r="K107" i="1"/>
  <c r="K31" i="1" s="1"/>
  <c r="K74" i="1" s="1"/>
  <c r="K19" i="1"/>
  <c r="K23" i="1"/>
  <c r="J48" i="1"/>
  <c r="I76" i="1"/>
  <c r="I28" i="1"/>
  <c r="I29" i="1" s="1"/>
  <c r="I77" i="1"/>
  <c r="J54" i="1"/>
  <c r="J32" i="1"/>
  <c r="J34" i="1" s="1"/>
  <c r="I73" i="1" l="1"/>
  <c r="I80" i="1" s="1"/>
  <c r="I117" i="1"/>
  <c r="I120" i="1" s="1"/>
  <c r="I206" i="1"/>
  <c r="K48" i="1"/>
  <c r="K76" i="1" s="1"/>
  <c r="J76" i="1"/>
  <c r="K32" i="1"/>
  <c r="K34" i="1" s="1"/>
  <c r="J77" i="1"/>
  <c r="K54" i="1"/>
  <c r="I211" i="1" l="1"/>
  <c r="I208" i="1"/>
  <c r="K77" i="1"/>
  <c r="J116" i="1"/>
  <c r="I63" i="1"/>
  <c r="I65" i="1" s="1"/>
  <c r="I129" i="1"/>
  <c r="I130" i="1" s="1"/>
  <c r="I134" i="1" s="1"/>
  <c r="I136" i="1" s="1"/>
  <c r="I57" i="1" l="1"/>
  <c r="I137" i="1"/>
  <c r="J133" i="1"/>
  <c r="I86" i="1" l="1"/>
  <c r="I89" i="1" s="1"/>
  <c r="I91" i="1" s="1"/>
  <c r="I46" i="1" s="1"/>
  <c r="I147" i="1"/>
  <c r="J148" i="1" s="1"/>
  <c r="J143" i="1" s="1"/>
  <c r="J25" i="1" s="1"/>
  <c r="I60" i="1"/>
  <c r="I52" i="1" l="1"/>
  <c r="I67" i="1" s="1"/>
  <c r="J127" i="1"/>
  <c r="J157" i="1"/>
  <c r="J24" i="1" s="1"/>
  <c r="J27" i="1" s="1"/>
  <c r="J28" i="1" l="1"/>
  <c r="J29" i="1" s="1"/>
  <c r="J206" i="1" l="1"/>
  <c r="J73" i="1"/>
  <c r="J80" i="1" s="1"/>
  <c r="J117" i="1"/>
  <c r="J120" i="1" s="1"/>
  <c r="J63" i="1" l="1"/>
  <c r="J65" i="1" s="1"/>
  <c r="K116" i="1"/>
  <c r="J129" i="1"/>
  <c r="J130" i="1" s="1"/>
  <c r="J134" i="1" s="1"/>
  <c r="J136" i="1" s="1"/>
  <c r="J211" i="1"/>
  <c r="J208" i="1"/>
  <c r="J137" i="1" l="1"/>
  <c r="K133" i="1"/>
  <c r="J57" i="1"/>
  <c r="J86" i="1" l="1"/>
  <c r="J89" i="1" s="1"/>
  <c r="J91" i="1" s="1"/>
  <c r="J46" i="1" s="1"/>
  <c r="J147" i="1"/>
  <c r="K148" i="1" s="1"/>
  <c r="K143" i="1" s="1"/>
  <c r="K25" i="1" s="1"/>
  <c r="J60" i="1"/>
  <c r="J52" i="1" l="1"/>
  <c r="J67" i="1" s="1"/>
  <c r="K127" i="1"/>
  <c r="K157" i="1"/>
  <c r="K24" i="1" s="1"/>
  <c r="K27" i="1" s="1"/>
  <c r="K28" i="1" l="1"/>
  <c r="K29" i="1" s="1"/>
  <c r="K206" i="1" l="1"/>
  <c r="K73" i="1"/>
  <c r="K80" i="1" s="1"/>
  <c r="K117" i="1"/>
  <c r="K120" i="1" s="1"/>
  <c r="K63" i="1" s="1"/>
  <c r="K65" i="1" s="1"/>
  <c r="K129" i="1" l="1"/>
  <c r="K130" i="1" s="1"/>
  <c r="K134" i="1" s="1"/>
  <c r="K136" i="1" s="1"/>
  <c r="K211" i="1"/>
  <c r="K208" i="1"/>
  <c r="K57" i="1" l="1"/>
  <c r="K137" i="1"/>
  <c r="K86" i="1" l="1"/>
  <c r="K89" i="1" s="1"/>
  <c r="K91" i="1" s="1"/>
  <c r="K46" i="1" s="1"/>
  <c r="K52" i="1" s="1"/>
  <c r="K147" i="1"/>
  <c r="K60" i="1"/>
  <c r="K6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Matan Feldman</author>
  </authors>
  <commentList>
    <comment ref="D11" authorId="0" shapeId="0" xr:uid="{6A28ADC9-E9BC-5047-BF44-739E92A26F54}">
      <text>
        <r>
          <rPr>
            <sz val="9"/>
            <color indexed="81"/>
            <rFont val="Tahoma"/>
            <family val="2"/>
          </rPr>
          <t>Front cover of Apple 2018 10K</t>
        </r>
      </text>
    </comment>
    <comment ref="C49" authorId="0" shapeId="0" xr:uid="{966442BD-B0A1-A840-8A0E-CA50638BE039}">
      <text>
        <r>
          <rPr>
            <sz val="9"/>
            <color indexed="81"/>
            <rFont val="Tahoma"/>
            <family val="2"/>
          </rPr>
          <t>Includes vendor non-trade receivables</t>
        </r>
      </text>
    </comment>
    <comment ref="C51" authorId="0" shapeId="0" xr:uid="{CB202E2E-ACF7-5A40-AF0F-5A8A6BFD6995}">
      <text>
        <r>
          <rPr>
            <sz val="9"/>
            <color indexed="81"/>
            <rFont val="Tahoma"/>
            <family val="2"/>
          </rPr>
          <t>AAPL started aggregating goodwill, intangible assets and other non current assets into one line item in 2018, with no footnote breakout of the individual line items. 10Ks prior to 2018 did have a breakout.</t>
        </r>
      </text>
    </comment>
    <comment ref="C118" authorId="0" shapeId="0" xr:uid="{5E454C98-18E1-B044-9B0F-20CA039E0D82}">
      <text>
        <r>
          <rPr>
            <sz val="9"/>
            <color indexed="81"/>
            <rFont val="Tahoma"/>
            <family val="2"/>
          </rPr>
          <t>Statement of shareholders equity schedule, p.41 Apple 2018 10K</t>
        </r>
      </text>
    </comment>
    <comment ref="C119" authorId="0" shapeId="0" xr:uid="{FDA6ECFD-70A7-4248-84B0-C48523941AE8}">
      <text>
        <r>
          <rPr>
            <sz val="9"/>
            <color indexed="81"/>
            <rFont val="Tahoma"/>
            <family val="2"/>
          </rPr>
          <t>Statement of shareholders equity schedule, p.41 Apple 2018 10K</t>
        </r>
      </text>
    </comment>
    <comment ref="E146" authorId="0" shapeId="0" xr:uid="{39C7373F-22D1-5242-92B0-3B4497FF6490}">
      <text>
        <r>
          <rPr>
            <sz val="9"/>
            <color indexed="81"/>
            <rFont val="Tahoma"/>
            <family val="2"/>
          </rPr>
          <t>2018 Note 5 - Debt. 10K p55</t>
        </r>
      </text>
    </comment>
    <comment ref="F146" authorId="0" shapeId="0" xr:uid="{D252FC80-4C6C-0648-9AB3-66B5F8C6EFBA}">
      <text>
        <r>
          <rPr>
            <sz val="9"/>
            <color indexed="81"/>
            <rFont val="Tahoma"/>
            <family val="2"/>
          </rPr>
          <t>2018 Note 5 - Debt. 10K p55</t>
        </r>
      </text>
    </comment>
    <comment ref="C152" authorId="0" shapeId="0" xr:uid="{41483363-69A3-6446-9571-BDDB5AC3CE64}">
      <text>
        <r>
          <rPr>
            <sz val="9"/>
            <color indexed="81"/>
            <rFont val="Tahoma"/>
            <family val="2"/>
          </rPr>
          <t xml:space="preserve">We estimate the historical interest rate (though not explicitly disclosed by Apple). </t>
        </r>
      </text>
    </comment>
    <comment ref="C153" authorId="0" shapeId="0" xr:uid="{6DAC49AC-993F-984C-AF9F-43797322507D}">
      <text>
        <r>
          <rPr>
            <sz val="9"/>
            <color indexed="81"/>
            <rFont val="Tahoma"/>
            <family val="2"/>
          </rPr>
          <t>Although Apple doesn't disclose interest expense specifically, it does disclose the interest rate on commercial paper which enables us to back into interest expense for LTD</t>
        </r>
      </text>
    </comment>
    <comment ref="D156" authorId="0" shapeId="0" xr:uid="{C285868B-F3E2-7846-A3D3-0A1CAD3FCAD6}">
      <text>
        <r>
          <rPr>
            <sz val="9"/>
            <color indexed="81"/>
            <rFont val="Tahoma"/>
            <family val="2"/>
          </rPr>
          <t>2018 p.27 in the 'Other Income/(Expense), Net' section.</t>
        </r>
      </text>
    </comment>
    <comment ref="E156" authorId="0" shapeId="0" xr:uid="{1C12A0CB-2A8B-6A44-A272-4C84D55F2796}">
      <text>
        <r>
          <rPr>
            <sz val="9"/>
            <color indexed="81"/>
            <rFont val="Tahoma"/>
            <family val="2"/>
          </rPr>
          <t>2018 p.27 in the 'Other Income/(Expense), Net' section.</t>
        </r>
      </text>
    </comment>
    <comment ref="F156" authorId="0" shapeId="0" xr:uid="{C2F150FD-E6AD-AA48-B503-4D340E18A76A}">
      <text>
        <r>
          <rPr>
            <sz val="9"/>
            <color indexed="81"/>
            <rFont val="Tahoma"/>
            <family val="2"/>
          </rPr>
          <t>2018 p.27 in the 'Other Income/(Expense), Net' section.</t>
        </r>
      </text>
    </comment>
    <comment ref="C210" authorId="0" shapeId="0" xr:uid="{0147052F-74AA-5149-B8DD-35C1D080CC33}">
      <text>
        <r>
          <rPr>
            <sz val="9"/>
            <color indexed="81"/>
            <rFont val="Tahoma"/>
            <family val="2"/>
          </rPr>
          <t>We straight line last actual year's dilutive securities (calculated as diluted - basic shares) and add this number to the basic share count to arrive at diluted shares</t>
        </r>
      </text>
    </comment>
    <comment ref="C214" authorId="0" shapeId="0" xr:uid="{E995F582-E113-084E-8309-0B2E4EC5219F}">
      <text>
        <r>
          <rPr>
            <sz val="9"/>
            <color indexed="81"/>
            <rFont val="Tahoma"/>
            <family val="2"/>
          </rPr>
          <t>Although we are not forecasting explicit share issuances, stock based compensation will eventually increase the basic share count. We need to account for this somehow, otherwise we will be undercounting future basic shares. For simplicty, we are using the SBC expense as a proxy for the current value of common stock issuance.</t>
        </r>
      </text>
    </comment>
    <comment ref="G215" authorId="0" shapeId="0" xr:uid="{71E18540-5260-BC40-93F0-A9F7D8764975}">
      <text>
        <r>
          <rPr>
            <sz val="9"/>
            <color indexed="81"/>
            <rFont val="Tahoma"/>
            <family val="2"/>
          </rPr>
          <t>WSP assumption</t>
        </r>
      </text>
    </comment>
  </commentList>
</comments>
</file>

<file path=xl/sharedStrings.xml><?xml version="1.0" encoding="utf-8"?>
<sst xmlns="http://schemas.openxmlformats.org/spreadsheetml/2006/main" count="176" uniqueCount="132">
  <si>
    <t>$ in thousands except per share</t>
  </si>
  <si>
    <t>Company name</t>
  </si>
  <si>
    <t>Apple</t>
  </si>
  <si>
    <t>Ticker</t>
  </si>
  <si>
    <t>AAPL</t>
  </si>
  <si>
    <t>Circ break 1=off, 0=on</t>
  </si>
  <si>
    <t>Latest closing share price</t>
  </si>
  <si>
    <t>Latest closing share price date</t>
  </si>
  <si>
    <t>Latest fiscal year end date</t>
  </si>
  <si>
    <t>Shares outstanding (millions)</t>
  </si>
  <si>
    <t>Select an operating scenario:</t>
  </si>
  <si>
    <t>Base case</t>
  </si>
  <si>
    <t>x</t>
  </si>
  <si>
    <t>INCOME STATEMENT</t>
  </si>
  <si>
    <t xml:space="preserve">Fiscal year  </t>
  </si>
  <si>
    <t>Fiscal year end date</t>
  </si>
  <si>
    <t>Revenue</t>
  </si>
  <si>
    <t>Cost of sales (enter as -)</t>
  </si>
  <si>
    <t>Gross Profit</t>
  </si>
  <si>
    <t>Research &amp; development (enter as -)</t>
  </si>
  <si>
    <t>Selling, general &amp; administrative (enter as -)</t>
  </si>
  <si>
    <t>Operating profit (EBIT)</t>
  </si>
  <si>
    <t>Interest income</t>
  </si>
  <si>
    <t>Interest expense (enter as -)</t>
  </si>
  <si>
    <t>Other expense, net (enter as -)</t>
  </si>
  <si>
    <t>Pretax profit</t>
  </si>
  <si>
    <t>Taxes (enter expense as -)</t>
  </si>
  <si>
    <t>Net income</t>
  </si>
  <si>
    <t>Depreciation &amp; amortization</t>
  </si>
  <si>
    <t>EBITDA</t>
  </si>
  <si>
    <t>Stock based compensation</t>
  </si>
  <si>
    <t>Adjusted EBITDA</t>
  </si>
  <si>
    <t>Growth rates &amp; margins</t>
  </si>
  <si>
    <t>Revenue growth</t>
  </si>
  <si>
    <t>Gross profit margin</t>
  </si>
  <si>
    <t>R&amp;D % of sales</t>
  </si>
  <si>
    <t>SG&amp;A % of sales</t>
  </si>
  <si>
    <t>Tax rate</t>
  </si>
  <si>
    <t>BALANCE SHEET</t>
  </si>
  <si>
    <t>Cash &amp; equivalents, ST and LT marketable securities</t>
  </si>
  <si>
    <t>Accounts receivable</t>
  </si>
  <si>
    <t>Inventories</t>
  </si>
  <si>
    <t>Other current assets</t>
  </si>
  <si>
    <t>Property, plant &amp; equipment</t>
  </si>
  <si>
    <t>Other non current assets</t>
  </si>
  <si>
    <t>Total assets</t>
  </si>
  <si>
    <t>Accounts payable</t>
  </si>
  <si>
    <t>Other current liabilities</t>
  </si>
  <si>
    <t>Deferred revenue (current and non current)</t>
  </si>
  <si>
    <t>Commercial paper / revolver</t>
  </si>
  <si>
    <t>Long term debt (includes current portion)</t>
  </si>
  <si>
    <t>Other non current liabilities</t>
  </si>
  <si>
    <t>Total liabilities</t>
  </si>
  <si>
    <t>Common stock</t>
  </si>
  <si>
    <t xml:space="preserve">Retained earnings </t>
  </si>
  <si>
    <t>Other comprehensive income</t>
  </si>
  <si>
    <t>Total equity</t>
  </si>
  <si>
    <t>Balance check</t>
  </si>
  <si>
    <t>CASH FLOW STATEMENT</t>
  </si>
  <si>
    <t>Depreciation and amortization</t>
  </si>
  <si>
    <t>Decreases / (Increases) in working capital assets</t>
  </si>
  <si>
    <t>Increases / (Decreases) in working capital liabilities</t>
  </si>
  <si>
    <t>Cash from operating activities</t>
  </si>
  <si>
    <t>Capital expenditures</t>
  </si>
  <si>
    <t>Cash from investing activities</t>
  </si>
  <si>
    <t>Long term debt</t>
  </si>
  <si>
    <t>Revolver</t>
  </si>
  <si>
    <t>Share repurchases</t>
  </si>
  <si>
    <t>Common dividends</t>
  </si>
  <si>
    <t>Cash from financing activities</t>
  </si>
  <si>
    <t>Net change in cash during period</t>
  </si>
  <si>
    <t>PROPERTY, PLANT &amp; EQUIPMENT</t>
  </si>
  <si>
    <t>Forecast</t>
  </si>
  <si>
    <t>Beginning of period</t>
  </si>
  <si>
    <t>Plus: Capital expenditures</t>
  </si>
  <si>
    <t>Less: Depreciation</t>
  </si>
  <si>
    <t>End of period</t>
  </si>
  <si>
    <t>D&amp;A related to PP&amp;E as a % of capex</t>
  </si>
  <si>
    <t>IMPUTING TOTAL DEPRECIATION &amp; AMORTIZATION</t>
  </si>
  <si>
    <t>as % of revenue</t>
  </si>
  <si>
    <t xml:space="preserve">Depreciation &amp; Amortization - Total </t>
  </si>
  <si>
    <t>OTHER NON-CURRENT ASSETS</t>
  </si>
  <si>
    <t>Less: Amortization of intangible assets</t>
  </si>
  <si>
    <t xml:space="preserve">Plus: Additions </t>
  </si>
  <si>
    <t>RETAINED EARNINGS</t>
  </si>
  <si>
    <t>Plus: Net income</t>
  </si>
  <si>
    <t>Less: Dividends</t>
  </si>
  <si>
    <t>Less: Repurchases</t>
  </si>
  <si>
    <t>REVOLVER (MODEL PLUG)</t>
  </si>
  <si>
    <t>Revolver needs analysis</t>
  </si>
  <si>
    <t>Cash at beginning of period (BOP)</t>
  </si>
  <si>
    <t>Less: Minimum cash balance</t>
  </si>
  <si>
    <t>Plus: Free cash flows generated during period</t>
  </si>
  <si>
    <t>Equals: Cash available (needed) to pay down (draw from) revolver</t>
  </si>
  <si>
    <t>Commercial paper / Revolver</t>
  </si>
  <si>
    <t>Draw / (paydown)</t>
  </si>
  <si>
    <t>Discretionary borrowing / (paydown)</t>
  </si>
  <si>
    <t>Debt balance:</t>
  </si>
  <si>
    <t>INTEREST EXPENSE AND INTEREST INCOME</t>
  </si>
  <si>
    <t>Total interest expense (from I/S)</t>
  </si>
  <si>
    <t>Commercial Paper / Revolver</t>
  </si>
  <si>
    <t>Weighted average interest rate</t>
  </si>
  <si>
    <t>End of period balance (from B/S)</t>
  </si>
  <si>
    <t>Interest expense</t>
  </si>
  <si>
    <t xml:space="preserve">Interest expense </t>
  </si>
  <si>
    <t>Interest rate on cash</t>
  </si>
  <si>
    <t>Weighted average interest rate on cash</t>
  </si>
  <si>
    <t>SENSITIVITY ANALYSIS</t>
  </si>
  <si>
    <t>First forecast year net income  sensitivity</t>
  </si>
  <si>
    <t>Revenue growth rate</t>
  </si>
  <si>
    <t>Gross</t>
  </si>
  <si>
    <t>Profit</t>
  </si>
  <si>
    <t>Margin:</t>
  </si>
  <si>
    <t>SCENARIO ANALYSIS</t>
  </si>
  <si>
    <t>Active case:</t>
  </si>
  <si>
    <t xml:space="preserve">Var. from </t>
  </si>
  <si>
    <t>base case</t>
  </si>
  <si>
    <t>iPhone ASP</t>
  </si>
  <si>
    <t>iPhone Units</t>
  </si>
  <si>
    <t>Best case</t>
  </si>
  <si>
    <t>NM</t>
  </si>
  <si>
    <t>Weak case</t>
  </si>
  <si>
    <t>EARNINGS PER SHARE</t>
  </si>
  <si>
    <t xml:space="preserve">Basic shares </t>
  </si>
  <si>
    <t>Basic EPS</t>
  </si>
  <si>
    <t>Diluted Shares</t>
  </si>
  <si>
    <t>Diluted EPS</t>
  </si>
  <si>
    <t>$ amount of shares repurchased</t>
  </si>
  <si>
    <t>$ amount of new shares issued</t>
  </si>
  <si>
    <t>Average share price</t>
  </si>
  <si>
    <t>Share price increase</t>
  </si>
  <si>
    <r>
      <t xml:space="preserve">D&amp;A </t>
    </r>
    <r>
      <rPr>
        <u/>
        <sz val="16"/>
        <color theme="1"/>
        <rFont val="Aptos Narrow"/>
        <family val="2"/>
        <scheme val="minor"/>
      </rPr>
      <t>not</t>
    </r>
    <r>
      <rPr>
        <sz val="16"/>
        <color theme="1"/>
        <rFont val="Aptos Narrow"/>
        <family val="2"/>
        <scheme val="minor"/>
      </rPr>
      <t xml:space="preserve"> related to PP&amp;E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</si>
</sst>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164" formatCode="_(#,##0_)_%;\(#,##0\)_%;_(&quot;–&quot;_)_%;_(@_)_%"/>
    <numFmt numFmtId="165" formatCode="#,##0.0_);\(#,##0.0\)"/>
    <numFmt numFmtId="166" formatCode="&quot;$&quot;#,##0.00_);[Red]\(&quot;$&quot;#,##0.00\)"/>
    <numFmt numFmtId="167" formatCode="0_);\(0\)"/>
    <numFmt numFmtId="168" formatCode="m/d/yy;@"/>
    <numFmt numFmtId="169" formatCode="#,##0.000_);\(#,##0.000\)"/>
    <numFmt numFmtId="170" formatCode="0\A;[Red]0\A"/>
    <numFmt numFmtId="171" formatCode="0\P_);\(0\P\)"/>
    <numFmt numFmtId="172" formatCode="0.0%"/>
    <numFmt numFmtId="173" formatCode="0.0%_);\(0.0%\);@_)"/>
    <numFmt numFmtId="174" formatCode="_(#,##0.0%_);\(#,##0.0%\);_(&quot;–&quot;_)_%;_(@_)_%"/>
    <numFmt numFmtId="175" formatCode="0.00%_);\(0.00%\);@_)"/>
    <numFmt numFmtId="176" formatCode="_(#,##0.00%_);\(#,##0.00%\);_(&quot;–&quot;_)_%;_(@_)_%"/>
    <numFmt numFmtId="177" formatCode="&quot;$&quot;#,##0_);\(&quot;$&quot;#,##0\)"/>
    <numFmt numFmtId="178" formatCode="0.0%;\(0.0%\)"/>
    <numFmt numFmtId="179" formatCode="0.0%;\ \(0.0%\)"/>
    <numFmt numFmtId="180" formatCode="#,##0_);\(#,##0\);@_)"/>
    <numFmt numFmtId="181" formatCode="#,##0.0_);\(#,##0.0\);@_)"/>
    <numFmt numFmtId="182" formatCode="0%_);\(0%\);@_)"/>
    <numFmt numFmtId="183" formatCode="&quot;$&quot;#,##0.00_);\(&quot;$&quot;#,##0.00\)"/>
  </numFmts>
  <fonts count="15" x14ac:knownFonts="1">
    <font>
      <sz val="12"/>
      <color theme="1"/>
      <name val="Aptos Narrow"/>
      <family val="2"/>
      <scheme val="minor"/>
    </font>
    <font>
      <sz val="9"/>
      <color indexed="81"/>
      <name val="Tahoma"/>
      <family val="2"/>
    </font>
    <font>
      <sz val="16"/>
      <color theme="1"/>
      <name val="Aptos Narrow"/>
      <family val="2"/>
      <scheme val="minor"/>
    </font>
    <font>
      <b/>
      <sz val="16"/>
      <color theme="1"/>
      <name val="Aptos Narrow"/>
      <family val="2"/>
      <scheme val="minor"/>
    </font>
    <font>
      <i/>
      <sz val="16"/>
      <color rgb="FF000000"/>
      <name val="Aptos Narrow"/>
      <family val="2"/>
      <scheme val="minor"/>
    </font>
    <font>
      <sz val="16"/>
      <color rgb="FF000000"/>
      <name val="Aptos Narrow"/>
      <family val="2"/>
      <scheme val="minor"/>
    </font>
    <font>
      <sz val="16"/>
      <color rgb="FF0000FF"/>
      <name val="Aptos Narrow"/>
      <family val="2"/>
      <scheme val="minor"/>
    </font>
    <font>
      <i/>
      <sz val="16"/>
      <color theme="1"/>
      <name val="Aptos Narrow"/>
      <family val="2"/>
      <scheme val="minor"/>
    </font>
    <font>
      <i/>
      <sz val="16"/>
      <color rgb="FF0000FF"/>
      <name val="Aptos Narrow"/>
      <family val="2"/>
      <scheme val="minor"/>
    </font>
    <font>
      <b/>
      <sz val="16"/>
      <color rgb="FF000000"/>
      <name val="Aptos Narrow"/>
      <family val="2"/>
      <scheme val="minor"/>
    </font>
    <font>
      <u/>
      <sz val="16"/>
      <color theme="1"/>
      <name val="Aptos Narrow"/>
      <family val="2"/>
      <scheme val="minor"/>
    </font>
    <font>
      <sz val="16"/>
      <color rgb="FF008000"/>
      <name val="Aptos Narrow"/>
      <family val="2"/>
      <scheme val="minor"/>
    </font>
    <font>
      <sz val="16"/>
      <color rgb="FFFF0000"/>
      <name val="Aptos Narrow"/>
      <family val="2"/>
      <scheme val="minor"/>
    </font>
    <font>
      <b/>
      <u/>
      <sz val="16"/>
      <color theme="1"/>
      <name val="Aptos Narrow"/>
      <family val="2"/>
      <scheme val="minor"/>
    </font>
    <font>
      <sz val="16"/>
      <name val="Aptos Narrow"/>
      <family val="2"/>
      <scheme val="minor"/>
    </font>
  </fonts>
  <fills count="4">
    <fill>
      <patternFill patternType="none"/>
    </fill>
    <fill>
      <patternFill patternType="gray125"/>
    </fill>
    <fill>
      <patternFill patternType="solid">
        <fgColor rgb="FFFCE5CD"/>
        <bgColor indexed="64"/>
      </patternFill>
    </fill>
    <fill>
      <patternFill patternType="solid">
        <fgColor rgb="FFC9DAF8"/>
        <bgColor indexed="64"/>
      </patternFill>
    </fill>
  </fills>
  <borders count="23">
    <border>
      <left/>
      <right/>
      <top/>
      <bottom/>
      <diagonal/>
    </border>
    <border>
      <left/>
      <right/>
      <top style="medium">
        <color rgb="FF000000"/>
      </top>
      <bottom style="medium">
        <color rgb="FF000000"/>
      </bottom>
      <diagonal/>
    </border>
    <border>
      <left/>
      <right/>
      <top style="medium">
        <color rgb="FF000000"/>
      </top>
      <bottom/>
      <diagonal/>
    </border>
    <border>
      <left style="hair">
        <color rgb="FF000000"/>
      </left>
      <right style="hair">
        <color rgb="FF000000"/>
      </right>
      <top style="hair">
        <color rgb="FF000000"/>
      </top>
      <bottom style="hair">
        <color rgb="FF000000"/>
      </bottom>
      <diagonal/>
    </border>
    <border>
      <left/>
      <right/>
      <top/>
      <bottom style="thin">
        <color rgb="FF000000"/>
      </bottom>
      <diagonal/>
    </border>
    <border>
      <left/>
      <right/>
      <top/>
      <bottom style="thin">
        <color auto="1"/>
      </bottom>
      <diagonal/>
    </border>
    <border>
      <left/>
      <right/>
      <top style="thin">
        <color rgb="FF000000"/>
      </top>
      <bottom/>
      <diagonal/>
    </border>
    <border>
      <left/>
      <right/>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right/>
      <top style="hair">
        <color rgb="FF000000"/>
      </top>
      <bottom/>
      <diagonal/>
    </border>
    <border>
      <left/>
      <right/>
      <top/>
      <bottom style="medium">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bottom style="thin">
        <color rgb="FF000000"/>
      </bottom>
      <diagonal/>
    </border>
    <border>
      <left style="medium">
        <color rgb="FF000000"/>
      </left>
      <right style="medium">
        <color rgb="FF000000"/>
      </right>
      <top/>
      <bottom/>
      <diagonal/>
    </border>
    <border>
      <left/>
      <right style="hair">
        <color rgb="FF000000"/>
      </right>
      <top/>
      <bottom/>
      <diagonal/>
    </border>
    <border>
      <left style="medium">
        <color rgb="FF000000"/>
      </left>
      <right style="medium">
        <color rgb="FF000000"/>
      </right>
      <top/>
      <bottom style="medium">
        <color rgb="FF000000"/>
      </bottom>
      <diagonal/>
    </border>
  </borders>
  <cellStyleXfs count="1">
    <xf numFmtId="0" fontId="0" fillId="0" borderId="0"/>
  </cellStyleXfs>
  <cellXfs count="130">
    <xf numFmtId="0" fontId="0" fillId="0" borderId="0" xfId="0"/>
    <xf numFmtId="0" fontId="2" fillId="0" borderId="0" xfId="0" applyFont="1"/>
    <xf numFmtId="0" fontId="3" fillId="0" borderId="1" xfId="0" applyFont="1" applyBorder="1"/>
    <xf numFmtId="0" fontId="2" fillId="0" borderId="1" xfId="0" applyFont="1" applyBorder="1"/>
    <xf numFmtId="14" fontId="4" fillId="0" borderId="0" xfId="0" applyNumberFormat="1" applyFont="1" applyAlignment="1">
      <alignment horizontal="left"/>
    </xf>
    <xf numFmtId="0" fontId="2" fillId="0" borderId="2" xfId="0" applyFont="1" applyBorder="1"/>
    <xf numFmtId="0" fontId="5" fillId="0" borderId="0" xfId="0" applyFont="1"/>
    <xf numFmtId="0" fontId="6" fillId="0" borderId="0" xfId="0" applyFont="1" applyAlignment="1">
      <alignment horizontal="center"/>
    </xf>
    <xf numFmtId="9" fontId="2" fillId="0" borderId="0" xfId="0" applyNumberFormat="1" applyFont="1"/>
    <xf numFmtId="164" fontId="6" fillId="2" borderId="3" xfId="0" applyNumberFormat="1" applyFont="1" applyFill="1" applyBorder="1" applyAlignment="1">
      <alignment horizontal="center"/>
    </xf>
    <xf numFmtId="165" fontId="2" fillId="0" borderId="0" xfId="0" applyNumberFormat="1" applyFont="1"/>
    <xf numFmtId="166" fontId="6" fillId="0" borderId="0" xfId="0" applyNumberFormat="1" applyFont="1" applyAlignment="1">
      <alignment horizontal="center"/>
    </xf>
    <xf numFmtId="14" fontId="6" fillId="0" borderId="0" xfId="0" applyNumberFormat="1" applyFont="1" applyAlignment="1">
      <alignment horizontal="center"/>
    </xf>
    <xf numFmtId="167" fontId="2" fillId="0" borderId="0" xfId="0" applyNumberFormat="1" applyFont="1"/>
    <xf numFmtId="1" fontId="2" fillId="0" borderId="0" xfId="0" applyNumberFormat="1" applyFont="1"/>
    <xf numFmtId="168" fontId="6" fillId="0" borderId="0" xfId="0" applyNumberFormat="1" applyFont="1" applyAlignment="1">
      <alignment horizontal="center"/>
    </xf>
    <xf numFmtId="169" fontId="6" fillId="0" borderId="0" xfId="0" applyNumberFormat="1" applyFont="1" applyAlignment="1">
      <alignment horizontal="center"/>
    </xf>
    <xf numFmtId="2" fontId="2" fillId="0" borderId="0" xfId="0" applyNumberFormat="1" applyFont="1"/>
    <xf numFmtId="0" fontId="3" fillId="0" borderId="0" xfId="0" applyFont="1"/>
    <xf numFmtId="0" fontId="3" fillId="0" borderId="4" xfId="0" applyFont="1" applyBorder="1"/>
    <xf numFmtId="0" fontId="2" fillId="0" borderId="4" xfId="0" applyFont="1" applyBorder="1"/>
    <xf numFmtId="170" fontId="3" fillId="0" borderId="0" xfId="0" applyNumberFormat="1" applyFont="1"/>
    <xf numFmtId="171" fontId="3" fillId="0" borderId="0" xfId="0" applyNumberFormat="1" applyFont="1"/>
    <xf numFmtId="0" fontId="7" fillId="0" borderId="4" xfId="0" applyFont="1" applyBorder="1"/>
    <xf numFmtId="168" fontId="7" fillId="0" borderId="5" xfId="0" applyNumberFormat="1" applyFont="1" applyBorder="1"/>
    <xf numFmtId="0" fontId="7" fillId="0" borderId="0" xfId="0" applyFont="1"/>
    <xf numFmtId="168" fontId="8" fillId="0" borderId="0" xfId="0" applyNumberFormat="1" applyFont="1"/>
    <xf numFmtId="168" fontId="7" fillId="0" borderId="0" xfId="0" applyNumberFormat="1" applyFont="1"/>
    <xf numFmtId="9" fontId="7" fillId="0" borderId="0" xfId="0" applyNumberFormat="1" applyFont="1"/>
    <xf numFmtId="172" fontId="7" fillId="0" borderId="0" xfId="0" applyNumberFormat="1" applyFont="1"/>
    <xf numFmtId="37" fontId="6" fillId="0" borderId="0" xfId="0" applyNumberFormat="1" applyFont="1"/>
    <xf numFmtId="37" fontId="5" fillId="0" borderId="0" xfId="0" applyNumberFormat="1" applyFont="1"/>
    <xf numFmtId="37" fontId="9" fillId="0" borderId="0" xfId="0" applyNumberFormat="1" applyFont="1"/>
    <xf numFmtId="37" fontId="2" fillId="0" borderId="0" xfId="0" applyNumberFormat="1" applyFont="1"/>
    <xf numFmtId="0" fontId="2" fillId="0" borderId="0" xfId="0" applyFont="1" applyAlignment="1">
      <alignment horizontal="left" indent="1"/>
    </xf>
    <xf numFmtId="0" fontId="2" fillId="0" borderId="0" xfId="0" applyFont="1" applyAlignment="1">
      <alignment horizontal="left"/>
    </xf>
    <xf numFmtId="0" fontId="3" fillId="0" borderId="0" xfId="0" applyFont="1" applyAlignment="1">
      <alignment horizontal="left"/>
    </xf>
    <xf numFmtId="4" fontId="2" fillId="0" borderId="0" xfId="0" applyNumberFormat="1" applyFont="1"/>
    <xf numFmtId="0" fontId="10" fillId="0" borderId="0" xfId="0" applyFont="1"/>
    <xf numFmtId="173" fontId="5" fillId="0" borderId="0" xfId="0" applyNumberFormat="1" applyFont="1"/>
    <xf numFmtId="173" fontId="11" fillId="3" borderId="0" xfId="0" applyNumberFormat="1" applyFont="1" applyFill="1"/>
    <xf numFmtId="173" fontId="6" fillId="0" borderId="0" xfId="0" applyNumberFormat="1" applyFont="1"/>
    <xf numFmtId="168" fontId="7" fillId="0" borderId="4" xfId="0" applyNumberFormat="1" applyFont="1" applyBorder="1"/>
    <xf numFmtId="14" fontId="7" fillId="0" borderId="0" xfId="0" applyNumberFormat="1" applyFont="1"/>
    <xf numFmtId="170" fontId="9" fillId="0" borderId="0" xfId="0" applyNumberFormat="1" applyFont="1"/>
    <xf numFmtId="171" fontId="9" fillId="0" borderId="0" xfId="0" applyNumberFormat="1" applyFont="1"/>
    <xf numFmtId="168" fontId="4" fillId="0" borderId="4" xfId="0" applyNumberFormat="1" applyFont="1" applyBorder="1"/>
    <xf numFmtId="37" fontId="3" fillId="0" borderId="0" xfId="0" applyNumberFormat="1" applyFont="1"/>
    <xf numFmtId="37" fontId="7" fillId="0" borderId="0" xfId="0" applyNumberFormat="1" applyFont="1"/>
    <xf numFmtId="3" fontId="2" fillId="0" borderId="0" xfId="0" applyNumberFormat="1" applyFont="1"/>
    <xf numFmtId="0" fontId="3" fillId="0" borderId="6" xfId="0" applyFont="1" applyBorder="1" applyAlignment="1">
      <alignment horizontal="centerContinuous"/>
    </xf>
    <xf numFmtId="0" fontId="2" fillId="0" borderId="0" xfId="0" quotePrefix="1" applyFont="1" applyAlignment="1">
      <alignment horizontal="left" indent="1"/>
    </xf>
    <xf numFmtId="0" fontId="2" fillId="0" borderId="7" xfId="0" quotePrefix="1" applyFont="1" applyBorder="1" applyAlignment="1">
      <alignment horizontal="left" indent="1"/>
    </xf>
    <xf numFmtId="37" fontId="6" fillId="0" borderId="7" xfId="0" applyNumberFormat="1" applyFont="1" applyBorder="1"/>
    <xf numFmtId="37" fontId="2" fillId="0" borderId="7" xfId="0" applyNumberFormat="1" applyFont="1" applyBorder="1"/>
    <xf numFmtId="0" fontId="3" fillId="0" borderId="0" xfId="0" applyFont="1" applyAlignment="1">
      <alignment horizontal="left" indent="1"/>
    </xf>
    <xf numFmtId="173" fontId="2" fillId="0" borderId="0" xfId="0" applyNumberFormat="1" applyFont="1"/>
    <xf numFmtId="0" fontId="3" fillId="0" borderId="4" xfId="0" applyFont="1" applyBorder="1" applyAlignment="1">
      <alignment horizontal="left"/>
    </xf>
    <xf numFmtId="173" fontId="2" fillId="0" borderId="4" xfId="0" applyNumberFormat="1" applyFont="1" applyBorder="1"/>
    <xf numFmtId="173" fontId="5" fillId="0" borderId="4" xfId="0" applyNumberFormat="1" applyFont="1" applyBorder="1"/>
    <xf numFmtId="174" fontId="2" fillId="0" borderId="0" xfId="0" applyNumberFormat="1" applyFont="1"/>
    <xf numFmtId="37" fontId="3" fillId="0" borderId="4" xfId="0" applyNumberFormat="1" applyFont="1" applyBorder="1"/>
    <xf numFmtId="37" fontId="5" fillId="0" borderId="6" xfId="0" applyNumberFormat="1" applyFont="1" applyBorder="1"/>
    <xf numFmtId="0" fontId="2" fillId="0" borderId="7" xfId="0" applyFont="1" applyBorder="1" applyAlignment="1">
      <alignment horizontal="left" indent="1"/>
    </xf>
    <xf numFmtId="0" fontId="2" fillId="0" borderId="7" xfId="0" applyFont="1" applyBorder="1"/>
    <xf numFmtId="37" fontId="5" fillId="0" borderId="7" xfId="0" applyNumberFormat="1" applyFont="1" applyBorder="1"/>
    <xf numFmtId="37" fontId="3" fillId="0" borderId="4" xfId="0" applyNumberFormat="1" applyFont="1" applyBorder="1" applyAlignment="1">
      <alignment horizontal="left"/>
    </xf>
    <xf numFmtId="37" fontId="3" fillId="0" borderId="7" xfId="0" applyNumberFormat="1" applyFont="1" applyBorder="1"/>
    <xf numFmtId="0" fontId="11" fillId="0" borderId="8" xfId="0" applyFont="1" applyBorder="1" applyAlignment="1">
      <alignment horizontal="left" indent="2"/>
    </xf>
    <xf numFmtId="37" fontId="2" fillId="0" borderId="9" xfId="0" applyNumberFormat="1" applyFont="1" applyBorder="1"/>
    <xf numFmtId="0" fontId="2" fillId="0" borderId="9" xfId="0" applyFont="1" applyBorder="1"/>
    <xf numFmtId="37" fontId="12" fillId="0" borderId="9" xfId="0" applyNumberFormat="1" applyFont="1" applyBorder="1" applyAlignment="1">
      <alignment horizontal="right"/>
    </xf>
    <xf numFmtId="37" fontId="12" fillId="0" borderId="10" xfId="0" applyNumberFormat="1" applyFont="1" applyBorder="1" applyAlignment="1">
      <alignment horizontal="right"/>
    </xf>
    <xf numFmtId="0" fontId="11" fillId="0" borderId="0" xfId="0" applyFont="1" applyAlignment="1">
      <alignment horizontal="center"/>
    </xf>
    <xf numFmtId="37" fontId="12" fillId="0" borderId="0" xfId="0" applyNumberFormat="1" applyFont="1" applyAlignment="1">
      <alignment horizontal="right"/>
    </xf>
    <xf numFmtId="9" fontId="6" fillId="0" borderId="4" xfId="0" applyNumberFormat="1" applyFont="1" applyBorder="1"/>
    <xf numFmtId="37" fontId="2" fillId="0" borderId="6" xfId="0" applyNumberFormat="1" applyFont="1" applyBorder="1"/>
    <xf numFmtId="0" fontId="10" fillId="0" borderId="0" xfId="0" applyFont="1" applyAlignment="1">
      <alignment horizontal="left" indent="1"/>
    </xf>
    <xf numFmtId="0" fontId="13" fillId="0" borderId="0" xfId="0" applyFont="1" applyAlignment="1">
      <alignment horizontal="left"/>
    </xf>
    <xf numFmtId="175" fontId="6" fillId="0" borderId="0" xfId="0" applyNumberFormat="1" applyFont="1"/>
    <xf numFmtId="176" fontId="14" fillId="0" borderId="0" xfId="0" applyNumberFormat="1" applyFont="1"/>
    <xf numFmtId="0" fontId="9" fillId="0" borderId="11" xfId="0" applyFont="1" applyBorder="1" applyAlignment="1">
      <alignment horizontal="left" indent="1"/>
    </xf>
    <xf numFmtId="37" fontId="9" fillId="0" borderId="11" xfId="0" applyNumberFormat="1" applyFont="1" applyBorder="1"/>
    <xf numFmtId="0" fontId="2" fillId="0" borderId="0" xfId="0" applyFont="1" applyAlignment="1">
      <alignment horizontal="left" indent="2"/>
    </xf>
    <xf numFmtId="10" fontId="6" fillId="0" borderId="0" xfId="0" applyNumberFormat="1" applyFont="1"/>
    <xf numFmtId="176" fontId="5" fillId="0" borderId="0" xfId="0" applyNumberFormat="1" applyFont="1"/>
    <xf numFmtId="37" fontId="5" fillId="0" borderId="0" xfId="0" applyNumberFormat="1" applyFont="1" applyAlignment="1">
      <alignment horizontal="left" indent="1"/>
    </xf>
    <xf numFmtId="171" fontId="3" fillId="0" borderId="12" xfId="0" applyNumberFormat="1" applyFont="1" applyBorder="1"/>
    <xf numFmtId="0" fontId="2" fillId="0" borderId="12" xfId="0" applyFont="1" applyBorder="1"/>
    <xf numFmtId="0" fontId="3" fillId="0" borderId="0" xfId="0" applyFont="1" applyAlignment="1">
      <alignment horizontal="centerContinuous"/>
    </xf>
    <xf numFmtId="0" fontId="2" fillId="0" borderId="0" xfId="0" applyFont="1" applyAlignment="1">
      <alignment horizontal="centerContinuous"/>
    </xf>
    <xf numFmtId="177" fontId="5" fillId="0" borderId="13" xfId="0" applyNumberFormat="1" applyFont="1" applyBorder="1"/>
    <xf numFmtId="178" fontId="6" fillId="0" borderId="14" xfId="0" applyNumberFormat="1" applyFont="1" applyBorder="1"/>
    <xf numFmtId="0" fontId="2" fillId="0" borderId="0" xfId="0" applyFont="1" applyAlignment="1">
      <alignment horizontal="right"/>
    </xf>
    <xf numFmtId="179" fontId="6" fillId="0" borderId="15" xfId="0" applyNumberFormat="1" applyFont="1" applyBorder="1"/>
    <xf numFmtId="180" fontId="2" fillId="0" borderId="0" xfId="0" applyNumberFormat="1" applyFont="1"/>
    <xf numFmtId="0" fontId="3" fillId="0" borderId="0" xfId="0" applyFont="1" applyAlignment="1">
      <alignment horizontal="right"/>
    </xf>
    <xf numFmtId="0" fontId="3" fillId="0" borderId="16" xfId="0" applyFont="1" applyBorder="1"/>
    <xf numFmtId="0" fontId="3" fillId="0" borderId="17" xfId="0" applyFont="1" applyBorder="1" applyAlignment="1">
      <alignment horizontal="center"/>
    </xf>
    <xf numFmtId="0" fontId="2" fillId="0" borderId="18" xfId="0" applyFont="1" applyBorder="1"/>
    <xf numFmtId="0" fontId="3" fillId="0" borderId="19" xfId="0" applyFont="1" applyBorder="1" applyAlignment="1">
      <alignment horizontal="center"/>
    </xf>
    <xf numFmtId="0" fontId="2" fillId="3" borderId="0" xfId="0" applyFont="1" applyFill="1" applyAlignment="1">
      <alignment horizontal="left" indent="1"/>
    </xf>
    <xf numFmtId="0" fontId="2" fillId="3" borderId="0" xfId="0" applyFont="1" applyFill="1"/>
    <xf numFmtId="37" fontId="2" fillId="3" borderId="20" xfId="0" applyNumberFormat="1" applyFont="1" applyFill="1" applyBorder="1" applyAlignment="1">
      <alignment horizontal="center"/>
    </xf>
    <xf numFmtId="165" fontId="2" fillId="3" borderId="0" xfId="0" applyNumberFormat="1" applyFont="1" applyFill="1"/>
    <xf numFmtId="37" fontId="2" fillId="3" borderId="0" xfId="0" applyNumberFormat="1" applyFont="1" applyFill="1"/>
    <xf numFmtId="173" fontId="2" fillId="0" borderId="20" xfId="0" applyNumberFormat="1" applyFont="1" applyBorder="1" applyAlignment="1">
      <alignment horizontal="center"/>
    </xf>
    <xf numFmtId="0" fontId="2" fillId="0" borderId="20" xfId="0" applyFont="1" applyBorder="1"/>
    <xf numFmtId="0" fontId="3" fillId="3" borderId="0" xfId="0" applyFont="1" applyFill="1" applyAlignment="1">
      <alignment horizontal="left" indent="1"/>
    </xf>
    <xf numFmtId="0" fontId="2" fillId="3" borderId="20" xfId="0" applyFont="1" applyFill="1" applyBorder="1"/>
    <xf numFmtId="0" fontId="2" fillId="3" borderId="0" xfId="0" applyFont="1" applyFill="1" applyAlignment="1">
      <alignment horizontal="left" indent="2"/>
    </xf>
    <xf numFmtId="37" fontId="6" fillId="3" borderId="20" xfId="0" applyNumberFormat="1" applyFont="1" applyFill="1" applyBorder="1" applyAlignment="1">
      <alignment horizontal="center"/>
    </xf>
    <xf numFmtId="165" fontId="5" fillId="3" borderId="0" xfId="0" applyNumberFormat="1" applyFont="1" applyFill="1"/>
    <xf numFmtId="0" fontId="2" fillId="3" borderId="20" xfId="0" applyFont="1" applyFill="1" applyBorder="1" applyAlignment="1">
      <alignment horizontal="center"/>
    </xf>
    <xf numFmtId="181" fontId="6" fillId="3" borderId="0" xfId="0" applyNumberFormat="1" applyFont="1" applyFill="1"/>
    <xf numFmtId="0" fontId="3" fillId="3" borderId="0" xfId="0" applyFont="1" applyFill="1" applyAlignment="1">
      <alignment horizontal="left"/>
    </xf>
    <xf numFmtId="174" fontId="6" fillId="3" borderId="20" xfId="0" applyNumberFormat="1" applyFont="1" applyFill="1" applyBorder="1" applyAlignment="1">
      <alignment horizontal="center"/>
    </xf>
    <xf numFmtId="173" fontId="5" fillId="3" borderId="0" xfId="0" applyNumberFormat="1" applyFont="1" applyFill="1"/>
    <xf numFmtId="37" fontId="5" fillId="3" borderId="0" xfId="0" applyNumberFormat="1" applyFont="1" applyFill="1"/>
    <xf numFmtId="37" fontId="6" fillId="3" borderId="0" xfId="0" applyNumberFormat="1" applyFont="1" applyFill="1"/>
    <xf numFmtId="37" fontId="6" fillId="3" borderId="21" xfId="0" applyNumberFormat="1" applyFont="1" applyFill="1" applyBorder="1"/>
    <xf numFmtId="0" fontId="2" fillId="0" borderId="20" xfId="0" applyFont="1" applyBorder="1" applyAlignment="1">
      <alignment horizontal="center"/>
    </xf>
    <xf numFmtId="174" fontId="6" fillId="0" borderId="20" xfId="0" applyNumberFormat="1" applyFont="1" applyBorder="1" applyAlignment="1">
      <alignment horizontal="center"/>
    </xf>
    <xf numFmtId="182" fontId="2" fillId="0" borderId="0" xfId="0" applyNumberFormat="1" applyFont="1"/>
    <xf numFmtId="174" fontId="6" fillId="0" borderId="22" xfId="0" applyNumberFormat="1" applyFont="1" applyBorder="1" applyAlignment="1">
      <alignment horizontal="center"/>
    </xf>
    <xf numFmtId="183" fontId="9" fillId="3" borderId="0" xfId="0" applyNumberFormat="1" applyFont="1" applyFill="1"/>
    <xf numFmtId="166" fontId="2" fillId="0" borderId="0" xfId="0" applyNumberFormat="1" applyFont="1"/>
    <xf numFmtId="166" fontId="6" fillId="3" borderId="0" xfId="0" applyNumberFormat="1" applyFont="1" applyFill="1"/>
    <xf numFmtId="166" fontId="2" fillId="3" borderId="0" xfId="0" applyNumberFormat="1" applyFont="1" applyFill="1"/>
    <xf numFmtId="9" fontId="6" fillId="0" borderId="0" xfId="0" applyNumberFormat="1" applyFont="1"/>
  </cellXfs>
  <cellStyles count="1">
    <cellStyle name="Normal" xfId="0" builtinId="0"/>
  </cellStyles>
  <dxfs count="3">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apple/Desktop/Self%20Study/Wall%20Street%20Prep/Financial%20Statement%20Modeling/Financial-Statement-Modeling-DL-Kit/Financial%20Statement%20Model%20Online%20Walk%20Through.xlsx" TargetMode="External"/><Relationship Id="rId1" Type="http://schemas.openxmlformats.org/officeDocument/2006/relationships/externalLinkPath" Target="/Users/apple/Desktop/Self%20Study/Wall%20Street%20Prep/Financial%20Statement%20Modeling/Financial-Statement-Modeling-DL-Kit/Financial%20Statement%20Model%20Online%20Walk%20Throug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SM Data Input_Empty"/>
      <sheetName val="FSM Data Input_Done"/>
      <sheetName val="FSM Forecasting_Empty"/>
      <sheetName val="FSM Forecasting_ProgressCheck1"/>
      <sheetName val="FSM Forecasting_ProgressCheck2"/>
      <sheetName val="FSM Forecasting_Empty II"/>
      <sheetName val="FSM Complete"/>
      <sheetName val="Find the errors"/>
      <sheetName val="Find the errors Complete"/>
      <sheetName val="Extras"/>
      <sheetName val="Extras Complete"/>
      <sheetName val="Rev Build Fill "/>
      <sheetName val="Rev Build Complete"/>
      <sheetName val="Rev Build"/>
      <sheetName val="FSM + Rev Scenarios"/>
      <sheetName val="FSM + Schedules Empty"/>
      <sheetName val="FSM + Schedules"/>
      <sheetName val="FSM 2019 Update Empty"/>
      <sheetName val="2019 FSM Update Comple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4">
          <cell r="G14">
            <v>-4.7457664112652731E-2</v>
          </cell>
          <cell r="H14">
            <v>4.8959559335073566E-2</v>
          </cell>
          <cell r="I14">
            <v>4.9103676778599281E-2</v>
          </cell>
          <cell r="J14">
            <v>5.452648664310078E-2</v>
          </cell>
          <cell r="K14">
            <v>6.0248763393349503E-2</v>
          </cell>
        </row>
      </sheetData>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AABE4-F8A9-CE4E-B37C-F602F956A251}">
  <dimension ref="B1:K216"/>
  <sheetViews>
    <sheetView tabSelected="1" zoomScale="75" workbookViewId="0">
      <selection activeCell="C3" sqref="C3"/>
    </sheetView>
  </sheetViews>
  <sheetFormatPr baseColWidth="10" defaultRowHeight="22" x14ac:dyDescent="0.3"/>
  <cols>
    <col min="1" max="2" width="2.83203125" style="1" customWidth="1"/>
    <col min="3" max="3" width="71.6640625" style="1" customWidth="1"/>
    <col min="4" max="11" width="22.1640625" style="1" customWidth="1"/>
    <col min="12" max="12" width="2.83203125" style="1" customWidth="1"/>
    <col min="13" max="16384" width="10.83203125" style="1"/>
  </cols>
  <sheetData>
    <row r="1" spans="2:11" ht="23" thickBot="1" x14ac:dyDescent="0.35"/>
    <row r="2" spans="2:11" ht="23" thickBot="1" x14ac:dyDescent="0.35">
      <c r="C2" s="2" t="str">
        <f>"Financial Statement Model for "&amp;D5</f>
        <v>Financial Statement Model for Apple</v>
      </c>
      <c r="D2" s="3"/>
      <c r="E2" s="3"/>
      <c r="F2" s="3"/>
      <c r="G2" s="3"/>
      <c r="H2" s="3"/>
      <c r="I2" s="3"/>
      <c r="J2" s="3"/>
      <c r="K2" s="3"/>
    </row>
    <row r="3" spans="2:11" x14ac:dyDescent="0.3">
      <c r="C3" s="4" t="s">
        <v>0</v>
      </c>
      <c r="D3" s="5"/>
      <c r="E3" s="5"/>
      <c r="F3" s="5"/>
      <c r="G3" s="5"/>
      <c r="H3" s="5"/>
    </row>
    <row r="5" spans="2:11" x14ac:dyDescent="0.3">
      <c r="C5" s="6" t="s">
        <v>1</v>
      </c>
      <c r="D5" s="7" t="s">
        <v>2</v>
      </c>
      <c r="H5" s="8"/>
    </row>
    <row r="6" spans="2:11" x14ac:dyDescent="0.3">
      <c r="C6" s="6" t="s">
        <v>3</v>
      </c>
      <c r="D6" s="7" t="s">
        <v>4</v>
      </c>
    </row>
    <row r="7" spans="2:11" x14ac:dyDescent="0.3">
      <c r="C7" s="1" t="s">
        <v>5</v>
      </c>
      <c r="D7" s="9">
        <v>1</v>
      </c>
      <c r="G7" s="10"/>
    </row>
    <row r="8" spans="2:11" x14ac:dyDescent="0.3">
      <c r="C8" s="1" t="s">
        <v>6</v>
      </c>
      <c r="D8" s="11">
        <v>171.25</v>
      </c>
      <c r="G8" s="10"/>
    </row>
    <row r="9" spans="2:11" x14ac:dyDescent="0.3">
      <c r="C9" s="1" t="s">
        <v>7</v>
      </c>
      <c r="D9" s="12">
        <v>43500</v>
      </c>
      <c r="G9" s="13"/>
      <c r="J9" s="14"/>
    </row>
    <row r="10" spans="2:11" x14ac:dyDescent="0.3">
      <c r="C10" s="6" t="s">
        <v>8</v>
      </c>
      <c r="D10" s="15">
        <v>43372</v>
      </c>
      <c r="G10" s="13"/>
    </row>
    <row r="11" spans="2:11" x14ac:dyDescent="0.3">
      <c r="C11" s="1" t="s">
        <v>9</v>
      </c>
      <c r="D11" s="16">
        <v>4745.3980000000001</v>
      </c>
      <c r="H11" s="17"/>
    </row>
    <row r="12" spans="2:11" x14ac:dyDescent="0.3">
      <c r="C12" s="1" t="s">
        <v>10</v>
      </c>
      <c r="D12" s="9" t="s">
        <v>11</v>
      </c>
    </row>
    <row r="13" spans="2:11" x14ac:dyDescent="0.3">
      <c r="C13" s="18"/>
      <c r="D13" s="18"/>
    </row>
    <row r="14" spans="2:11" x14ac:dyDescent="0.3">
      <c r="B14" s="1" t="s">
        <v>12</v>
      </c>
      <c r="C14" s="19" t="s">
        <v>13</v>
      </c>
      <c r="D14" s="20"/>
      <c r="E14" s="20"/>
      <c r="F14" s="20"/>
      <c r="G14" s="20"/>
      <c r="H14" s="20"/>
      <c r="I14" s="20"/>
      <c r="J14" s="20"/>
      <c r="K14" s="20"/>
    </row>
    <row r="15" spans="2:11" x14ac:dyDescent="0.3">
      <c r="C15" s="1" t="s">
        <v>14</v>
      </c>
      <c r="D15" s="21">
        <f>E15-1</f>
        <v>2016</v>
      </c>
      <c r="E15" s="21">
        <f>F15-1</f>
        <v>2017</v>
      </c>
      <c r="F15" s="21">
        <f>YEAR(D10)</f>
        <v>2018</v>
      </c>
      <c r="G15" s="22">
        <f>F15+1</f>
        <v>2019</v>
      </c>
      <c r="H15" s="22">
        <f>G15+1</f>
        <v>2020</v>
      </c>
      <c r="I15" s="22">
        <f>H15+1</f>
        <v>2021</v>
      </c>
      <c r="J15" s="22">
        <f>I15+1</f>
        <v>2022</v>
      </c>
      <c r="K15" s="22">
        <f>J15+1</f>
        <v>2023</v>
      </c>
    </row>
    <row r="16" spans="2:11" x14ac:dyDescent="0.3">
      <c r="C16" s="23" t="s">
        <v>15</v>
      </c>
      <c r="D16" s="24">
        <f>EOMONTH(E16,-12)</f>
        <v>42643</v>
      </c>
      <c r="E16" s="24">
        <f>EOMONTH(F16,-12)</f>
        <v>43008</v>
      </c>
      <c r="F16" s="24">
        <f>D10</f>
        <v>43372</v>
      </c>
      <c r="G16" s="24">
        <f>EOMONTH(F16,12)</f>
        <v>43738</v>
      </c>
      <c r="H16" s="24">
        <f>EOMONTH(G16,12)</f>
        <v>44104</v>
      </c>
      <c r="I16" s="24">
        <f>EOMONTH(H16,12)</f>
        <v>44469</v>
      </c>
      <c r="J16" s="24">
        <f>EOMONTH(I16,12)</f>
        <v>44834</v>
      </c>
      <c r="K16" s="24">
        <f>EOMONTH(J16,12)</f>
        <v>45199</v>
      </c>
    </row>
    <row r="17" spans="3:11" x14ac:dyDescent="0.3">
      <c r="C17" s="25"/>
      <c r="D17" s="26"/>
      <c r="E17" s="27"/>
      <c r="F17" s="27"/>
      <c r="G17" s="28"/>
      <c r="H17" s="29"/>
      <c r="I17" s="29"/>
      <c r="J17" s="27"/>
      <c r="K17" s="27"/>
    </row>
    <row r="18" spans="3:11" x14ac:dyDescent="0.3">
      <c r="C18" s="1" t="s">
        <v>16</v>
      </c>
      <c r="D18" s="30">
        <v>215639</v>
      </c>
      <c r="E18" s="30">
        <v>229234</v>
      </c>
      <c r="F18" s="30">
        <v>265595</v>
      </c>
      <c r="G18" s="31">
        <f ca="1">F18*(1+G37)</f>
        <v>252990.4817</v>
      </c>
      <c r="H18" s="31">
        <f ca="1">G18*(1+H37)</f>
        <v>265376.78419999999</v>
      </c>
      <c r="I18" s="31">
        <f ca="1">H18*(1+I37)</f>
        <v>278407.76003590086</v>
      </c>
      <c r="J18" s="31">
        <f ca="1">I18*(1+J37)</f>
        <v>293588.357044834</v>
      </c>
      <c r="K18" s="31">
        <f ca="1">J18*(1+K37)</f>
        <v>311276.6925034704</v>
      </c>
    </row>
    <row r="19" spans="3:11" x14ac:dyDescent="0.3">
      <c r="C19" s="1" t="s">
        <v>17</v>
      </c>
      <c r="D19" s="30">
        <v>-131376</v>
      </c>
      <c r="E19" s="30">
        <v>-141048</v>
      </c>
      <c r="F19" s="30">
        <v>-163756</v>
      </c>
      <c r="G19" s="31">
        <f ca="1">G20-G18</f>
        <v>-157360.07961740001</v>
      </c>
      <c r="H19" s="31">
        <f ca="1">H20-H18</f>
        <v>-164268.22941979999</v>
      </c>
      <c r="I19" s="31">
        <f ca="1">I20-I18</f>
        <v>-172055.99570218672</v>
      </c>
      <c r="J19" s="31">
        <f ca="1">J20-J18</f>
        <v>-181437.60465370741</v>
      </c>
      <c r="K19" s="31">
        <f ca="1">K20-K18</f>
        <v>-192368.99596714473</v>
      </c>
    </row>
    <row r="20" spans="3:11" x14ac:dyDescent="0.3">
      <c r="C20" s="18" t="s">
        <v>18</v>
      </c>
      <c r="D20" s="32">
        <f>SUM(D18:D19)</f>
        <v>84263</v>
      </c>
      <c r="E20" s="32">
        <f>SUM(E18:E19)</f>
        <v>88186</v>
      </c>
      <c r="F20" s="32">
        <f>SUM(F18:F19)</f>
        <v>101839</v>
      </c>
      <c r="G20" s="32">
        <f ca="1">G18*G38</f>
        <v>95630.402082600005</v>
      </c>
      <c r="H20" s="32">
        <f ca="1">H18*H38</f>
        <v>101108.55478019999</v>
      </c>
      <c r="I20" s="32">
        <f ca="1">I18*I38</f>
        <v>106351.76433371413</v>
      </c>
      <c r="J20" s="32">
        <f ca="1">J18*J38</f>
        <v>112150.75239112659</v>
      </c>
      <c r="K20" s="32">
        <f ca="1">K18*K38</f>
        <v>118907.69653632569</v>
      </c>
    </row>
    <row r="21" spans="3:11" x14ac:dyDescent="0.3">
      <c r="C21" s="1" t="s">
        <v>19</v>
      </c>
      <c r="D21" s="30">
        <v>-10045</v>
      </c>
      <c r="E21" s="30">
        <v>-11581</v>
      </c>
      <c r="F21" s="30">
        <v>-14236</v>
      </c>
      <c r="G21" s="31">
        <f ca="1">-G39*G18</f>
        <v>-15685.409865400001</v>
      </c>
      <c r="H21" s="31">
        <f ca="1">-H39*H18</f>
        <v>-16718.7374046</v>
      </c>
      <c r="I21" s="31">
        <f ca="1">-I39*I18</f>
        <v>-17539.688882261755</v>
      </c>
      <c r="J21" s="31">
        <f ca="1">-J39*J18</f>
        <v>-18496.066493824543</v>
      </c>
      <c r="K21" s="31">
        <f ca="1">-K39*K18</f>
        <v>-19610.431627718637</v>
      </c>
    </row>
    <row r="22" spans="3:11" x14ac:dyDescent="0.3">
      <c r="C22" s="1" t="s">
        <v>20</v>
      </c>
      <c r="D22" s="30">
        <v>-14194</v>
      </c>
      <c r="E22" s="30">
        <v>-15261</v>
      </c>
      <c r="F22" s="30">
        <v>-16705</v>
      </c>
      <c r="G22" s="31">
        <f ca="1">-G18*G40</f>
        <v>-18721.295645800001</v>
      </c>
      <c r="H22" s="31">
        <f ca="1">-H18*H40</f>
        <v>-18310.998109800003</v>
      </c>
      <c r="I22" s="31">
        <f ca="1">-I18*I40</f>
        <v>-19210.13544247716</v>
      </c>
      <c r="J22" s="31">
        <f ca="1">-J18*J40</f>
        <v>-20257.596636093549</v>
      </c>
      <c r="K22" s="31">
        <f ca="1">-K18*K40</f>
        <v>-21478.091782739459</v>
      </c>
    </row>
    <row r="23" spans="3:11" x14ac:dyDescent="0.3">
      <c r="C23" s="18" t="s">
        <v>21</v>
      </c>
      <c r="D23" s="32">
        <f t="shared" ref="D23:K23" si="0">D20+D21+D22</f>
        <v>60024</v>
      </c>
      <c r="E23" s="32">
        <f t="shared" si="0"/>
        <v>61344</v>
      </c>
      <c r="F23" s="32">
        <f t="shared" si="0"/>
        <v>70898</v>
      </c>
      <c r="G23" s="32">
        <f t="shared" ca="1" si="0"/>
        <v>61223.696571400011</v>
      </c>
      <c r="H23" s="32">
        <f t="shared" ca="1" si="0"/>
        <v>66078.81926579999</v>
      </c>
      <c r="I23" s="32">
        <f t="shared" ca="1" si="0"/>
        <v>69601.940008975216</v>
      </c>
      <c r="J23" s="32">
        <f t="shared" ca="1" si="0"/>
        <v>73397.089261208486</v>
      </c>
      <c r="K23" s="32">
        <f t="shared" ca="1" si="0"/>
        <v>77819.173125867601</v>
      </c>
    </row>
    <row r="24" spans="3:11" x14ac:dyDescent="0.3">
      <c r="C24" s="1" t="s">
        <v>22</v>
      </c>
      <c r="D24" s="30">
        <v>3999</v>
      </c>
      <c r="E24" s="30">
        <v>5201</v>
      </c>
      <c r="F24" s="30">
        <v>5686</v>
      </c>
      <c r="G24" s="33">
        <f>G157</f>
        <v>5121.3600000000006</v>
      </c>
      <c r="H24" s="33">
        <f ca="1">H157</f>
        <v>4349.860063048447</v>
      </c>
      <c r="I24" s="33">
        <f ca="1">I157</f>
        <v>3750.7011758416206</v>
      </c>
      <c r="J24" s="33">
        <f ca="1">J157</f>
        <v>3216.2998818925489</v>
      </c>
      <c r="K24" s="33">
        <f ca="1">K157</f>
        <v>2753.8787142171177</v>
      </c>
    </row>
    <row r="25" spans="3:11" x14ac:dyDescent="0.3">
      <c r="C25" s="1" t="s">
        <v>23</v>
      </c>
      <c r="D25" s="30">
        <v>-1456</v>
      </c>
      <c r="E25" s="30">
        <v>-2323</v>
      </c>
      <c r="F25" s="30">
        <v>-3240</v>
      </c>
      <c r="G25" s="33">
        <f>-G143</f>
        <v>-3222.7544651501776</v>
      </c>
      <c r="H25" s="33">
        <f ca="1">-H143</f>
        <v>-3223.5392651501775</v>
      </c>
      <c r="I25" s="33">
        <f ca="1">-I143</f>
        <v>-3223.5392651501775</v>
      </c>
      <c r="J25" s="33">
        <f ca="1">-J143</f>
        <v>-3223.5392651501775</v>
      </c>
      <c r="K25" s="33">
        <f ca="1">-K143</f>
        <v>-3223.5392651501775</v>
      </c>
    </row>
    <row r="26" spans="3:11" x14ac:dyDescent="0.3">
      <c r="C26" s="1" t="s">
        <v>24</v>
      </c>
      <c r="D26" s="30">
        <v>-1195</v>
      </c>
      <c r="E26" s="30">
        <v>-133</v>
      </c>
      <c r="F26" s="30">
        <v>-441</v>
      </c>
      <c r="G26" s="33">
        <f>F26</f>
        <v>-441</v>
      </c>
      <c r="H26" s="33">
        <f>G26</f>
        <v>-441</v>
      </c>
      <c r="I26" s="33">
        <f>H26</f>
        <v>-441</v>
      </c>
      <c r="J26" s="33">
        <f>I26</f>
        <v>-441</v>
      </c>
      <c r="K26" s="33">
        <f>J26</f>
        <v>-441</v>
      </c>
    </row>
    <row r="27" spans="3:11" x14ac:dyDescent="0.3">
      <c r="C27" s="18" t="s">
        <v>25</v>
      </c>
      <c r="D27" s="32">
        <f t="shared" ref="D27:K27" si="1">SUM(D23:D26)</f>
        <v>61372</v>
      </c>
      <c r="E27" s="32">
        <f t="shared" si="1"/>
        <v>64089</v>
      </c>
      <c r="F27" s="32">
        <f t="shared" si="1"/>
        <v>72903</v>
      </c>
      <c r="G27" s="32">
        <f ca="1">SUM(G23:G26)</f>
        <v>62681.30210624983</v>
      </c>
      <c r="H27" s="32">
        <f ca="1">SUM(H23:H26)</f>
        <v>66764.140063698258</v>
      </c>
      <c r="I27" s="32">
        <f t="shared" ca="1" si="1"/>
        <v>69688.10191966666</v>
      </c>
      <c r="J27" s="32">
        <f t="shared" ca="1" si="1"/>
        <v>72948.849877950866</v>
      </c>
      <c r="K27" s="32">
        <f t="shared" ca="1" si="1"/>
        <v>76908.512574934546</v>
      </c>
    </row>
    <row r="28" spans="3:11" x14ac:dyDescent="0.3">
      <c r="C28" s="1" t="s">
        <v>26</v>
      </c>
      <c r="D28" s="30">
        <v>-15685</v>
      </c>
      <c r="E28" s="30">
        <v>-15738</v>
      </c>
      <c r="F28" s="30">
        <v>-13372</v>
      </c>
      <c r="G28" s="31">
        <f ca="1">-G41*G27</f>
        <v>-10467.777451743723</v>
      </c>
      <c r="H28" s="31">
        <f ca="1">-H41*H27</f>
        <v>-11349.903810828704</v>
      </c>
      <c r="I28" s="31">
        <f ca="1">-I41*I27</f>
        <v>-11777.289224423666</v>
      </c>
      <c r="J28" s="31">
        <f ca="1">-J41*J27</f>
        <v>-12328.355629373697</v>
      </c>
      <c r="K28" s="31">
        <f ca="1">-K41*K27</f>
        <v>-12997.538625163939</v>
      </c>
    </row>
    <row r="29" spans="3:11" x14ac:dyDescent="0.3">
      <c r="C29" s="18" t="s">
        <v>27</v>
      </c>
      <c r="D29" s="32">
        <f t="shared" ref="D29:K29" si="2">SUM(D27:D28)</f>
        <v>45687</v>
      </c>
      <c r="E29" s="32">
        <f t="shared" si="2"/>
        <v>48351</v>
      </c>
      <c r="F29" s="32">
        <f t="shared" si="2"/>
        <v>59531</v>
      </c>
      <c r="G29" s="32">
        <f ca="1">SUM(G27:G28)</f>
        <v>52213.524654506109</v>
      </c>
      <c r="H29" s="32">
        <f ca="1">SUM(H27:H28)</f>
        <v>55414.236252869552</v>
      </c>
      <c r="I29" s="32">
        <f t="shared" ca="1" si="2"/>
        <v>57910.812695242996</v>
      </c>
      <c r="J29" s="32">
        <f t="shared" ca="1" si="2"/>
        <v>60620.494248577168</v>
      </c>
      <c r="K29" s="32">
        <f t="shared" ca="1" si="2"/>
        <v>63910.973949770603</v>
      </c>
    </row>
    <row r="30" spans="3:11" x14ac:dyDescent="0.3">
      <c r="C30" s="34"/>
      <c r="D30" s="33"/>
      <c r="E30" s="33"/>
      <c r="F30" s="33"/>
      <c r="G30" s="33"/>
      <c r="H30" s="33"/>
      <c r="I30" s="33"/>
      <c r="J30" s="33"/>
      <c r="K30" s="33"/>
    </row>
    <row r="31" spans="3:11" x14ac:dyDescent="0.3">
      <c r="C31" s="35" t="s">
        <v>28</v>
      </c>
      <c r="D31" s="30">
        <v>10505</v>
      </c>
      <c r="E31" s="30">
        <v>10157</v>
      </c>
      <c r="F31" s="30">
        <v>10903</v>
      </c>
      <c r="G31" s="33">
        <f ca="1">G107</f>
        <v>10807.36553568859</v>
      </c>
      <c r="H31" s="33">
        <f ca="1">H107</f>
        <v>11136.400902273252</v>
      </c>
      <c r="I31" s="33">
        <f ca="1">I107</f>
        <v>11333.805527572733</v>
      </c>
      <c r="J31" s="33">
        <f ca="1">J107</f>
        <v>11951.79812328743</v>
      </c>
      <c r="K31" s="33">
        <f ca="1">K107</f>
        <v>12671.879180542453</v>
      </c>
    </row>
    <row r="32" spans="3:11" x14ac:dyDescent="0.3">
      <c r="C32" s="36" t="s">
        <v>29</v>
      </c>
      <c r="D32" s="32">
        <f t="shared" ref="D32:K32" si="3">D23+D31</f>
        <v>70529</v>
      </c>
      <c r="E32" s="32">
        <f t="shared" si="3"/>
        <v>71501</v>
      </c>
      <c r="F32" s="32">
        <f t="shared" si="3"/>
        <v>81801</v>
      </c>
      <c r="G32" s="32">
        <f t="shared" ca="1" si="3"/>
        <v>72031.062107088597</v>
      </c>
      <c r="H32" s="32">
        <f t="shared" ca="1" si="3"/>
        <v>77215.22016807324</v>
      </c>
      <c r="I32" s="32">
        <f t="shared" ca="1" si="3"/>
        <v>80935.745536547955</v>
      </c>
      <c r="J32" s="32">
        <f t="shared" ca="1" si="3"/>
        <v>85348.887384495916</v>
      </c>
      <c r="K32" s="32">
        <f t="shared" ca="1" si="3"/>
        <v>90491.052306410056</v>
      </c>
    </row>
    <row r="33" spans="2:11" x14ac:dyDescent="0.3">
      <c r="C33" s="35" t="s">
        <v>30</v>
      </c>
      <c r="D33" s="30">
        <v>4210</v>
      </c>
      <c r="E33" s="30">
        <v>4840</v>
      </c>
      <c r="F33" s="30">
        <v>5340</v>
      </c>
      <c r="G33" s="33">
        <f ca="1">F33*(1+G37)</f>
        <v>5086.5760736384345</v>
      </c>
      <c r="H33" s="33">
        <f ca="1">G33*(1+H37)</f>
        <v>5335.6125967281014</v>
      </c>
      <c r="I33" s="33">
        <f ca="1">H33*(1+I37)</f>
        <v>5597.6107930936605</v>
      </c>
      <c r="J33" s="33">
        <f ca="1">I33*(1+J37)</f>
        <v>5902.8288432365589</v>
      </c>
      <c r="K33" s="33">
        <f ca="1">J33*(1+K37)</f>
        <v>6258.4669815641573</v>
      </c>
    </row>
    <row r="34" spans="2:11" x14ac:dyDescent="0.3">
      <c r="C34" s="36" t="s">
        <v>31</v>
      </c>
      <c r="D34" s="32">
        <f t="shared" ref="D34:K34" si="4">SUM(D32:D33)</f>
        <v>74739</v>
      </c>
      <c r="E34" s="32">
        <f t="shared" si="4"/>
        <v>76341</v>
      </c>
      <c r="F34" s="32">
        <f>SUM(F32:F33)</f>
        <v>87141</v>
      </c>
      <c r="G34" s="32">
        <f t="shared" ca="1" si="4"/>
        <v>77117.638180727037</v>
      </c>
      <c r="H34" s="32">
        <f t="shared" ca="1" si="4"/>
        <v>82550.832764801336</v>
      </c>
      <c r="I34" s="32">
        <f t="shared" ca="1" si="4"/>
        <v>86533.356329641611</v>
      </c>
      <c r="J34" s="32">
        <f t="shared" ca="1" si="4"/>
        <v>91251.716227732482</v>
      </c>
      <c r="K34" s="32">
        <f t="shared" ca="1" si="4"/>
        <v>96749.51928797421</v>
      </c>
    </row>
    <row r="35" spans="2:11" x14ac:dyDescent="0.3">
      <c r="C35" s="34"/>
      <c r="G35" s="37"/>
    </row>
    <row r="36" spans="2:11" x14ac:dyDescent="0.3">
      <c r="C36" s="38" t="s">
        <v>32</v>
      </c>
    </row>
    <row r="37" spans="2:11" x14ac:dyDescent="0.3">
      <c r="C37" s="34" t="s">
        <v>33</v>
      </c>
      <c r="D37" s="39"/>
      <c r="E37" s="39">
        <f>E18/D18-1</f>
        <v>6.304518199398057E-2</v>
      </c>
      <c r="F37" s="39">
        <f>F18/E18-1</f>
        <v>0.15861957650261305</v>
      </c>
      <c r="G37" s="40">
        <f ca="1">'[1]Rev Build'!G14</f>
        <v>-4.7457664112652731E-2</v>
      </c>
      <c r="H37" s="40">
        <f ca="1">'[1]Rev Build'!H14</f>
        <v>4.8959559335073566E-2</v>
      </c>
      <c r="I37" s="40">
        <f ca="1">'[1]Rev Build'!I14</f>
        <v>4.9103676778599281E-2</v>
      </c>
      <c r="J37" s="40">
        <f ca="1">'[1]Rev Build'!J14</f>
        <v>5.452648664310078E-2</v>
      </c>
      <c r="K37" s="40">
        <f ca="1">'[1]Rev Build'!K14</f>
        <v>6.0248763393349503E-2</v>
      </c>
    </row>
    <row r="38" spans="2:11" x14ac:dyDescent="0.3">
      <c r="C38" s="34" t="s">
        <v>34</v>
      </c>
      <c r="D38" s="39">
        <f>D20/D18</f>
        <v>0.39075955648097049</v>
      </c>
      <c r="E38" s="39">
        <f>E20/E18</f>
        <v>0.38469860491899105</v>
      </c>
      <c r="F38" s="39">
        <f>F20/F18</f>
        <v>0.38343718820007905</v>
      </c>
      <c r="G38" s="39">
        <f t="shared" ref="G38:K40" ca="1" si="5">G177</f>
        <v>0.378</v>
      </c>
      <c r="H38" s="39">
        <f t="shared" ca="1" si="5"/>
        <v>0.38100000000000001</v>
      </c>
      <c r="I38" s="39">
        <f t="shared" ca="1" si="5"/>
        <v>0.38200000000000001</v>
      </c>
      <c r="J38" s="39">
        <f t="shared" ca="1" si="5"/>
        <v>0.38200000000000001</v>
      </c>
      <c r="K38" s="39">
        <f t="shared" ca="1" si="5"/>
        <v>0.38200000000000001</v>
      </c>
    </row>
    <row r="39" spans="2:11" x14ac:dyDescent="0.3">
      <c r="C39" s="34" t="s">
        <v>35</v>
      </c>
      <c r="D39" s="39">
        <f>-D21/D18</f>
        <v>4.6582482760539605E-2</v>
      </c>
      <c r="E39" s="39">
        <f>-E21/E18</f>
        <v>5.0520428906706681E-2</v>
      </c>
      <c r="F39" s="39">
        <f>-F21/F18</f>
        <v>5.3600406634161032E-2</v>
      </c>
      <c r="G39" s="39">
        <f t="shared" ca="1" si="5"/>
        <v>6.2E-2</v>
      </c>
      <c r="H39" s="39">
        <f t="shared" ca="1" si="5"/>
        <v>6.3E-2</v>
      </c>
      <c r="I39" s="39">
        <f t="shared" ca="1" si="5"/>
        <v>6.3E-2</v>
      </c>
      <c r="J39" s="39">
        <f t="shared" ca="1" si="5"/>
        <v>6.3E-2</v>
      </c>
      <c r="K39" s="39">
        <f t="shared" ca="1" si="5"/>
        <v>6.3E-2</v>
      </c>
    </row>
    <row r="40" spans="2:11" x14ac:dyDescent="0.3">
      <c r="C40" s="34" t="s">
        <v>36</v>
      </c>
      <c r="D40" s="39">
        <f>-D22/D18</f>
        <v>6.5822972653369755E-2</v>
      </c>
      <c r="E40" s="39">
        <f>-E22/E18</f>
        <v>6.6573893924984945E-2</v>
      </c>
      <c r="F40" s="39">
        <f>-F22/F18</f>
        <v>6.2896515371147807E-2</v>
      </c>
      <c r="G40" s="39">
        <f t="shared" ca="1" si="5"/>
        <v>7.3999999999999996E-2</v>
      </c>
      <c r="H40" s="39">
        <f t="shared" ca="1" si="5"/>
        <v>6.9000000000000006E-2</v>
      </c>
      <c r="I40" s="39">
        <f t="shared" ca="1" si="5"/>
        <v>6.9000000000000006E-2</v>
      </c>
      <c r="J40" s="39">
        <f t="shared" ca="1" si="5"/>
        <v>6.9000000000000006E-2</v>
      </c>
      <c r="K40" s="39">
        <f t="shared" ca="1" si="5"/>
        <v>6.9000000000000006E-2</v>
      </c>
    </row>
    <row r="41" spans="2:11" x14ac:dyDescent="0.3">
      <c r="C41" s="34" t="s">
        <v>37</v>
      </c>
      <c r="D41" s="39">
        <f>-(D28/D27)</f>
        <v>0.25557257381216192</v>
      </c>
      <c r="E41" s="39">
        <f>-(E28/E27)</f>
        <v>0.24556476150353415</v>
      </c>
      <c r="F41" s="39">
        <f>-(F28/F27)</f>
        <v>0.18342180705869443</v>
      </c>
      <c r="G41" s="41">
        <v>0.16700000000000001</v>
      </c>
      <c r="H41" s="41">
        <v>0.17</v>
      </c>
      <c r="I41" s="41">
        <v>0.16900000000000001</v>
      </c>
      <c r="J41" s="39">
        <f>I41</f>
        <v>0.16900000000000001</v>
      </c>
      <c r="K41" s="39">
        <f>J41</f>
        <v>0.16900000000000001</v>
      </c>
    </row>
    <row r="42" spans="2:11" x14ac:dyDescent="0.3">
      <c r="C42" s="34"/>
      <c r="G42" s="37"/>
    </row>
    <row r="43" spans="2:11" x14ac:dyDescent="0.3">
      <c r="B43" s="1" t="s">
        <v>12</v>
      </c>
      <c r="C43" s="19" t="s">
        <v>38</v>
      </c>
      <c r="D43" s="42"/>
      <c r="E43" s="42"/>
      <c r="F43" s="42"/>
      <c r="G43" s="20"/>
      <c r="H43" s="20"/>
      <c r="I43" s="20"/>
      <c r="J43" s="20"/>
      <c r="K43" s="20"/>
    </row>
    <row r="44" spans="2:11" x14ac:dyDescent="0.3">
      <c r="C44" s="43" t="str">
        <f>C15</f>
        <v xml:space="preserve">Fiscal year  </v>
      </c>
      <c r="D44" s="44"/>
      <c r="E44" s="44">
        <f t="shared" ref="E44:K45" si="6">E15</f>
        <v>2017</v>
      </c>
      <c r="F44" s="44">
        <f t="shared" si="6"/>
        <v>2018</v>
      </c>
      <c r="G44" s="45">
        <f t="shared" si="6"/>
        <v>2019</v>
      </c>
      <c r="H44" s="45">
        <f t="shared" si="6"/>
        <v>2020</v>
      </c>
      <c r="I44" s="45">
        <f t="shared" si="6"/>
        <v>2021</v>
      </c>
      <c r="J44" s="45">
        <f t="shared" si="6"/>
        <v>2022</v>
      </c>
      <c r="K44" s="45">
        <f t="shared" si="6"/>
        <v>2023</v>
      </c>
    </row>
    <row r="45" spans="2:11" x14ac:dyDescent="0.3">
      <c r="C45" s="20" t="str">
        <f>C16</f>
        <v>Fiscal year end date</v>
      </c>
      <c r="D45" s="46"/>
      <c r="E45" s="46">
        <f t="shared" si="6"/>
        <v>43008</v>
      </c>
      <c r="F45" s="46">
        <f t="shared" si="6"/>
        <v>43372</v>
      </c>
      <c r="G45" s="46">
        <f t="shared" si="6"/>
        <v>43738</v>
      </c>
      <c r="H45" s="46">
        <f t="shared" si="6"/>
        <v>44104</v>
      </c>
      <c r="I45" s="46">
        <f t="shared" si="6"/>
        <v>44469</v>
      </c>
      <c r="J45" s="46">
        <f t="shared" si="6"/>
        <v>44834</v>
      </c>
      <c r="K45" s="46">
        <f t="shared" si="6"/>
        <v>45199</v>
      </c>
    </row>
    <row r="46" spans="2:11" x14ac:dyDescent="0.3">
      <c r="C46" s="1" t="s">
        <v>39</v>
      </c>
      <c r="D46" s="30"/>
      <c r="E46" s="30">
        <f>20289+53892+194714</f>
        <v>268895</v>
      </c>
      <c r="F46" s="30">
        <f>25913+40388+170799</f>
        <v>237100</v>
      </c>
      <c r="G46" s="33">
        <f ca="1">G91+F46</f>
        <v>201382.41032631698</v>
      </c>
      <c r="H46" s="33">
        <f ca="1">H91+G46</f>
        <v>173643.57295563057</v>
      </c>
      <c r="I46" s="33">
        <f ca="1">I91+H46</f>
        <v>148902.77230984022</v>
      </c>
      <c r="J46" s="33">
        <f ca="1">J91+I46</f>
        <v>127494.38491745915</v>
      </c>
      <c r="K46" s="33">
        <f ca="1">K91+J46</f>
        <v>110004.66422108698</v>
      </c>
    </row>
    <row r="47" spans="2:11" x14ac:dyDescent="0.3">
      <c r="C47" s="1" t="s">
        <v>40</v>
      </c>
      <c r="D47" s="30"/>
      <c r="E47" s="30">
        <v>17874</v>
      </c>
      <c r="F47" s="30">
        <v>23186</v>
      </c>
      <c r="G47" s="33">
        <f ca="1">F47*(1+G37)</f>
        <v>22085.646599884032</v>
      </c>
      <c r="H47" s="33">
        <f ca="1">G47*(1+H37)</f>
        <v>23166.950125044521</v>
      </c>
      <c r="I47" s="33">
        <f ca="1">H47*(1+I37)</f>
        <v>24304.532555930637</v>
      </c>
      <c r="J47" s="33">
        <f ca="1">I47*(1+J37)</f>
        <v>25629.773325708396</v>
      </c>
      <c r="K47" s="33">
        <f ca="1">J47*(1+K37)</f>
        <v>27173.935474634181</v>
      </c>
    </row>
    <row r="48" spans="2:11" x14ac:dyDescent="0.3">
      <c r="C48" s="1" t="s">
        <v>41</v>
      </c>
      <c r="D48" s="30"/>
      <c r="E48" s="30">
        <v>4855</v>
      </c>
      <c r="F48" s="30">
        <v>3956</v>
      </c>
      <c r="G48" s="33">
        <f ca="1">F48*G19/F19</f>
        <v>3801.4880368745844</v>
      </c>
      <c r="H48" s="33">
        <f ca="1">G48*H19/G19</f>
        <v>3968.3743837461143</v>
      </c>
      <c r="I48" s="33">
        <f ca="1">H48*I19/H19</f>
        <v>4156.5104118191121</v>
      </c>
      <c r="J48" s="33">
        <f ca="1">I48*J19/I19</f>
        <v>4383.1503212710768</v>
      </c>
      <c r="K48" s="33">
        <f ca="1">J48*K19/J19</f>
        <v>4647.2297078948222</v>
      </c>
    </row>
    <row r="49" spans="3:11" x14ac:dyDescent="0.3">
      <c r="C49" s="1" t="s">
        <v>42</v>
      </c>
      <c r="D49" s="30"/>
      <c r="E49" s="30">
        <f>17799+13936</f>
        <v>31735</v>
      </c>
      <c r="F49" s="30">
        <f>25809+12087</f>
        <v>37896</v>
      </c>
      <c r="G49" s="33">
        <f ca="1">F49*(1+G37)</f>
        <v>36097.544360786909</v>
      </c>
      <c r="H49" s="33">
        <f ca="1">G49*(1+H37)</f>
        <v>37864.864225769306</v>
      </c>
      <c r="I49" s="33">
        <f ca="1">H49*(1+I37)</f>
        <v>39724.168279977028</v>
      </c>
      <c r="J49" s="33">
        <f ca="1">I49*(1+J37)</f>
        <v>41890.18761110348</v>
      </c>
      <c r="K49" s="33">
        <f ca="1">J49*(1+K37)</f>
        <v>44414.019612987875</v>
      </c>
    </row>
    <row r="50" spans="3:11" x14ac:dyDescent="0.3">
      <c r="C50" s="1" t="s">
        <v>43</v>
      </c>
      <c r="D50" s="30"/>
      <c r="E50" s="30">
        <v>33783</v>
      </c>
      <c r="F50" s="30">
        <v>41304</v>
      </c>
      <c r="G50" s="33">
        <f>G100</f>
        <v>45308.559828738827</v>
      </c>
      <c r="H50" s="33">
        <f>H100</f>
        <v>49422.841883872905</v>
      </c>
      <c r="I50" s="33">
        <f>I100</f>
        <v>53588.367835949823</v>
      </c>
      <c r="J50" s="33">
        <f ca="1">J100</f>
        <v>57981.025283214156</v>
      </c>
      <c r="K50" s="33">
        <f ca="1">K100</f>
        <v>62638.334909686753</v>
      </c>
    </row>
    <row r="51" spans="3:11" x14ac:dyDescent="0.3">
      <c r="C51" s="1" t="s">
        <v>44</v>
      </c>
      <c r="D51" s="30"/>
      <c r="E51" s="30">
        <v>18177</v>
      </c>
      <c r="F51" s="30">
        <v>22283</v>
      </c>
      <c r="G51" s="33">
        <f ca="1">F51*(1+G37)</f>
        <v>21225.500870577758</v>
      </c>
      <c r="H51" s="33">
        <f ca="1">G51*(1+H37)</f>
        <v>22264.692039867467</v>
      </c>
      <c r="I51" s="33">
        <f ca="1">H51*(1+I37)</f>
        <v>23357.970281368172</v>
      </c>
      <c r="J51" s="33">
        <f ca="1">I51*(1+J37)</f>
        <v>24631.59833592514</v>
      </c>
      <c r="K51" s="33">
        <f ca="1">J51*(1+K37)</f>
        <v>26115.621676066316</v>
      </c>
    </row>
    <row r="52" spans="3:11" x14ac:dyDescent="0.3">
      <c r="C52" s="36" t="s">
        <v>45</v>
      </c>
      <c r="D52" s="32"/>
      <c r="E52" s="32">
        <f t="shared" ref="E52:K52" si="7">SUM(E46:E51)</f>
        <v>375319</v>
      </c>
      <c r="F52" s="32">
        <f t="shared" si="7"/>
        <v>365725</v>
      </c>
      <c r="G52" s="47">
        <f t="shared" ca="1" si="7"/>
        <v>329901.15002317913</v>
      </c>
      <c r="H52" s="47">
        <f t="shared" ca="1" si="7"/>
        <v>310331.29561393091</v>
      </c>
      <c r="I52" s="47">
        <f t="shared" ca="1" si="7"/>
        <v>294034.321674885</v>
      </c>
      <c r="J52" s="47">
        <f t="shared" ca="1" si="7"/>
        <v>282010.11979468138</v>
      </c>
      <c r="K52" s="47">
        <f t="shared" ca="1" si="7"/>
        <v>274993.80560235691</v>
      </c>
    </row>
    <row r="53" spans="3:11" x14ac:dyDescent="0.3">
      <c r="C53" s="35"/>
      <c r="D53" s="33"/>
      <c r="E53" s="33"/>
      <c r="F53" s="33"/>
      <c r="G53" s="33"/>
      <c r="H53" s="33"/>
      <c r="I53" s="33"/>
      <c r="J53" s="33"/>
      <c r="K53" s="33"/>
    </row>
    <row r="54" spans="3:11" x14ac:dyDescent="0.3">
      <c r="C54" s="35" t="s">
        <v>46</v>
      </c>
      <c r="D54" s="30"/>
      <c r="E54" s="30">
        <v>44242</v>
      </c>
      <c r="F54" s="30">
        <v>55888</v>
      </c>
      <c r="G54" s="33">
        <f ca="1">F54*G19/F19</f>
        <v>53705.147473419303</v>
      </c>
      <c r="H54" s="33">
        <f ca="1">G54*H19/G19</f>
        <v>56062.817886451681</v>
      </c>
      <c r="I54" s="33">
        <f ca="1">H54*I19/H19</f>
        <v>58720.691075770112</v>
      </c>
      <c r="J54" s="33">
        <f ca="1">I54*J19/I19</f>
        <v>61922.524053386733</v>
      </c>
      <c r="K54" s="33">
        <f ca="1">J54*K19/J19</f>
        <v>65653.279553798231</v>
      </c>
    </row>
    <row r="55" spans="3:11" x14ac:dyDescent="0.3">
      <c r="C55" s="35" t="s">
        <v>47</v>
      </c>
      <c r="D55" s="30"/>
      <c r="E55" s="30">
        <v>30551</v>
      </c>
      <c r="F55" s="30">
        <v>32687</v>
      </c>
      <c r="G55" s="33">
        <f ca="1">F55*(1+G37)</f>
        <v>31135.751333149721</v>
      </c>
      <c r="H55" s="33">
        <f ca="1">G55*(1+H37)</f>
        <v>32660.143997987161</v>
      </c>
      <c r="I55" s="33">
        <f ca="1">H55*(1+I37)</f>
        <v>34263.877152406829</v>
      </c>
      <c r="J55" s="33">
        <f ca="1">I55*(1+J37)</f>
        <v>36132.165992298389</v>
      </c>
      <c r="K55" s="33">
        <f ca="1">J55*(1+K37)</f>
        <v>38309.084312057603</v>
      </c>
    </row>
    <row r="56" spans="3:11" x14ac:dyDescent="0.3">
      <c r="C56" s="35" t="s">
        <v>48</v>
      </c>
      <c r="D56" s="30"/>
      <c r="E56" s="30">
        <f>7548+2836</f>
        <v>10384</v>
      </c>
      <c r="F56" s="30">
        <f>7543+2797</f>
        <v>10340</v>
      </c>
      <c r="G56" s="33">
        <f ca="1">F56*(1+G37)</f>
        <v>9849.2877530751703</v>
      </c>
      <c r="H56" s="33">
        <f ca="1">G56*(1+H37)</f>
        <v>10331.504541230068</v>
      </c>
      <c r="I56" s="33">
        <f ca="1">H56*(1+I37)</f>
        <v>10838.81940085926</v>
      </c>
      <c r="J56" s="33">
        <f ca="1">I56*(1+J37)</f>
        <v>11429.822142147194</v>
      </c>
      <c r="K56" s="33">
        <f ca="1">J56*(1+K37)</f>
        <v>12118.454792017486</v>
      </c>
    </row>
    <row r="57" spans="3:11" x14ac:dyDescent="0.3">
      <c r="C57" s="35" t="s">
        <v>49</v>
      </c>
      <c r="D57" s="30"/>
      <c r="E57" s="30">
        <v>11977</v>
      </c>
      <c r="F57" s="30">
        <v>11964</v>
      </c>
      <c r="G57" s="33">
        <f ca="1">G136</f>
        <v>12000</v>
      </c>
      <c r="H57" s="33">
        <f ca="1">H136</f>
        <v>12000</v>
      </c>
      <c r="I57" s="33">
        <f ca="1">I136</f>
        <v>12000</v>
      </c>
      <c r="J57" s="33">
        <f ca="1">J136</f>
        <v>12000</v>
      </c>
      <c r="K57" s="33">
        <f ca="1">K136</f>
        <v>12000</v>
      </c>
    </row>
    <row r="58" spans="3:11" x14ac:dyDescent="0.3">
      <c r="C58" s="35" t="s">
        <v>50</v>
      </c>
      <c r="D58" s="30"/>
      <c r="E58" s="30">
        <f>6496+97207</f>
        <v>103703</v>
      </c>
      <c r="F58" s="30">
        <f>8784+93735</f>
        <v>102519</v>
      </c>
      <c r="G58" s="33">
        <f>F58</f>
        <v>102519</v>
      </c>
      <c r="H58" s="33">
        <f>G58</f>
        <v>102519</v>
      </c>
      <c r="I58" s="33">
        <f>H58</f>
        <v>102519</v>
      </c>
      <c r="J58" s="33">
        <f>I58</f>
        <v>102519</v>
      </c>
      <c r="K58" s="33">
        <f>J58</f>
        <v>102519</v>
      </c>
    </row>
    <row r="59" spans="3:11" x14ac:dyDescent="0.3">
      <c r="C59" s="35" t="s">
        <v>51</v>
      </c>
      <c r="D59" s="30"/>
      <c r="E59" s="30">
        <v>40415</v>
      </c>
      <c r="F59" s="30">
        <v>45180</v>
      </c>
      <c r="G59" s="33">
        <f ca="1">F59*(1+G37)</f>
        <v>43035.86273539035</v>
      </c>
      <c r="H59" s="33">
        <f ca="1">G59*(1+H37)</f>
        <v>45142.879610519776</v>
      </c>
      <c r="I59" s="33">
        <f ca="1">H59*(1+I37)</f>
        <v>47359.560979769958</v>
      </c>
      <c r="J59" s="33">
        <f ca="1">I59*(1+J37)</f>
        <v>49941.911448956504</v>
      </c>
      <c r="K59" s="33">
        <f ca="1">J59*(1+K37)</f>
        <v>52950.849855256296</v>
      </c>
    </row>
    <row r="60" spans="3:11" x14ac:dyDescent="0.3">
      <c r="C60" s="36" t="s">
        <v>52</v>
      </c>
      <c r="D60" s="32"/>
      <c r="E60" s="32">
        <f t="shared" ref="E60:K60" si="8">SUM(E54:E59)</f>
        <v>241272</v>
      </c>
      <c r="F60" s="32">
        <f t="shared" si="8"/>
        <v>258578</v>
      </c>
      <c r="G60" s="47">
        <f t="shared" ca="1" si="8"/>
        <v>252245.04929503452</v>
      </c>
      <c r="H60" s="47">
        <f t="shared" ca="1" si="8"/>
        <v>258716.34603618868</v>
      </c>
      <c r="I60" s="47">
        <f t="shared" ca="1" si="8"/>
        <v>265701.94860880618</v>
      </c>
      <c r="J60" s="47">
        <f t="shared" ca="1" si="8"/>
        <v>273945.42363678885</v>
      </c>
      <c r="K60" s="47">
        <f t="shared" ca="1" si="8"/>
        <v>283550.66851312958</v>
      </c>
    </row>
    <row r="61" spans="3:11" x14ac:dyDescent="0.3">
      <c r="C61" s="36"/>
      <c r="D61" s="32"/>
      <c r="E61" s="32"/>
      <c r="F61" s="32"/>
      <c r="G61" s="33"/>
      <c r="H61" s="33"/>
      <c r="I61" s="33"/>
      <c r="J61" s="33"/>
      <c r="K61" s="33"/>
    </row>
    <row r="62" spans="3:11" x14ac:dyDescent="0.3">
      <c r="C62" s="35" t="s">
        <v>53</v>
      </c>
      <c r="D62" s="30"/>
      <c r="E62" s="30">
        <v>35867</v>
      </c>
      <c r="F62" s="30">
        <v>40201</v>
      </c>
      <c r="G62" s="33">
        <f ca="1">F62+G33</f>
        <v>45287.576073638433</v>
      </c>
      <c r="H62" s="33">
        <f ca="1">G62+H33</f>
        <v>50623.188670366537</v>
      </c>
      <c r="I62" s="33">
        <f ca="1">H62+I33</f>
        <v>56220.7994634602</v>
      </c>
      <c r="J62" s="33">
        <f ca="1">I62+J33</f>
        <v>62123.628306696759</v>
      </c>
      <c r="K62" s="33">
        <f ca="1">J62+K33</f>
        <v>68382.095288260913</v>
      </c>
    </row>
    <row r="63" spans="3:11" x14ac:dyDescent="0.3">
      <c r="C63" s="35" t="s">
        <v>54</v>
      </c>
      <c r="D63" s="31"/>
      <c r="E63" s="31">
        <f>98330</f>
        <v>98330</v>
      </c>
      <c r="F63" s="30">
        <v>70400</v>
      </c>
      <c r="G63" s="33">
        <f ca="1">G120</f>
        <v>35822.524654506109</v>
      </c>
      <c r="H63" s="33">
        <f ca="1">H120</f>
        <v>4445.7609073756612</v>
      </c>
      <c r="I63" s="33">
        <f ca="1">I120</f>
        <v>-24434.426397381343</v>
      </c>
      <c r="J63" s="33">
        <f ca="1">J120</f>
        <v>-50604.932148804175</v>
      </c>
      <c r="K63" s="33">
        <f ca="1">K120</f>
        <v>-73484.958199033572</v>
      </c>
    </row>
    <row r="64" spans="3:11" x14ac:dyDescent="0.3">
      <c r="C64" s="35" t="s">
        <v>55</v>
      </c>
      <c r="D64" s="30"/>
      <c r="E64" s="30">
        <v>-150</v>
      </c>
      <c r="F64" s="30">
        <v>-3454</v>
      </c>
      <c r="G64" s="33">
        <f>F64</f>
        <v>-3454</v>
      </c>
      <c r="H64" s="33">
        <f>G64</f>
        <v>-3454</v>
      </c>
      <c r="I64" s="33">
        <f>H64</f>
        <v>-3454</v>
      </c>
      <c r="J64" s="33">
        <f>I64</f>
        <v>-3454</v>
      </c>
      <c r="K64" s="33">
        <f>J64</f>
        <v>-3454</v>
      </c>
    </row>
    <row r="65" spans="2:11" x14ac:dyDescent="0.3">
      <c r="C65" s="36" t="s">
        <v>56</v>
      </c>
      <c r="D65" s="47"/>
      <c r="E65" s="47">
        <f t="shared" ref="E65:K65" si="9">SUM(E62:E64)</f>
        <v>134047</v>
      </c>
      <c r="F65" s="47">
        <f t="shared" si="9"/>
        <v>107147</v>
      </c>
      <c r="G65" s="47">
        <f t="shared" ca="1" si="9"/>
        <v>77656.100728144549</v>
      </c>
      <c r="H65" s="47">
        <f t="shared" ca="1" si="9"/>
        <v>51614.949577742198</v>
      </c>
      <c r="I65" s="47">
        <f t="shared" ca="1" si="9"/>
        <v>28332.373066078857</v>
      </c>
      <c r="J65" s="47">
        <f t="shared" ca="1" si="9"/>
        <v>8064.6961578925839</v>
      </c>
      <c r="K65" s="47">
        <f t="shared" ca="1" si="9"/>
        <v>-8556.8629107726592</v>
      </c>
    </row>
    <row r="66" spans="2:11" x14ac:dyDescent="0.3">
      <c r="D66" s="33"/>
      <c r="E66" s="33"/>
      <c r="F66" s="33"/>
    </row>
    <row r="67" spans="2:11" x14ac:dyDescent="0.3">
      <c r="C67" s="25" t="s">
        <v>57</v>
      </c>
      <c r="D67" s="48"/>
      <c r="E67" s="48">
        <f t="shared" ref="E67:K67" si="10">ROUND(E52-E60-E65,3)</f>
        <v>0</v>
      </c>
      <c r="F67" s="48">
        <f t="shared" si="10"/>
        <v>0</v>
      </c>
      <c r="G67" s="48">
        <f t="shared" ca="1" si="10"/>
        <v>0</v>
      </c>
      <c r="H67" s="48">
        <f t="shared" ca="1" si="10"/>
        <v>0</v>
      </c>
      <c r="I67" s="48">
        <f t="shared" ca="1" si="10"/>
        <v>0</v>
      </c>
      <c r="J67" s="48">
        <f t="shared" ca="1" si="10"/>
        <v>0</v>
      </c>
      <c r="K67" s="48">
        <f t="shared" ca="1" si="10"/>
        <v>0</v>
      </c>
    </row>
    <row r="68" spans="2:11" x14ac:dyDescent="0.3">
      <c r="E68" s="33"/>
      <c r="F68" s="33"/>
      <c r="H68" s="33"/>
      <c r="I68" s="33"/>
      <c r="J68" s="33"/>
      <c r="K68" s="33"/>
    </row>
    <row r="69" spans="2:11" x14ac:dyDescent="0.3">
      <c r="B69" s="1" t="s">
        <v>12</v>
      </c>
      <c r="C69" s="19" t="s">
        <v>58</v>
      </c>
      <c r="D69" s="42"/>
      <c r="E69" s="42"/>
      <c r="F69" s="42"/>
      <c r="G69" s="42"/>
      <c r="H69" s="42"/>
      <c r="I69" s="42"/>
      <c r="J69" s="42"/>
      <c r="K69" s="42"/>
    </row>
    <row r="70" spans="2:11" x14ac:dyDescent="0.3">
      <c r="C70" s="43" t="str">
        <f>C15</f>
        <v xml:space="preserve">Fiscal year  </v>
      </c>
      <c r="D70" s="44"/>
      <c r="E70" s="44"/>
      <c r="F70" s="44"/>
      <c r="G70" s="45">
        <f t="shared" ref="G70:K71" si="11">G15</f>
        <v>2019</v>
      </c>
      <c r="H70" s="45">
        <f t="shared" si="11"/>
        <v>2020</v>
      </c>
      <c r="I70" s="45">
        <f t="shared" si="11"/>
        <v>2021</v>
      </c>
      <c r="J70" s="45">
        <f t="shared" si="11"/>
        <v>2022</v>
      </c>
      <c r="K70" s="45">
        <f t="shared" si="11"/>
        <v>2023</v>
      </c>
    </row>
    <row r="71" spans="2:11" x14ac:dyDescent="0.3">
      <c r="C71" s="20" t="str">
        <f>C16</f>
        <v>Fiscal year end date</v>
      </c>
      <c r="D71" s="46"/>
      <c r="E71" s="46"/>
      <c r="F71" s="46"/>
      <c r="G71" s="46">
        <f t="shared" si="11"/>
        <v>43738</v>
      </c>
      <c r="H71" s="46">
        <f t="shared" si="11"/>
        <v>44104</v>
      </c>
      <c r="I71" s="46">
        <f t="shared" si="11"/>
        <v>44469</v>
      </c>
      <c r="J71" s="46">
        <f t="shared" si="11"/>
        <v>44834</v>
      </c>
      <c r="K71" s="46">
        <f t="shared" si="11"/>
        <v>45199</v>
      </c>
    </row>
    <row r="73" spans="2:11" x14ac:dyDescent="0.3">
      <c r="C73" s="1" t="s">
        <v>27</v>
      </c>
      <c r="D73" s="49"/>
      <c r="E73" s="49"/>
      <c r="F73" s="49"/>
      <c r="G73" s="33">
        <f ca="1">G29</f>
        <v>52213.524654506109</v>
      </c>
      <c r="H73" s="33">
        <f ca="1">H29</f>
        <v>55414.236252869552</v>
      </c>
      <c r="I73" s="33">
        <f ca="1">I29</f>
        <v>57910.812695242996</v>
      </c>
      <c r="J73" s="33">
        <f ca="1">J29</f>
        <v>60620.494248577168</v>
      </c>
      <c r="K73" s="33">
        <f ca="1">K29</f>
        <v>63910.973949770603</v>
      </c>
    </row>
    <row r="74" spans="2:11" x14ac:dyDescent="0.3">
      <c r="C74" s="1" t="s">
        <v>59</v>
      </c>
      <c r="D74" s="49"/>
      <c r="E74" s="49"/>
      <c r="F74" s="49"/>
      <c r="G74" s="33">
        <f ca="1">G31</f>
        <v>10807.36553568859</v>
      </c>
      <c r="H74" s="33">
        <f ca="1">H31</f>
        <v>11136.400902273252</v>
      </c>
      <c r="I74" s="33">
        <f ca="1">I31</f>
        <v>11333.805527572733</v>
      </c>
      <c r="J74" s="33">
        <f ca="1">J31</f>
        <v>11951.79812328743</v>
      </c>
      <c r="K74" s="33">
        <f ca="1">K31</f>
        <v>12671.879180542453</v>
      </c>
    </row>
    <row r="75" spans="2:11" x14ac:dyDescent="0.3">
      <c r="C75" s="1" t="s">
        <v>30</v>
      </c>
      <c r="D75" s="49"/>
      <c r="E75" s="49"/>
      <c r="F75" s="49"/>
      <c r="G75" s="33">
        <f ca="1">G33</f>
        <v>5086.5760736384345</v>
      </c>
      <c r="H75" s="33">
        <f ca="1">H33</f>
        <v>5335.6125967281014</v>
      </c>
      <c r="I75" s="33">
        <f ca="1">I33</f>
        <v>5597.6107930936605</v>
      </c>
      <c r="J75" s="33">
        <f ca="1">J33</f>
        <v>5902.8288432365589</v>
      </c>
      <c r="K75" s="33">
        <f ca="1">K33</f>
        <v>6258.4669815641573</v>
      </c>
    </row>
    <row r="76" spans="2:11" x14ac:dyDescent="0.3">
      <c r="C76" s="1" t="s">
        <v>60</v>
      </c>
      <c r="D76" s="33"/>
      <c r="E76" s="33"/>
      <c r="F76" s="33"/>
      <c r="G76" s="33">
        <f ca="1">-1*(SUM(G47:G49)-SUM(F47:F49))</f>
        <v>3053.3210024544751</v>
      </c>
      <c r="H76" s="33">
        <f ca="1">-1*(SUM(H47:H49)-SUM(G47:G49))</f>
        <v>-3015.509737014414</v>
      </c>
      <c r="I76" s="33">
        <f ca="1">-1*(SUM(I47:I49)-SUM(H47:H49))</f>
        <v>-3185.0225131668412</v>
      </c>
      <c r="J76" s="33">
        <f ca="1">-1*(SUM(J47:J49)-SUM(I47:I49))</f>
        <v>-3717.9000103561702</v>
      </c>
      <c r="K76" s="33">
        <f ca="1">-1*(SUM(K47:K49)-SUM(J47:J49))</f>
        <v>-4332.0735374339274</v>
      </c>
    </row>
    <row r="77" spans="2:11" x14ac:dyDescent="0.3">
      <c r="C77" s="1" t="s">
        <v>61</v>
      </c>
      <c r="D77" s="33"/>
      <c r="E77" s="33"/>
      <c r="F77" s="33"/>
      <c r="G77" s="33">
        <f ca="1">SUM(G54:G56)-SUM(F54:F56)</f>
        <v>-4224.813440355807</v>
      </c>
      <c r="H77" s="33">
        <f ca="1">SUM(H54:H56)-SUM(G54:G56)</f>
        <v>4364.2798660247208</v>
      </c>
      <c r="I77" s="33">
        <f ca="1">SUM(I54:I56)-SUM(H54:H56)</f>
        <v>4768.9212033672811</v>
      </c>
      <c r="J77" s="33">
        <f ca="1">SUM(J54:J56)-SUM(I54:I56)</f>
        <v>5661.1245587961312</v>
      </c>
      <c r="K77" s="33">
        <f ca="1">SUM(K54:K56)-SUM(J54:J56)</f>
        <v>6596.3064700409886</v>
      </c>
    </row>
    <row r="78" spans="2:11" x14ac:dyDescent="0.3">
      <c r="C78" s="1" t="s">
        <v>44</v>
      </c>
      <c r="G78" s="33">
        <f ca="1">-(G112)</f>
        <v>-469.42623500517584</v>
      </c>
      <c r="H78" s="33">
        <f ca="1">-(H112)</f>
        <v>-2640.8741266970392</v>
      </c>
      <c r="I78" s="33">
        <f ca="1">-(I112)</f>
        <v>-2773.6097211503584</v>
      </c>
      <c r="J78" s="33">
        <f ca="1">-(J112)</f>
        <v>-3045.5821061877177</v>
      </c>
      <c r="K78" s="33">
        <f ca="1">-(K112)</f>
        <v>-3362.7354321725143</v>
      </c>
    </row>
    <row r="79" spans="2:11" x14ac:dyDescent="0.3">
      <c r="C79" s="1" t="s">
        <v>51</v>
      </c>
      <c r="G79" s="33">
        <f ca="1">G59-F59</f>
        <v>-2144.1372646096497</v>
      </c>
      <c r="H79" s="33">
        <f ca="1">H59-G59</f>
        <v>2107.0168751294259</v>
      </c>
      <c r="I79" s="33">
        <f ca="1">I59-H59</f>
        <v>2216.6813692501819</v>
      </c>
      <c r="J79" s="33">
        <f ca="1">J59-I59</f>
        <v>2582.3504691865455</v>
      </c>
      <c r="K79" s="33">
        <f ca="1">K59-J59</f>
        <v>3008.9384062997924</v>
      </c>
    </row>
    <row r="80" spans="2:11" x14ac:dyDescent="0.3">
      <c r="C80" s="18" t="s">
        <v>62</v>
      </c>
      <c r="G80" s="47">
        <f ca="1">SUM(G73:G79)</f>
        <v>64322.410326316975</v>
      </c>
      <c r="H80" s="47">
        <f ca="1">SUM(H73:H79)</f>
        <v>72701.162629313592</v>
      </c>
      <c r="I80" s="47">
        <f ca="1">SUM(I73:I79)</f>
        <v>75869.199354209646</v>
      </c>
      <c r="J80" s="47">
        <f ca="1">SUM(J73:J79)</f>
        <v>79955.114126539935</v>
      </c>
      <c r="K80" s="47">
        <f ca="1">SUM(K73:K79)</f>
        <v>84751.756018611544</v>
      </c>
    </row>
    <row r="81" spans="3:11" x14ac:dyDescent="0.3">
      <c r="G81" s="33"/>
      <c r="H81" s="33"/>
      <c r="I81" s="33"/>
      <c r="J81" s="33"/>
      <c r="K81" s="33"/>
    </row>
    <row r="82" spans="3:11" x14ac:dyDescent="0.3">
      <c r="C82" s="1" t="s">
        <v>63</v>
      </c>
      <c r="G82" s="33">
        <f>-(G98)</f>
        <v>-13285</v>
      </c>
      <c r="H82" s="33">
        <f>-(H98)</f>
        <v>-13649</v>
      </c>
      <c r="I82" s="33">
        <f>-(I98)</f>
        <v>-13819</v>
      </c>
      <c r="J82" s="33">
        <f ca="1">-(J98)</f>
        <v>-14572.50151892101</v>
      </c>
      <c r="K82" s="33">
        <f ca="1">-(K98)</f>
        <v>-15450.476714983708</v>
      </c>
    </row>
    <row r="83" spans="3:11" x14ac:dyDescent="0.3">
      <c r="C83" s="18" t="s">
        <v>64</v>
      </c>
      <c r="G83" s="47">
        <f>IFERROR(G82,"NA")</f>
        <v>-13285</v>
      </c>
      <c r="H83" s="47">
        <f>IFERROR(H82,"NA")</f>
        <v>-13649</v>
      </c>
      <c r="I83" s="47">
        <f>IFERROR(I82,"NA")</f>
        <v>-13819</v>
      </c>
      <c r="J83" s="47">
        <f ca="1">IFERROR(J82,"NA")</f>
        <v>-14572.50151892101</v>
      </c>
      <c r="K83" s="47">
        <f ca="1">IFERROR(K82,"NA")</f>
        <v>-15450.476714983708</v>
      </c>
    </row>
    <row r="84" spans="3:11" x14ac:dyDescent="0.3">
      <c r="G84" s="33"/>
      <c r="H84" s="33"/>
      <c r="I84" s="33"/>
      <c r="J84" s="33"/>
      <c r="K84" s="33"/>
    </row>
    <row r="85" spans="3:11" x14ac:dyDescent="0.3">
      <c r="C85" s="1" t="s">
        <v>65</v>
      </c>
      <c r="G85" s="33">
        <f>G58-F58</f>
        <v>0</v>
      </c>
      <c r="H85" s="33">
        <f>H58-G58</f>
        <v>0</v>
      </c>
      <c r="I85" s="33">
        <f>I58-H58</f>
        <v>0</v>
      </c>
      <c r="J85" s="33">
        <f>J58-I58</f>
        <v>0</v>
      </c>
      <c r="K85" s="33">
        <f>K58-J58</f>
        <v>0</v>
      </c>
    </row>
    <row r="86" spans="3:11" x14ac:dyDescent="0.3">
      <c r="C86" s="1" t="s">
        <v>66</v>
      </c>
      <c r="G86" s="33">
        <f ca="1">G57-F57</f>
        <v>36</v>
      </c>
      <c r="H86" s="33">
        <f ca="1">H57-G57</f>
        <v>0</v>
      </c>
      <c r="I86" s="33">
        <f ca="1">I57-H57</f>
        <v>0</v>
      </c>
      <c r="J86" s="33">
        <f ca="1">J57-I57</f>
        <v>0</v>
      </c>
      <c r="K86" s="33">
        <f ca="1">K57-J57</f>
        <v>0</v>
      </c>
    </row>
    <row r="87" spans="3:11" x14ac:dyDescent="0.3">
      <c r="C87" s="1" t="s">
        <v>67</v>
      </c>
      <c r="G87" s="33">
        <f>G119</f>
        <v>-73056</v>
      </c>
      <c r="H87" s="33">
        <f>H119</f>
        <v>-73056</v>
      </c>
      <c r="I87" s="33">
        <f>I119</f>
        <v>-73056</v>
      </c>
      <c r="J87" s="33">
        <f>J119</f>
        <v>-73056</v>
      </c>
      <c r="K87" s="33">
        <f>K119</f>
        <v>-73056</v>
      </c>
    </row>
    <row r="88" spans="3:11" x14ac:dyDescent="0.3">
      <c r="C88" s="1" t="s">
        <v>68</v>
      </c>
      <c r="G88" s="33">
        <f>G118</f>
        <v>-13735</v>
      </c>
      <c r="H88" s="33">
        <f>H118</f>
        <v>-13735</v>
      </c>
      <c r="I88" s="33">
        <f>I118</f>
        <v>-13735</v>
      </c>
      <c r="J88" s="33">
        <f>J118</f>
        <v>-13735</v>
      </c>
      <c r="K88" s="33">
        <f>K118</f>
        <v>-13735</v>
      </c>
    </row>
    <row r="89" spans="3:11" x14ac:dyDescent="0.3">
      <c r="C89" s="18" t="s">
        <v>69</v>
      </c>
      <c r="G89" s="47">
        <f ca="1">SUM(G85:G88)</f>
        <v>-86755</v>
      </c>
      <c r="H89" s="47">
        <f ca="1">SUM(H85:H88)</f>
        <v>-86791</v>
      </c>
      <c r="I89" s="47">
        <f ca="1">SUM(I85:I88)</f>
        <v>-86791</v>
      </c>
      <c r="J89" s="47">
        <f ca="1">SUM(J85:J88)</f>
        <v>-86791</v>
      </c>
      <c r="K89" s="47">
        <f ca="1">SUM(K85:K88)</f>
        <v>-86791</v>
      </c>
    </row>
    <row r="90" spans="3:11" x14ac:dyDescent="0.3">
      <c r="G90" s="33"/>
      <c r="H90" s="33"/>
      <c r="I90" s="33"/>
      <c r="J90" s="33"/>
      <c r="K90" s="33"/>
    </row>
    <row r="91" spans="3:11" x14ac:dyDescent="0.3">
      <c r="C91" s="18" t="s">
        <v>70</v>
      </c>
      <c r="G91" s="47">
        <f ca="1">G80+G83+G89</f>
        <v>-35717.589673683025</v>
      </c>
      <c r="H91" s="47">
        <f ca="1">H80+H83+H89</f>
        <v>-27738.837370686408</v>
      </c>
      <c r="I91" s="47">
        <f ca="1">I80+I83+I89</f>
        <v>-24740.800645790354</v>
      </c>
      <c r="J91" s="47">
        <f ca="1">J80+J83+J89</f>
        <v>-21408.387392381075</v>
      </c>
      <c r="K91" s="47">
        <f ca="1">K80+K83+K89</f>
        <v>-17489.720696372169</v>
      </c>
    </row>
    <row r="93" spans="3:11" x14ac:dyDescent="0.3">
      <c r="C93" s="19" t="s">
        <v>71</v>
      </c>
      <c r="D93" s="20"/>
      <c r="E93" s="20"/>
      <c r="F93" s="20"/>
      <c r="G93" s="20"/>
      <c r="H93" s="20"/>
      <c r="I93" s="20"/>
      <c r="J93" s="20"/>
      <c r="K93" s="20"/>
    </row>
    <row r="94" spans="3:11" x14ac:dyDescent="0.3">
      <c r="C94" s="43" t="str">
        <f t="shared" ref="C94:K95" si="12">C15</f>
        <v xml:space="preserve">Fiscal year  </v>
      </c>
      <c r="D94" s="44">
        <f t="shared" si="12"/>
        <v>2016</v>
      </c>
      <c r="E94" s="44">
        <f t="shared" si="12"/>
        <v>2017</v>
      </c>
      <c r="F94" s="44">
        <f t="shared" si="12"/>
        <v>2018</v>
      </c>
      <c r="G94" s="45">
        <f t="shared" si="12"/>
        <v>2019</v>
      </c>
      <c r="H94" s="45">
        <f t="shared" si="12"/>
        <v>2020</v>
      </c>
      <c r="I94" s="45">
        <f t="shared" si="12"/>
        <v>2021</v>
      </c>
      <c r="J94" s="45">
        <f t="shared" si="12"/>
        <v>2022</v>
      </c>
      <c r="K94" s="45">
        <f t="shared" si="12"/>
        <v>2023</v>
      </c>
    </row>
    <row r="95" spans="3:11" x14ac:dyDescent="0.3">
      <c r="C95" s="20" t="str">
        <f t="shared" si="12"/>
        <v>Fiscal year end date</v>
      </c>
      <c r="D95" s="46">
        <f t="shared" si="12"/>
        <v>42643</v>
      </c>
      <c r="E95" s="46">
        <f t="shared" si="12"/>
        <v>43008</v>
      </c>
      <c r="F95" s="46">
        <f t="shared" si="12"/>
        <v>43372</v>
      </c>
      <c r="G95" s="46">
        <f t="shared" si="12"/>
        <v>43738</v>
      </c>
      <c r="H95" s="46">
        <f t="shared" si="12"/>
        <v>44104</v>
      </c>
      <c r="I95" s="46">
        <f t="shared" si="12"/>
        <v>44469</v>
      </c>
      <c r="J95" s="46">
        <f t="shared" si="12"/>
        <v>44834</v>
      </c>
      <c r="K95" s="46">
        <f t="shared" si="12"/>
        <v>45199</v>
      </c>
    </row>
    <row r="96" spans="3:11" x14ac:dyDescent="0.3">
      <c r="C96" s="18"/>
      <c r="G96" s="50" t="s">
        <v>72</v>
      </c>
      <c r="H96" s="50"/>
      <c r="I96" s="50"/>
      <c r="J96" s="50"/>
      <c r="K96" s="50"/>
    </row>
    <row r="97" spans="3:11" x14ac:dyDescent="0.3">
      <c r="C97" s="35" t="s">
        <v>73</v>
      </c>
      <c r="G97" s="33">
        <f>F100</f>
        <v>41304</v>
      </c>
      <c r="H97" s="33">
        <f>G100</f>
        <v>45308.559828738827</v>
      </c>
      <c r="I97" s="33">
        <f>H100</f>
        <v>49422.841883872905</v>
      </c>
      <c r="J97" s="33">
        <f>I100</f>
        <v>53588.367835949823</v>
      </c>
      <c r="K97" s="33">
        <f ca="1">J100</f>
        <v>57981.025283214156</v>
      </c>
    </row>
    <row r="98" spans="3:11" x14ac:dyDescent="0.3">
      <c r="C98" s="51" t="s">
        <v>74</v>
      </c>
      <c r="D98" s="30">
        <v>12734</v>
      </c>
      <c r="E98" s="30">
        <v>12451</v>
      </c>
      <c r="F98" s="30">
        <v>13313</v>
      </c>
      <c r="G98" s="30">
        <v>13285</v>
      </c>
      <c r="H98" s="30">
        <v>13649</v>
      </c>
      <c r="I98" s="30">
        <v>13819</v>
      </c>
      <c r="J98" s="30">
        <f ca="1">I98*(1+J37)</f>
        <v>14572.50151892101</v>
      </c>
      <c r="K98" s="30">
        <f ca="1">J98*(1+K37)</f>
        <v>15450.476714983708</v>
      </c>
    </row>
    <row r="99" spans="3:11" x14ac:dyDescent="0.3">
      <c r="C99" s="52" t="s">
        <v>75</v>
      </c>
      <c r="D99" s="53">
        <v>-8300</v>
      </c>
      <c r="E99" s="53">
        <v>-8200</v>
      </c>
      <c r="F99" s="53">
        <v>-9300</v>
      </c>
      <c r="G99" s="54">
        <f>-(G102*G98)</f>
        <v>-9280.4401712611725</v>
      </c>
      <c r="H99" s="54">
        <f>-(H102*H98)</f>
        <v>-9534.7179448659208</v>
      </c>
      <c r="I99" s="54">
        <f>-(I102*I98)</f>
        <v>-9653.4740479230823</v>
      </c>
      <c r="J99" s="54">
        <f ca="1">-(J102*J98)</f>
        <v>-10179.84407165668</v>
      </c>
      <c r="K99" s="54">
        <f ca="1">-(K102*K98)</f>
        <v>-10793.167088511116</v>
      </c>
    </row>
    <row r="100" spans="3:11" x14ac:dyDescent="0.3">
      <c r="C100" s="55" t="s">
        <v>76</v>
      </c>
      <c r="D100" s="47"/>
      <c r="E100" s="47">
        <f>E50</f>
        <v>33783</v>
      </c>
      <c r="F100" s="47">
        <f>F50</f>
        <v>41304</v>
      </c>
      <c r="G100" s="47">
        <f>SUM(G97:G99)</f>
        <v>45308.559828738827</v>
      </c>
      <c r="H100" s="47">
        <f>SUM(H97:H99)</f>
        <v>49422.841883872905</v>
      </c>
      <c r="I100" s="47">
        <f>SUM(I97:I99)</f>
        <v>53588.367835949823</v>
      </c>
      <c r="J100" s="47">
        <f ca="1">SUM(J97:J99)</f>
        <v>57981.025283214156</v>
      </c>
      <c r="K100" s="47">
        <f ca="1">SUM(K97:K99)</f>
        <v>62638.334909686753</v>
      </c>
    </row>
    <row r="101" spans="3:11" x14ac:dyDescent="0.3">
      <c r="C101" s="35"/>
    </row>
    <row r="102" spans="3:11" x14ac:dyDescent="0.3">
      <c r="C102" s="35" t="s">
        <v>77</v>
      </c>
      <c r="D102" s="56">
        <f>-(D99/D98)</f>
        <v>0.65179833516569818</v>
      </c>
      <c r="E102" s="56">
        <f>-(E99/E98)</f>
        <v>0.6585816400289134</v>
      </c>
      <c r="F102" s="56">
        <f>-(F99/F98)</f>
        <v>0.69856531210095396</v>
      </c>
      <c r="G102" s="39">
        <f>F102+$M$102</f>
        <v>0.69856531210095396</v>
      </c>
      <c r="H102" s="39">
        <f>G102+$M$102</f>
        <v>0.69856531210095396</v>
      </c>
      <c r="I102" s="39">
        <f>H102+$M$102</f>
        <v>0.69856531210095396</v>
      </c>
      <c r="J102" s="39">
        <f>I102+$M$102</f>
        <v>0.69856531210095396</v>
      </c>
      <c r="K102" s="39">
        <f>J102+$M$102</f>
        <v>0.69856531210095396</v>
      </c>
    </row>
    <row r="103" spans="3:11" x14ac:dyDescent="0.3">
      <c r="C103" s="35"/>
      <c r="D103" s="56"/>
      <c r="E103" s="56"/>
      <c r="F103" s="56"/>
      <c r="G103" s="39"/>
      <c r="H103" s="39"/>
      <c r="I103" s="39"/>
      <c r="J103" s="39"/>
      <c r="K103" s="39"/>
    </row>
    <row r="104" spans="3:11" x14ac:dyDescent="0.3">
      <c r="C104" s="57" t="s">
        <v>78</v>
      </c>
      <c r="D104" s="58"/>
      <c r="E104" s="58"/>
      <c r="F104" s="58"/>
      <c r="G104" s="59"/>
      <c r="H104" s="59"/>
      <c r="I104" s="59"/>
      <c r="J104" s="59"/>
      <c r="K104" s="59"/>
    </row>
    <row r="105" spans="3:11" x14ac:dyDescent="0.3">
      <c r="C105" s="35" t="s">
        <v>131</v>
      </c>
      <c r="D105" s="33">
        <f>D107+D99</f>
        <v>2205</v>
      </c>
      <c r="E105" s="33">
        <f>E107+E99</f>
        <v>1957</v>
      </c>
      <c r="F105" s="33">
        <f>F107+F99</f>
        <v>1603</v>
      </c>
      <c r="G105" s="31">
        <f ca="1">G106*G18</f>
        <v>1526.9253644274177</v>
      </c>
      <c r="H105" s="31">
        <f ca="1">H106*H18</f>
        <v>1601.6829574073306</v>
      </c>
      <c r="I105" s="31">
        <f ca="1">I106*I18</f>
        <v>1680.3314796496511</v>
      </c>
      <c r="J105" s="31">
        <f ca="1">J106*J18</f>
        <v>1771.9540516307495</v>
      </c>
      <c r="K105" s="31">
        <f ca="1">K106*K18</f>
        <v>1878.7120920313373</v>
      </c>
    </row>
    <row r="106" spans="3:11" x14ac:dyDescent="0.3">
      <c r="C106" s="34" t="s">
        <v>79</v>
      </c>
      <c r="D106" s="60">
        <f>D105/D18</f>
        <v>1.0225423044996499E-2</v>
      </c>
      <c r="E106" s="60">
        <f>E105/E18</f>
        <v>8.537128000209393E-3</v>
      </c>
      <c r="F106" s="60">
        <f>F105/F18</f>
        <v>6.0355051864681188E-3</v>
      </c>
      <c r="G106" s="39">
        <f>F106</f>
        <v>6.0355051864681188E-3</v>
      </c>
      <c r="H106" s="39">
        <f>G106</f>
        <v>6.0355051864681188E-3</v>
      </c>
      <c r="I106" s="39">
        <f>H106</f>
        <v>6.0355051864681188E-3</v>
      </c>
      <c r="J106" s="39">
        <f>I106</f>
        <v>6.0355051864681188E-3</v>
      </c>
      <c r="K106" s="39">
        <f>J106</f>
        <v>6.0355051864681188E-3</v>
      </c>
    </row>
    <row r="107" spans="3:11" x14ac:dyDescent="0.3">
      <c r="C107" s="36" t="s">
        <v>80</v>
      </c>
      <c r="D107" s="47">
        <f>D31</f>
        <v>10505</v>
      </c>
      <c r="E107" s="47">
        <f>E31</f>
        <v>10157</v>
      </c>
      <c r="F107" s="47">
        <f>F31</f>
        <v>10903</v>
      </c>
      <c r="G107" s="32">
        <f ca="1">-G99+G105</f>
        <v>10807.36553568859</v>
      </c>
      <c r="H107" s="32">
        <f ca="1">-H99+H105</f>
        <v>11136.400902273252</v>
      </c>
      <c r="I107" s="32">
        <f ca="1">-I99+I105</f>
        <v>11333.805527572733</v>
      </c>
      <c r="J107" s="32">
        <f ca="1">-J99+J105</f>
        <v>11951.79812328743</v>
      </c>
      <c r="K107" s="32">
        <f ca="1">-K99+K105</f>
        <v>12671.879180542453</v>
      </c>
    </row>
    <row r="108" spans="3:11" x14ac:dyDescent="0.3">
      <c r="C108" s="35"/>
      <c r="D108" s="33"/>
      <c r="E108" s="33"/>
      <c r="F108" s="33"/>
      <c r="H108" s="33"/>
      <c r="I108" s="33"/>
      <c r="J108" s="33"/>
      <c r="K108" s="33"/>
    </row>
    <row r="109" spans="3:11" x14ac:dyDescent="0.3">
      <c r="C109" s="61" t="s">
        <v>81</v>
      </c>
      <c r="D109" s="20"/>
      <c r="E109" s="20"/>
      <c r="F109" s="20"/>
      <c r="H109" s="33"/>
      <c r="I109" s="33"/>
      <c r="J109" s="33"/>
      <c r="K109" s="33"/>
    </row>
    <row r="110" spans="3:11" x14ac:dyDescent="0.3">
      <c r="C110" s="35" t="s">
        <v>73</v>
      </c>
      <c r="D110" s="33"/>
      <c r="G110" s="62">
        <f>F113</f>
        <v>22283</v>
      </c>
      <c r="H110" s="62">
        <f ca="1">G113</f>
        <v>21225.500870577758</v>
      </c>
      <c r="I110" s="62">
        <f ca="1">H113</f>
        <v>22264.692039867467</v>
      </c>
      <c r="J110" s="62">
        <f ca="1">I113</f>
        <v>23357.970281368172</v>
      </c>
      <c r="K110" s="62">
        <f ca="1">J113</f>
        <v>24631.59833592514</v>
      </c>
    </row>
    <row r="111" spans="3:11" x14ac:dyDescent="0.3">
      <c r="C111" s="34" t="s">
        <v>82</v>
      </c>
      <c r="G111" s="33">
        <f ca="1">-(G105)</f>
        <v>-1526.9253644274177</v>
      </c>
      <c r="H111" s="33">
        <f ca="1">-(H105)</f>
        <v>-1601.6829574073306</v>
      </c>
      <c r="I111" s="33">
        <f ca="1">-(I105)</f>
        <v>-1680.3314796496511</v>
      </c>
      <c r="J111" s="33">
        <f ca="1">-(J105)</f>
        <v>-1771.9540516307495</v>
      </c>
      <c r="K111" s="33">
        <f ca="1">-(K105)</f>
        <v>-1878.7120920313373</v>
      </c>
    </row>
    <row r="112" spans="3:11" x14ac:dyDescent="0.3">
      <c r="C112" s="63" t="s">
        <v>83</v>
      </c>
      <c r="D112" s="64"/>
      <c r="E112" s="64"/>
      <c r="F112" s="64"/>
      <c r="G112" s="65">
        <f ca="1">G113-G111-G110</f>
        <v>469.42623500517584</v>
      </c>
      <c r="H112" s="65">
        <f ca="1">H113-H111-H110</f>
        <v>2640.8741266970392</v>
      </c>
      <c r="I112" s="65">
        <f ca="1">I113-I111-I110</f>
        <v>2773.6097211503584</v>
      </c>
      <c r="J112" s="65">
        <f ca="1">J113-J111-J110</f>
        <v>3045.5821061877177</v>
      </c>
      <c r="K112" s="65">
        <f ca="1">K113-K111-K110</f>
        <v>3362.7354321725143</v>
      </c>
    </row>
    <row r="113" spans="2:11" x14ac:dyDescent="0.3">
      <c r="C113" s="55" t="s">
        <v>76</v>
      </c>
      <c r="E113" s="47">
        <f t="shared" ref="E113:K113" si="13">E51</f>
        <v>18177</v>
      </c>
      <c r="F113" s="47">
        <f t="shared" si="13"/>
        <v>22283</v>
      </c>
      <c r="G113" s="47">
        <f t="shared" ca="1" si="13"/>
        <v>21225.500870577758</v>
      </c>
      <c r="H113" s="47">
        <f t="shared" ca="1" si="13"/>
        <v>22264.692039867467</v>
      </c>
      <c r="I113" s="47">
        <f t="shared" ca="1" si="13"/>
        <v>23357.970281368172</v>
      </c>
      <c r="J113" s="47">
        <f t="shared" ca="1" si="13"/>
        <v>24631.59833592514</v>
      </c>
      <c r="K113" s="47">
        <f t="shared" ca="1" si="13"/>
        <v>26115.621676066316</v>
      </c>
    </row>
    <row r="114" spans="2:11" x14ac:dyDescent="0.3">
      <c r="C114" s="34"/>
      <c r="E114" s="33"/>
      <c r="F114" s="33"/>
      <c r="H114" s="33"/>
      <c r="I114" s="33"/>
      <c r="J114" s="33"/>
      <c r="K114" s="33"/>
    </row>
    <row r="115" spans="2:11" x14ac:dyDescent="0.3">
      <c r="B115" s="1" t="s">
        <v>12</v>
      </c>
      <c r="C115" s="66" t="s">
        <v>84</v>
      </c>
      <c r="D115" s="61"/>
      <c r="E115" s="61"/>
      <c r="F115" s="61"/>
      <c r="G115" s="20"/>
      <c r="H115" s="20"/>
      <c r="I115" s="20"/>
      <c r="J115" s="20"/>
      <c r="K115" s="20"/>
    </row>
    <row r="116" spans="2:11" x14ac:dyDescent="0.3">
      <c r="C116" s="35" t="s">
        <v>73</v>
      </c>
      <c r="G116" s="33">
        <f>F120</f>
        <v>70400</v>
      </c>
      <c r="H116" s="33">
        <f ca="1">G120</f>
        <v>35822.524654506109</v>
      </c>
      <c r="I116" s="33">
        <f ca="1">H120</f>
        <v>4445.7609073756612</v>
      </c>
      <c r="J116" s="33">
        <f ca="1">I120</f>
        <v>-24434.426397381343</v>
      </c>
      <c r="K116" s="33">
        <f ca="1">J120</f>
        <v>-50604.932148804175</v>
      </c>
    </row>
    <row r="117" spans="2:11" x14ac:dyDescent="0.3">
      <c r="C117" s="34" t="s">
        <v>85</v>
      </c>
      <c r="D117" s="31">
        <f t="shared" ref="D117:K117" si="14">D29</f>
        <v>45687</v>
      </c>
      <c r="E117" s="31">
        <f t="shared" si="14"/>
        <v>48351</v>
      </c>
      <c r="F117" s="31">
        <f t="shared" si="14"/>
        <v>59531</v>
      </c>
      <c r="G117" s="33">
        <f t="shared" ca="1" si="14"/>
        <v>52213.524654506109</v>
      </c>
      <c r="H117" s="33">
        <f t="shared" ca="1" si="14"/>
        <v>55414.236252869552</v>
      </c>
      <c r="I117" s="33">
        <f t="shared" ca="1" si="14"/>
        <v>57910.812695242996</v>
      </c>
      <c r="J117" s="33">
        <f t="shared" ca="1" si="14"/>
        <v>60620.494248577168</v>
      </c>
      <c r="K117" s="33">
        <f t="shared" ca="1" si="14"/>
        <v>63910.973949770603</v>
      </c>
    </row>
    <row r="118" spans="2:11" x14ac:dyDescent="0.3">
      <c r="C118" s="34" t="s">
        <v>86</v>
      </c>
      <c r="D118" s="30">
        <v>-12188</v>
      </c>
      <c r="E118" s="30">
        <v>-12803</v>
      </c>
      <c r="F118" s="30">
        <v>-13735</v>
      </c>
      <c r="G118" s="33">
        <f>F118</f>
        <v>-13735</v>
      </c>
      <c r="H118" s="33">
        <f>G118</f>
        <v>-13735</v>
      </c>
      <c r="I118" s="33">
        <f t="shared" ref="I118:K119" si="15">H118</f>
        <v>-13735</v>
      </c>
      <c r="J118" s="33">
        <f t="shared" si="15"/>
        <v>-13735</v>
      </c>
      <c r="K118" s="33">
        <f t="shared" si="15"/>
        <v>-13735</v>
      </c>
    </row>
    <row r="119" spans="2:11" x14ac:dyDescent="0.3">
      <c r="C119" s="63" t="s">
        <v>87</v>
      </c>
      <c r="D119" s="53">
        <v>-29000</v>
      </c>
      <c r="E119" s="53">
        <v>-33001</v>
      </c>
      <c r="F119" s="53">
        <v>-73056</v>
      </c>
      <c r="G119" s="54">
        <f>F119</f>
        <v>-73056</v>
      </c>
      <c r="H119" s="54">
        <f>G119</f>
        <v>-73056</v>
      </c>
      <c r="I119" s="54">
        <f t="shared" si="15"/>
        <v>-73056</v>
      </c>
      <c r="J119" s="54">
        <f t="shared" si="15"/>
        <v>-73056</v>
      </c>
      <c r="K119" s="54">
        <f t="shared" si="15"/>
        <v>-73056</v>
      </c>
    </row>
    <row r="120" spans="2:11" x14ac:dyDescent="0.3">
      <c r="C120" s="55" t="s">
        <v>76</v>
      </c>
      <c r="D120" s="32">
        <f>D63</f>
        <v>0</v>
      </c>
      <c r="E120" s="32">
        <f>E63</f>
        <v>98330</v>
      </c>
      <c r="F120" s="32">
        <f>F63</f>
        <v>70400</v>
      </c>
      <c r="G120" s="47">
        <f ca="1">SUM(G116:G119)</f>
        <v>35822.524654506109</v>
      </c>
      <c r="H120" s="47">
        <f ca="1">SUM(H116:H119)</f>
        <v>4445.7609073756612</v>
      </c>
      <c r="I120" s="47">
        <f ca="1">SUM(I116:I119)</f>
        <v>-24434.426397381343</v>
      </c>
      <c r="J120" s="47">
        <f ca="1">SUM(J116:J119)</f>
        <v>-50604.932148804175</v>
      </c>
      <c r="K120" s="47">
        <f ca="1">SUM(K116:K119)</f>
        <v>-73484.958199033572</v>
      </c>
    </row>
    <row r="121" spans="2:11" x14ac:dyDescent="0.3">
      <c r="E121" s="49"/>
      <c r="F121" s="49"/>
    </row>
    <row r="122" spans="2:11" x14ac:dyDescent="0.3">
      <c r="C122" s="19" t="s">
        <v>88</v>
      </c>
      <c r="D122" s="20"/>
      <c r="E122" s="20"/>
      <c r="F122" s="20"/>
      <c r="G122" s="20"/>
      <c r="H122" s="20"/>
      <c r="I122" s="20"/>
      <c r="J122" s="20"/>
      <c r="K122" s="20"/>
    </row>
    <row r="123" spans="2:11" x14ac:dyDescent="0.3">
      <c r="C123" s="43" t="str">
        <f t="shared" ref="C123:K124" si="16">C15</f>
        <v xml:space="preserve">Fiscal year  </v>
      </c>
      <c r="D123" s="44">
        <f t="shared" si="16"/>
        <v>2016</v>
      </c>
      <c r="E123" s="44">
        <f t="shared" si="16"/>
        <v>2017</v>
      </c>
      <c r="F123" s="44">
        <f t="shared" si="16"/>
        <v>2018</v>
      </c>
      <c r="G123" s="45">
        <f t="shared" si="16"/>
        <v>2019</v>
      </c>
      <c r="H123" s="45">
        <f t="shared" si="16"/>
        <v>2020</v>
      </c>
      <c r="I123" s="45">
        <f t="shared" si="16"/>
        <v>2021</v>
      </c>
      <c r="J123" s="45">
        <f t="shared" si="16"/>
        <v>2022</v>
      </c>
      <c r="K123" s="45">
        <f t="shared" si="16"/>
        <v>2023</v>
      </c>
    </row>
    <row r="124" spans="2:11" x14ac:dyDescent="0.3">
      <c r="C124" s="20" t="str">
        <f t="shared" si="16"/>
        <v>Fiscal year end date</v>
      </c>
      <c r="D124" s="46">
        <f t="shared" si="16"/>
        <v>42643</v>
      </c>
      <c r="E124" s="46">
        <f t="shared" si="16"/>
        <v>43008</v>
      </c>
      <c r="F124" s="46">
        <f t="shared" si="16"/>
        <v>43372</v>
      </c>
      <c r="G124" s="46">
        <f t="shared" si="16"/>
        <v>43738</v>
      </c>
      <c r="H124" s="46">
        <f t="shared" si="16"/>
        <v>44104</v>
      </c>
      <c r="I124" s="46">
        <f t="shared" si="16"/>
        <v>44469</v>
      </c>
      <c r="J124" s="46">
        <f t="shared" si="16"/>
        <v>44834</v>
      </c>
      <c r="K124" s="46">
        <f t="shared" si="16"/>
        <v>45199</v>
      </c>
    </row>
    <row r="125" spans="2:11" x14ac:dyDescent="0.3">
      <c r="C125" s="18"/>
    </row>
    <row r="126" spans="2:11" x14ac:dyDescent="0.3">
      <c r="C126" s="38" t="s">
        <v>89</v>
      </c>
    </row>
    <row r="127" spans="2:11" x14ac:dyDescent="0.3">
      <c r="C127" s="34" t="s">
        <v>90</v>
      </c>
      <c r="G127" s="33">
        <f>F46</f>
        <v>237100</v>
      </c>
      <c r="H127" s="33">
        <f ca="1">G46</f>
        <v>201382.41032631698</v>
      </c>
      <c r="I127" s="33">
        <f ca="1">H46</f>
        <v>173643.57295563057</v>
      </c>
      <c r="J127" s="33">
        <f ca="1">I46</f>
        <v>148902.77230984022</v>
      </c>
      <c r="K127" s="33">
        <f ca="1">J46</f>
        <v>127494.38491745915</v>
      </c>
    </row>
    <row r="128" spans="2:11" x14ac:dyDescent="0.3">
      <c r="C128" s="34" t="s">
        <v>91</v>
      </c>
      <c r="G128" s="30">
        <v>-50000</v>
      </c>
      <c r="H128" s="30">
        <v>-50000</v>
      </c>
      <c r="I128" s="30">
        <v>-50000</v>
      </c>
      <c r="J128" s="30">
        <v>-50000</v>
      </c>
      <c r="K128" s="30">
        <v>-50000</v>
      </c>
    </row>
    <row r="129" spans="3:11" x14ac:dyDescent="0.3">
      <c r="C129" s="63" t="s">
        <v>92</v>
      </c>
      <c r="D129" s="64"/>
      <c r="E129" s="64"/>
      <c r="F129" s="64"/>
      <c r="G129" s="54">
        <f ca="1">SUM(G80,G83,G85,G87,G88)</f>
        <v>-35753.589673683025</v>
      </c>
      <c r="H129" s="54">
        <f ca="1">SUM(H80,H83,H85,H87,H88)</f>
        <v>-27738.837370686408</v>
      </c>
      <c r="I129" s="54">
        <f ca="1">SUM(I80,I83,I85,I87,I88)</f>
        <v>-24740.800645790354</v>
      </c>
      <c r="J129" s="54">
        <f ca="1">SUM(J80,J83,J85,J87,J88)</f>
        <v>-21408.387392381075</v>
      </c>
      <c r="K129" s="54">
        <f ca="1">SUM(K80,K83,K85,K87,K88)</f>
        <v>-17489.720696372169</v>
      </c>
    </row>
    <row r="130" spans="3:11" x14ac:dyDescent="0.3">
      <c r="C130" s="55" t="s">
        <v>93</v>
      </c>
      <c r="G130" s="47">
        <f ca="1">SUM(G127:G129)</f>
        <v>151346.41032631698</v>
      </c>
      <c r="H130" s="47">
        <f ca="1">SUM(H127:H129)</f>
        <v>123643.57295563057</v>
      </c>
      <c r="I130" s="47">
        <f ca="1">SUM(I127:I129)</f>
        <v>98902.77230984022</v>
      </c>
      <c r="J130" s="47">
        <f ca="1">SUM(J127:J129)</f>
        <v>77494.384917459145</v>
      </c>
      <c r="K130" s="47">
        <f ca="1">SUM(K127:K129)</f>
        <v>60004.664221086976</v>
      </c>
    </row>
    <row r="132" spans="3:11" x14ac:dyDescent="0.3">
      <c r="C132" s="18" t="s">
        <v>94</v>
      </c>
    </row>
    <row r="133" spans="3:11" x14ac:dyDescent="0.3">
      <c r="C133" s="34" t="s">
        <v>73</v>
      </c>
      <c r="G133" s="33">
        <f>F136</f>
        <v>11964</v>
      </c>
      <c r="H133" s="33">
        <f ca="1">G136</f>
        <v>12000</v>
      </c>
      <c r="I133" s="33">
        <f ca="1">H136</f>
        <v>12000</v>
      </c>
      <c r="J133" s="33">
        <f ca="1">I136</f>
        <v>12000</v>
      </c>
      <c r="K133" s="33">
        <f ca="1">J136</f>
        <v>12000</v>
      </c>
    </row>
    <row r="134" spans="3:11" x14ac:dyDescent="0.3">
      <c r="C134" s="51" t="s">
        <v>95</v>
      </c>
      <c r="G134" s="33">
        <f ca="1">-MIN(G130,G133)</f>
        <v>-11964</v>
      </c>
      <c r="H134" s="33">
        <f ca="1">-MIN(H130,H133)</f>
        <v>-12000</v>
      </c>
      <c r="I134" s="33">
        <f ca="1">-MIN(I130,I133)</f>
        <v>-12000</v>
      </c>
      <c r="J134" s="33">
        <f ca="1">-MIN(J130,J133)</f>
        <v>-12000</v>
      </c>
      <c r="K134" s="33">
        <f ca="1">-MIN(K130,K133)</f>
        <v>-12000</v>
      </c>
    </row>
    <row r="135" spans="3:11" x14ac:dyDescent="0.3">
      <c r="C135" s="52" t="s">
        <v>96</v>
      </c>
      <c r="D135" s="64"/>
      <c r="E135" s="64"/>
      <c r="F135" s="64"/>
      <c r="G135" s="53">
        <v>12000</v>
      </c>
      <c r="H135" s="53">
        <v>12000</v>
      </c>
      <c r="I135" s="53">
        <v>12000</v>
      </c>
      <c r="J135" s="53">
        <v>12000</v>
      </c>
      <c r="K135" s="53">
        <v>12000</v>
      </c>
    </row>
    <row r="136" spans="3:11" x14ac:dyDescent="0.3">
      <c r="C136" s="34" t="s">
        <v>76</v>
      </c>
      <c r="D136" s="54">
        <f>D57</f>
        <v>0</v>
      </c>
      <c r="E136" s="54">
        <f>E57</f>
        <v>11977</v>
      </c>
      <c r="F136" s="54">
        <f>F57</f>
        <v>11964</v>
      </c>
      <c r="G136" s="67">
        <f ca="1">SUM(G133:G135)</f>
        <v>12000</v>
      </c>
      <c r="H136" s="67">
        <f ca="1">SUM(H133:H135)</f>
        <v>12000</v>
      </c>
      <c r="I136" s="67">
        <f ca="1">SUM(I133:I135)</f>
        <v>12000</v>
      </c>
      <c r="J136" s="67">
        <f ca="1">SUM(J133:J135)</f>
        <v>12000</v>
      </c>
      <c r="K136" s="67">
        <f ca="1">SUM(K133:K135)</f>
        <v>12000</v>
      </c>
    </row>
    <row r="137" spans="3:11" x14ac:dyDescent="0.3">
      <c r="C137" s="68" t="s">
        <v>97</v>
      </c>
      <c r="D137" s="69"/>
      <c r="E137" s="69"/>
      <c r="F137" s="70"/>
      <c r="G137" s="71" t="str">
        <f ca="1">IF(G136&lt;0,"Negative Debt","OK")</f>
        <v>OK</v>
      </c>
      <c r="H137" s="71" t="str">
        <f ca="1">IF(H136&lt;0,"Negative Debt","OK")</f>
        <v>OK</v>
      </c>
      <c r="I137" s="71" t="str">
        <f ca="1">IF(I136&lt;0,"Negative Debt","OK")</f>
        <v>OK</v>
      </c>
      <c r="J137" s="71" t="str">
        <f ca="1">IF(J136&lt;0,"Negative Debt","OK")</f>
        <v>OK</v>
      </c>
      <c r="K137" s="72" t="str">
        <f ca="1">IF(K136&lt;0,"Negative Debt","OK")</f>
        <v>OK</v>
      </c>
    </row>
    <row r="138" spans="3:11" x14ac:dyDescent="0.3">
      <c r="D138" s="33"/>
      <c r="E138" s="33"/>
      <c r="F138" s="73"/>
      <c r="G138" s="74"/>
      <c r="H138" s="74"/>
      <c r="I138" s="74"/>
      <c r="J138" s="74"/>
      <c r="K138" s="74"/>
    </row>
    <row r="139" spans="3:11" x14ac:dyDescent="0.3">
      <c r="C139" s="19" t="s">
        <v>98</v>
      </c>
      <c r="D139" s="58"/>
      <c r="E139" s="58"/>
      <c r="F139" s="58"/>
      <c r="G139" s="75"/>
      <c r="H139" s="75"/>
      <c r="I139" s="75"/>
      <c r="J139" s="75"/>
      <c r="K139" s="75"/>
    </row>
    <row r="140" spans="3:11" x14ac:dyDescent="0.3">
      <c r="C140" s="43" t="str">
        <f t="shared" ref="C140:K141" si="17">C15</f>
        <v xml:space="preserve">Fiscal year  </v>
      </c>
      <c r="D140" s="44">
        <f t="shared" si="17"/>
        <v>2016</v>
      </c>
      <c r="E140" s="44">
        <f t="shared" si="17"/>
        <v>2017</v>
      </c>
      <c r="F140" s="44">
        <f t="shared" si="17"/>
        <v>2018</v>
      </c>
      <c r="G140" s="45">
        <f t="shared" si="17"/>
        <v>2019</v>
      </c>
      <c r="H140" s="45">
        <f t="shared" si="17"/>
        <v>2020</v>
      </c>
      <c r="I140" s="45">
        <f t="shared" si="17"/>
        <v>2021</v>
      </c>
      <c r="J140" s="45">
        <f t="shared" si="17"/>
        <v>2022</v>
      </c>
      <c r="K140" s="45">
        <f t="shared" si="17"/>
        <v>2023</v>
      </c>
    </row>
    <row r="141" spans="3:11" x14ac:dyDescent="0.3">
      <c r="C141" s="20" t="str">
        <f t="shared" si="17"/>
        <v>Fiscal year end date</v>
      </c>
      <c r="D141" s="46">
        <f t="shared" si="17"/>
        <v>42643</v>
      </c>
      <c r="E141" s="46">
        <f t="shared" si="17"/>
        <v>43008</v>
      </c>
      <c r="F141" s="46">
        <f t="shared" si="17"/>
        <v>43372</v>
      </c>
      <c r="G141" s="46">
        <f t="shared" si="17"/>
        <v>43738</v>
      </c>
      <c r="H141" s="46">
        <f t="shared" si="17"/>
        <v>44104</v>
      </c>
      <c r="I141" s="46">
        <f t="shared" si="17"/>
        <v>44469</v>
      </c>
      <c r="J141" s="46">
        <f t="shared" si="17"/>
        <v>44834</v>
      </c>
      <c r="K141" s="46">
        <f t="shared" si="17"/>
        <v>45199</v>
      </c>
    </row>
    <row r="142" spans="3:11" x14ac:dyDescent="0.3">
      <c r="C142" s="34"/>
      <c r="D142" s="33"/>
      <c r="E142" s="33"/>
      <c r="F142" s="33"/>
      <c r="G142" s="76"/>
      <c r="H142" s="76"/>
      <c r="I142" s="76"/>
      <c r="J142" s="76"/>
      <c r="K142" s="76"/>
    </row>
    <row r="143" spans="3:11" x14ac:dyDescent="0.3">
      <c r="C143" s="35" t="s">
        <v>99</v>
      </c>
      <c r="D143" s="33">
        <f>-(D25)</f>
        <v>1456</v>
      </c>
      <c r="E143" s="33">
        <f>-(E25)</f>
        <v>2323</v>
      </c>
      <c r="F143" s="33">
        <f>-(F25)</f>
        <v>3240</v>
      </c>
      <c r="G143" s="33">
        <f>G148+G153</f>
        <v>3222.7544651501776</v>
      </c>
      <c r="H143" s="33">
        <f ca="1">H148+H153</f>
        <v>3223.5392651501775</v>
      </c>
      <c r="I143" s="33">
        <f ca="1">I148+I153</f>
        <v>3223.5392651501775</v>
      </c>
      <c r="J143" s="33">
        <f ca="1">J148+J153</f>
        <v>3223.5392651501775</v>
      </c>
      <c r="K143" s="33">
        <f ca="1">K148+K153</f>
        <v>3223.5392651501775</v>
      </c>
    </row>
    <row r="144" spans="3:11" x14ac:dyDescent="0.3">
      <c r="C144" s="77"/>
    </row>
    <row r="145" spans="3:11" x14ac:dyDescent="0.3">
      <c r="C145" s="78" t="s">
        <v>100</v>
      </c>
    </row>
    <row r="146" spans="3:11" x14ac:dyDescent="0.3">
      <c r="C146" s="34" t="s">
        <v>101</v>
      </c>
      <c r="E146" s="79">
        <v>1.2E-2</v>
      </c>
      <c r="F146" s="79">
        <v>2.18E-2</v>
      </c>
      <c r="G146" s="80">
        <f>F146</f>
        <v>2.18E-2</v>
      </c>
      <c r="H146" s="80">
        <f>G146</f>
        <v>2.18E-2</v>
      </c>
      <c r="I146" s="80">
        <f>H146</f>
        <v>2.18E-2</v>
      </c>
      <c r="J146" s="80">
        <f>I146</f>
        <v>2.18E-2</v>
      </c>
      <c r="K146" s="80">
        <f>J146</f>
        <v>2.18E-2</v>
      </c>
    </row>
    <row r="147" spans="3:11" x14ac:dyDescent="0.3">
      <c r="C147" s="34" t="s">
        <v>102</v>
      </c>
      <c r="D147" s="54"/>
      <c r="E147" s="54">
        <f t="shared" ref="E147:K147" si="18">E57</f>
        <v>11977</v>
      </c>
      <c r="F147" s="54">
        <f t="shared" si="18"/>
        <v>11964</v>
      </c>
      <c r="G147" s="33">
        <f t="shared" ca="1" si="18"/>
        <v>12000</v>
      </c>
      <c r="H147" s="33">
        <f t="shared" ca="1" si="18"/>
        <v>12000</v>
      </c>
      <c r="I147" s="33">
        <f t="shared" ca="1" si="18"/>
        <v>12000</v>
      </c>
      <c r="J147" s="33">
        <f t="shared" ca="1" si="18"/>
        <v>12000</v>
      </c>
      <c r="K147" s="33">
        <f t="shared" ca="1" si="18"/>
        <v>12000</v>
      </c>
    </row>
    <row r="148" spans="3:11" x14ac:dyDescent="0.3">
      <c r="C148" s="81" t="s">
        <v>103</v>
      </c>
      <c r="D148" s="33"/>
      <c r="E148" s="47">
        <f>AVERAGE(D147:E147)*E146</f>
        <v>143.72399999999999</v>
      </c>
      <c r="F148" s="47">
        <f>AVERAGE(E147:F147)*F146</f>
        <v>260.95690000000002</v>
      </c>
      <c r="G148" s="82">
        <f>F147*G146</f>
        <v>260.8152</v>
      </c>
      <c r="H148" s="82">
        <f ca="1">G147*H146</f>
        <v>261.60000000000002</v>
      </c>
      <c r="I148" s="82">
        <f ca="1">H147*I146</f>
        <v>261.60000000000002</v>
      </c>
      <c r="J148" s="82">
        <f ca="1">I147*J146</f>
        <v>261.60000000000002</v>
      </c>
      <c r="K148" s="82">
        <f ca="1">J147*K146</f>
        <v>261.60000000000002</v>
      </c>
    </row>
    <row r="149" spans="3:11" x14ac:dyDescent="0.3">
      <c r="C149" s="83"/>
      <c r="D149" s="33"/>
      <c r="E149" s="33"/>
      <c r="F149" s="33"/>
    </row>
    <row r="150" spans="3:11" x14ac:dyDescent="0.3">
      <c r="C150" s="78" t="s">
        <v>65</v>
      </c>
      <c r="D150" s="33"/>
      <c r="E150" s="33"/>
      <c r="F150" s="33"/>
    </row>
    <row r="151" spans="3:11" x14ac:dyDescent="0.3">
      <c r="C151" s="34" t="s">
        <v>102</v>
      </c>
      <c r="D151" s="33"/>
      <c r="E151" s="33">
        <f t="shared" ref="E151:K151" si="19">E58</f>
        <v>103703</v>
      </c>
      <c r="F151" s="33">
        <f t="shared" si="19"/>
        <v>102519</v>
      </c>
      <c r="G151" s="33">
        <f t="shared" si="19"/>
        <v>102519</v>
      </c>
      <c r="H151" s="33">
        <f t="shared" si="19"/>
        <v>102519</v>
      </c>
      <c r="I151" s="33">
        <f t="shared" si="19"/>
        <v>102519</v>
      </c>
      <c r="J151" s="33">
        <f t="shared" si="19"/>
        <v>102519</v>
      </c>
      <c r="K151" s="33">
        <f t="shared" si="19"/>
        <v>102519</v>
      </c>
    </row>
    <row r="152" spans="3:11" x14ac:dyDescent="0.3">
      <c r="C152" s="34" t="s">
        <v>101</v>
      </c>
      <c r="E152" s="60">
        <f>E153/AVERAGE(D151:E151)</f>
        <v>2.101458974185896E-2</v>
      </c>
      <c r="F152" s="60">
        <f>F153/AVERAGE(E151:F151)</f>
        <v>2.8891612921996681E-2</v>
      </c>
      <c r="G152" s="80">
        <f>F152</f>
        <v>2.8891612921996681E-2</v>
      </c>
      <c r="H152" s="80">
        <f>G152</f>
        <v>2.8891612921996681E-2</v>
      </c>
      <c r="I152" s="80">
        <f>H152</f>
        <v>2.8891612921996681E-2</v>
      </c>
      <c r="J152" s="80">
        <f>I152</f>
        <v>2.8891612921996681E-2</v>
      </c>
      <c r="K152" s="80">
        <f>J152</f>
        <v>2.8891612921996681E-2</v>
      </c>
    </row>
    <row r="153" spans="3:11" x14ac:dyDescent="0.3">
      <c r="C153" s="55" t="s">
        <v>104</v>
      </c>
      <c r="D153" s="47"/>
      <c r="E153" s="47">
        <f>E143-E148</f>
        <v>2179.2759999999998</v>
      </c>
      <c r="F153" s="47">
        <f>F143-F148</f>
        <v>2979.0430999999999</v>
      </c>
      <c r="G153" s="32">
        <f>G152*AVERAGE(F151:G151)</f>
        <v>2961.9392651501776</v>
      </c>
      <c r="H153" s="32">
        <f>H152*AVERAGE(G151:H151)</f>
        <v>2961.9392651501776</v>
      </c>
      <c r="I153" s="32">
        <f>I152*AVERAGE(H151:I151)</f>
        <v>2961.9392651501776</v>
      </c>
      <c r="J153" s="32">
        <f>J152*AVERAGE(I151:J151)</f>
        <v>2961.9392651501776</v>
      </c>
      <c r="K153" s="32">
        <f>K152*AVERAGE(J151:K151)</f>
        <v>2961.9392651501776</v>
      </c>
    </row>
    <row r="154" spans="3:11" x14ac:dyDescent="0.3">
      <c r="E154" s="33"/>
    </row>
    <row r="155" spans="3:11" x14ac:dyDescent="0.3">
      <c r="C155" s="77" t="s">
        <v>105</v>
      </c>
      <c r="E155" s="33"/>
      <c r="F155" s="33"/>
    </row>
    <row r="156" spans="3:11" x14ac:dyDescent="0.3">
      <c r="C156" s="34" t="s">
        <v>106</v>
      </c>
      <c r="D156" s="84">
        <v>1.7299999999999999E-2</v>
      </c>
      <c r="E156" s="79">
        <v>1.9900000000000001E-2</v>
      </c>
      <c r="F156" s="79">
        <v>2.1600000000000001E-2</v>
      </c>
      <c r="G156" s="85">
        <f>F156</f>
        <v>2.1600000000000001E-2</v>
      </c>
      <c r="H156" s="85">
        <f>G156</f>
        <v>2.1600000000000001E-2</v>
      </c>
      <c r="I156" s="85">
        <f>H156</f>
        <v>2.1600000000000001E-2</v>
      </c>
      <c r="J156" s="85">
        <f>I156</f>
        <v>2.1600000000000001E-2</v>
      </c>
      <c r="K156" s="85">
        <f>J156</f>
        <v>2.1600000000000001E-2</v>
      </c>
    </row>
    <row r="157" spans="3:11" x14ac:dyDescent="0.3">
      <c r="C157" s="34" t="s">
        <v>22</v>
      </c>
      <c r="D157" s="33">
        <f>D24</f>
        <v>3999</v>
      </c>
      <c r="E157" s="33">
        <f>E24</f>
        <v>5201</v>
      </c>
      <c r="F157" s="33">
        <f>F24</f>
        <v>5686</v>
      </c>
      <c r="G157" s="31">
        <f>G156*F46</f>
        <v>5121.3600000000006</v>
      </c>
      <c r="H157" s="31">
        <f ca="1">H156*G46</f>
        <v>4349.860063048447</v>
      </c>
      <c r="I157" s="31">
        <f ca="1">I156*H46</f>
        <v>3750.7011758416206</v>
      </c>
      <c r="J157" s="31">
        <f ca="1">J156*I46</f>
        <v>3216.2998818925489</v>
      </c>
      <c r="K157" s="31">
        <f ca="1">K156*J46</f>
        <v>2753.8787142171177</v>
      </c>
    </row>
    <row r="158" spans="3:11" x14ac:dyDescent="0.3">
      <c r="C158" s="86"/>
      <c r="D158" s="60"/>
      <c r="E158" s="60"/>
      <c r="F158" s="60"/>
      <c r="G158" s="60"/>
      <c r="H158" s="60"/>
    </row>
    <row r="159" spans="3:11" x14ac:dyDescent="0.3">
      <c r="C159" s="19" t="s">
        <v>107</v>
      </c>
      <c r="D159" s="19"/>
      <c r="E159" s="19"/>
      <c r="F159" s="19"/>
      <c r="G159" s="19"/>
      <c r="H159" s="19"/>
      <c r="I159" s="19"/>
      <c r="J159" s="19"/>
      <c r="K159" s="19"/>
    </row>
    <row r="160" spans="3:11" x14ac:dyDescent="0.3">
      <c r="C160" s="18"/>
    </row>
    <row r="161" spans="2:11" ht="23" thickBot="1" x14ac:dyDescent="0.35">
      <c r="C161" s="87" t="s">
        <v>108</v>
      </c>
      <c r="D161" s="88"/>
      <c r="E161" s="88"/>
      <c r="F161" s="88"/>
      <c r="G161" s="88"/>
      <c r="H161" s="88"/>
      <c r="I161" s="88"/>
    </row>
    <row r="162" spans="2:11" x14ac:dyDescent="0.3">
      <c r="D162" s="18"/>
      <c r="E162" s="89" t="s">
        <v>109</v>
      </c>
      <c r="F162" s="90"/>
      <c r="G162" s="90"/>
      <c r="H162" s="90"/>
      <c r="I162" s="90"/>
    </row>
    <row r="163" spans="2:11" ht="23" thickBot="1" x14ac:dyDescent="0.35">
      <c r="D163" s="91">
        <f ca="1">G29</f>
        <v>52213.524654506109</v>
      </c>
      <c r="E163" s="92">
        <v>-0.05</v>
      </c>
      <c r="F163" s="92">
        <v>-2.5000000000000001E-2</v>
      </c>
      <c r="G163" s="92">
        <v>0</v>
      </c>
      <c r="H163" s="92">
        <v>2.5000000000000001E-2</v>
      </c>
      <c r="I163" s="92">
        <v>0.05</v>
      </c>
    </row>
    <row r="164" spans="2:11" x14ac:dyDescent="0.3">
      <c r="C164" s="93"/>
      <c r="D164" s="94">
        <v>0.39</v>
      </c>
      <c r="E164" s="95">
        <v>54599.550636029897</v>
      </c>
      <c r="F164" s="95">
        <v>56004.428668279899</v>
      </c>
      <c r="G164" s="95">
        <v>57409.306700529902</v>
      </c>
      <c r="H164" s="95">
        <v>58814.184732779904</v>
      </c>
      <c r="I164" s="95">
        <v>60219.062765029907</v>
      </c>
    </row>
    <row r="165" spans="2:11" x14ac:dyDescent="0.3">
      <c r="C165" s="96" t="s">
        <v>110</v>
      </c>
      <c r="D165" s="94">
        <v>0.38500000000000001</v>
      </c>
      <c r="E165" s="95">
        <v>53548.657619779886</v>
      </c>
      <c r="F165" s="95">
        <v>54925.880572654904</v>
      </c>
      <c r="G165" s="95">
        <v>56303.103525529899</v>
      </c>
      <c r="H165" s="95">
        <v>57680.326478404902</v>
      </c>
      <c r="I165" s="95">
        <v>59057.549431279913</v>
      </c>
    </row>
    <row r="166" spans="2:11" x14ac:dyDescent="0.3">
      <c r="C166" s="96" t="s">
        <v>111</v>
      </c>
      <c r="D166" s="94">
        <v>0.38</v>
      </c>
      <c r="E166" s="95">
        <v>52497.764603529897</v>
      </c>
      <c r="F166" s="95">
        <v>53847.332477029893</v>
      </c>
      <c r="G166" s="95">
        <v>55196.900350529904</v>
      </c>
      <c r="H166" s="95">
        <v>56546.468224029901</v>
      </c>
      <c r="I166" s="95">
        <v>57896.036097529912</v>
      </c>
    </row>
    <row r="167" spans="2:11" x14ac:dyDescent="0.3">
      <c r="C167" s="96" t="s">
        <v>112</v>
      </c>
      <c r="D167" s="94">
        <v>0.375</v>
      </c>
      <c r="E167" s="95">
        <v>51446.871587279893</v>
      </c>
      <c r="F167" s="95">
        <v>52768.784381404897</v>
      </c>
      <c r="G167" s="95">
        <v>54090.697175529902</v>
      </c>
      <c r="H167" s="95">
        <v>55412.609969654899</v>
      </c>
      <c r="I167" s="95">
        <v>56734.522763779911</v>
      </c>
    </row>
    <row r="168" spans="2:11" x14ac:dyDescent="0.3">
      <c r="D168" s="94">
        <v>0.37</v>
      </c>
      <c r="E168" s="95">
        <v>50395.978571029904</v>
      </c>
      <c r="F168" s="95">
        <v>51690.236285779902</v>
      </c>
      <c r="G168" s="95">
        <v>52984.494000529899</v>
      </c>
      <c r="H168" s="95">
        <v>54278.751715279897</v>
      </c>
      <c r="I168" s="95">
        <v>55573.00943002991</v>
      </c>
    </row>
    <row r="169" spans="2:11" x14ac:dyDescent="0.3">
      <c r="D169" s="94">
        <v>0.36499999999999999</v>
      </c>
      <c r="E169" s="95">
        <v>49345.085554779893</v>
      </c>
      <c r="F169" s="95">
        <v>50611.688190154899</v>
      </c>
      <c r="G169" s="95">
        <v>51878.290825529904</v>
      </c>
      <c r="H169" s="95">
        <v>53144.893460904896</v>
      </c>
      <c r="I169" s="95">
        <v>54411.496096279909</v>
      </c>
    </row>
    <row r="171" spans="2:11" x14ac:dyDescent="0.3">
      <c r="B171" s="1" t="s">
        <v>12</v>
      </c>
      <c r="C171" s="19" t="s">
        <v>113</v>
      </c>
      <c r="D171" s="19"/>
      <c r="E171" s="19"/>
      <c r="F171" s="19"/>
      <c r="G171" s="19"/>
      <c r="H171" s="19"/>
      <c r="I171" s="19"/>
      <c r="J171" s="19"/>
      <c r="K171" s="19"/>
    </row>
    <row r="172" spans="2:11" ht="23" thickBot="1" x14ac:dyDescent="0.35"/>
    <row r="173" spans="2:11" ht="23" thickBot="1" x14ac:dyDescent="0.35">
      <c r="C173" s="1" t="s">
        <v>114</v>
      </c>
      <c r="D173" s="97" t="str">
        <f>D12</f>
        <v>Base case</v>
      </c>
      <c r="F173" s="98" t="s">
        <v>115</v>
      </c>
      <c r="G173" s="45">
        <f>G15</f>
        <v>2019</v>
      </c>
      <c r="H173" s="45">
        <f t="shared" ref="H173:K174" si="20">H15</f>
        <v>2020</v>
      </c>
      <c r="I173" s="45">
        <f t="shared" si="20"/>
        <v>2021</v>
      </c>
      <c r="J173" s="45">
        <f t="shared" si="20"/>
        <v>2022</v>
      </c>
      <c r="K173" s="45">
        <f t="shared" si="20"/>
        <v>2023</v>
      </c>
    </row>
    <row r="174" spans="2:11" x14ac:dyDescent="0.3">
      <c r="E174" s="99"/>
      <c r="F174" s="100" t="s">
        <v>116</v>
      </c>
      <c r="G174" s="46">
        <f>G16</f>
        <v>43738</v>
      </c>
      <c r="H174" s="46">
        <f t="shared" si="20"/>
        <v>44104</v>
      </c>
      <c r="I174" s="46">
        <f t="shared" si="20"/>
        <v>44469</v>
      </c>
      <c r="J174" s="46">
        <f t="shared" si="20"/>
        <v>44834</v>
      </c>
      <c r="K174" s="46">
        <f t="shared" si="20"/>
        <v>45199</v>
      </c>
    </row>
    <row r="175" spans="2:11" x14ac:dyDescent="0.3">
      <c r="C175" s="101" t="s">
        <v>117</v>
      </c>
      <c r="D175" s="102"/>
      <c r="E175" s="102"/>
      <c r="F175" s="103" t="str">
        <f t="shared" ref="F175:K179" ca="1" si="21">OFFSET(F$181,MATCH($C175,$C$181:$C$200,0)+MATCH($D$173,$C$182:$C$184,0)-1,0)</f>
        <v>NM</v>
      </c>
      <c r="G175" s="104">
        <f t="shared" ca="1" si="21"/>
        <v>792</v>
      </c>
      <c r="H175" s="104">
        <f t="shared" ca="1" si="21"/>
        <v>725</v>
      </c>
      <c r="I175" s="104">
        <f t="shared" ca="1" si="21"/>
        <v>725</v>
      </c>
      <c r="J175" s="104">
        <f t="shared" ca="1" si="21"/>
        <v>725</v>
      </c>
      <c r="K175" s="104">
        <f t="shared" ca="1" si="21"/>
        <v>725</v>
      </c>
    </row>
    <row r="176" spans="2:11" x14ac:dyDescent="0.3">
      <c r="C176" s="101" t="s">
        <v>118</v>
      </c>
      <c r="D176" s="102"/>
      <c r="E176" s="102"/>
      <c r="F176" s="103" t="str">
        <f t="shared" ca="1" si="21"/>
        <v>NM</v>
      </c>
      <c r="G176" s="105">
        <f t="shared" ca="1" si="21"/>
        <v>173700</v>
      </c>
      <c r="H176" s="105">
        <f t="shared" ca="1" si="21"/>
        <v>190880</v>
      </c>
      <c r="I176" s="105">
        <f t="shared" ca="1" si="21"/>
        <v>190880</v>
      </c>
      <c r="J176" s="105">
        <f t="shared" ca="1" si="21"/>
        <v>190880</v>
      </c>
      <c r="K176" s="105">
        <f t="shared" ca="1" si="21"/>
        <v>190880</v>
      </c>
    </row>
    <row r="177" spans="3:11" x14ac:dyDescent="0.3">
      <c r="C177" s="34" t="s">
        <v>34</v>
      </c>
      <c r="F177" s="106" t="str">
        <f t="shared" ca="1" si="21"/>
        <v>NM</v>
      </c>
      <c r="G177" s="56">
        <f t="shared" ca="1" si="21"/>
        <v>0.378</v>
      </c>
      <c r="H177" s="56">
        <f t="shared" ca="1" si="21"/>
        <v>0.38100000000000001</v>
      </c>
      <c r="I177" s="56">
        <f t="shared" ca="1" si="21"/>
        <v>0.38200000000000001</v>
      </c>
      <c r="J177" s="56">
        <f t="shared" ca="1" si="21"/>
        <v>0.38200000000000001</v>
      </c>
      <c r="K177" s="56">
        <f t="shared" ca="1" si="21"/>
        <v>0.38200000000000001</v>
      </c>
    </row>
    <row r="178" spans="3:11" x14ac:dyDescent="0.3">
      <c r="C178" s="34" t="s">
        <v>35</v>
      </c>
      <c r="F178" s="106" t="str">
        <f t="shared" ca="1" si="21"/>
        <v>NM</v>
      </c>
      <c r="G178" s="56">
        <f t="shared" ca="1" si="21"/>
        <v>6.2E-2</v>
      </c>
      <c r="H178" s="56">
        <f t="shared" ca="1" si="21"/>
        <v>6.3E-2</v>
      </c>
      <c r="I178" s="56">
        <f t="shared" ca="1" si="21"/>
        <v>6.3E-2</v>
      </c>
      <c r="J178" s="56">
        <f t="shared" ca="1" si="21"/>
        <v>6.3E-2</v>
      </c>
      <c r="K178" s="56">
        <f t="shared" ca="1" si="21"/>
        <v>6.3E-2</v>
      </c>
    </row>
    <row r="179" spans="3:11" x14ac:dyDescent="0.3">
      <c r="C179" s="34" t="s">
        <v>36</v>
      </c>
      <c r="F179" s="106" t="str">
        <f t="shared" ca="1" si="21"/>
        <v>NM</v>
      </c>
      <c r="G179" s="56">
        <f t="shared" ca="1" si="21"/>
        <v>7.3999999999999996E-2</v>
      </c>
      <c r="H179" s="56">
        <f t="shared" ca="1" si="21"/>
        <v>6.9000000000000006E-2</v>
      </c>
      <c r="I179" s="56">
        <f t="shared" ca="1" si="21"/>
        <v>6.9000000000000006E-2</v>
      </c>
      <c r="J179" s="56">
        <f t="shared" ca="1" si="21"/>
        <v>6.9000000000000006E-2</v>
      </c>
      <c r="K179" s="56">
        <f t="shared" ca="1" si="21"/>
        <v>6.9000000000000006E-2</v>
      </c>
    </row>
    <row r="180" spans="3:11" x14ac:dyDescent="0.3">
      <c r="F180" s="107"/>
    </row>
    <row r="181" spans="3:11" x14ac:dyDescent="0.3">
      <c r="C181" s="108" t="s">
        <v>117</v>
      </c>
      <c r="D181" s="102"/>
      <c r="E181" s="102"/>
      <c r="F181" s="109"/>
      <c r="G181" s="102"/>
      <c r="H181" s="102"/>
      <c r="I181" s="102"/>
      <c r="J181" s="102"/>
      <c r="K181" s="102"/>
    </row>
    <row r="182" spans="3:11" x14ac:dyDescent="0.3">
      <c r="C182" s="110" t="s">
        <v>119</v>
      </c>
      <c r="D182" s="102"/>
      <c r="E182" s="102"/>
      <c r="F182" s="111">
        <v>100</v>
      </c>
      <c r="G182" s="112">
        <f>G183+$F$182</f>
        <v>892</v>
      </c>
      <c r="H182" s="112">
        <f>H183+$F$182</f>
        <v>825</v>
      </c>
      <c r="I182" s="112">
        <f>I183+$F$182</f>
        <v>825</v>
      </c>
      <c r="J182" s="112">
        <f>J183+$F$182</f>
        <v>825</v>
      </c>
      <c r="K182" s="112">
        <f>K183+$F$182</f>
        <v>825</v>
      </c>
    </row>
    <row r="183" spans="3:11" x14ac:dyDescent="0.3">
      <c r="C183" s="110" t="s">
        <v>11</v>
      </c>
      <c r="D183" s="102"/>
      <c r="E183" s="102"/>
      <c r="F183" s="113" t="s">
        <v>120</v>
      </c>
      <c r="G183" s="114">
        <v>792</v>
      </c>
      <c r="H183" s="114">
        <v>725</v>
      </c>
      <c r="I183" s="114">
        <v>725</v>
      </c>
      <c r="J183" s="114">
        <v>725</v>
      </c>
      <c r="K183" s="114">
        <v>725</v>
      </c>
    </row>
    <row r="184" spans="3:11" x14ac:dyDescent="0.3">
      <c r="C184" s="110" t="s">
        <v>121</v>
      </c>
      <c r="D184" s="102"/>
      <c r="E184" s="102"/>
      <c r="F184" s="111">
        <v>-100</v>
      </c>
      <c r="G184" s="112">
        <f>G183+$F$184</f>
        <v>692</v>
      </c>
      <c r="H184" s="112">
        <f>H183+$F$184</f>
        <v>625</v>
      </c>
      <c r="I184" s="112">
        <f>I183+$F$184</f>
        <v>625</v>
      </c>
      <c r="J184" s="112">
        <f>J183+$F$184</f>
        <v>625</v>
      </c>
      <c r="K184" s="112">
        <f>K183+$F$184</f>
        <v>625</v>
      </c>
    </row>
    <row r="185" spans="3:11" x14ac:dyDescent="0.3">
      <c r="C185" s="115" t="s">
        <v>118</v>
      </c>
      <c r="D185" s="102"/>
      <c r="E185" s="102"/>
      <c r="F185" s="116"/>
      <c r="G185" s="117"/>
      <c r="H185" s="117"/>
      <c r="I185" s="117"/>
      <c r="J185" s="117"/>
      <c r="K185" s="117"/>
    </row>
    <row r="186" spans="3:11" x14ac:dyDescent="0.3">
      <c r="C186" s="110" t="s">
        <v>119</v>
      </c>
      <c r="D186" s="102"/>
      <c r="E186" s="102"/>
      <c r="F186" s="111">
        <v>10000</v>
      </c>
      <c r="G186" s="118">
        <f>G187+$F$186</f>
        <v>183700</v>
      </c>
      <c r="H186" s="118">
        <f>H187+$F$186</f>
        <v>200880</v>
      </c>
      <c r="I186" s="118">
        <f>I187+$F$186</f>
        <v>200880</v>
      </c>
      <c r="J186" s="118">
        <f>J187+$F$186</f>
        <v>200880</v>
      </c>
      <c r="K186" s="118">
        <f>K187+$F$186</f>
        <v>200880</v>
      </c>
    </row>
    <row r="187" spans="3:11" x14ac:dyDescent="0.3">
      <c r="C187" s="110" t="s">
        <v>11</v>
      </c>
      <c r="D187" s="102"/>
      <c r="E187" s="102"/>
      <c r="F187" s="113" t="s">
        <v>120</v>
      </c>
      <c r="G187" s="119">
        <v>173700</v>
      </c>
      <c r="H187" s="119">
        <v>190880</v>
      </c>
      <c r="I187" s="119">
        <v>190880</v>
      </c>
      <c r="J187" s="119">
        <v>190880</v>
      </c>
      <c r="K187" s="120">
        <v>190880</v>
      </c>
    </row>
    <row r="188" spans="3:11" x14ac:dyDescent="0.3">
      <c r="C188" s="110" t="s">
        <v>121</v>
      </c>
      <c r="D188" s="102"/>
      <c r="E188" s="102"/>
      <c r="F188" s="111">
        <v>-10000</v>
      </c>
      <c r="G188" s="118">
        <f>G187+$F$188</f>
        <v>163700</v>
      </c>
      <c r="H188" s="118">
        <f>H187+$F$188</f>
        <v>180880</v>
      </c>
      <c r="I188" s="118">
        <f>I187+$F$188</f>
        <v>180880</v>
      </c>
      <c r="J188" s="118">
        <f>J187+$F$188</f>
        <v>180880</v>
      </c>
      <c r="K188" s="118">
        <f>K187+$F$188</f>
        <v>180880</v>
      </c>
    </row>
    <row r="189" spans="3:11" x14ac:dyDescent="0.3">
      <c r="C189" s="55" t="s">
        <v>34</v>
      </c>
      <c r="F189" s="121"/>
      <c r="G189" s="41"/>
      <c r="H189" s="41"/>
      <c r="I189" s="41"/>
      <c r="J189" s="41"/>
      <c r="K189" s="41"/>
    </row>
    <row r="190" spans="3:11" x14ac:dyDescent="0.3">
      <c r="C190" s="83" t="s">
        <v>119</v>
      </c>
      <c r="F190" s="122">
        <v>0.01</v>
      </c>
      <c r="G190" s="39">
        <f>G191+$F$190</f>
        <v>0.38800000000000001</v>
      </c>
      <c r="H190" s="39">
        <f>H191+$F$190</f>
        <v>0.39100000000000001</v>
      </c>
      <c r="I190" s="39">
        <f>I191+$F$190</f>
        <v>0.39200000000000002</v>
      </c>
      <c r="J190" s="39">
        <f>J191+$F$190</f>
        <v>0.39200000000000002</v>
      </c>
      <c r="K190" s="39">
        <f>K191+$F$190</f>
        <v>0.39200000000000002</v>
      </c>
    </row>
    <row r="191" spans="3:11" x14ac:dyDescent="0.3">
      <c r="C191" s="83" t="s">
        <v>11</v>
      </c>
      <c r="F191" s="121" t="s">
        <v>120</v>
      </c>
      <c r="G191" s="41">
        <v>0.378</v>
      </c>
      <c r="H191" s="41">
        <v>0.38100000000000001</v>
      </c>
      <c r="I191" s="41">
        <v>0.38200000000000001</v>
      </c>
      <c r="J191" s="39">
        <f>I191</f>
        <v>0.38200000000000001</v>
      </c>
      <c r="K191" s="39">
        <f>J191</f>
        <v>0.38200000000000001</v>
      </c>
    </row>
    <row r="192" spans="3:11" x14ac:dyDescent="0.3">
      <c r="C192" s="83" t="s">
        <v>121</v>
      </c>
      <c r="F192" s="122">
        <v>-0.01</v>
      </c>
      <c r="G192" s="39">
        <f>G191+$F$192</f>
        <v>0.36799999999999999</v>
      </c>
      <c r="H192" s="39">
        <f>H191+$F$192</f>
        <v>0.371</v>
      </c>
      <c r="I192" s="39">
        <f>I191+$F$192</f>
        <v>0.372</v>
      </c>
      <c r="J192" s="39">
        <f>J191+$F$192</f>
        <v>0.372</v>
      </c>
      <c r="K192" s="39">
        <f>K191+$F$192</f>
        <v>0.372</v>
      </c>
    </row>
    <row r="193" spans="3:11" x14ac:dyDescent="0.3">
      <c r="C193" s="55" t="s">
        <v>35</v>
      </c>
      <c r="F193" s="121"/>
      <c r="G193" s="123"/>
      <c r="H193" s="123"/>
      <c r="I193" s="123"/>
      <c r="J193" s="123"/>
      <c r="K193" s="123"/>
    </row>
    <row r="194" spans="3:11" x14ac:dyDescent="0.3">
      <c r="C194" s="83" t="s">
        <v>119</v>
      </c>
      <c r="F194" s="122">
        <v>-0.01</v>
      </c>
      <c r="G194" s="39">
        <f>G195+$F$194</f>
        <v>5.1999999999999998E-2</v>
      </c>
      <c r="H194" s="39">
        <f>H195+$F$194</f>
        <v>5.2999999999999999E-2</v>
      </c>
      <c r="I194" s="39">
        <f>I195+$F$194</f>
        <v>5.2999999999999999E-2</v>
      </c>
      <c r="J194" s="39">
        <f>J195+$F$194</f>
        <v>5.2999999999999999E-2</v>
      </c>
      <c r="K194" s="39">
        <f>K195+$F$194</f>
        <v>5.2999999999999999E-2</v>
      </c>
    </row>
    <row r="195" spans="3:11" x14ac:dyDescent="0.3">
      <c r="C195" s="83" t="s">
        <v>11</v>
      </c>
      <c r="F195" s="121" t="s">
        <v>120</v>
      </c>
      <c r="G195" s="41">
        <v>6.2E-2</v>
      </c>
      <c r="H195" s="41">
        <v>6.3E-2</v>
      </c>
      <c r="I195" s="41">
        <v>6.3E-2</v>
      </c>
      <c r="J195" s="39">
        <f>I195</f>
        <v>6.3E-2</v>
      </c>
      <c r="K195" s="39">
        <f>J195</f>
        <v>6.3E-2</v>
      </c>
    </row>
    <row r="196" spans="3:11" x14ac:dyDescent="0.3">
      <c r="C196" s="83" t="s">
        <v>121</v>
      </c>
      <c r="F196" s="122">
        <v>0.01</v>
      </c>
      <c r="G196" s="39">
        <f>G195+$F$196</f>
        <v>7.1999999999999995E-2</v>
      </c>
      <c r="H196" s="39">
        <f>H195+$F$196</f>
        <v>7.2999999999999995E-2</v>
      </c>
      <c r="I196" s="39">
        <f>I195+$F$196</f>
        <v>7.2999999999999995E-2</v>
      </c>
      <c r="J196" s="39">
        <f>J195+$F$196</f>
        <v>7.2999999999999995E-2</v>
      </c>
      <c r="K196" s="39">
        <f>K195+$F$196</f>
        <v>7.2999999999999995E-2</v>
      </c>
    </row>
    <row r="197" spans="3:11" x14ac:dyDescent="0.3">
      <c r="C197" s="55" t="s">
        <v>36</v>
      </c>
      <c r="F197" s="121"/>
      <c r="G197" s="123"/>
      <c r="H197" s="123"/>
      <c r="I197" s="123"/>
      <c r="J197" s="123"/>
      <c r="K197" s="123"/>
    </row>
    <row r="198" spans="3:11" x14ac:dyDescent="0.3">
      <c r="C198" s="83" t="s">
        <v>119</v>
      </c>
      <c r="F198" s="122">
        <v>-0.01</v>
      </c>
      <c r="G198" s="39">
        <f>G199+$F$198</f>
        <v>6.4000000000000001E-2</v>
      </c>
      <c r="H198" s="39">
        <f>H199+$F$198</f>
        <v>5.9000000000000004E-2</v>
      </c>
      <c r="I198" s="39">
        <f>I199+$F$198</f>
        <v>5.9000000000000004E-2</v>
      </c>
      <c r="J198" s="39">
        <f>J199+$F$198</f>
        <v>5.9000000000000004E-2</v>
      </c>
      <c r="K198" s="39">
        <f>K199+$F$198</f>
        <v>5.9000000000000004E-2</v>
      </c>
    </row>
    <row r="199" spans="3:11" x14ac:dyDescent="0.3">
      <c r="C199" s="83" t="s">
        <v>11</v>
      </c>
      <c r="F199" s="121" t="s">
        <v>120</v>
      </c>
      <c r="G199" s="41">
        <v>7.3999999999999996E-2</v>
      </c>
      <c r="H199" s="41">
        <v>6.9000000000000006E-2</v>
      </c>
      <c r="I199" s="41">
        <v>6.9000000000000006E-2</v>
      </c>
      <c r="J199" s="39">
        <f>I199</f>
        <v>6.9000000000000006E-2</v>
      </c>
      <c r="K199" s="39">
        <f>J199</f>
        <v>6.9000000000000006E-2</v>
      </c>
    </row>
    <row r="200" spans="3:11" ht="23" thickBot="1" x14ac:dyDescent="0.35">
      <c r="C200" s="83" t="s">
        <v>121</v>
      </c>
      <c r="F200" s="124">
        <v>0.01</v>
      </c>
      <c r="G200" s="39">
        <f>G199+$F$200</f>
        <v>8.3999999999999991E-2</v>
      </c>
      <c r="H200" s="39">
        <f>H199+$F$200</f>
        <v>7.9000000000000001E-2</v>
      </c>
      <c r="I200" s="39">
        <f>I199+$F$200</f>
        <v>7.9000000000000001E-2</v>
      </c>
      <c r="J200" s="39">
        <f>J199+$F$200</f>
        <v>7.9000000000000001E-2</v>
      </c>
      <c r="K200" s="39">
        <f>K199+$F$200</f>
        <v>7.9000000000000001E-2</v>
      </c>
    </row>
    <row r="202" spans="3:11" x14ac:dyDescent="0.3">
      <c r="C202" s="19" t="s">
        <v>122</v>
      </c>
      <c r="D202" s="19"/>
      <c r="E202" s="19"/>
      <c r="F202" s="19"/>
      <c r="G202" s="19"/>
      <c r="H202" s="19"/>
      <c r="I202" s="19"/>
      <c r="J202" s="19"/>
      <c r="K202" s="19"/>
    </row>
    <row r="203" spans="3:11" x14ac:dyDescent="0.3">
      <c r="C203" s="43" t="str">
        <f t="shared" ref="C203:K204" si="22">C15</f>
        <v xml:space="preserve">Fiscal year  </v>
      </c>
      <c r="D203" s="44">
        <f t="shared" si="22"/>
        <v>2016</v>
      </c>
      <c r="E203" s="44">
        <f t="shared" si="22"/>
        <v>2017</v>
      </c>
      <c r="F203" s="44">
        <f t="shared" si="22"/>
        <v>2018</v>
      </c>
      <c r="G203" s="45">
        <f t="shared" si="22"/>
        <v>2019</v>
      </c>
      <c r="H203" s="45">
        <f t="shared" si="22"/>
        <v>2020</v>
      </c>
      <c r="I203" s="45">
        <f t="shared" si="22"/>
        <v>2021</v>
      </c>
      <c r="J203" s="45">
        <f t="shared" si="22"/>
        <v>2022</v>
      </c>
      <c r="K203" s="45">
        <f t="shared" si="22"/>
        <v>2023</v>
      </c>
    </row>
    <row r="204" spans="3:11" x14ac:dyDescent="0.3">
      <c r="C204" s="20" t="str">
        <f t="shared" si="22"/>
        <v>Fiscal year end date</v>
      </c>
      <c r="D204" s="46">
        <f t="shared" si="22"/>
        <v>42643</v>
      </c>
      <c r="E204" s="46">
        <f t="shared" si="22"/>
        <v>43008</v>
      </c>
      <c r="F204" s="46">
        <f t="shared" si="22"/>
        <v>43372</v>
      </c>
      <c r="G204" s="46">
        <f t="shared" si="22"/>
        <v>43738</v>
      </c>
      <c r="H204" s="46">
        <f t="shared" si="22"/>
        <v>44104</v>
      </c>
      <c r="I204" s="46">
        <f t="shared" si="22"/>
        <v>44469</v>
      </c>
      <c r="J204" s="46">
        <f t="shared" si="22"/>
        <v>44834</v>
      </c>
      <c r="K204" s="46">
        <f t="shared" si="22"/>
        <v>45199</v>
      </c>
    </row>
    <row r="205" spans="3:11" x14ac:dyDescent="0.3">
      <c r="G205" s="41"/>
      <c r="H205" s="41"/>
      <c r="I205" s="41"/>
      <c r="J205" s="39"/>
      <c r="K205" s="39"/>
    </row>
    <row r="206" spans="3:11" x14ac:dyDescent="0.3">
      <c r="C206" s="1" t="s">
        <v>27</v>
      </c>
      <c r="D206" s="105">
        <f>D29</f>
        <v>45687</v>
      </c>
      <c r="E206" s="105">
        <f t="shared" ref="E206:K206" si="23">E29</f>
        <v>48351</v>
      </c>
      <c r="F206" s="105">
        <f t="shared" si="23"/>
        <v>59531</v>
      </c>
      <c r="G206" s="105">
        <f t="shared" ca="1" si="23"/>
        <v>52213.524654506109</v>
      </c>
      <c r="H206" s="105">
        <f t="shared" ca="1" si="23"/>
        <v>55414.236252869552</v>
      </c>
      <c r="I206" s="105">
        <f t="shared" ca="1" si="23"/>
        <v>57910.812695242996</v>
      </c>
      <c r="J206" s="105">
        <f t="shared" ca="1" si="23"/>
        <v>60620.494248577168</v>
      </c>
      <c r="K206" s="105">
        <f t="shared" ca="1" si="23"/>
        <v>63910.973949770603</v>
      </c>
    </row>
    <row r="207" spans="3:11" x14ac:dyDescent="0.3">
      <c r="C207" s="1" t="s">
        <v>123</v>
      </c>
      <c r="D207" s="119">
        <v>5470.82</v>
      </c>
      <c r="E207" s="119">
        <v>5217.2420000000002</v>
      </c>
      <c r="F207" s="119">
        <v>4955.3770000000004</v>
      </c>
      <c r="G207" s="105">
        <f ca="1">F207-(G213+G214)/G215</f>
        <v>4577.7690892979917</v>
      </c>
      <c r="H207" s="105">
        <f ca="1">G207-(H213+H214)/H215</f>
        <v>4250.617459330495</v>
      </c>
      <c r="I207" s="105">
        <f ca="1">H207-(I213+I214)/I215</f>
        <v>3967.2383826369164</v>
      </c>
      <c r="J207" s="105">
        <f ca="1">I207-(J213+J214)/J215</f>
        <v>3721.9367154432744</v>
      </c>
      <c r="K207" s="105">
        <f ca="1">J207-(K213+K214)/K215</f>
        <v>3509.7605693271717</v>
      </c>
    </row>
    <row r="208" spans="3:11" x14ac:dyDescent="0.3">
      <c r="C208" s="18" t="s">
        <v>124</v>
      </c>
      <c r="D208" s="125">
        <f>D206/D207</f>
        <v>8.3510333003096431</v>
      </c>
      <c r="E208" s="125">
        <f t="shared" ref="E208:K208" si="24">E206/E207</f>
        <v>9.2675402061088974</v>
      </c>
      <c r="F208" s="125">
        <f t="shared" si="24"/>
        <v>12.0134149228202</v>
      </c>
      <c r="G208" s="125">
        <f t="shared" ca="1" si="24"/>
        <v>11.405888684200351</v>
      </c>
      <c r="H208" s="125">
        <f t="shared" ca="1" si="24"/>
        <v>13.036749785899982</v>
      </c>
      <c r="I208" s="125">
        <f t="shared" ca="1" si="24"/>
        <v>14.597260640725915</v>
      </c>
      <c r="J208" s="125">
        <f t="shared" ca="1" si="24"/>
        <v>16.287352226341497</v>
      </c>
      <c r="K208" s="125">
        <f t="shared" ca="1" si="24"/>
        <v>18.209496826737237</v>
      </c>
    </row>
    <row r="209" spans="3:11" x14ac:dyDescent="0.3">
      <c r="D209" s="30"/>
      <c r="E209" s="30"/>
      <c r="F209" s="30"/>
      <c r="G209" s="33"/>
    </row>
    <row r="210" spans="3:11" x14ac:dyDescent="0.3">
      <c r="C210" s="1" t="s">
        <v>125</v>
      </c>
      <c r="D210" s="119">
        <v>5500.2809999999999</v>
      </c>
      <c r="E210" s="119">
        <v>5251.692</v>
      </c>
      <c r="F210" s="119">
        <v>5000.1090000000004</v>
      </c>
      <c r="G210" s="105">
        <f ca="1">(F210-F207)+G207</f>
        <v>4622.5010892979917</v>
      </c>
      <c r="H210" s="105">
        <f ca="1">(G210-G207)+H207</f>
        <v>4295.3494593304949</v>
      </c>
      <c r="I210" s="105">
        <f ca="1">(H210-H207)+I207</f>
        <v>4011.9703826369164</v>
      </c>
      <c r="J210" s="105">
        <f ca="1">(I210-I207)+J207</f>
        <v>3766.6687154432743</v>
      </c>
      <c r="K210" s="105">
        <f ca="1">(J210-J207)+K207</f>
        <v>3554.4925693271716</v>
      </c>
    </row>
    <row r="211" spans="3:11" x14ac:dyDescent="0.3">
      <c r="C211" s="18" t="s">
        <v>126</v>
      </c>
      <c r="D211" s="125">
        <f t="shared" ref="D211:K211" si="25">D206/D210</f>
        <v>8.3063028961611227</v>
      </c>
      <c r="E211" s="125">
        <f t="shared" si="25"/>
        <v>9.2067470826545037</v>
      </c>
      <c r="F211" s="125">
        <f t="shared" si="25"/>
        <v>11.905940450498179</v>
      </c>
      <c r="G211" s="125">
        <f t="shared" ca="1" si="25"/>
        <v>11.295513758858984</v>
      </c>
      <c r="H211" s="125">
        <f t="shared" ca="1" si="25"/>
        <v>12.900984373342892</v>
      </c>
      <c r="I211" s="125">
        <f t="shared" ca="1" si="25"/>
        <v>14.434506532219315</v>
      </c>
      <c r="J211" s="125">
        <f t="shared" ca="1" si="25"/>
        <v>16.093927772313563</v>
      </c>
      <c r="K211" s="125">
        <f t="shared" ca="1" si="25"/>
        <v>17.98033691258167</v>
      </c>
    </row>
    <row r="212" spans="3:11" x14ac:dyDescent="0.3">
      <c r="G212" s="126"/>
    </row>
    <row r="213" spans="3:11" x14ac:dyDescent="0.3">
      <c r="C213" s="1" t="s">
        <v>127</v>
      </c>
      <c r="G213" s="105">
        <f>-(G119)</f>
        <v>73056</v>
      </c>
      <c r="H213" s="105">
        <f>-(H119)</f>
        <v>73056</v>
      </c>
      <c r="I213" s="105">
        <f>-(I119)</f>
        <v>73056</v>
      </c>
      <c r="J213" s="105">
        <f>-(J119)</f>
        <v>73056</v>
      </c>
      <c r="K213" s="105">
        <f>-(K119)</f>
        <v>73056</v>
      </c>
    </row>
    <row r="214" spans="3:11" x14ac:dyDescent="0.3">
      <c r="C214" s="1" t="s">
        <v>128</v>
      </c>
      <c r="G214" s="105">
        <f ca="1">-(G33)</f>
        <v>-5086.5760736384345</v>
      </c>
      <c r="H214" s="105">
        <f ca="1">-(H33)</f>
        <v>-5335.6125967281014</v>
      </c>
      <c r="I214" s="105">
        <f ca="1">-(I33)</f>
        <v>-5597.6107930936605</v>
      </c>
      <c r="J214" s="105">
        <f ca="1">-(J33)</f>
        <v>-5902.8288432365589</v>
      </c>
      <c r="K214" s="105">
        <f ca="1">-(K33)</f>
        <v>-6258.4669815641573</v>
      </c>
    </row>
    <row r="215" spans="3:11" x14ac:dyDescent="0.3">
      <c r="C215" s="1" t="s">
        <v>129</v>
      </c>
      <c r="G215" s="127">
        <v>180</v>
      </c>
      <c r="H215" s="128">
        <f>G215*(1+H216)</f>
        <v>206.99999999999997</v>
      </c>
      <c r="I215" s="128">
        <f>H215*(1+I216)</f>
        <v>238.04999999999995</v>
      </c>
      <c r="J215" s="128">
        <f>I215*(1+J216)</f>
        <v>273.75749999999994</v>
      </c>
      <c r="K215" s="128">
        <f>J215*(1+K216)</f>
        <v>314.82112499999988</v>
      </c>
    </row>
    <row r="216" spans="3:11" x14ac:dyDescent="0.3">
      <c r="C216" s="1" t="s">
        <v>130</v>
      </c>
      <c r="H216" s="129">
        <v>0.15</v>
      </c>
      <c r="I216" s="129">
        <v>0.15</v>
      </c>
      <c r="J216" s="129">
        <v>0.15</v>
      </c>
      <c r="K216" s="129">
        <v>0.15</v>
      </c>
    </row>
  </sheetData>
  <conditionalFormatting sqref="C40">
    <cfRule type="expression" dxfId="2" priority="3">
      <formula>#REF!=$C40</formula>
    </cfRule>
  </conditionalFormatting>
  <conditionalFormatting sqref="C179">
    <cfRule type="expression" dxfId="1" priority="1">
      <formula>#REF!=$C179</formula>
    </cfRule>
  </conditionalFormatting>
  <conditionalFormatting sqref="C197">
    <cfRule type="expression" dxfId="0" priority="2">
      <formula>#REF!=$C197</formula>
    </cfRule>
  </conditionalFormatting>
  <dataValidations count="3">
    <dataValidation type="list" allowBlank="1" showInputMessage="1" showErrorMessage="1" sqref="C3" xr:uid="{1DC0CF9E-C03A-284B-9CFC-A75CFB3AF6AF}">
      <formula1>"$ bns except per share, $ mm except per share,$ in thousands except per share"</formula1>
    </dataValidation>
    <dataValidation type="list" allowBlank="1" showInputMessage="1" showErrorMessage="1" sqref="D12" xr:uid="{F0B06C44-5F54-1147-8325-241B699146A2}">
      <formula1>$C$182:$C$184</formula1>
    </dataValidation>
    <dataValidation type="list" allowBlank="1" showInputMessage="1" showErrorMessage="1" sqref="D7" xr:uid="{3E002D2B-05C5-E24D-B6ED-F86DEE8054DC}">
      <formula1>"0,1"</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Aadit Jain Jain</dc:creator>
  <cp:lastModifiedBy>Aadit Jain Jain</cp:lastModifiedBy>
  <dcterms:created xsi:type="dcterms:W3CDTF">2025-08-22T19:04:41Z</dcterms:created>
  <dcterms:modified xsi:type="dcterms:W3CDTF">2025-08-22T19:07:32Z</dcterms:modified>
</cp:coreProperties>
</file>