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lee/Desktop/老師檔案/"/>
    </mc:Choice>
  </mc:AlternateContent>
  <xr:revisionPtr revIDLastSave="0" documentId="13_ncr:1_{AFD2CF99-2FD9-2546-B378-66898176831C}" xr6:coauthVersionLast="47" xr6:coauthVersionMax="47" xr10:uidLastSave="{00000000-0000-0000-0000-000000000000}"/>
  <bookViews>
    <workbookView xWindow="10520" yWindow="2240" windowWidth="19320" windowHeight="11960" activeTab="3" xr2:uid="{00000000-000D-0000-FFFF-FFFF00000000}"/>
  </bookViews>
  <sheets>
    <sheet name="Decision Tree Case Avoided" sheetId="1" r:id="rId1"/>
    <sheet name="ICER_Case Avoided" sheetId="2" r:id="rId2"/>
    <sheet name="Decision Tree QALY" sheetId="3" r:id="rId3"/>
    <sheet name="ICER_QALY" sheetId="4" r:id="rId4"/>
  </sheets>
  <definedNames>
    <definedName name="c_ER">#REF!</definedName>
    <definedName name="c_hosp">#REF!</definedName>
    <definedName name="c_prod">#REF!</definedName>
    <definedName name="cost_c">#REF!</definedName>
    <definedName name="cost_s">#REF!</definedName>
    <definedName name="n_dayslost">#REF!</definedName>
    <definedName name="p_endure">#REF!</definedName>
    <definedName name="p_hosp">#REF!</definedName>
    <definedName name="p_init_c">#REF!</definedName>
    <definedName name="p_init_s">#REF!</definedName>
    <definedName name="p_norecur_c">#REF!</definedName>
    <definedName name="p_norecur_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4" l="1"/>
  <c r="M18" i="2"/>
  <c r="I16" i="4"/>
  <c r="E16" i="4"/>
  <c r="I15" i="4"/>
  <c r="S10" i="4" s="1"/>
  <c r="E15" i="4"/>
  <c r="I12" i="4"/>
  <c r="E12" i="4"/>
  <c r="O9" i="4" s="1"/>
  <c r="D12" i="4"/>
  <c r="N9" i="4" s="1"/>
  <c r="S11" i="4"/>
  <c r="O11" i="4"/>
  <c r="G11" i="4"/>
  <c r="O10" i="4"/>
  <c r="S9" i="4"/>
  <c r="I9" i="4"/>
  <c r="S8" i="4" s="1"/>
  <c r="H9" i="4"/>
  <c r="R8" i="4" s="1"/>
  <c r="G9" i="4"/>
  <c r="Q8" i="4" s="1"/>
  <c r="E9" i="4"/>
  <c r="O8" i="4"/>
  <c r="I8" i="4"/>
  <c r="H8" i="4"/>
  <c r="E8" i="4"/>
  <c r="S7" i="4"/>
  <c r="R7" i="4"/>
  <c r="O7" i="4"/>
  <c r="G7" i="4"/>
  <c r="C7" i="4"/>
  <c r="G5" i="4"/>
  <c r="C5" i="4"/>
  <c r="Q21" i="3"/>
  <c r="H16" i="4" s="1"/>
  <c r="R11" i="4" s="1"/>
  <c r="Q19" i="3"/>
  <c r="H15" i="4" s="1"/>
  <c r="R10" i="4" s="1"/>
  <c r="H18" i="3"/>
  <c r="K17" i="3" s="1"/>
  <c r="G12" i="4" s="1"/>
  <c r="Q9" i="4" s="1"/>
  <c r="L17" i="3"/>
  <c r="H12" i="4" s="1"/>
  <c r="R9" i="4" s="1"/>
  <c r="L15" i="3"/>
  <c r="K15" i="3"/>
  <c r="L13" i="3"/>
  <c r="K13" i="3"/>
  <c r="G8" i="4" s="1"/>
  <c r="Q7" i="4" s="1"/>
  <c r="Q10" i="3"/>
  <c r="D16" i="4" s="1"/>
  <c r="N11" i="4" s="1"/>
  <c r="Q8" i="3"/>
  <c r="D15" i="4" s="1"/>
  <c r="N10" i="4" s="1"/>
  <c r="H7" i="3"/>
  <c r="C11" i="4" s="1"/>
  <c r="L6" i="3"/>
  <c r="L4" i="3"/>
  <c r="D9" i="4" s="1"/>
  <c r="N8" i="4" s="1"/>
  <c r="L2" i="3"/>
  <c r="D8" i="4" s="1"/>
  <c r="N7" i="4" s="1"/>
  <c r="K2" i="3"/>
  <c r="K4" i="3" s="1"/>
  <c r="C9" i="4" s="1"/>
  <c r="M8" i="4" s="1"/>
  <c r="E8" i="2"/>
  <c r="C8" i="4" l="1"/>
  <c r="M7" i="4" s="1"/>
  <c r="K6" i="3"/>
  <c r="C12" i="4" s="1"/>
  <c r="M9" i="4" s="1"/>
  <c r="K20" i="3"/>
  <c r="K9" i="3"/>
  <c r="E15" i="2"/>
  <c r="I15" i="2"/>
  <c r="E12" i="2"/>
  <c r="G14" i="4" l="1"/>
  <c r="P19" i="3"/>
  <c r="G15" i="4" s="1"/>
  <c r="Q10" i="4" s="1"/>
  <c r="P8" i="3"/>
  <c r="C15" i="4" s="1"/>
  <c r="M10" i="4" s="1"/>
  <c r="O13" i="4" s="1"/>
  <c r="C14" i="4"/>
  <c r="P10" i="3"/>
  <c r="C16" i="4" s="1"/>
  <c r="M11" i="4" s="1"/>
  <c r="N13" i="4" s="1"/>
  <c r="L13" i="1"/>
  <c r="L17" i="1"/>
  <c r="L15" i="1"/>
  <c r="Q21" i="1"/>
  <c r="Q19" i="1"/>
  <c r="Q10" i="1"/>
  <c r="Q8" i="1"/>
  <c r="L6" i="1"/>
  <c r="D12" i="2" s="1"/>
  <c r="L4" i="1"/>
  <c r="L2" i="1"/>
  <c r="K13" i="1"/>
  <c r="K15" i="1"/>
  <c r="H18" i="1"/>
  <c r="H7" i="1"/>
  <c r="K6" i="1"/>
  <c r="C12" i="2" s="1"/>
  <c r="K2" i="1"/>
  <c r="K4" i="1" s="1"/>
  <c r="P21" i="3" l="1"/>
  <c r="G16" i="4" s="1"/>
  <c r="Q11" i="4" s="1"/>
  <c r="R13" i="4" s="1"/>
  <c r="K9" i="1"/>
  <c r="P8" i="1" s="1"/>
  <c r="K17" i="1"/>
  <c r="K20" i="1" s="1"/>
  <c r="P10" i="1"/>
  <c r="I16" i="2"/>
  <c r="S11" i="2" s="1"/>
  <c r="S10" i="2"/>
  <c r="I12" i="2"/>
  <c r="S9" i="2" s="1"/>
  <c r="I9" i="2"/>
  <c r="S8" i="2" s="1"/>
  <c r="I8" i="2"/>
  <c r="S7" i="2" s="1"/>
  <c r="C14" i="2"/>
  <c r="N9" i="2"/>
  <c r="O9" i="2"/>
  <c r="M9" i="2"/>
  <c r="C15" i="2"/>
  <c r="M10" i="2" s="1"/>
  <c r="D15" i="2"/>
  <c r="N10" i="2" s="1"/>
  <c r="O10" i="2"/>
  <c r="C16" i="2"/>
  <c r="M11" i="2" s="1"/>
  <c r="D16" i="2"/>
  <c r="N11" i="2" s="1"/>
  <c r="E16" i="2"/>
  <c r="O11" i="2" s="1"/>
  <c r="H15" i="2"/>
  <c r="R10" i="2" s="1"/>
  <c r="H16" i="2"/>
  <c r="R11" i="2" s="1"/>
  <c r="E9" i="2"/>
  <c r="O8" i="2" s="1"/>
  <c r="O7" i="2"/>
  <c r="O13" i="2" s="1"/>
  <c r="G5" i="2"/>
  <c r="H12" i="2"/>
  <c r="R9" i="2" s="1"/>
  <c r="H9" i="2"/>
  <c r="R8" i="2" s="1"/>
  <c r="H8" i="2"/>
  <c r="R7" i="2" s="1"/>
  <c r="D9" i="2"/>
  <c r="N8" i="2" s="1"/>
  <c r="D8" i="2"/>
  <c r="N7" i="2" s="1"/>
  <c r="S13" i="4" l="1"/>
  <c r="P19" i="1"/>
  <c r="G15" i="2" s="1"/>
  <c r="Q10" i="2" s="1"/>
  <c r="G14" i="2"/>
  <c r="G7" i="2"/>
  <c r="C7" i="2"/>
  <c r="C5" i="2"/>
  <c r="G9" i="2"/>
  <c r="Q8" i="2" s="1"/>
  <c r="C9" i="2"/>
  <c r="M8" i="2" s="1"/>
  <c r="C11" i="2"/>
  <c r="P21" i="1" l="1"/>
  <c r="G16" i="2" s="1"/>
  <c r="Q11" i="2" s="1"/>
  <c r="G12" i="2"/>
  <c r="Q9" i="2" s="1"/>
  <c r="G8" i="2"/>
  <c r="Q7" i="2" s="1"/>
  <c r="G11" i="2"/>
  <c r="C8" i="2"/>
  <c r="M7" i="2" s="1"/>
  <c r="N13" i="2" l="1"/>
  <c r="R13" i="2"/>
  <c r="S13" i="2"/>
</calcChain>
</file>

<file path=xl/sharedStrings.xml><?xml version="1.0" encoding="utf-8"?>
<sst xmlns="http://schemas.openxmlformats.org/spreadsheetml/2006/main" count="110" uniqueCount="24">
  <si>
    <t>Migraine Attack</t>
  </si>
  <si>
    <t>Sumatriptan</t>
  </si>
  <si>
    <t>Caffeine/Ergotamine</t>
  </si>
  <si>
    <t>Relief</t>
  </si>
  <si>
    <t>No Relief</t>
  </si>
  <si>
    <t>No recurrence</t>
  </si>
  <si>
    <t>Recurrence</t>
  </si>
  <si>
    <t>Endures Attack</t>
  </si>
  <si>
    <t>ER</t>
  </si>
  <si>
    <t>Hospitalisation</t>
  </si>
  <si>
    <t>All cases</t>
  </si>
  <si>
    <t>Initial Relief</t>
  </si>
  <si>
    <t>No Recurrence</t>
  </si>
  <si>
    <t>Prob</t>
  </si>
  <si>
    <t>Cost</t>
  </si>
  <si>
    <t>PROBABILITIES</t>
  </si>
  <si>
    <t>COSTS</t>
  </si>
  <si>
    <t>Interpret cells as the following</t>
  </si>
  <si>
    <t>OUTCOMES</t>
  </si>
  <si>
    <t>Outcomes</t>
  </si>
  <si>
    <t>EXPECTED VALUES</t>
  </si>
  <si>
    <t>Returns home</t>
  </si>
  <si>
    <t>ICER_Case_Avoided</t>
  </si>
  <si>
    <t>ICER_QALY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</si>
</sst>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0" fillId="2" borderId="1" xfId="0" applyFill="1" applyBorder="1"/>
    <xf numFmtId="164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4" borderId="1" xfId="0" applyFill="1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164" fontId="4" fillId="0" borderId="0" xfId="1" applyFont="1" applyBorder="1"/>
    <xf numFmtId="164" fontId="0" fillId="3" borderId="1" xfId="1" applyFont="1" applyFill="1" applyBorder="1" applyAlignment="1">
      <alignment horizontal="center"/>
    </xf>
    <xf numFmtId="165" fontId="0" fillId="4" borderId="1" xfId="2" applyFont="1" applyFill="1" applyBorder="1" applyAlignment="1">
      <alignment horizontal="center"/>
    </xf>
    <xf numFmtId="166" fontId="4" fillId="0" borderId="0" xfId="0" applyNumberFormat="1" applyFont="1"/>
    <xf numFmtId="165" fontId="4" fillId="0" borderId="3" xfId="2" applyFont="1" applyBorder="1"/>
    <xf numFmtId="165" fontId="4" fillId="0" borderId="8" xfId="2" applyFont="1" applyBorder="1"/>
    <xf numFmtId="0" fontId="4" fillId="0" borderId="8" xfId="0" applyFont="1" applyBorder="1"/>
    <xf numFmtId="166" fontId="4" fillId="0" borderId="3" xfId="0" applyNumberFormat="1" applyFont="1" applyBorder="1"/>
    <xf numFmtId="0" fontId="2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9" xfId="1" applyFont="1" applyBorder="1"/>
    <xf numFmtId="0" fontId="0" fillId="0" borderId="20" xfId="0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/>
    <xf numFmtId="0" fontId="0" fillId="5" borderId="0" xfId="0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4</xdr:row>
      <xdr:rowOff>85725</xdr:rowOff>
    </xdr:from>
    <xdr:to>
      <xdr:col>3</xdr:col>
      <xdr:colOff>1304925</xdr:colOff>
      <xdr:row>7</xdr:row>
      <xdr:rowOff>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514600" y="885825"/>
          <a:ext cx="1619250" cy="514350"/>
        </a:xfrm>
        <a:prstGeom prst="bentConnector3">
          <a:avLst>
            <a:gd name="adj1" fmla="val -117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8</xdr:row>
      <xdr:rowOff>9525</xdr:rowOff>
    </xdr:from>
    <xdr:to>
      <xdr:col>4</xdr:col>
      <xdr:colOff>0</xdr:colOff>
      <xdr:row>15</xdr:row>
      <xdr:rowOff>95250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486025" y="1609725"/>
          <a:ext cx="1666875" cy="1476375"/>
        </a:xfrm>
        <a:prstGeom prst="bentConnector3">
          <a:avLst>
            <a:gd name="adj1" fmla="val 2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</xdr:row>
      <xdr:rowOff>66675</xdr:rowOff>
    </xdr:from>
    <xdr:to>
      <xdr:col>6</xdr:col>
      <xdr:colOff>600075</xdr:colOff>
      <xdr:row>4</xdr:row>
      <xdr:rowOff>9525</xdr:rowOff>
    </xdr:to>
    <xdr:cxnSp macro="">
      <xdr:nvCxnSpPr>
        <xdr:cNvPr id="9" name="Elb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4476750" y="466725"/>
          <a:ext cx="1495425" cy="342900"/>
        </a:xfrm>
        <a:prstGeom prst="bentConnector3">
          <a:avLst>
            <a:gd name="adj1" fmla="val 31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5</xdr:row>
      <xdr:rowOff>0</xdr:rowOff>
    </xdr:from>
    <xdr:to>
      <xdr:col>7</xdr:col>
      <xdr:colOff>19050</xdr:colOff>
      <xdr:row>6</xdr:row>
      <xdr:rowOff>95250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476750" y="1000125"/>
          <a:ext cx="1524000" cy="295275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13</xdr:row>
      <xdr:rowOff>85725</xdr:rowOff>
    </xdr:from>
    <xdr:to>
      <xdr:col>6</xdr:col>
      <xdr:colOff>581025</xdr:colOff>
      <xdr:row>14</xdr:row>
      <xdr:rowOff>190500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4429125" y="2676525"/>
          <a:ext cx="1524000" cy="30480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16</xdr:row>
      <xdr:rowOff>9525</xdr:rowOff>
    </xdr:from>
    <xdr:to>
      <xdr:col>6</xdr:col>
      <xdr:colOff>590550</xdr:colOff>
      <xdr:row>17</xdr:row>
      <xdr:rowOff>114300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4429125" y="3200400"/>
          <a:ext cx="1533525" cy="304800"/>
        </a:xfrm>
        <a:prstGeom prst="bentConnector3">
          <a:avLst>
            <a:gd name="adj1" fmla="val -31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18</xdr:row>
      <xdr:rowOff>0</xdr:rowOff>
    </xdr:from>
    <xdr:to>
      <xdr:col>9</xdr:col>
      <xdr:colOff>933450</xdr:colOff>
      <xdr:row>19</xdr:row>
      <xdr:rowOff>95250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6296025" y="3590925"/>
          <a:ext cx="1838325" cy="295275"/>
        </a:xfrm>
        <a:prstGeom prst="bentConnector3">
          <a:avLst>
            <a:gd name="adj1" fmla="val -129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12</xdr:row>
      <xdr:rowOff>85725</xdr:rowOff>
    </xdr:from>
    <xdr:to>
      <xdr:col>10</xdr:col>
      <xdr:colOff>0</xdr:colOff>
      <xdr:row>12</xdr:row>
      <xdr:rowOff>190499</xdr:rowOff>
    </xdr:to>
    <xdr:cxnSp macro="">
      <xdr:nvCxnSpPr>
        <xdr:cNvPr id="29" name="Elb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6267450" y="2476500"/>
          <a:ext cx="1885950" cy="104774"/>
        </a:xfrm>
        <a:prstGeom prst="bentConnector3">
          <a:avLst>
            <a:gd name="adj1" fmla="val -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</xdr:row>
      <xdr:rowOff>9525</xdr:rowOff>
    </xdr:from>
    <xdr:to>
      <xdr:col>9</xdr:col>
      <xdr:colOff>942975</xdr:colOff>
      <xdr:row>3</xdr:row>
      <xdr:rowOff>76200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6276975" y="609600"/>
          <a:ext cx="1866900" cy="66675"/>
        </a:xfrm>
        <a:prstGeom prst="bentConnector3">
          <a:avLst>
            <a:gd name="adj1" fmla="val -5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</xdr:row>
      <xdr:rowOff>66675</xdr:rowOff>
    </xdr:from>
    <xdr:to>
      <xdr:col>10</xdr:col>
      <xdr:colOff>0</xdr:colOff>
      <xdr:row>2</xdr:row>
      <xdr:rowOff>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6276975" y="266700"/>
          <a:ext cx="1876425" cy="133350"/>
        </a:xfrm>
        <a:prstGeom prst="bentConnector3">
          <a:avLst>
            <a:gd name="adj1" fmla="val -25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7</xdr:row>
      <xdr:rowOff>66678</xdr:rowOff>
    </xdr:from>
    <xdr:to>
      <xdr:col>15</xdr:col>
      <xdr:colOff>9525</xdr:colOff>
      <xdr:row>7</xdr:row>
      <xdr:rowOff>180975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8429625" y="1466853"/>
          <a:ext cx="1914525" cy="114297"/>
        </a:xfrm>
        <a:prstGeom prst="bentConnector3">
          <a:avLst>
            <a:gd name="adj1" fmla="val 2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285751</xdr:colOff>
      <xdr:row>20</xdr:row>
      <xdr:rowOff>9526</xdr:rowOff>
    </xdr:from>
    <xdr:to>
      <xdr:col>15</xdr:col>
      <xdr:colOff>0</xdr:colOff>
      <xdr:row>20</xdr:row>
      <xdr:rowOff>114303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8439151" y="4000501"/>
          <a:ext cx="1895474" cy="104777"/>
        </a:xfrm>
        <a:prstGeom prst="bentConnector3">
          <a:avLst>
            <a:gd name="adj1" fmla="val 25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295276</xdr:colOff>
      <xdr:row>18</xdr:row>
      <xdr:rowOff>66678</xdr:rowOff>
    </xdr:from>
    <xdr:to>
      <xdr:col>14</xdr:col>
      <xdr:colOff>952500</xdr:colOff>
      <xdr:row>18</xdr:row>
      <xdr:rowOff>190501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8448676" y="3657603"/>
          <a:ext cx="1876424" cy="123823"/>
        </a:xfrm>
        <a:prstGeom prst="bentConnector3">
          <a:avLst>
            <a:gd name="adj1" fmla="val -76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16</xdr:row>
      <xdr:rowOff>95250</xdr:rowOff>
    </xdr:from>
    <xdr:to>
      <xdr:col>9</xdr:col>
      <xdr:colOff>942975</xdr:colOff>
      <xdr:row>17</xdr:row>
      <xdr:rowOff>0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6257925" y="3286125"/>
          <a:ext cx="1885950" cy="104775"/>
        </a:xfrm>
        <a:prstGeom prst="bentConnector3">
          <a:avLst>
            <a:gd name="adj1" fmla="val 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304799</xdr:colOff>
      <xdr:row>13</xdr:row>
      <xdr:rowOff>190500</xdr:rowOff>
    </xdr:from>
    <xdr:to>
      <xdr:col>9</xdr:col>
      <xdr:colOff>923928</xdr:colOff>
      <xdr:row>14</xdr:row>
      <xdr:rowOff>95250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6286499" y="2781300"/>
          <a:ext cx="1838329" cy="104775"/>
        </a:xfrm>
        <a:prstGeom prst="bentConnector3">
          <a:avLst>
            <a:gd name="adj1" fmla="val -7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7</xdr:row>
      <xdr:rowOff>9525</xdr:rowOff>
    </xdr:from>
    <xdr:to>
      <xdr:col>9</xdr:col>
      <xdr:colOff>942975</xdr:colOff>
      <xdr:row>8</xdr:row>
      <xdr:rowOff>114300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6257925" y="1409700"/>
          <a:ext cx="1885950" cy="304800"/>
        </a:xfrm>
        <a:prstGeom prst="bentConnector3">
          <a:avLst>
            <a:gd name="adj1" fmla="val -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5</xdr:row>
      <xdr:rowOff>95250</xdr:rowOff>
    </xdr:from>
    <xdr:to>
      <xdr:col>10</xdr:col>
      <xdr:colOff>9525</xdr:colOff>
      <xdr:row>6</xdr:row>
      <xdr:rowOff>9525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V="1">
          <a:off x="6276975" y="1095375"/>
          <a:ext cx="1885950" cy="114300"/>
        </a:xfrm>
        <a:prstGeom prst="bentConnector3">
          <a:avLst>
            <a:gd name="adj1" fmla="val -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9</xdr:row>
      <xdr:rowOff>9525</xdr:rowOff>
    </xdr:from>
    <xdr:to>
      <xdr:col>14</xdr:col>
      <xdr:colOff>952500</xdr:colOff>
      <xdr:row>9</xdr:row>
      <xdr:rowOff>114300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8439150" y="1809750"/>
          <a:ext cx="1885950" cy="104775"/>
        </a:xfrm>
        <a:prstGeom prst="bentConnector3">
          <a:avLst>
            <a:gd name="adj1" fmla="val -10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4</xdr:row>
      <xdr:rowOff>85725</xdr:rowOff>
    </xdr:from>
    <xdr:to>
      <xdr:col>3</xdr:col>
      <xdr:colOff>1304925</xdr:colOff>
      <xdr:row>7</xdr:row>
      <xdr:rowOff>0</xdr:rowOff>
    </xdr:to>
    <xdr:cxnSp macro="">
      <xdr:nvCxnSpPr>
        <xdr:cNvPr id="2" name="Elbow Connector 1">
          <a:extLst>
            <a:ext uri="{FF2B5EF4-FFF2-40B4-BE49-F238E27FC236}">
              <a16:creationId xmlns:a16="http://schemas.microsoft.com/office/drawing/2014/main" id="{426C9043-C544-3349-B4E3-FFC896FCA70F}"/>
            </a:ext>
          </a:extLst>
        </xdr:cNvPr>
        <xdr:cNvCxnSpPr/>
      </xdr:nvCxnSpPr>
      <xdr:spPr>
        <a:xfrm flipV="1">
          <a:off x="2111375" y="898525"/>
          <a:ext cx="1682750" cy="523875"/>
        </a:xfrm>
        <a:prstGeom prst="bentConnector3">
          <a:avLst>
            <a:gd name="adj1" fmla="val -117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8</xdr:row>
      <xdr:rowOff>9525</xdr:rowOff>
    </xdr:from>
    <xdr:to>
      <xdr:col>4</xdr:col>
      <xdr:colOff>0</xdr:colOff>
      <xdr:row>15</xdr:row>
      <xdr:rowOff>95250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8C91425-7438-6E47-8B6C-A80B1F167756}"/>
            </a:ext>
          </a:extLst>
        </xdr:cNvPr>
        <xdr:cNvCxnSpPr/>
      </xdr:nvCxnSpPr>
      <xdr:spPr>
        <a:xfrm>
          <a:off x="2082800" y="1635125"/>
          <a:ext cx="1917700" cy="1495425"/>
        </a:xfrm>
        <a:prstGeom prst="bentConnector3">
          <a:avLst>
            <a:gd name="adj1" fmla="val 2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</xdr:row>
      <xdr:rowOff>66675</xdr:rowOff>
    </xdr:from>
    <xdr:to>
      <xdr:col>6</xdr:col>
      <xdr:colOff>600075</xdr:colOff>
      <xdr:row>4</xdr:row>
      <xdr:rowOff>9525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46A491E6-40AC-A84F-A867-4AF72903C8CC}"/>
            </a:ext>
          </a:extLst>
        </xdr:cNvPr>
        <xdr:cNvCxnSpPr/>
      </xdr:nvCxnSpPr>
      <xdr:spPr>
        <a:xfrm flipV="1">
          <a:off x="4324350" y="473075"/>
          <a:ext cx="1800225" cy="349250"/>
        </a:xfrm>
        <a:prstGeom prst="bentConnector3">
          <a:avLst>
            <a:gd name="adj1" fmla="val 31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5</xdr:row>
      <xdr:rowOff>0</xdr:rowOff>
    </xdr:from>
    <xdr:to>
      <xdr:col>7</xdr:col>
      <xdr:colOff>19050</xdr:colOff>
      <xdr:row>6</xdr:row>
      <xdr:rowOff>95250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2108350F-4F62-7341-ADA9-7A73D1232271}"/>
            </a:ext>
          </a:extLst>
        </xdr:cNvPr>
        <xdr:cNvCxnSpPr/>
      </xdr:nvCxnSpPr>
      <xdr:spPr>
        <a:xfrm>
          <a:off x="4324350" y="1016000"/>
          <a:ext cx="2286000" cy="29845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13</xdr:row>
      <xdr:rowOff>85725</xdr:rowOff>
    </xdr:from>
    <xdr:to>
      <xdr:col>6</xdr:col>
      <xdr:colOff>581025</xdr:colOff>
      <xdr:row>14</xdr:row>
      <xdr:rowOff>190500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5BCB8E79-7308-5845-939F-14C2F92C95A5}"/>
            </a:ext>
          </a:extLst>
        </xdr:cNvPr>
        <xdr:cNvCxnSpPr/>
      </xdr:nvCxnSpPr>
      <xdr:spPr>
        <a:xfrm flipV="1">
          <a:off x="4276725" y="2714625"/>
          <a:ext cx="1828800" cy="307975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16</xdr:row>
      <xdr:rowOff>9525</xdr:rowOff>
    </xdr:from>
    <xdr:to>
      <xdr:col>6</xdr:col>
      <xdr:colOff>590550</xdr:colOff>
      <xdr:row>17</xdr:row>
      <xdr:rowOff>114300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FF8B35B8-5AB2-0B4C-B003-A8A8E87D4410}"/>
            </a:ext>
          </a:extLst>
        </xdr:cNvPr>
        <xdr:cNvCxnSpPr/>
      </xdr:nvCxnSpPr>
      <xdr:spPr>
        <a:xfrm>
          <a:off x="4276725" y="3248025"/>
          <a:ext cx="1838325" cy="307975"/>
        </a:xfrm>
        <a:prstGeom prst="bentConnector3">
          <a:avLst>
            <a:gd name="adj1" fmla="val -31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18</xdr:row>
      <xdr:rowOff>0</xdr:rowOff>
    </xdr:from>
    <xdr:to>
      <xdr:col>9</xdr:col>
      <xdr:colOff>933450</xdr:colOff>
      <xdr:row>19</xdr:row>
      <xdr:rowOff>95250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DF219ADE-83B6-5E4B-B251-6B2EC532EFE0}"/>
            </a:ext>
          </a:extLst>
        </xdr:cNvPr>
        <xdr:cNvCxnSpPr/>
      </xdr:nvCxnSpPr>
      <xdr:spPr>
        <a:xfrm>
          <a:off x="6905625" y="3644900"/>
          <a:ext cx="2130425" cy="298450"/>
        </a:xfrm>
        <a:prstGeom prst="bentConnector3">
          <a:avLst>
            <a:gd name="adj1" fmla="val -129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12</xdr:row>
      <xdr:rowOff>85725</xdr:rowOff>
    </xdr:from>
    <xdr:to>
      <xdr:col>10</xdr:col>
      <xdr:colOff>0</xdr:colOff>
      <xdr:row>12</xdr:row>
      <xdr:rowOff>190499</xdr:rowOff>
    </xdr:to>
    <xdr:cxnSp macro="">
      <xdr:nvCxnSpPr>
        <xdr:cNvPr id="9" name="Elbow Connector 8">
          <a:extLst>
            <a:ext uri="{FF2B5EF4-FFF2-40B4-BE49-F238E27FC236}">
              <a16:creationId xmlns:a16="http://schemas.microsoft.com/office/drawing/2014/main" id="{B01860F8-6040-6345-AED3-1295EFA60920}"/>
            </a:ext>
          </a:extLst>
        </xdr:cNvPr>
        <xdr:cNvCxnSpPr/>
      </xdr:nvCxnSpPr>
      <xdr:spPr>
        <a:xfrm flipV="1">
          <a:off x="6877050" y="2511425"/>
          <a:ext cx="2317750" cy="104774"/>
        </a:xfrm>
        <a:prstGeom prst="bentConnector3">
          <a:avLst>
            <a:gd name="adj1" fmla="val -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</xdr:row>
      <xdr:rowOff>9525</xdr:rowOff>
    </xdr:from>
    <xdr:to>
      <xdr:col>9</xdr:col>
      <xdr:colOff>942975</xdr:colOff>
      <xdr:row>3</xdr:row>
      <xdr:rowOff>76200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0D6D6449-7B45-6C49-B299-6F22CD4A32EE}"/>
            </a:ext>
          </a:extLst>
        </xdr:cNvPr>
        <xdr:cNvCxnSpPr/>
      </xdr:nvCxnSpPr>
      <xdr:spPr>
        <a:xfrm>
          <a:off x="6886575" y="619125"/>
          <a:ext cx="2159000" cy="66675"/>
        </a:xfrm>
        <a:prstGeom prst="bentConnector3">
          <a:avLst>
            <a:gd name="adj1" fmla="val -5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</xdr:row>
      <xdr:rowOff>66675</xdr:rowOff>
    </xdr:from>
    <xdr:to>
      <xdr:col>10</xdr:col>
      <xdr:colOff>0</xdr:colOff>
      <xdr:row>2</xdr:row>
      <xdr:rowOff>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EAF93A9C-4225-B84D-A8F4-6B1A0313AE13}"/>
            </a:ext>
          </a:extLst>
        </xdr:cNvPr>
        <xdr:cNvCxnSpPr/>
      </xdr:nvCxnSpPr>
      <xdr:spPr>
        <a:xfrm flipV="1">
          <a:off x="6886575" y="269875"/>
          <a:ext cx="2308225" cy="136525"/>
        </a:xfrm>
        <a:prstGeom prst="bentConnector3">
          <a:avLst>
            <a:gd name="adj1" fmla="val -25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7</xdr:row>
      <xdr:rowOff>66678</xdr:rowOff>
    </xdr:from>
    <xdr:to>
      <xdr:col>15</xdr:col>
      <xdr:colOff>9525</xdr:colOff>
      <xdr:row>7</xdr:row>
      <xdr:rowOff>180975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0F96E8B4-39F4-A04F-A69C-DA31AB5FD046}"/>
            </a:ext>
          </a:extLst>
        </xdr:cNvPr>
        <xdr:cNvCxnSpPr/>
      </xdr:nvCxnSpPr>
      <xdr:spPr>
        <a:xfrm flipV="1">
          <a:off x="9471025" y="1489078"/>
          <a:ext cx="3530600" cy="114297"/>
        </a:xfrm>
        <a:prstGeom prst="bentConnector3">
          <a:avLst>
            <a:gd name="adj1" fmla="val 2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285751</xdr:colOff>
      <xdr:row>20</xdr:row>
      <xdr:rowOff>9526</xdr:rowOff>
    </xdr:from>
    <xdr:to>
      <xdr:col>15</xdr:col>
      <xdr:colOff>0</xdr:colOff>
      <xdr:row>20</xdr:row>
      <xdr:rowOff>114303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7CEA8B15-DC6E-DB47-9707-F5C77822C357}"/>
            </a:ext>
          </a:extLst>
        </xdr:cNvPr>
        <xdr:cNvCxnSpPr/>
      </xdr:nvCxnSpPr>
      <xdr:spPr>
        <a:xfrm>
          <a:off x="9480551" y="4060826"/>
          <a:ext cx="3511549" cy="104777"/>
        </a:xfrm>
        <a:prstGeom prst="bentConnector3">
          <a:avLst>
            <a:gd name="adj1" fmla="val 25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295276</xdr:colOff>
      <xdr:row>18</xdr:row>
      <xdr:rowOff>66678</xdr:rowOff>
    </xdr:from>
    <xdr:to>
      <xdr:col>14</xdr:col>
      <xdr:colOff>952500</xdr:colOff>
      <xdr:row>18</xdr:row>
      <xdr:rowOff>190501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C048E851-0756-3F40-B94B-9BF3B6038ECD}"/>
            </a:ext>
          </a:extLst>
        </xdr:cNvPr>
        <xdr:cNvCxnSpPr/>
      </xdr:nvCxnSpPr>
      <xdr:spPr>
        <a:xfrm flipV="1">
          <a:off x="9490076" y="3711578"/>
          <a:ext cx="3349624" cy="123823"/>
        </a:xfrm>
        <a:prstGeom prst="bentConnector3">
          <a:avLst>
            <a:gd name="adj1" fmla="val -76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16</xdr:row>
      <xdr:rowOff>95250</xdr:rowOff>
    </xdr:from>
    <xdr:to>
      <xdr:col>9</xdr:col>
      <xdr:colOff>942975</xdr:colOff>
      <xdr:row>17</xdr:row>
      <xdr:rowOff>0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8B89E7EB-A67A-FA46-9106-B02C5475C831}"/>
            </a:ext>
          </a:extLst>
        </xdr:cNvPr>
        <xdr:cNvCxnSpPr/>
      </xdr:nvCxnSpPr>
      <xdr:spPr>
        <a:xfrm flipV="1">
          <a:off x="6867525" y="3333750"/>
          <a:ext cx="2178050" cy="107950"/>
        </a:xfrm>
        <a:prstGeom prst="bentConnector3">
          <a:avLst>
            <a:gd name="adj1" fmla="val 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304799</xdr:colOff>
      <xdr:row>13</xdr:row>
      <xdr:rowOff>190500</xdr:rowOff>
    </xdr:from>
    <xdr:to>
      <xdr:col>9</xdr:col>
      <xdr:colOff>923928</xdr:colOff>
      <xdr:row>14</xdr:row>
      <xdr:rowOff>95250</xdr:rowOff>
    </xdr:to>
    <xdr:cxnSp macro="">
      <xdr:nvCxnSpPr>
        <xdr:cNvPr id="16" name="Elbow Connector 15">
          <a:extLst>
            <a:ext uri="{FF2B5EF4-FFF2-40B4-BE49-F238E27FC236}">
              <a16:creationId xmlns:a16="http://schemas.microsoft.com/office/drawing/2014/main" id="{F603D9CB-3412-E045-8046-DE7D9138BCCF}"/>
            </a:ext>
          </a:extLst>
        </xdr:cNvPr>
        <xdr:cNvCxnSpPr/>
      </xdr:nvCxnSpPr>
      <xdr:spPr>
        <a:xfrm>
          <a:off x="6896099" y="2819400"/>
          <a:ext cx="2130429" cy="107950"/>
        </a:xfrm>
        <a:prstGeom prst="bentConnector3">
          <a:avLst>
            <a:gd name="adj1" fmla="val -7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7</xdr:row>
      <xdr:rowOff>9525</xdr:rowOff>
    </xdr:from>
    <xdr:to>
      <xdr:col>9</xdr:col>
      <xdr:colOff>942975</xdr:colOff>
      <xdr:row>8</xdr:row>
      <xdr:rowOff>114300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DE278486-EBC3-B947-B8B2-85582985BEDD}"/>
            </a:ext>
          </a:extLst>
        </xdr:cNvPr>
        <xdr:cNvCxnSpPr/>
      </xdr:nvCxnSpPr>
      <xdr:spPr>
        <a:xfrm>
          <a:off x="6867525" y="1431925"/>
          <a:ext cx="2178050" cy="307975"/>
        </a:xfrm>
        <a:prstGeom prst="bentConnector3">
          <a:avLst>
            <a:gd name="adj1" fmla="val -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5</xdr:row>
      <xdr:rowOff>95250</xdr:rowOff>
    </xdr:from>
    <xdr:to>
      <xdr:col>10</xdr:col>
      <xdr:colOff>9525</xdr:colOff>
      <xdr:row>6</xdr:row>
      <xdr:rowOff>9525</xdr:rowOff>
    </xdr:to>
    <xdr:cxnSp macro="">
      <xdr:nvCxnSpPr>
        <xdr:cNvPr id="18" name="Elbow Connector 17">
          <a:extLst>
            <a:ext uri="{FF2B5EF4-FFF2-40B4-BE49-F238E27FC236}">
              <a16:creationId xmlns:a16="http://schemas.microsoft.com/office/drawing/2014/main" id="{0EEC302C-5FF9-C847-8B37-296A0C8F6BEF}"/>
            </a:ext>
          </a:extLst>
        </xdr:cNvPr>
        <xdr:cNvCxnSpPr/>
      </xdr:nvCxnSpPr>
      <xdr:spPr>
        <a:xfrm flipV="1">
          <a:off x="6886575" y="1111250"/>
          <a:ext cx="2317750" cy="117475"/>
        </a:xfrm>
        <a:prstGeom prst="bentConnector3">
          <a:avLst>
            <a:gd name="adj1" fmla="val -5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9</xdr:row>
      <xdr:rowOff>9525</xdr:rowOff>
    </xdr:from>
    <xdr:to>
      <xdr:col>14</xdr:col>
      <xdr:colOff>952500</xdr:colOff>
      <xdr:row>9</xdr:row>
      <xdr:rowOff>114300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FCE1B2F3-B459-374A-8DFF-07F0D794BA9D}"/>
            </a:ext>
          </a:extLst>
        </xdr:cNvPr>
        <xdr:cNvCxnSpPr/>
      </xdr:nvCxnSpPr>
      <xdr:spPr>
        <a:xfrm>
          <a:off x="9480550" y="1838325"/>
          <a:ext cx="3359150" cy="104775"/>
        </a:xfrm>
        <a:prstGeom prst="bentConnector3">
          <a:avLst>
            <a:gd name="adj1" fmla="val -10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254000</xdr:colOff>
      <xdr:row>25</xdr:row>
      <xdr:rowOff>0</xdr:rowOff>
    </xdr:from>
    <xdr:to>
      <xdr:col>23</xdr:col>
      <xdr:colOff>457200</xdr:colOff>
      <xdr:row>27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E635F1-2504-B58D-AD6A-E4E9C8A43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2600" y="4978400"/>
          <a:ext cx="3708400" cy="520700"/>
        </a:xfrm>
        <a:prstGeom prst="rect">
          <a:avLst/>
        </a:prstGeom>
      </xdr:spPr>
    </xdr:pic>
    <xdr:clientData/>
  </xdr:twoCellAnchor>
  <xdr:twoCellAnchor editAs="oneCell">
    <xdr:from>
      <xdr:col>13</xdr:col>
      <xdr:colOff>736600</xdr:colOff>
      <xdr:row>24</xdr:row>
      <xdr:rowOff>177800</xdr:rowOff>
    </xdr:from>
    <xdr:to>
      <xdr:col>18</xdr:col>
      <xdr:colOff>254000</xdr:colOff>
      <xdr:row>27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15E16-4911-B7E9-7751-36AE22267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0600" y="4965700"/>
          <a:ext cx="33020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8"/>
  <sheetViews>
    <sheetView workbookViewId="0">
      <selection activeCell="R25" sqref="R25"/>
    </sheetView>
  </sheetViews>
  <sheetFormatPr baseColWidth="10" defaultColWidth="8.83203125" defaultRowHeight="15" x14ac:dyDescent="0.2"/>
  <cols>
    <col min="2" max="2" width="15" bestFit="1" customWidth="1"/>
    <col min="4" max="4" width="19.83203125" bestFit="1" customWidth="1"/>
    <col min="5" max="6" width="10" bestFit="1" customWidth="1"/>
    <col min="7" max="7" width="14" bestFit="1" customWidth="1"/>
    <col min="9" max="9" width="11" bestFit="1" customWidth="1"/>
    <col min="10" max="10" width="14.33203125" bestFit="1" customWidth="1"/>
    <col min="15" max="15" width="14.5" bestFit="1" customWidth="1"/>
    <col min="16" max="16" width="10" bestFit="1" customWidth="1"/>
  </cols>
  <sheetData>
    <row r="1" spans="2:18" ht="16" thickBot="1" x14ac:dyDescent="0.25"/>
    <row r="2" spans="2:18" ht="16" thickBot="1" x14ac:dyDescent="0.25">
      <c r="J2" s="1" t="s">
        <v>5</v>
      </c>
      <c r="K2" s="15">
        <f>0.594*H3</f>
        <v>0.33145200000000002</v>
      </c>
      <c r="L2" s="14">
        <f>16.1</f>
        <v>16.100000000000001</v>
      </c>
      <c r="M2" s="18">
        <v>1</v>
      </c>
    </row>
    <row r="3" spans="2:18" ht="16" thickBot="1" x14ac:dyDescent="0.25">
      <c r="G3" s="1" t="s">
        <v>3</v>
      </c>
      <c r="H3" s="15">
        <v>0.55800000000000005</v>
      </c>
      <c r="J3" s="1"/>
    </row>
    <row r="4" spans="2:18" ht="16" thickBot="1" x14ac:dyDescent="0.25">
      <c r="J4" s="1" t="s">
        <v>6</v>
      </c>
      <c r="K4" s="15">
        <f>H3-K2</f>
        <v>0.22654800000000003</v>
      </c>
      <c r="L4" s="14">
        <f>16.1*2</f>
        <v>32.200000000000003</v>
      </c>
      <c r="M4" s="18">
        <v>1</v>
      </c>
    </row>
    <row r="5" spans="2:18" ht="16" thickBot="1" x14ac:dyDescent="0.25">
      <c r="D5" s="1" t="s">
        <v>1</v>
      </c>
      <c r="E5" s="15">
        <v>1</v>
      </c>
    </row>
    <row r="6" spans="2:18" ht="16" thickBot="1" x14ac:dyDescent="0.25">
      <c r="J6" s="1" t="s">
        <v>7</v>
      </c>
      <c r="K6" s="15">
        <f>0.92*H7</f>
        <v>0.40663999999999995</v>
      </c>
      <c r="L6" s="14">
        <f>16.1</f>
        <v>16.100000000000001</v>
      </c>
      <c r="M6" s="18">
        <v>0</v>
      </c>
    </row>
    <row r="7" spans="2:18" ht="16" thickBot="1" x14ac:dyDescent="0.25">
      <c r="G7" s="1" t="s">
        <v>4</v>
      </c>
      <c r="H7" s="15">
        <f>E5-H3</f>
        <v>0.44199999999999995</v>
      </c>
    </row>
    <row r="8" spans="2:18" ht="16" thickBot="1" x14ac:dyDescent="0.25">
      <c r="B8" s="1" t="s">
        <v>0</v>
      </c>
      <c r="C8" s="2"/>
      <c r="O8" s="1" t="s">
        <v>21</v>
      </c>
      <c r="P8" s="15">
        <f>0.998*K9</f>
        <v>3.5289279999999999E-2</v>
      </c>
      <c r="Q8" s="14">
        <f>16.1+63.16</f>
        <v>79.259999999999991</v>
      </c>
      <c r="R8" s="18">
        <v>0</v>
      </c>
    </row>
    <row r="9" spans="2:18" ht="16" thickBot="1" x14ac:dyDescent="0.25">
      <c r="J9" s="1" t="s">
        <v>8</v>
      </c>
      <c r="K9" s="15">
        <f>H7-K6</f>
        <v>3.5360000000000003E-2</v>
      </c>
      <c r="L9" s="13"/>
      <c r="M9" s="13"/>
    </row>
    <row r="10" spans="2:18" ht="16" thickBot="1" x14ac:dyDescent="0.25">
      <c r="O10" s="1" t="s">
        <v>9</v>
      </c>
      <c r="P10" s="15">
        <f>K9-P8</f>
        <v>7.072000000000328E-5</v>
      </c>
      <c r="Q10" s="14">
        <f>16.1+63.13+1093</f>
        <v>1172.23</v>
      </c>
      <c r="R10" s="18">
        <v>0</v>
      </c>
    </row>
    <row r="12" spans="2:18" ht="16" thickBot="1" x14ac:dyDescent="0.25"/>
    <row r="13" spans="2:18" ht="16" thickBot="1" x14ac:dyDescent="0.25">
      <c r="J13" s="1" t="s">
        <v>5</v>
      </c>
      <c r="K13" s="15">
        <f>H14*0.703</f>
        <v>0.26643699999999998</v>
      </c>
      <c r="L13" s="14">
        <f>1.32</f>
        <v>1.32</v>
      </c>
      <c r="M13" s="18">
        <v>1</v>
      </c>
    </row>
    <row r="14" spans="2:18" ht="16" thickBot="1" x14ac:dyDescent="0.25">
      <c r="G14" s="1" t="s">
        <v>3</v>
      </c>
      <c r="H14" s="15">
        <v>0.379</v>
      </c>
    </row>
    <row r="15" spans="2:18" ht="16" thickBot="1" x14ac:dyDescent="0.25">
      <c r="J15" s="1" t="s">
        <v>6</v>
      </c>
      <c r="K15" s="15">
        <f>H14-K13</f>
        <v>0.11256300000000002</v>
      </c>
      <c r="L15" s="14">
        <f>1.32*2</f>
        <v>2.64</v>
      </c>
      <c r="M15" s="18">
        <v>1</v>
      </c>
    </row>
    <row r="16" spans="2:18" ht="16" thickBot="1" x14ac:dyDescent="0.25">
      <c r="D16" s="1" t="s">
        <v>2</v>
      </c>
      <c r="E16" s="15">
        <v>1</v>
      </c>
    </row>
    <row r="17" spans="6:18" ht="16" thickBot="1" x14ac:dyDescent="0.25">
      <c r="J17" s="1" t="s">
        <v>7</v>
      </c>
      <c r="K17" s="15">
        <f>0.92*H18</f>
        <v>0.57132000000000005</v>
      </c>
      <c r="L17" s="14">
        <f>1.32</f>
        <v>1.32</v>
      </c>
      <c r="M17" s="18">
        <v>0</v>
      </c>
    </row>
    <row r="18" spans="6:18" ht="16" thickBot="1" x14ac:dyDescent="0.25">
      <c r="G18" s="1" t="s">
        <v>4</v>
      </c>
      <c r="H18" s="15">
        <f>E16-H14</f>
        <v>0.621</v>
      </c>
    </row>
    <row r="19" spans="6:18" ht="16" thickBot="1" x14ac:dyDescent="0.25">
      <c r="O19" s="1" t="s">
        <v>21</v>
      </c>
      <c r="P19" s="15">
        <f>0.998*K20</f>
        <v>4.9580639999999947E-2</v>
      </c>
      <c r="Q19" s="14">
        <f>1.32+63.16</f>
        <v>64.47999999999999</v>
      </c>
      <c r="R19" s="18">
        <v>0</v>
      </c>
    </row>
    <row r="20" spans="6:18" ht="16" thickBot="1" x14ac:dyDescent="0.25">
      <c r="J20" s="1" t="s">
        <v>8</v>
      </c>
      <c r="K20" s="15">
        <f>H18-K17</f>
        <v>4.9679999999999946E-2</v>
      </c>
      <c r="L20" s="13"/>
      <c r="M20" s="13"/>
    </row>
    <row r="21" spans="6:18" ht="16" thickBot="1" x14ac:dyDescent="0.25">
      <c r="O21" s="1" t="s">
        <v>9</v>
      </c>
      <c r="P21" s="15">
        <f>K20-P19</f>
        <v>9.9359999999999726E-5</v>
      </c>
      <c r="Q21" s="14">
        <f>1.32+63.13+1093</f>
        <v>1157.45</v>
      </c>
      <c r="R21" s="18">
        <v>0</v>
      </c>
    </row>
    <row r="22" spans="6:18" ht="16" thickBot="1" x14ac:dyDescent="0.25"/>
    <row r="23" spans="6:18" x14ac:dyDescent="0.2">
      <c r="F23" s="7"/>
      <c r="G23" s="8"/>
      <c r="H23" s="8"/>
      <c r="I23" s="8"/>
      <c r="J23" s="9"/>
    </row>
    <row r="24" spans="6:18" x14ac:dyDescent="0.2">
      <c r="F24" s="4"/>
      <c r="G24" t="s">
        <v>17</v>
      </c>
      <c r="J24" s="5"/>
    </row>
    <row r="25" spans="6:18" ht="16" thickBot="1" x14ac:dyDescent="0.25">
      <c r="F25" s="4"/>
      <c r="J25" s="5"/>
    </row>
    <row r="26" spans="6:18" ht="16" thickBot="1" x14ac:dyDescent="0.25">
      <c r="F26" s="4"/>
      <c r="G26" s="15" t="s">
        <v>15</v>
      </c>
      <c r="I26" s="14" t="s">
        <v>16</v>
      </c>
      <c r="J26" s="5"/>
    </row>
    <row r="27" spans="6:18" ht="16" thickBot="1" x14ac:dyDescent="0.25">
      <c r="F27" s="4"/>
      <c r="I27" s="18" t="s">
        <v>18</v>
      </c>
      <c r="J27" s="5"/>
    </row>
    <row r="28" spans="6:18" ht="16" thickBot="1" x14ac:dyDescent="0.25">
      <c r="F28" s="16"/>
      <c r="G28" s="6"/>
      <c r="H28" s="6"/>
      <c r="I28" s="6"/>
      <c r="J28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0"/>
  <sheetViews>
    <sheetView topLeftCell="H1" workbookViewId="0">
      <selection activeCell="O20" sqref="O20"/>
    </sheetView>
  </sheetViews>
  <sheetFormatPr baseColWidth="10" defaultColWidth="8.83203125" defaultRowHeight="15" x14ac:dyDescent="0.2"/>
  <cols>
    <col min="2" max="2" width="14.5" bestFit="1" customWidth="1"/>
    <col min="4" max="5" width="10.6640625" customWidth="1"/>
    <col min="7" max="7" width="9.5" customWidth="1"/>
    <col min="8" max="9" width="10.6640625" customWidth="1"/>
    <col min="12" max="12" width="17" bestFit="1" customWidth="1"/>
    <col min="14" max="15" width="10.6640625" customWidth="1"/>
    <col min="18" max="19" width="10.6640625" customWidth="1"/>
  </cols>
  <sheetData>
    <row r="1" spans="2:19" ht="16" thickBot="1" x14ac:dyDescent="0.25"/>
    <row r="2" spans="2:19" ht="16" thickBot="1" x14ac:dyDescent="0.25">
      <c r="B2" s="30"/>
      <c r="C2" s="31"/>
      <c r="D2" s="31"/>
      <c r="E2" s="31"/>
      <c r="F2" s="31"/>
      <c r="G2" s="31"/>
      <c r="H2" s="31"/>
      <c r="I2" s="31"/>
      <c r="J2" s="32"/>
    </row>
    <row r="3" spans="2:19" ht="16" thickBot="1" x14ac:dyDescent="0.25">
      <c r="B3" s="33"/>
      <c r="C3" s="40" t="s">
        <v>1</v>
      </c>
      <c r="D3" s="41"/>
      <c r="E3" s="42"/>
      <c r="G3" s="40" t="s">
        <v>2</v>
      </c>
      <c r="H3" s="41"/>
      <c r="I3" s="42"/>
      <c r="J3" s="34"/>
    </row>
    <row r="4" spans="2:19" ht="16" thickBot="1" x14ac:dyDescent="0.25">
      <c r="B4" s="33"/>
      <c r="C4" s="10" t="s">
        <v>13</v>
      </c>
      <c r="D4" s="11" t="s">
        <v>14</v>
      </c>
      <c r="E4" s="12" t="s">
        <v>19</v>
      </c>
      <c r="G4" s="10" t="s">
        <v>13</v>
      </c>
      <c r="H4" s="11" t="s">
        <v>14</v>
      </c>
      <c r="I4" s="12" t="s">
        <v>19</v>
      </c>
      <c r="J4" s="34"/>
    </row>
    <row r="5" spans="2:19" ht="16" thickBot="1" x14ac:dyDescent="0.25">
      <c r="B5" s="33" t="s">
        <v>10</v>
      </c>
      <c r="C5" s="28">
        <f>'Decision Tree Case Avoided'!E5</f>
        <v>1</v>
      </c>
      <c r="D5" s="19"/>
      <c r="E5" s="19"/>
      <c r="G5" s="28">
        <f>'Decision Tree Case Avoided'!E16</f>
        <v>1</v>
      </c>
      <c r="H5" s="19"/>
      <c r="I5" s="19"/>
      <c r="J5" s="34"/>
      <c r="M5" s="40" t="s">
        <v>1</v>
      </c>
      <c r="N5" s="41"/>
      <c r="O5" s="42"/>
      <c r="Q5" s="40" t="s">
        <v>2</v>
      </c>
      <c r="R5" s="41"/>
      <c r="S5" s="42"/>
    </row>
    <row r="6" spans="2:19" ht="16" thickBot="1" x14ac:dyDescent="0.25">
      <c r="B6" s="33"/>
      <c r="C6" s="24"/>
      <c r="D6" s="20"/>
      <c r="E6" s="20"/>
      <c r="G6" s="24"/>
      <c r="H6" s="20"/>
      <c r="I6" s="20"/>
      <c r="J6" s="34"/>
      <c r="M6" s="10" t="s">
        <v>13</v>
      </c>
      <c r="N6" s="11" t="s">
        <v>14</v>
      </c>
      <c r="O6" s="12" t="s">
        <v>19</v>
      </c>
      <c r="Q6" s="10" t="s">
        <v>13</v>
      </c>
      <c r="R6" s="11" t="s">
        <v>14</v>
      </c>
      <c r="S6" s="12" t="s">
        <v>19</v>
      </c>
    </row>
    <row r="7" spans="2:19" ht="16" thickBot="1" x14ac:dyDescent="0.25">
      <c r="B7" s="33" t="s">
        <v>11</v>
      </c>
      <c r="C7" s="24">
        <f>'Decision Tree Case Avoided'!H3</f>
        <v>0.55800000000000005</v>
      </c>
      <c r="D7" s="20"/>
      <c r="E7" s="27"/>
      <c r="G7" s="24">
        <f>'Decision Tree Case Avoided'!H14</f>
        <v>0.379</v>
      </c>
      <c r="H7" s="20"/>
      <c r="I7" s="27"/>
      <c r="J7" s="34"/>
      <c r="L7" t="s">
        <v>12</v>
      </c>
      <c r="M7" s="15">
        <f t="shared" ref="M7:O8" si="0">C8</f>
        <v>0.33145200000000002</v>
      </c>
      <c r="N7" s="22">
        <f t="shared" si="0"/>
        <v>16.100000000000001</v>
      </c>
      <c r="O7" s="23">
        <f t="shared" si="0"/>
        <v>1</v>
      </c>
      <c r="Q7" s="15">
        <f t="shared" ref="Q7:S8" si="1">G8</f>
        <v>0.26643699999999998</v>
      </c>
      <c r="R7" s="22">
        <f t="shared" si="1"/>
        <v>1.32</v>
      </c>
      <c r="S7" s="23">
        <f t="shared" si="1"/>
        <v>1</v>
      </c>
    </row>
    <row r="8" spans="2:19" ht="16" thickBot="1" x14ac:dyDescent="0.25">
      <c r="B8" s="33" t="s">
        <v>12</v>
      </c>
      <c r="C8" s="15">
        <f>'Decision Tree Case Avoided'!K2</f>
        <v>0.33145200000000002</v>
      </c>
      <c r="D8" s="22">
        <f>'Decision Tree Case Avoided'!L2</f>
        <v>16.100000000000001</v>
      </c>
      <c r="E8" s="23">
        <f>'Decision Tree Case Avoided'!M2</f>
        <v>1</v>
      </c>
      <c r="G8" s="15">
        <f>'Decision Tree Case Avoided'!K13</f>
        <v>0.26643699999999998</v>
      </c>
      <c r="H8" s="22">
        <f>'Decision Tree Case Avoided'!L13</f>
        <v>1.32</v>
      </c>
      <c r="I8" s="23">
        <f>'Decision Tree Case Avoided'!M13</f>
        <v>1</v>
      </c>
      <c r="J8" s="34"/>
      <c r="L8" t="s">
        <v>6</v>
      </c>
      <c r="M8" s="15">
        <f t="shared" si="0"/>
        <v>0.22654800000000003</v>
      </c>
      <c r="N8" s="22">
        <f t="shared" si="0"/>
        <v>32.200000000000003</v>
      </c>
      <c r="O8" s="23">
        <f t="shared" si="0"/>
        <v>1</v>
      </c>
      <c r="Q8" s="15">
        <f t="shared" si="1"/>
        <v>0.11256300000000002</v>
      </c>
      <c r="R8" s="22">
        <f t="shared" si="1"/>
        <v>2.64</v>
      </c>
      <c r="S8" s="23">
        <f t="shared" si="1"/>
        <v>1</v>
      </c>
    </row>
    <row r="9" spans="2:19" ht="16" thickBot="1" x14ac:dyDescent="0.25">
      <c r="B9" s="33" t="s">
        <v>6</v>
      </c>
      <c r="C9" s="15">
        <f>'Decision Tree Case Avoided'!K4</f>
        <v>0.22654800000000003</v>
      </c>
      <c r="D9" s="22">
        <f>'Decision Tree Case Avoided'!L4</f>
        <v>32.200000000000003</v>
      </c>
      <c r="E9" s="23">
        <f>'Decision Tree Case Avoided'!M4</f>
        <v>1</v>
      </c>
      <c r="G9" s="15">
        <f>'Decision Tree Case Avoided'!K15</f>
        <v>0.11256300000000002</v>
      </c>
      <c r="H9" s="22">
        <f>'Decision Tree Case Avoided'!L15</f>
        <v>2.64</v>
      </c>
      <c r="I9" s="23">
        <f>'Decision Tree Case Avoided'!M15</f>
        <v>1</v>
      </c>
      <c r="J9" s="34"/>
      <c r="L9" t="s">
        <v>7</v>
      </c>
      <c r="M9" s="15">
        <f>C12</f>
        <v>0.40663999999999995</v>
      </c>
      <c r="N9" s="22">
        <f>D12</f>
        <v>16.100000000000001</v>
      </c>
      <c r="O9" s="23">
        <f>E12</f>
        <v>0</v>
      </c>
      <c r="Q9" s="15">
        <f>G12</f>
        <v>0.57132000000000005</v>
      </c>
      <c r="R9" s="22">
        <f>H12</f>
        <v>1.32</v>
      </c>
      <c r="S9" s="23">
        <f>I12</f>
        <v>0</v>
      </c>
    </row>
    <row r="10" spans="2:19" ht="16" thickBot="1" x14ac:dyDescent="0.25">
      <c r="B10" s="33"/>
      <c r="C10" s="24"/>
      <c r="D10" s="21"/>
      <c r="E10" s="25"/>
      <c r="G10" s="24"/>
      <c r="H10" s="21"/>
      <c r="I10" s="25"/>
      <c r="J10" s="34"/>
      <c r="L10" t="s">
        <v>3</v>
      </c>
      <c r="M10" s="15">
        <f t="shared" ref="M10:O11" si="2">C15</f>
        <v>3.5289279999999999E-2</v>
      </c>
      <c r="N10" s="22">
        <f t="shared" si="2"/>
        <v>79.259999999999991</v>
      </c>
      <c r="O10" s="23">
        <f t="shared" si="2"/>
        <v>0</v>
      </c>
      <c r="Q10" s="15">
        <f t="shared" ref="Q10:S11" si="3">G15</f>
        <v>4.9580639999999947E-2</v>
      </c>
      <c r="R10" s="22">
        <f t="shared" si="3"/>
        <v>64.47999999999999</v>
      </c>
      <c r="S10" s="23">
        <f t="shared" si="3"/>
        <v>0</v>
      </c>
    </row>
    <row r="11" spans="2:19" ht="16" thickBot="1" x14ac:dyDescent="0.25">
      <c r="B11" s="33" t="s">
        <v>4</v>
      </c>
      <c r="C11" s="24">
        <f>'Decision Tree Case Avoided'!H7</f>
        <v>0.44199999999999995</v>
      </c>
      <c r="D11" s="21"/>
      <c r="E11" s="26"/>
      <c r="G11" s="24">
        <f>'Decision Tree Case Avoided'!H18</f>
        <v>0.621</v>
      </c>
      <c r="H11" s="21"/>
      <c r="I11" s="26"/>
      <c r="J11" s="34"/>
      <c r="L11" t="s">
        <v>9</v>
      </c>
      <c r="M11" s="15">
        <f t="shared" si="2"/>
        <v>7.072000000000328E-5</v>
      </c>
      <c r="N11" s="22">
        <f t="shared" si="2"/>
        <v>1172.23</v>
      </c>
      <c r="O11" s="23">
        <f t="shared" si="2"/>
        <v>0</v>
      </c>
      <c r="Q11" s="15">
        <f t="shared" si="3"/>
        <v>9.9359999999999726E-5</v>
      </c>
      <c r="R11" s="22">
        <f t="shared" si="3"/>
        <v>1157.45</v>
      </c>
      <c r="S11" s="23">
        <f t="shared" si="3"/>
        <v>0</v>
      </c>
    </row>
    <row r="12" spans="2:19" ht="16" thickBot="1" x14ac:dyDescent="0.25">
      <c r="B12" s="33" t="s">
        <v>7</v>
      </c>
      <c r="C12" s="15">
        <f>'Decision Tree Case Avoided'!K6</f>
        <v>0.40663999999999995</v>
      </c>
      <c r="D12" s="22">
        <f>'Decision Tree Case Avoided'!L6</f>
        <v>16.100000000000001</v>
      </c>
      <c r="E12" s="23">
        <f>'Decision Tree Case Avoided'!M6</f>
        <v>0</v>
      </c>
      <c r="G12" s="15">
        <f>'Decision Tree Case Avoided'!K17</f>
        <v>0.57132000000000005</v>
      </c>
      <c r="H12" s="22">
        <f>'Decision Tree Case Avoided'!L17</f>
        <v>1.32</v>
      </c>
      <c r="I12" s="23">
        <f>'Decision Tree Case Avoided'!M17</f>
        <v>0</v>
      </c>
      <c r="J12" s="34"/>
      <c r="O12" s="3"/>
      <c r="S12" s="3"/>
    </row>
    <row r="13" spans="2:19" ht="16" thickBot="1" x14ac:dyDescent="0.25">
      <c r="B13" s="33"/>
      <c r="C13" s="29"/>
      <c r="D13" s="29"/>
      <c r="E13" s="29"/>
      <c r="G13" s="29"/>
      <c r="H13" s="29"/>
      <c r="I13" s="29"/>
      <c r="J13" s="34"/>
      <c r="L13" t="s">
        <v>20</v>
      </c>
      <c r="N13" s="22">
        <f>SUMPRODUCT(M7:M11,N7:N11)</f>
        <v>22.058055238400005</v>
      </c>
      <c r="O13" s="23">
        <f>SUMPRODUCT(M7:M11,O7:O11)</f>
        <v>0.55800000000000005</v>
      </c>
      <c r="R13" s="22">
        <f>SUMPRODUCT(Q7:Q11,R7:R11)</f>
        <v>4.7149694591999962</v>
      </c>
      <c r="S13" s="23">
        <f>SUMPRODUCT(Q7:Q11,S7:S11)</f>
        <v>0.379</v>
      </c>
    </row>
    <row r="14" spans="2:19" ht="16" thickBot="1" x14ac:dyDescent="0.25">
      <c r="B14" s="33" t="s">
        <v>8</v>
      </c>
      <c r="C14" s="24">
        <f>'Decision Tree Case Avoided'!K9</f>
        <v>3.5360000000000003E-2</v>
      </c>
      <c r="D14" s="21"/>
      <c r="E14" s="26"/>
      <c r="G14" s="24">
        <f>'Decision Tree Case Avoided'!K20</f>
        <v>4.9679999999999946E-2</v>
      </c>
      <c r="H14" s="21"/>
      <c r="I14" s="26"/>
      <c r="J14" s="34"/>
    </row>
    <row r="15" spans="2:19" ht="16" thickBot="1" x14ac:dyDescent="0.25">
      <c r="B15" s="33" t="s">
        <v>3</v>
      </c>
      <c r="C15" s="15">
        <f>'Decision Tree Case Avoided'!P8</f>
        <v>3.5289279999999999E-2</v>
      </c>
      <c r="D15" s="22">
        <f>'Decision Tree Case Avoided'!Q8</f>
        <v>79.259999999999991</v>
      </c>
      <c r="E15" s="23">
        <f>'Decision Tree Case Avoided'!R8</f>
        <v>0</v>
      </c>
      <c r="G15" s="15">
        <f>'Decision Tree Case Avoided'!P19</f>
        <v>4.9580639999999947E-2</v>
      </c>
      <c r="H15" s="22">
        <f>'Decision Tree Case Avoided'!Q19</f>
        <v>64.47999999999999</v>
      </c>
      <c r="I15" s="23">
        <f>'Decision Tree Case Avoided'!R19</f>
        <v>0</v>
      </c>
      <c r="J15" s="34"/>
      <c r="N15" s="39"/>
      <c r="O15" s="39"/>
    </row>
    <row r="16" spans="2:19" ht="16" thickBot="1" x14ac:dyDescent="0.25">
      <c r="B16" s="33" t="s">
        <v>9</v>
      </c>
      <c r="C16" s="15">
        <f>'Decision Tree Case Avoided'!P10</f>
        <v>7.072000000000328E-5</v>
      </c>
      <c r="D16" s="22">
        <f>'Decision Tree Case Avoided'!Q10</f>
        <v>1172.23</v>
      </c>
      <c r="E16" s="23">
        <f>'Decision Tree Case Avoided'!R10</f>
        <v>0</v>
      </c>
      <c r="G16" s="15">
        <f>'Decision Tree Case Avoided'!P21</f>
        <v>9.9359999999999726E-5</v>
      </c>
      <c r="H16" s="22">
        <f>'Decision Tree Case Avoided'!Q21</f>
        <v>1157.45</v>
      </c>
      <c r="I16" s="23">
        <f>'Decision Tree Case Avoided'!R21</f>
        <v>0</v>
      </c>
      <c r="J16" s="34"/>
    </row>
    <row r="17" spans="2:13" ht="16" thickBot="1" x14ac:dyDescent="0.25">
      <c r="B17" s="35"/>
      <c r="C17" s="36"/>
      <c r="D17" s="36"/>
      <c r="E17" s="37"/>
      <c r="F17" s="36"/>
      <c r="G17" s="36"/>
      <c r="H17" s="36"/>
      <c r="I17" s="37"/>
      <c r="J17" s="38"/>
    </row>
    <row r="18" spans="2:13" x14ac:dyDescent="0.2">
      <c r="L18" t="s">
        <v>22</v>
      </c>
      <c r="M18" s="44">
        <f>(N13-R13)/(O13-S13)</f>
        <v>96.88874736983243</v>
      </c>
    </row>
    <row r="20" spans="2:13" x14ac:dyDescent="0.2">
      <c r="M20" s="43"/>
    </row>
  </sheetData>
  <mergeCells count="4">
    <mergeCell ref="C3:E3"/>
    <mergeCell ref="G3:I3"/>
    <mergeCell ref="M5:O5"/>
    <mergeCell ref="Q5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8A34-8777-654D-8BB2-C8662DDD8D30}">
  <dimension ref="B1:R28"/>
  <sheetViews>
    <sheetView workbookViewId="0">
      <selection activeCell="B1" sqref="B1:T33"/>
    </sheetView>
  </sheetViews>
  <sheetFormatPr baseColWidth="10" defaultColWidth="8.83203125" defaultRowHeight="15" x14ac:dyDescent="0.2"/>
  <cols>
    <col min="2" max="2" width="15" bestFit="1" customWidth="1"/>
    <col min="4" max="4" width="19.83203125" bestFit="1" customWidth="1"/>
    <col min="5" max="6" width="10" bestFit="1" customWidth="1"/>
    <col min="7" max="7" width="14" bestFit="1" customWidth="1"/>
    <col min="9" max="9" width="11" bestFit="1" customWidth="1"/>
    <col min="10" max="10" width="14.33203125" bestFit="1" customWidth="1"/>
    <col min="15" max="15" width="14.5" bestFit="1" customWidth="1"/>
    <col min="16" max="16" width="10" bestFit="1" customWidth="1"/>
  </cols>
  <sheetData>
    <row r="1" spans="2:18" ht="16" thickBot="1" x14ac:dyDescent="0.25"/>
    <row r="2" spans="2:18" ht="16" thickBot="1" x14ac:dyDescent="0.25">
      <c r="J2" s="1" t="s">
        <v>5</v>
      </c>
      <c r="K2" s="15">
        <f>0.594*H3</f>
        <v>0.33145200000000002</v>
      </c>
      <c r="L2" s="14">
        <f>16.1</f>
        <v>16.100000000000001</v>
      </c>
      <c r="M2" s="18">
        <v>1</v>
      </c>
    </row>
    <row r="3" spans="2:18" ht="16" thickBot="1" x14ac:dyDescent="0.25">
      <c r="G3" s="1" t="s">
        <v>3</v>
      </c>
      <c r="H3" s="15">
        <v>0.55800000000000005</v>
      </c>
      <c r="J3" s="1"/>
    </row>
    <row r="4" spans="2:18" ht="16" thickBot="1" x14ac:dyDescent="0.25">
      <c r="J4" s="1" t="s">
        <v>6</v>
      </c>
      <c r="K4" s="15">
        <f>H3-K2</f>
        <v>0.22654800000000003</v>
      </c>
      <c r="L4" s="14">
        <f>16.1*2</f>
        <v>32.200000000000003</v>
      </c>
      <c r="M4" s="18">
        <v>0.9</v>
      </c>
    </row>
    <row r="5" spans="2:18" ht="16" thickBot="1" x14ac:dyDescent="0.25">
      <c r="D5" s="1" t="s">
        <v>1</v>
      </c>
      <c r="E5" s="15">
        <v>1</v>
      </c>
    </row>
    <row r="6" spans="2:18" ht="16" thickBot="1" x14ac:dyDescent="0.25">
      <c r="J6" s="1" t="s">
        <v>7</v>
      </c>
      <c r="K6" s="15">
        <f>0.92*H7</f>
        <v>0.40663999999999995</v>
      </c>
      <c r="L6" s="14">
        <f>16.1</f>
        <v>16.100000000000001</v>
      </c>
      <c r="M6" s="18">
        <v>-0.3</v>
      </c>
    </row>
    <row r="7" spans="2:18" ht="16" thickBot="1" x14ac:dyDescent="0.25">
      <c r="G7" s="1" t="s">
        <v>4</v>
      </c>
      <c r="H7" s="15">
        <f>E5-H3</f>
        <v>0.44199999999999995</v>
      </c>
    </row>
    <row r="8" spans="2:18" ht="16" thickBot="1" x14ac:dyDescent="0.25">
      <c r="B8" s="1" t="s">
        <v>0</v>
      </c>
      <c r="C8" s="2"/>
      <c r="O8" s="1" t="s">
        <v>21</v>
      </c>
      <c r="P8" s="15">
        <f>0.998*K9</f>
        <v>3.5289279999999999E-2</v>
      </c>
      <c r="Q8" s="14">
        <f>16.1+63.16</f>
        <v>79.259999999999991</v>
      </c>
      <c r="R8" s="18">
        <v>0.1</v>
      </c>
    </row>
    <row r="9" spans="2:18" ht="16" thickBot="1" x14ac:dyDescent="0.25">
      <c r="J9" s="1" t="s">
        <v>8</v>
      </c>
      <c r="K9" s="15">
        <f>H7-K6</f>
        <v>3.5360000000000003E-2</v>
      </c>
      <c r="L9" s="13"/>
      <c r="M9" s="13"/>
    </row>
    <row r="10" spans="2:18" ht="16" thickBot="1" x14ac:dyDescent="0.25">
      <c r="O10" s="1" t="s">
        <v>9</v>
      </c>
      <c r="P10" s="15">
        <f>K9-P8</f>
        <v>7.072000000000328E-5</v>
      </c>
      <c r="Q10" s="14">
        <f>16.1+63.13+1093</f>
        <v>1172.23</v>
      </c>
      <c r="R10" s="18">
        <v>-0.3</v>
      </c>
    </row>
    <row r="12" spans="2:18" ht="16" thickBot="1" x14ac:dyDescent="0.25"/>
    <row r="13" spans="2:18" ht="16" thickBot="1" x14ac:dyDescent="0.25">
      <c r="J13" s="1" t="s">
        <v>5</v>
      </c>
      <c r="K13" s="15">
        <f>H14*0.703</f>
        <v>0.26643699999999998</v>
      </c>
      <c r="L13" s="14">
        <f>1.32</f>
        <v>1.32</v>
      </c>
      <c r="M13" s="18">
        <v>1</v>
      </c>
    </row>
    <row r="14" spans="2:18" ht="16" thickBot="1" x14ac:dyDescent="0.25">
      <c r="G14" s="1" t="s">
        <v>3</v>
      </c>
      <c r="H14" s="15">
        <v>0.379</v>
      </c>
    </row>
    <row r="15" spans="2:18" ht="16" thickBot="1" x14ac:dyDescent="0.25">
      <c r="J15" s="1" t="s">
        <v>6</v>
      </c>
      <c r="K15" s="15">
        <f>H14-K13</f>
        <v>0.11256300000000002</v>
      </c>
      <c r="L15" s="14">
        <f>1.32*2</f>
        <v>2.64</v>
      </c>
      <c r="M15" s="18">
        <v>0.9</v>
      </c>
    </row>
    <row r="16" spans="2:18" ht="16" thickBot="1" x14ac:dyDescent="0.25">
      <c r="D16" s="1" t="s">
        <v>2</v>
      </c>
      <c r="E16" s="15">
        <v>1</v>
      </c>
    </row>
    <row r="17" spans="6:18" ht="16" thickBot="1" x14ac:dyDescent="0.25">
      <c r="J17" s="1" t="s">
        <v>7</v>
      </c>
      <c r="K17" s="15">
        <f>0.92*H18</f>
        <v>0.57132000000000005</v>
      </c>
      <c r="L17" s="14">
        <f>1.32</f>
        <v>1.32</v>
      </c>
      <c r="M17" s="18">
        <v>-0.3</v>
      </c>
    </row>
    <row r="18" spans="6:18" ht="16" thickBot="1" x14ac:dyDescent="0.25">
      <c r="G18" s="1" t="s">
        <v>4</v>
      </c>
      <c r="H18" s="15">
        <f>E16-H14</f>
        <v>0.621</v>
      </c>
    </row>
    <row r="19" spans="6:18" ht="16" thickBot="1" x14ac:dyDescent="0.25">
      <c r="O19" s="1" t="s">
        <v>21</v>
      </c>
      <c r="P19" s="15">
        <f>0.998*K20</f>
        <v>4.9580639999999947E-2</v>
      </c>
      <c r="Q19" s="14">
        <f>1.32+63.16</f>
        <v>64.47999999999999</v>
      </c>
      <c r="R19" s="18">
        <v>0.1</v>
      </c>
    </row>
    <row r="20" spans="6:18" ht="16" thickBot="1" x14ac:dyDescent="0.25">
      <c r="J20" s="1" t="s">
        <v>8</v>
      </c>
      <c r="K20" s="15">
        <f>H18-K17</f>
        <v>4.9679999999999946E-2</v>
      </c>
      <c r="L20" s="13"/>
      <c r="M20" s="13"/>
    </row>
    <row r="21" spans="6:18" ht="16" thickBot="1" x14ac:dyDescent="0.25">
      <c r="O21" s="1" t="s">
        <v>9</v>
      </c>
      <c r="P21" s="15">
        <f>K20-P19</f>
        <v>9.9359999999999726E-5</v>
      </c>
      <c r="Q21" s="14">
        <f>1.32+63.13+1093</f>
        <v>1157.45</v>
      </c>
      <c r="R21" s="18">
        <v>-0.3</v>
      </c>
    </row>
    <row r="22" spans="6:18" ht="16" thickBot="1" x14ac:dyDescent="0.25"/>
    <row r="23" spans="6:18" x14ac:dyDescent="0.2">
      <c r="F23" s="7"/>
      <c r="G23" s="8"/>
      <c r="H23" s="8"/>
      <c r="I23" s="8"/>
      <c r="J23" s="9"/>
    </row>
    <row r="24" spans="6:18" x14ac:dyDescent="0.2">
      <c r="F24" s="4"/>
      <c r="G24" t="s">
        <v>17</v>
      </c>
      <c r="J24" s="5"/>
    </row>
    <row r="25" spans="6:18" ht="16" thickBot="1" x14ac:dyDescent="0.25">
      <c r="F25" s="4"/>
      <c r="J25" s="5"/>
    </row>
    <row r="26" spans="6:18" ht="16" thickBot="1" x14ac:dyDescent="0.25">
      <c r="F26" s="4"/>
      <c r="G26" s="15" t="s">
        <v>15</v>
      </c>
      <c r="I26" s="14" t="s">
        <v>16</v>
      </c>
      <c r="J26" s="5"/>
    </row>
    <row r="27" spans="6:18" ht="16" thickBot="1" x14ac:dyDescent="0.25">
      <c r="F27" s="4"/>
      <c r="I27" s="18" t="s">
        <v>18</v>
      </c>
      <c r="J27" s="5"/>
    </row>
    <row r="28" spans="6:18" ht="16" thickBot="1" x14ac:dyDescent="0.25">
      <c r="F28" s="16"/>
      <c r="G28" s="6"/>
      <c r="H28" s="6"/>
      <c r="I28" s="6"/>
      <c r="J28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39D1-DB94-8742-AC7E-F4D921212C66}">
  <dimension ref="B1:S18"/>
  <sheetViews>
    <sheetView tabSelected="1" workbookViewId="0">
      <selection activeCell="N23" sqref="N23"/>
    </sheetView>
  </sheetViews>
  <sheetFormatPr baseColWidth="10" defaultColWidth="8.83203125" defaultRowHeight="15" x14ac:dyDescent="0.2"/>
  <cols>
    <col min="2" max="2" width="14.5" bestFit="1" customWidth="1"/>
    <col min="4" max="5" width="10.6640625" customWidth="1"/>
    <col min="7" max="7" width="9.5" customWidth="1"/>
    <col min="8" max="9" width="10.6640625" customWidth="1"/>
    <col min="12" max="12" width="17" bestFit="1" customWidth="1"/>
    <col min="14" max="15" width="10.6640625" customWidth="1"/>
    <col min="18" max="19" width="10.6640625" customWidth="1"/>
  </cols>
  <sheetData>
    <row r="1" spans="2:19" ht="16" thickBot="1" x14ac:dyDescent="0.25"/>
    <row r="2" spans="2:19" ht="16" thickBot="1" x14ac:dyDescent="0.25">
      <c r="B2" s="30"/>
      <c r="C2" s="31"/>
      <c r="D2" s="31"/>
      <c r="E2" s="31"/>
      <c r="F2" s="31"/>
      <c r="G2" s="31"/>
      <c r="H2" s="31"/>
      <c r="I2" s="31"/>
      <c r="J2" s="32"/>
    </row>
    <row r="3" spans="2:19" ht="16" thickBot="1" x14ac:dyDescent="0.25">
      <c r="B3" s="33"/>
      <c r="C3" s="40" t="s">
        <v>1</v>
      </c>
      <c r="D3" s="41"/>
      <c r="E3" s="42"/>
      <c r="G3" s="40" t="s">
        <v>2</v>
      </c>
      <c r="H3" s="41"/>
      <c r="I3" s="42"/>
      <c r="J3" s="34"/>
    </row>
    <row r="4" spans="2:19" ht="16" thickBot="1" x14ac:dyDescent="0.25">
      <c r="B4" s="33"/>
      <c r="C4" s="10" t="s">
        <v>13</v>
      </c>
      <c r="D4" s="11" t="s">
        <v>14</v>
      </c>
      <c r="E4" s="12" t="s">
        <v>19</v>
      </c>
      <c r="G4" s="10" t="s">
        <v>13</v>
      </c>
      <c r="H4" s="11" t="s">
        <v>14</v>
      </c>
      <c r="I4" s="12" t="s">
        <v>19</v>
      </c>
      <c r="J4" s="34"/>
    </row>
    <row r="5" spans="2:19" ht="16" thickBot="1" x14ac:dyDescent="0.25">
      <c r="B5" s="33" t="s">
        <v>10</v>
      </c>
      <c r="C5" s="28">
        <f>'Decision Tree QALY'!E5</f>
        <v>1</v>
      </c>
      <c r="D5" s="19"/>
      <c r="E5" s="19"/>
      <c r="G5" s="28">
        <f>'Decision Tree QALY'!E16</f>
        <v>1</v>
      </c>
      <c r="H5" s="19"/>
      <c r="I5" s="19"/>
      <c r="J5" s="34"/>
      <c r="M5" s="40" t="s">
        <v>1</v>
      </c>
      <c r="N5" s="41"/>
      <c r="O5" s="42"/>
      <c r="Q5" s="40" t="s">
        <v>2</v>
      </c>
      <c r="R5" s="41"/>
      <c r="S5" s="42"/>
    </row>
    <row r="6" spans="2:19" ht="16" thickBot="1" x14ac:dyDescent="0.25">
      <c r="B6" s="33"/>
      <c r="C6" s="24"/>
      <c r="D6" s="20"/>
      <c r="E6" s="20"/>
      <c r="G6" s="24"/>
      <c r="H6" s="20"/>
      <c r="I6" s="20"/>
      <c r="J6" s="34"/>
      <c r="M6" s="10" t="s">
        <v>13</v>
      </c>
      <c r="N6" s="11" t="s">
        <v>14</v>
      </c>
      <c r="O6" s="12" t="s">
        <v>19</v>
      </c>
      <c r="Q6" s="10" t="s">
        <v>13</v>
      </c>
      <c r="R6" s="11" t="s">
        <v>14</v>
      </c>
      <c r="S6" s="12" t="s">
        <v>19</v>
      </c>
    </row>
    <row r="7" spans="2:19" ht="16" thickBot="1" x14ac:dyDescent="0.25">
      <c r="B7" s="33" t="s">
        <v>11</v>
      </c>
      <c r="C7" s="24">
        <f>'Decision Tree QALY'!H3</f>
        <v>0.55800000000000005</v>
      </c>
      <c r="D7" s="20"/>
      <c r="E7" s="27"/>
      <c r="G7" s="24">
        <f>'Decision Tree QALY'!H14</f>
        <v>0.379</v>
      </c>
      <c r="H7" s="20"/>
      <c r="I7" s="27"/>
      <c r="J7" s="34"/>
      <c r="L7" t="s">
        <v>12</v>
      </c>
      <c r="M7" s="15">
        <f t="shared" ref="M7:O8" si="0">C8</f>
        <v>0.33145200000000002</v>
      </c>
      <c r="N7" s="22">
        <f t="shared" si="0"/>
        <v>16.100000000000001</v>
      </c>
      <c r="O7" s="23">
        <f t="shared" si="0"/>
        <v>1</v>
      </c>
      <c r="Q7" s="15">
        <f t="shared" ref="Q7:S8" si="1">G8</f>
        <v>0.26643699999999998</v>
      </c>
      <c r="R7" s="22">
        <f t="shared" si="1"/>
        <v>1.32</v>
      </c>
      <c r="S7" s="23">
        <f t="shared" si="1"/>
        <v>1</v>
      </c>
    </row>
    <row r="8" spans="2:19" ht="16" thickBot="1" x14ac:dyDescent="0.25">
      <c r="B8" s="33" t="s">
        <v>12</v>
      </c>
      <c r="C8" s="15">
        <f>'Decision Tree QALY'!K2</f>
        <v>0.33145200000000002</v>
      </c>
      <c r="D8" s="22">
        <f>'Decision Tree QALY'!L2</f>
        <v>16.100000000000001</v>
      </c>
      <c r="E8" s="23">
        <f>'Decision Tree QALY'!M2</f>
        <v>1</v>
      </c>
      <c r="G8" s="15">
        <f>'Decision Tree QALY'!K13</f>
        <v>0.26643699999999998</v>
      </c>
      <c r="H8" s="22">
        <f>'Decision Tree QALY'!L13</f>
        <v>1.32</v>
      </c>
      <c r="I8" s="23">
        <f>'Decision Tree QALY'!M13</f>
        <v>1</v>
      </c>
      <c r="J8" s="34"/>
      <c r="L8" t="s">
        <v>6</v>
      </c>
      <c r="M8" s="15">
        <f t="shared" si="0"/>
        <v>0.22654800000000003</v>
      </c>
      <c r="N8" s="22">
        <f t="shared" si="0"/>
        <v>32.200000000000003</v>
      </c>
      <c r="O8" s="23">
        <f t="shared" si="0"/>
        <v>0.9</v>
      </c>
      <c r="Q8" s="15">
        <f t="shared" si="1"/>
        <v>0.11256300000000002</v>
      </c>
      <c r="R8" s="22">
        <f t="shared" si="1"/>
        <v>2.64</v>
      </c>
      <c r="S8" s="23">
        <f t="shared" si="1"/>
        <v>0.9</v>
      </c>
    </row>
    <row r="9" spans="2:19" ht="16" thickBot="1" x14ac:dyDescent="0.25">
      <c r="B9" s="33" t="s">
        <v>6</v>
      </c>
      <c r="C9" s="15">
        <f>'Decision Tree QALY'!K4</f>
        <v>0.22654800000000003</v>
      </c>
      <c r="D9" s="22">
        <f>'Decision Tree QALY'!L4</f>
        <v>32.200000000000003</v>
      </c>
      <c r="E9" s="23">
        <f>'Decision Tree QALY'!M4</f>
        <v>0.9</v>
      </c>
      <c r="G9" s="15">
        <f>'Decision Tree QALY'!K15</f>
        <v>0.11256300000000002</v>
      </c>
      <c r="H9" s="22">
        <f>'Decision Tree QALY'!L15</f>
        <v>2.64</v>
      </c>
      <c r="I9" s="23">
        <f>'Decision Tree QALY'!M15</f>
        <v>0.9</v>
      </c>
      <c r="J9" s="34"/>
      <c r="L9" t="s">
        <v>7</v>
      </c>
      <c r="M9" s="15">
        <f>C12</f>
        <v>0.40663999999999995</v>
      </c>
      <c r="N9" s="22">
        <f>D12</f>
        <v>16.100000000000001</v>
      </c>
      <c r="O9" s="23">
        <f>E12</f>
        <v>-0.3</v>
      </c>
      <c r="Q9" s="15">
        <f>G12</f>
        <v>0.57132000000000005</v>
      </c>
      <c r="R9" s="22">
        <f>H12</f>
        <v>1.32</v>
      </c>
      <c r="S9" s="23">
        <f>I12</f>
        <v>-0.3</v>
      </c>
    </row>
    <row r="10" spans="2:19" ht="16" thickBot="1" x14ac:dyDescent="0.25">
      <c r="B10" s="33"/>
      <c r="C10" s="24"/>
      <c r="D10" s="21"/>
      <c r="E10" s="25"/>
      <c r="G10" s="24"/>
      <c r="H10" s="21"/>
      <c r="I10" s="25"/>
      <c r="J10" s="34"/>
      <c r="L10" t="s">
        <v>3</v>
      </c>
      <c r="M10" s="15">
        <f t="shared" ref="M10:O11" si="2">C15</f>
        <v>3.5289279999999999E-2</v>
      </c>
      <c r="N10" s="22">
        <f t="shared" si="2"/>
        <v>79.259999999999991</v>
      </c>
      <c r="O10" s="23">
        <f t="shared" si="2"/>
        <v>0.1</v>
      </c>
      <c r="Q10" s="15">
        <f t="shared" ref="Q10:S11" si="3">G15</f>
        <v>4.9580639999999947E-2</v>
      </c>
      <c r="R10" s="22">
        <f t="shared" si="3"/>
        <v>64.47999999999999</v>
      </c>
      <c r="S10" s="23">
        <f t="shared" si="3"/>
        <v>0.1</v>
      </c>
    </row>
    <row r="11" spans="2:19" ht="16" thickBot="1" x14ac:dyDescent="0.25">
      <c r="B11" s="33" t="s">
        <v>4</v>
      </c>
      <c r="C11" s="24">
        <f>'Decision Tree QALY'!H7</f>
        <v>0.44199999999999995</v>
      </c>
      <c r="D11" s="21"/>
      <c r="E11" s="26"/>
      <c r="G11" s="24">
        <f>'Decision Tree QALY'!H18</f>
        <v>0.621</v>
      </c>
      <c r="H11" s="21"/>
      <c r="I11" s="26"/>
      <c r="J11" s="34"/>
      <c r="L11" t="s">
        <v>9</v>
      </c>
      <c r="M11" s="15">
        <f t="shared" si="2"/>
        <v>7.072000000000328E-5</v>
      </c>
      <c r="N11" s="22">
        <f t="shared" si="2"/>
        <v>1172.23</v>
      </c>
      <c r="O11" s="23">
        <f t="shared" si="2"/>
        <v>-0.3</v>
      </c>
      <c r="Q11" s="15">
        <f t="shared" si="3"/>
        <v>9.9359999999999726E-5</v>
      </c>
      <c r="R11" s="22">
        <f t="shared" si="3"/>
        <v>1157.45</v>
      </c>
      <c r="S11" s="23">
        <f t="shared" si="3"/>
        <v>-0.3</v>
      </c>
    </row>
    <row r="12" spans="2:19" ht="16" thickBot="1" x14ac:dyDescent="0.25">
      <c r="B12" s="33" t="s">
        <v>7</v>
      </c>
      <c r="C12" s="15">
        <f>'Decision Tree QALY'!K6</f>
        <v>0.40663999999999995</v>
      </c>
      <c r="D12" s="22">
        <f>'Decision Tree QALY'!L6</f>
        <v>16.100000000000001</v>
      </c>
      <c r="E12" s="23">
        <f>'Decision Tree QALY'!M6</f>
        <v>-0.3</v>
      </c>
      <c r="G12" s="15">
        <f>'Decision Tree QALY'!K17</f>
        <v>0.57132000000000005</v>
      </c>
      <c r="H12" s="22">
        <f>'Decision Tree QALY'!L17</f>
        <v>1.32</v>
      </c>
      <c r="I12" s="23">
        <f>'Decision Tree QALY'!M17</f>
        <v>-0.3</v>
      </c>
      <c r="J12" s="34"/>
      <c r="O12" s="3"/>
      <c r="S12" s="3"/>
    </row>
    <row r="13" spans="2:19" ht="16" thickBot="1" x14ac:dyDescent="0.25">
      <c r="B13" s="33"/>
      <c r="C13" s="29"/>
      <c r="D13" s="29"/>
      <c r="E13" s="29"/>
      <c r="G13" s="29"/>
      <c r="H13" s="29"/>
      <c r="I13" s="29"/>
      <c r="J13" s="34"/>
      <c r="L13" t="s">
        <v>20</v>
      </c>
      <c r="N13" s="22">
        <f>SUMPRODUCT(M7:M11,N7:N11)</f>
        <v>22.058055238400005</v>
      </c>
      <c r="O13" s="23">
        <f>SUMPRODUCT(M7:M11,O7:O11)</f>
        <v>0.41686091200000008</v>
      </c>
      <c r="R13" s="22">
        <f>SUMPRODUCT(Q7:Q11,R7:R11)</f>
        <v>4.7149694591999962</v>
      </c>
      <c r="S13" s="23">
        <f>SUMPRODUCT(Q7:Q11,S7:S11)</f>
        <v>0.20127595599999998</v>
      </c>
    </row>
    <row r="14" spans="2:19" ht="16" thickBot="1" x14ac:dyDescent="0.25">
      <c r="B14" s="33" t="s">
        <v>8</v>
      </c>
      <c r="C14" s="24">
        <f>'Decision Tree QALY'!K9</f>
        <v>3.5360000000000003E-2</v>
      </c>
      <c r="D14" s="21"/>
      <c r="E14" s="26"/>
      <c r="G14" s="24">
        <f>'Decision Tree QALY'!K20</f>
        <v>4.9679999999999946E-2</v>
      </c>
      <c r="H14" s="21"/>
      <c r="I14" s="26"/>
      <c r="J14" s="34"/>
    </row>
    <row r="15" spans="2:19" ht="16" thickBot="1" x14ac:dyDescent="0.25">
      <c r="B15" s="33" t="s">
        <v>3</v>
      </c>
      <c r="C15" s="15">
        <f>'Decision Tree QALY'!P8</f>
        <v>3.5289279999999999E-2</v>
      </c>
      <c r="D15" s="22">
        <f>'Decision Tree QALY'!Q8</f>
        <v>79.259999999999991</v>
      </c>
      <c r="E15" s="23">
        <f>'Decision Tree QALY'!R8</f>
        <v>0.1</v>
      </c>
      <c r="G15" s="15">
        <f>'Decision Tree QALY'!P19</f>
        <v>4.9580639999999947E-2</v>
      </c>
      <c r="H15" s="22">
        <f>'Decision Tree QALY'!Q19</f>
        <v>64.47999999999999</v>
      </c>
      <c r="I15" s="23">
        <f>'Decision Tree QALY'!R19</f>
        <v>0.1</v>
      </c>
      <c r="J15" s="34"/>
      <c r="N15" s="39"/>
      <c r="O15" s="39"/>
    </row>
    <row r="16" spans="2:19" ht="16" thickBot="1" x14ac:dyDescent="0.25">
      <c r="B16" s="33" t="s">
        <v>9</v>
      </c>
      <c r="C16" s="15">
        <f>'Decision Tree QALY'!P10</f>
        <v>7.072000000000328E-5</v>
      </c>
      <c r="D16" s="22">
        <f>'Decision Tree QALY'!Q10</f>
        <v>1172.23</v>
      </c>
      <c r="E16" s="23">
        <f>'Decision Tree QALY'!R10</f>
        <v>-0.3</v>
      </c>
      <c r="G16" s="15">
        <f>'Decision Tree QALY'!P21</f>
        <v>9.9359999999999726E-5</v>
      </c>
      <c r="H16" s="22">
        <f>'Decision Tree QALY'!Q21</f>
        <v>1157.45</v>
      </c>
      <c r="I16" s="23">
        <f>'Decision Tree QALY'!R21</f>
        <v>-0.3</v>
      </c>
      <c r="J16" s="34"/>
    </row>
    <row r="17" spans="2:13" ht="16" thickBot="1" x14ac:dyDescent="0.25">
      <c r="B17" s="35"/>
      <c r="C17" s="36"/>
      <c r="D17" s="36"/>
      <c r="E17" s="37"/>
      <c r="F17" s="36"/>
      <c r="G17" s="36"/>
      <c r="H17" s="36"/>
      <c r="I17" s="37"/>
      <c r="J17" s="38"/>
    </row>
    <row r="18" spans="2:13" x14ac:dyDescent="0.2">
      <c r="L18" t="s">
        <v>23</v>
      </c>
      <c r="M18" s="44">
        <f>(N13-R13)*365/(O13-S13)</f>
        <v>29363.024335557071</v>
      </c>
    </row>
  </sheetData>
  <mergeCells count="4">
    <mergeCell ref="C3:E3"/>
    <mergeCell ref="G3:I3"/>
    <mergeCell ref="M5:O5"/>
    <mergeCell ref="Q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 Case Avoided</vt:lpstr>
      <vt:lpstr>ICER_Case Avoided</vt:lpstr>
      <vt:lpstr>Decision Tree QALY</vt:lpstr>
      <vt:lpstr>ICER_QALY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Edlin</dc:creator>
  <cp:lastModifiedBy>steve Lee</cp:lastModifiedBy>
  <dcterms:created xsi:type="dcterms:W3CDTF">2013-03-10T04:20:31Z</dcterms:created>
  <dcterms:modified xsi:type="dcterms:W3CDTF">2024-11-02T02:01:12Z</dcterms:modified>
</cp:coreProperties>
</file>