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xr:revisionPtr revIDLastSave="0" documentId="13_ncr:1_{DE6F0686-9054-4471-AAAB-0C25B7578999}" xr6:coauthVersionLast="47" xr6:coauthVersionMax="47" xr10:uidLastSave="{00000000-0000-0000-0000-000000000000}"/>
  <bookViews>
    <workbookView xWindow="-120" yWindow="-120" windowWidth="20730" windowHeight="11160" tabRatio="809" activeTab="9" xr2:uid="{B15528AF-ACD1-4B8F-BFCF-BBC7C0F7A8EB}"/>
  </bookViews>
  <sheets>
    <sheet name="FRAG." sheetId="1" r:id="rId1"/>
    <sheet name="AVD" sheetId="14" r:id="rId2"/>
    <sheet name="EQUIL." sheetId="2" r:id="rId3"/>
    <sheet name="COG." sheetId="4" r:id="rId4"/>
    <sheet name="DEPRE." sheetId="3" r:id="rId5"/>
    <sheet name="SARCO." sheetId="6" r:id="rId6"/>
    <sheet name="BAT. FUNC." sheetId="9" r:id="rId7"/>
    <sheet name="CAP. CARDIO" sheetId="11" r:id="rId8"/>
    <sheet name="COMP. CORP." sheetId="12" r:id="rId9"/>
    <sheet name="Testes avulsos" sheetId="13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2" l="1"/>
  <c r="O4" i="12" s="1"/>
  <c r="J40" i="14"/>
  <c r="F40" i="14"/>
  <c r="N15" i="4"/>
  <c r="H3" i="11"/>
  <c r="I3" i="11" s="1"/>
  <c r="J3" i="11" s="1"/>
  <c r="F3" i="6"/>
  <c r="F4" i="6" s="1"/>
  <c r="F12" i="6"/>
  <c r="H4" i="12"/>
  <c r="G4" i="12"/>
  <c r="C8" i="1"/>
  <c r="I4" i="12"/>
  <c r="C17" i="3"/>
  <c r="C16" i="3"/>
  <c r="C15" i="3"/>
  <c r="C14" i="3"/>
  <c r="C13" i="3"/>
  <c r="C12" i="3"/>
  <c r="C11" i="3"/>
  <c r="C10" i="3"/>
  <c r="C8" i="3"/>
  <c r="C9" i="3"/>
  <c r="C7" i="3"/>
  <c r="C6" i="3"/>
  <c r="C5" i="3"/>
  <c r="C4" i="3"/>
  <c r="C3" i="3"/>
  <c r="H9" i="9"/>
  <c r="H5" i="9"/>
  <c r="H6" i="9"/>
  <c r="H7" i="9"/>
  <c r="H8" i="9"/>
  <c r="H4" i="9"/>
  <c r="F11" i="6"/>
  <c r="G4" i="6"/>
  <c r="N52" i="4"/>
  <c r="N45" i="4"/>
  <c r="G45" i="4"/>
  <c r="N40" i="4"/>
  <c r="N34" i="4"/>
  <c r="G34" i="4"/>
  <c r="N29" i="4"/>
  <c r="N23" i="4"/>
  <c r="G23" i="4"/>
  <c r="N10" i="4"/>
  <c r="G10" i="4"/>
  <c r="G53" i="4" s="1"/>
  <c r="P4" i="12" l="1"/>
  <c r="Q4" i="12" s="1"/>
  <c r="R4" i="12" s="1"/>
  <c r="F9" i="6"/>
  <c r="C18" i="3"/>
  <c r="T4" i="12" l="1"/>
  <c r="S4" i="12"/>
  <c r="B17" i="2"/>
  <c r="A18" i="2" s="1"/>
  <c r="M13" i="1"/>
  <c r="J13" i="1"/>
  <c r="G13" i="1"/>
  <c r="C11" i="1"/>
  <c r="C10" i="1"/>
  <c r="C9" i="1"/>
  <c r="C7" i="1"/>
  <c r="D2" i="1"/>
  <c r="C5" i="1"/>
  <c r="C4" i="1"/>
  <c r="C12" i="1"/>
  <c r="N13" i="1" l="1"/>
  <c r="O13" i="1" s="1"/>
  <c r="C6" i="1"/>
  <c r="C13" i="1" l="1"/>
  <c r="B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A7" authorId="0" shapeId="0" xr:uid="{1406D8AE-A608-4BCE-86BF-DCB106E71C2B}">
      <text>
        <r>
          <rPr>
            <sz val="9"/>
            <color indexed="81"/>
            <rFont val="Segoe UI"/>
            <family val="2"/>
          </rPr>
          <t xml:space="preserve">verificar qual a mão mais forte;
7 segundos;
2 tentativas
</t>
        </r>
      </text>
    </comment>
    <comment ref="A9" authorId="0" shapeId="0" xr:uid="{108C182E-5936-4A0C-A834-8A79CA6405DC}">
      <text>
        <r>
          <rPr>
            <sz val="9"/>
            <color indexed="81"/>
            <rFont val="Segoe UI"/>
            <family val="2"/>
          </rPr>
          <t>armar o teste com 1 metro pra trás e 1 metro pra frente (6,5m)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A3" authorId="0" shapeId="0" xr:uid="{A705C92B-3A42-4C80-92F7-7F3D4B1D80C6}">
      <text>
        <r>
          <rPr>
            <b/>
            <sz val="10"/>
            <color indexed="81"/>
            <rFont val="Segoe UI"/>
            <family val="2"/>
          </rPr>
          <t>Por favor, fique de pé. Tente não usar suas mãos
como suporte.</t>
        </r>
      </text>
    </comment>
    <comment ref="B3" authorId="0" shapeId="0" xr:uid="{1849B7E2-A661-4453-A2CE-81D002456831}">
      <text>
        <r>
          <rPr>
            <b/>
            <sz val="10"/>
            <color indexed="81"/>
            <rFont val="Segoe UI"/>
            <family val="2"/>
          </rPr>
          <t xml:space="preserve">( ) 4 capaz de permanecer em pé sem o auxílio das mãos e estabilizar de maneira independente
( ) 3 capaz de permanecer em pé independentemente usando as mãos
( ) 2 capaz de permanecer em pé usando as mão após várias tentativas
( ) 1 necessidade de ajuda mínima para ficar em pé ou estabilizar
( ) 0 necessidade de moderada ou máxima assistência para permanecer em pé </t>
        </r>
      </text>
    </comment>
    <comment ref="A4" authorId="0" shapeId="0" xr:uid="{99398D53-D777-47FD-8F1B-3B3E866EE31A}">
      <text>
        <r>
          <rPr>
            <b/>
            <sz val="10"/>
            <color indexed="81"/>
            <rFont val="Segoe UI"/>
            <family val="2"/>
          </rPr>
          <t xml:space="preserve"> Por favor, fique de pé por dois minutos sem se segurar
em nada. </t>
        </r>
      </text>
    </comment>
    <comment ref="B4" authorId="0" shapeId="0" xr:uid="{4CFCA521-269E-4D07-9346-259E03B01CDD}">
      <text>
        <r>
          <rPr>
            <b/>
            <sz val="10"/>
            <color indexed="81"/>
            <rFont val="Segoe UI"/>
            <family val="2"/>
          </rPr>
          <t xml:space="preserve">( ) 4 capaz de permanecer em pé com segurança por 2 minutos
( ) 3 capaz de permanecer em pé durante 2 minutos com supervisão 
( ) 2 capaz de permanecer em pé durante 30 segundos sem suporte 
( ) 1 necessidade de várias tentativas para permanecer 30 segundos sem suporte
( ) 0 incapaz de permanecer em pé por 30 segundos sem assistência </t>
        </r>
      </text>
    </comment>
    <comment ref="A5" authorId="0" shapeId="0" xr:uid="{DB71152D-1E7E-4E00-A34B-0A04A108C7EF}">
      <text>
        <r>
          <rPr>
            <b/>
            <sz val="10"/>
            <color indexed="81"/>
            <rFont val="Segoe UI"/>
            <family val="2"/>
          </rPr>
          <t>Por favor, sente-se com os braços cruzados durante 2
minutos.</t>
        </r>
      </text>
    </comment>
    <comment ref="B5" authorId="0" shapeId="0" xr:uid="{01A110DB-B602-4579-A9B7-A659773D3858}">
      <text>
        <r>
          <rPr>
            <b/>
            <sz val="10"/>
            <color indexed="81"/>
            <rFont val="Segoe UI"/>
            <family val="2"/>
          </rPr>
          <t>( )4 capaz de sentar com segurança por 2 minutos
( )3 capaz de sentar com por 2 minutos sob supervisão
( )2 capaz de sentar durante 30 segundos
( )1 capaz de sentar durante 10 segundos
( ) 0 incapaz de sentar sem suporte durante 10 segundos</t>
        </r>
      </text>
    </comment>
    <comment ref="A6" authorId="0" shapeId="0" xr:uid="{8A70D99B-2E27-4706-AD08-F984F5838B7A}">
      <text>
        <r>
          <rPr>
            <b/>
            <sz val="10"/>
            <color indexed="81"/>
            <rFont val="Segoe UI"/>
            <family val="2"/>
          </rPr>
          <t>Por favor, sente-se.</t>
        </r>
      </text>
    </comment>
    <comment ref="B6" authorId="0" shapeId="0" xr:uid="{A1F7A547-9D2E-46DD-82C0-A5BEEFDD4FD0}">
      <text>
        <r>
          <rPr>
            <b/>
            <sz val="10"/>
            <color indexed="81"/>
            <rFont val="Segoe UI"/>
            <family val="2"/>
          </rPr>
          <t xml:space="preserve">( ) 4 senta com segurança com o mínimo uso das mão
( ) 3 controla descida utilizando as mãos
( ) 2 apóia a parte posterior das pernas na cadeira para controlar
a descida
( ) 1 senta independentemente mas apresenta descida descontrolada
( ) 0 necessita de ajuda para senta </t>
        </r>
      </text>
    </comment>
    <comment ref="A7" authorId="0" shapeId="0" xr:uid="{68B4C9D9-AC24-4B00-9CE1-503E83AFAEBA}">
      <text>
        <r>
          <rPr>
            <b/>
            <sz val="10"/>
            <color indexed="81"/>
            <rFont val="Segoe UI"/>
            <family val="2"/>
          </rPr>
          <t>Pedir ao sujeito para passar de uma cadeira com descanso de braços para outra sem descanso de braços (ou uma
cama).</t>
        </r>
      </text>
    </comment>
    <comment ref="B7" authorId="0" shapeId="0" xr:uid="{669E2901-23E5-4CD3-B254-FB82C655E220}">
      <text>
        <r>
          <rPr>
            <b/>
            <sz val="10"/>
            <color indexed="81"/>
            <rFont val="Segoe UI"/>
            <family val="2"/>
          </rPr>
          <t xml:space="preserve">( ) 4 capaz de passar com segurança com o mínimo uso das mãos
( ) 3 capaz de passar com segurança com uso das mãos evidente
( ) 2 capaz de passar com pistas verbais e/ou supervisão
( ) 1 necessidade de assistência de uma pessoa
( ) 0 necessidade de assistência de duas pessoas ou supervisão para segurança </t>
        </r>
      </text>
    </comment>
    <comment ref="A8" authorId="0" shapeId="0" xr:uid="{097ADA36-4C73-411E-8F23-A1E2C2B9592B}">
      <text>
        <r>
          <rPr>
            <b/>
            <sz val="10"/>
            <color indexed="81"/>
            <rFont val="Segoe UI"/>
            <family val="2"/>
          </rPr>
          <t xml:space="preserve">Por favor, feche os olhos e permaneça parado por 10
segundos </t>
        </r>
      </text>
    </comment>
    <comment ref="B8" authorId="0" shapeId="0" xr:uid="{D6658449-743B-4C49-B849-9CAD4338A05F}">
      <text>
        <r>
          <rPr>
            <b/>
            <sz val="10"/>
            <color indexed="81"/>
            <rFont val="Segoe UI"/>
            <family val="2"/>
          </rPr>
          <t xml:space="preserve">( ) 4 capaz de permanecer em pé com segurança por 10 segundos
( ) 3 capaz de permanecer em pé com segurança por 10 segundos com supervisão
( ) 2 capaz de permanecer em pé durante 3 segundos
( ) 1 incapaz de manter os olhos fechados por 3 segundos mas permanecer em pé
( ) 0 necessidade de ajuda para evitar queda </t>
        </r>
      </text>
    </comment>
    <comment ref="A9" authorId="0" shapeId="0" xr:uid="{E739293D-A7F6-470E-99D9-761DCA6D1335}">
      <text>
        <r>
          <rPr>
            <b/>
            <sz val="10"/>
            <color indexed="81"/>
            <rFont val="Segoe UI"/>
            <family val="2"/>
          </rPr>
          <t>Por favor, mantenha os pés juntos e permaneça em pé
sem se segurar</t>
        </r>
      </text>
    </comment>
    <comment ref="B9" authorId="0" shapeId="0" xr:uid="{55124C02-0B20-40BA-A420-290F1DBA92CA}">
      <text>
        <r>
          <rPr>
            <b/>
            <sz val="10"/>
            <color indexed="81"/>
            <rFont val="Segoe UI"/>
            <family val="2"/>
          </rPr>
          <t xml:space="preserve">( ) 4 capaz de permanecer em pé com os pés juntos independentemente com segurança por 1 minuto
( ) 3 capaz de permanecer em pé com os pés juntos independentemente com segurança por 1 minuto, com supervisão
( ) 2 capaz de permanecer em pé com os pés juntos independentemente e se manter por 30 segundos
( ) 1 necessidade de ajuda para manter a posição mas capaz de ficar em pé por 15 segundos com os pés juntos
( ) 0 necessidade de ajuda para manter a posição mas incapaz de se manter por 15 segundos </t>
        </r>
      </text>
    </comment>
    <comment ref="A10" authorId="0" shapeId="0" xr:uid="{20E9C31B-E7CB-4154-81B8-F042A1D54267}">
      <text>
        <r>
          <rPr>
            <b/>
            <sz val="10"/>
            <color indexed="81"/>
            <rFont val="Segoe UI"/>
            <family val="2"/>
          </rPr>
          <t xml:space="preserve">Mantenha os braços estendidos a 90 graus. Estenda os
dedos e tente alcançar a maior distância possível. O examinador coloca uma régua no final dos dedos quando os braços estão a 90 graus. Os dedos não devem tocar a régua enquanto executam a tarefa. A medida registrada é a distância que os dedos conseguem alcançar enquanto o sujeito está na máxima inclinação para frente possível. Se possível, pedir ao sujeito que execute a tarefa com os dois braços para evitar rotação do tronco. </t>
        </r>
      </text>
    </comment>
    <comment ref="B10" authorId="0" shapeId="0" xr:uid="{0389CEFD-D715-4609-B200-6725017DC8F6}">
      <text>
        <r>
          <rPr>
            <b/>
            <sz val="10"/>
            <color indexed="81"/>
            <rFont val="Segoe UI"/>
            <family val="2"/>
          </rPr>
          <t>( ) 4 capaz de alcançar com confiabilidade acima de 25cm (10 polegadas)
( ) 3 capaz de alcançar acima de 12,5cm (5 polegadas)
( ) 2 capaz de alcançar acima de 5cm (2 polegadas)
( ) 1 capaz de alcançar mas com necessidade de supervisão
( ) 0 perda de equilíbrio durante as tentativas / necessidade de suporte externo</t>
        </r>
      </text>
    </comment>
    <comment ref="A11" authorId="0" shapeId="0" xr:uid="{158AC4CD-6B1F-476B-8833-AB74045C230D}">
      <text>
        <r>
          <rPr>
            <b/>
            <sz val="10"/>
            <color indexed="81"/>
            <rFont val="Segoe UI"/>
            <family val="2"/>
          </rPr>
          <t>Pegar um sapato/chinelo localizado a frente de seus pés</t>
        </r>
      </text>
    </comment>
    <comment ref="B11" authorId="0" shapeId="0" xr:uid="{B7D1C52B-714A-4561-B2D1-952D43BF3AC6}">
      <text>
        <r>
          <rPr>
            <b/>
            <sz val="10"/>
            <color indexed="81"/>
            <rFont val="Segoe UI"/>
            <family val="2"/>
          </rPr>
          <t xml:space="preserve">( ) 4 capaz de apanhar o chinelo facilmente e com segurança
( ) 3 capaz de apanhar o chinelo mas necessita supervisão
( ) 2 incapaz de apanhar o chinelo mas alcança 2-5cm (1-2 polegadas) do chinelo e manter o equilíbrio de maneira independente
( ) 1 incapaz de apanhar e necessita supervisão enquanto tenta
( ) 0 incapaz de tentar / necessita assistência para evitar perda de
equilíbrio ou queda </t>
        </r>
      </text>
    </comment>
    <comment ref="A12" authorId="0" shapeId="0" xr:uid="{7374B2AC-BDB2-473A-AE3A-4009ECBCE281}">
      <text>
        <r>
          <rPr>
            <b/>
            <sz val="10"/>
            <color indexed="81"/>
            <rFont val="Segoe UI"/>
            <family val="2"/>
          </rPr>
          <t>Virar e olhar para trás sobre o ombro esquerdo. Repetir para o direito. O examinador pode pegar um objeto para olhar e colocá-lo atrás do sujeito para encorajá-lo a realizar o giro</t>
        </r>
      </text>
    </comment>
    <comment ref="B12" authorId="0" shapeId="0" xr:uid="{840E8111-7F3F-4F2C-A909-6ED201622FAF}">
      <text>
        <r>
          <rPr>
            <b/>
            <sz val="10"/>
            <color indexed="81"/>
            <rFont val="Segoe UI"/>
            <family val="2"/>
          </rPr>
          <t>( ) 4 olha para trás por ambos os lados com mudança de peso adequada
( ) 3 olha para trás por ambos por apenas um dos lados, o outro lado
mostra menor mudança de peso
( ) 2 apenas vira para os dois lados mas mantém o equilíbrio
( ) 1 necessita de supervisão ao virar 
( ) 0 necessita assistência para evitar perda de equilíbrio ou queda</t>
        </r>
      </text>
    </comment>
    <comment ref="A13" authorId="0" shapeId="0" xr:uid="{DE89D863-1907-402B-ADE9-A8F997ED6D0A}">
      <text>
        <r>
          <rPr>
            <b/>
            <sz val="10"/>
            <color indexed="81"/>
            <rFont val="Segoe UI"/>
            <family val="2"/>
          </rPr>
          <t>Virar completamente fazendo um círculo completo. Pausa.
Fazer o mesmo na outra direção.</t>
        </r>
      </text>
    </comment>
    <comment ref="B13" authorId="0" shapeId="0" xr:uid="{1443E430-5742-4577-A8F9-E756FD5D49FE}">
      <text>
        <r>
          <rPr>
            <b/>
            <sz val="10"/>
            <color indexed="81"/>
            <rFont val="Segoe UI"/>
            <family val="2"/>
          </rPr>
          <t xml:space="preserve">( ) 4 capaz de virar 360 graus com segurança em 4 segundos ou menos 
( ) 3 capaz de virar 360 graus com segurança para apenas um lado
em 4 segundos ou menos
( ) 2 capaz de virar 360 graus com segurança mas lentamente
( ) 1 necessita de supervisão ou orientação verbal
( ) 0 necessita de assistência enquanto vira </t>
        </r>
      </text>
    </comment>
    <comment ref="A14" authorId="0" shapeId="0" xr:uid="{EC560D9D-007D-45BA-A685-C5A19F3EFEA8}">
      <text>
        <r>
          <rPr>
            <b/>
            <sz val="10"/>
            <color indexed="81"/>
            <rFont val="Segoe UI"/>
            <family val="2"/>
          </rPr>
          <t>Colocar cada pé alternadamente sobre o degrau/banco.
Continuar até cada pé ter tocado o degrau/banco quatro vezes.</t>
        </r>
      </text>
    </comment>
    <comment ref="B14" authorId="0" shapeId="0" xr:uid="{BD25F7B7-3B4B-4A76-99E0-EC00E24E2371}">
      <text>
        <r>
          <rPr>
            <b/>
            <sz val="10"/>
            <color indexed="81"/>
            <rFont val="Segoe UI"/>
            <family val="2"/>
          </rPr>
          <t>( ) 4 capaz de ficar em pé independentemente e com segurança e completar 8 passos em 20 segundos 
( ) 3 capaz de ficar em pé independentemente e completar 8 passos em mais de 20 segundos
( ) 2 capaz de completar 4 passos sem ajuda mas com supervisão
( ) 1 capaz de completar mais de 2 passos necessitando de mínima assistência
( ) 0 necessita de assistência para prevenir queda / incapaz de tentar</t>
        </r>
      </text>
    </comment>
    <comment ref="A15" authorId="0" shapeId="0" xr:uid="{E727D884-D220-48C7-B853-2412BADEE519}">
      <text>
        <r>
          <rPr>
            <b/>
            <sz val="10"/>
            <color indexed="81"/>
            <rFont val="Segoe UI"/>
            <family val="2"/>
          </rPr>
          <t xml:space="preserve"> (demonstrar para o idoso - Colocar um pé diretamente em frente do outro. Se você perceber que não pode colocar o pé diretamente na frente, tente dar um passo largo o suficiente para que o calcanhar de seu pé permaneça a frente do dedo de seu outro pé. (Para obter 3 pontos, o comprimento do passo poderá exceder o comprimento do outro pé e a largura da base de apoio pode se aproximardaposição normal de passo do sujeito).</t>
        </r>
      </text>
    </comment>
    <comment ref="B15" authorId="0" shapeId="0" xr:uid="{8685FE2F-F0A1-4192-9068-38FEFB8CFE8B}">
      <text>
        <r>
          <rPr>
            <b/>
            <sz val="10"/>
            <color indexed="81"/>
            <rFont val="Segoe UI"/>
            <family val="2"/>
          </rPr>
          <t>( ) 4 capaz de posicionar o pé independentemente e manter por 30 segundos
( ) 3 capaz de posicionar o pé para frente do outro independentemente e manter por 30 segundos
( ) 2 capaz de dar um pequeno passo independentemente e manter por 30 segundos
( ) 1 necessidade de ajuda para dar o passo mas pode manter por 15 segundos
( ) 0 perda de equilíbrio enquanto dá o passo ou enquanto fica de pé</t>
        </r>
      </text>
    </comment>
    <comment ref="A16" authorId="0" shapeId="0" xr:uid="{232E6126-5F7B-41A3-8641-6632FA5858C3}">
      <text>
        <r>
          <rPr>
            <b/>
            <sz val="10"/>
            <color indexed="81"/>
            <rFont val="Segoe UI"/>
            <family val="2"/>
          </rPr>
          <t>Permaneça apoiado em uma perna o quanto você puder
sem se apoiar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16" authorId="0" shapeId="0" xr:uid="{D9F88BBF-BF69-4B2B-BD65-7B9371EBDB00}">
      <text>
        <r>
          <rPr>
            <b/>
            <sz val="10"/>
            <color indexed="81"/>
            <rFont val="Segoe UI"/>
            <family val="2"/>
          </rPr>
          <t>( ) 4 capaz de levantar a perna independentemente e manter por mais de 10 segundos
( ) 3 capaz de levantar a perna independentemente e manter entre 5 e 10 segundos
( ) 2 capaz de levantar a perna independentemente e manter por 3 segundos ou mais
( ) 1 tenta levantar a perna e é incapaz de manter 3 segundos, mas permanece em pé independentemente .
( ) 0 incapaz de tentar ou precisa de assistência para evitar queda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A1" authorId="0" shapeId="0" xr:uid="{A4F67F66-E9AF-49FE-8BCC-42A50EEB6F2E}">
      <text>
        <r>
          <rPr>
            <b/>
            <sz val="10"/>
            <color indexed="81"/>
            <rFont val="Segoe UI"/>
            <family val="2"/>
          </rPr>
          <t>Notas de corte:
Analfabetos: 20 pontos
1-4 anos de escolaridade: 25 pontos
5-8 anos de escolaridade: 27 pontos
9-11 anos de escolaridade: 28 pontos
&gt;11 anos de escolaridade: 29 pontos
*Sugestão de nota de corte para escolarizados: 24 pontos</t>
        </r>
      </text>
    </comment>
    <comment ref="A35" authorId="0" shapeId="0" xr:uid="{4474E9EA-9E0B-4D58-90B6-A6707D85E7E2}">
      <text>
        <r>
          <rPr>
            <b/>
            <sz val="9"/>
            <color indexed="81"/>
            <rFont val="Segoe UI"/>
            <family val="2"/>
          </rPr>
          <t>Peça ao idoso que repita as palavras ditas anteriormente (ítem 3)</t>
        </r>
      </text>
    </comment>
    <comment ref="A41" authorId="0" shapeId="0" xr:uid="{04986D1A-E917-4505-99C4-48CF18D39DE5}">
      <text>
        <r>
          <rPr>
            <b/>
            <sz val="9"/>
            <color indexed="81"/>
            <rFont val="Segoe UI"/>
            <family val="2"/>
          </rPr>
          <t>Respostas:
93
86
79
72
65</t>
        </r>
      </text>
    </comment>
    <comment ref="H41" authorId="0" shapeId="0" xr:uid="{623F39F5-9A30-4D76-A4D1-B8EE86F90D6F}">
      <text>
        <r>
          <rPr>
            <b/>
            <sz val="9"/>
            <color indexed="81"/>
            <rFont val="Segoe UI"/>
            <family val="2"/>
          </rPr>
          <t>Peça ao idoso que soletre a palavra MUNDO de trás para frente</t>
        </r>
      </text>
    </comment>
    <comment ref="A46" authorId="0" shapeId="0" xr:uid="{940CA526-FA75-4529-AD57-0BA7EAEE4CB6}">
      <text>
        <r>
          <rPr>
            <b/>
            <sz val="9"/>
            <color indexed="81"/>
            <rFont val="Segoe UI"/>
            <family val="2"/>
          </rPr>
          <t>Peça ao idoso que repita as palavras ditas anteriormente (ítem 3)</t>
        </r>
      </text>
    </comment>
    <comment ref="H53" authorId="0" shapeId="0" xr:uid="{AABB85D5-2593-4EF6-A4A3-31640F01FD18}">
      <text>
        <r>
          <rPr>
            <b/>
            <sz val="10"/>
            <color indexed="81"/>
            <rFont val="Segoe UI"/>
            <family val="2"/>
          </rPr>
          <t>Notas de corte:
Analfabetos: 20 pontos
1-4 anos de escolaridade: 25 pontos
5-8 anos de escolaridade: 27 pontos
9-11 anos de escolaridade: 28 pontos
&gt;11 anos de escolaridade: 29 pontos
*Sugestão de nota de corte para escolarizados: 24 pontos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A1" authorId="0" shapeId="0" xr:uid="{BA1850BD-90A1-4348-A2CD-EF7A279156D1}">
      <text>
        <r>
          <rPr>
            <b/>
            <sz val="11"/>
            <color indexed="81"/>
            <rFont val="Segoe UI"/>
            <family val="2"/>
          </rPr>
          <t xml:space="preserve">A EDG é composta por perguntas fáceis de serem entendidas e possui pequena variação nas possibilidades de respostas (sim/não), pode ser autoaplicada ou aplicada por um entrevistador treinado, demandando de cinco a 15 minutos para a sua aplicação. 
Possui uma variação de zero (ausência de sintomas depressivos) a quinze pontos (pontuação máxima de sintomas depressivos). Almeida e Almeida (1999) propõem escore de corte ≥ 5 para determinar a presença de sintomas depressivos nos idosos. 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B18" authorId="0" shapeId="0" xr:uid="{DE82FA3C-1876-46B1-8132-F2FF75B47B45}">
      <text>
        <r>
          <rPr>
            <b/>
            <sz val="10"/>
            <color indexed="81"/>
            <rFont val="Segoe UI"/>
            <family val="2"/>
          </rPr>
          <t xml:space="preserve">escore de corte ≥ 5 para determinar a presença de sintomas depressivos.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F2" authorId="0" shapeId="0" xr:uid="{DA933EEF-A393-4A9F-8DAB-A5DAD067CB5D}">
      <text>
        <r>
          <rPr>
            <b/>
            <sz val="10"/>
            <color indexed="81"/>
            <rFont val="Segoe UI"/>
            <family val="2"/>
          </rPr>
          <t>*Idosos brasileiros</t>
        </r>
      </text>
    </comment>
    <comment ref="A7" authorId="0" shapeId="0" xr:uid="{457197AE-41AE-439E-B64E-0EA30BC95BE8}">
      <text>
        <r>
          <rPr>
            <b/>
            <sz val="10"/>
            <color indexed="81"/>
            <rFont val="Segoe UI"/>
            <family val="2"/>
          </rPr>
          <t>1m aceleração
3m teste
1m desaceleração</t>
        </r>
      </text>
    </comment>
    <comment ref="A8" authorId="0" shapeId="0" xr:uid="{5D7016D1-FE94-4490-90A7-C5C37F379C89}">
      <text>
        <r>
          <rPr>
            <b/>
            <sz val="10"/>
            <color indexed="81"/>
            <rFont val="Segoe UI"/>
            <family val="2"/>
          </rPr>
          <t>varificar qual a mão mais forte;
7 segundos;
2 tentativas</t>
        </r>
      </text>
    </comment>
  </commentList>
</comments>
</file>

<file path=xl/sharedStrings.xml><?xml version="1.0" encoding="utf-8"?>
<sst xmlns="http://schemas.openxmlformats.org/spreadsheetml/2006/main" count="338" uniqueCount="259">
  <si>
    <t>RESPOSTA</t>
  </si>
  <si>
    <t>PONTUAÇÃO</t>
  </si>
  <si>
    <t>2) a)Com que frequência, na última semana, o Sr (a) sentiu que tudo que fez exigiu um grande esforço?</t>
  </si>
  <si>
    <t xml:space="preserve">     b) Com que freqência, na última semana, o Sr (a) sentiu que não conseguia levar adiante as suas coisas?</t>
  </si>
  <si>
    <t>ESTATURA</t>
  </si>
  <si>
    <t>PESO (KG)</t>
  </si>
  <si>
    <t>IMC</t>
  </si>
  <si>
    <t>Materiais: cone, cronômetro, dinamômetro de preensão manual, trena</t>
  </si>
  <si>
    <t>1) Nos últimos 12 meses o Sr (a) tem diminuído de peso sem fazer nenhuma dieta? Quantos kg?</t>
  </si>
  <si>
    <t>3) Força de preensão manual (HOMEM)</t>
  </si>
  <si>
    <t xml:space="preserve">     Força de preensão manual (MULHER)</t>
  </si>
  <si>
    <t>5) IPAQ (autorrelato de caminhada, atividades moderadas e atividades vigorosas) Kcal (HOMEM)</t>
  </si>
  <si>
    <t xml:space="preserve">     IPAQ (autorrelato de caminhada, atividades moderadas e atividades vigorosas) Kcal (MULHER)</t>
  </si>
  <si>
    <t>Caminhada</t>
  </si>
  <si>
    <t>Atividade moderada</t>
  </si>
  <si>
    <t>Atividade vigorosa</t>
  </si>
  <si>
    <t>Dias da semana</t>
  </si>
  <si>
    <t>Minutos por dia</t>
  </si>
  <si>
    <t>METs</t>
  </si>
  <si>
    <t>METs Total</t>
  </si>
  <si>
    <t>KCAL</t>
  </si>
  <si>
    <t xml:space="preserve">CLASSIFICAÇÃO   </t>
  </si>
  <si>
    <t>DATA</t>
  </si>
  <si>
    <t>1. Sentado para em pé</t>
  </si>
  <si>
    <t>2. Em pé sem apoio</t>
  </si>
  <si>
    <t>3. Sentado sem apoio</t>
  </si>
  <si>
    <t>4. Em pé para sentado</t>
  </si>
  <si>
    <t>5. Transferências</t>
  </si>
  <si>
    <t>6. Em pé com os olhos fechados</t>
  </si>
  <si>
    <t>7. Em pé com os pés juntos</t>
  </si>
  <si>
    <t>8. Reclinar a frente com os braços estendidos</t>
  </si>
  <si>
    <t>9. Apanhar objeto do chão</t>
  </si>
  <si>
    <t>10. Virando-se para olhar para trás</t>
  </si>
  <si>
    <t>11. Girando 360°</t>
  </si>
  <si>
    <t>12. Colocar os pés alternadamente sobre um banco</t>
  </si>
  <si>
    <t>13. Em pé com um pé em frente ao outro</t>
  </si>
  <si>
    <t>14. Em pé apoiado em um dos pés</t>
  </si>
  <si>
    <t>DESCRIÇÃO DOS ITENS</t>
  </si>
  <si>
    <t>PONTUAÇÃO (0-4)</t>
  </si>
  <si>
    <t>TOTAL</t>
  </si>
  <si>
    <t>TESTE DE EQUILÍBRIO DE BERG 1</t>
  </si>
  <si>
    <r>
      <rPr>
        <b/>
        <sz val="11"/>
        <color theme="1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 xml:space="preserve"> Você está basicamento satisfeito com sua vida?</t>
    </r>
  </si>
  <si>
    <t>Não</t>
  </si>
  <si>
    <r>
      <rPr>
        <b/>
        <sz val="11"/>
        <color theme="1"/>
        <rFont val="Calibri"/>
        <family val="2"/>
        <scheme val="minor"/>
      </rPr>
      <t xml:space="preserve">2) </t>
    </r>
    <r>
      <rPr>
        <sz val="11"/>
        <color theme="1"/>
        <rFont val="Calibri"/>
        <family val="2"/>
        <scheme val="minor"/>
      </rPr>
      <t>Você deixou muitos de seus interesses e atividades?</t>
    </r>
  </si>
  <si>
    <r>
      <rPr>
        <b/>
        <sz val="11"/>
        <color theme="1"/>
        <rFont val="Calibri"/>
        <family val="2"/>
        <scheme val="minor"/>
      </rPr>
      <t>3)</t>
    </r>
    <r>
      <rPr>
        <sz val="11"/>
        <color theme="1"/>
        <rFont val="Calibri"/>
        <family val="2"/>
        <scheme val="minor"/>
      </rPr>
      <t xml:space="preserve"> Você sente que sua vida está vazia?</t>
    </r>
  </si>
  <si>
    <r>
      <rPr>
        <b/>
        <sz val="11"/>
        <color theme="1"/>
        <rFont val="Calibri"/>
        <family val="2"/>
        <scheme val="minor"/>
      </rPr>
      <t>4)</t>
    </r>
    <r>
      <rPr>
        <sz val="11"/>
        <color theme="1"/>
        <rFont val="Calibri"/>
        <family val="2"/>
        <scheme val="minor"/>
      </rPr>
      <t xml:space="preserve"> Você se aborrece com frequência?</t>
    </r>
  </si>
  <si>
    <r>
      <rPr>
        <b/>
        <sz val="11"/>
        <color theme="1"/>
        <rFont val="Calibri"/>
        <family val="2"/>
        <scheme val="minor"/>
      </rPr>
      <t xml:space="preserve">5) </t>
    </r>
    <r>
      <rPr>
        <sz val="11"/>
        <color theme="1"/>
        <rFont val="Calibri"/>
        <family val="2"/>
        <scheme val="minor"/>
      </rPr>
      <t>Você se sente de bom humor a maior parte do tempo?</t>
    </r>
  </si>
  <si>
    <r>
      <rPr>
        <b/>
        <sz val="11"/>
        <color theme="1"/>
        <rFont val="Calibri"/>
        <family val="2"/>
        <scheme val="minor"/>
      </rPr>
      <t xml:space="preserve">6) </t>
    </r>
    <r>
      <rPr>
        <sz val="11"/>
        <color theme="1"/>
        <rFont val="Calibri"/>
        <family val="2"/>
        <scheme val="minor"/>
      </rPr>
      <t>Você tem medo que algum mal vá lhe acontecer?</t>
    </r>
  </si>
  <si>
    <r>
      <rPr>
        <b/>
        <sz val="11"/>
        <color theme="1"/>
        <rFont val="Calibri"/>
        <family val="2"/>
        <scheme val="minor"/>
      </rPr>
      <t>7)</t>
    </r>
    <r>
      <rPr>
        <sz val="11"/>
        <color theme="1"/>
        <rFont val="Calibri"/>
        <family val="2"/>
        <scheme val="minor"/>
      </rPr>
      <t xml:space="preserve"> Você se sente feliz a maior parte do tempo?</t>
    </r>
  </si>
  <si>
    <r>
      <rPr>
        <b/>
        <sz val="11"/>
        <color theme="1"/>
        <rFont val="Calibri"/>
        <family val="2"/>
        <scheme val="minor"/>
      </rPr>
      <t xml:space="preserve">8) </t>
    </r>
    <r>
      <rPr>
        <sz val="11"/>
        <color theme="1"/>
        <rFont val="Calibri"/>
        <family val="2"/>
        <scheme val="minor"/>
      </rPr>
      <t>Você sente que sua situação não tem saída?</t>
    </r>
  </si>
  <si>
    <r>
      <rPr>
        <b/>
        <sz val="11"/>
        <color theme="1"/>
        <rFont val="Calibri"/>
        <family val="2"/>
        <scheme val="minor"/>
      </rPr>
      <t>9)</t>
    </r>
    <r>
      <rPr>
        <sz val="11"/>
        <color theme="1"/>
        <rFont val="Calibri"/>
        <family val="2"/>
        <scheme val="minor"/>
      </rPr>
      <t xml:space="preserve"> Você prefere ficar em casa a sair e fazer coisas novas?</t>
    </r>
  </si>
  <si>
    <r>
      <rPr>
        <b/>
        <sz val="11"/>
        <color theme="1"/>
        <rFont val="Calibri"/>
        <family val="2"/>
        <scheme val="minor"/>
      </rPr>
      <t>10)</t>
    </r>
    <r>
      <rPr>
        <sz val="11"/>
        <color theme="1"/>
        <rFont val="Calibri"/>
        <family val="2"/>
        <scheme val="minor"/>
      </rPr>
      <t xml:space="preserve"> Você se sente com mais problemas de memória do que a maioria?</t>
    </r>
  </si>
  <si>
    <r>
      <rPr>
        <b/>
        <sz val="11"/>
        <color theme="1"/>
        <rFont val="Calibri"/>
        <family val="2"/>
        <scheme val="minor"/>
      </rPr>
      <t>11)</t>
    </r>
    <r>
      <rPr>
        <sz val="11"/>
        <color theme="1"/>
        <rFont val="Calibri"/>
        <family val="2"/>
        <scheme val="minor"/>
      </rPr>
      <t xml:space="preserve"> Você acha maravilhoso estar vivo?</t>
    </r>
  </si>
  <si>
    <r>
      <rPr>
        <b/>
        <sz val="11"/>
        <color theme="1"/>
        <rFont val="Calibri"/>
        <family val="2"/>
        <scheme val="minor"/>
      </rPr>
      <t>12)</t>
    </r>
    <r>
      <rPr>
        <sz val="11"/>
        <color theme="1"/>
        <rFont val="Calibri"/>
        <family val="2"/>
        <scheme val="minor"/>
      </rPr>
      <t xml:space="preserve"> Você se sente um inútil nas atuais circunstâncias?</t>
    </r>
  </si>
  <si>
    <r>
      <rPr>
        <b/>
        <sz val="11"/>
        <color theme="1"/>
        <rFont val="Calibri"/>
        <family val="2"/>
        <scheme val="minor"/>
      </rPr>
      <t>13)</t>
    </r>
    <r>
      <rPr>
        <sz val="11"/>
        <color theme="1"/>
        <rFont val="Calibri"/>
        <family val="2"/>
        <scheme val="minor"/>
      </rPr>
      <t xml:space="preserve"> Você se sente cheio de energia?</t>
    </r>
  </si>
  <si>
    <r>
      <rPr>
        <b/>
        <sz val="11"/>
        <color theme="1"/>
        <rFont val="Calibri"/>
        <family val="2"/>
        <scheme val="minor"/>
      </rPr>
      <t xml:space="preserve">14) </t>
    </r>
    <r>
      <rPr>
        <sz val="11"/>
        <color theme="1"/>
        <rFont val="Calibri"/>
        <family val="2"/>
        <scheme val="minor"/>
      </rPr>
      <t>Você acha que sua situação é sem esperanças?</t>
    </r>
  </si>
  <si>
    <r>
      <rPr>
        <b/>
        <sz val="11"/>
        <color theme="1"/>
        <rFont val="Calibri"/>
        <family val="2"/>
        <scheme val="minor"/>
      </rPr>
      <t>15)</t>
    </r>
    <r>
      <rPr>
        <sz val="11"/>
        <color theme="1"/>
        <rFont val="Calibri"/>
        <family val="2"/>
        <scheme val="minor"/>
      </rPr>
      <t xml:space="preserve"> Você sente que a maioria das pessoas está melhor que você?</t>
    </r>
  </si>
  <si>
    <t>YESAVAGE et al., 1986</t>
  </si>
  <si>
    <t>PONTUAÇÃO:</t>
  </si>
  <si>
    <t>Validação</t>
  </si>
  <si>
    <t>Sim</t>
  </si>
  <si>
    <t>PERGUNTAS</t>
  </si>
  <si>
    <t>RESPOSTAS</t>
  </si>
  <si>
    <t>Em que dia estamos?</t>
  </si>
  <si>
    <t>ANO</t>
  </si>
  <si>
    <t>SEMESTRE</t>
  </si>
  <si>
    <t>MÊS</t>
  </si>
  <si>
    <t>DIA</t>
  </si>
  <si>
    <t>DIA DA SEMANA</t>
  </si>
  <si>
    <t>TOTAL:</t>
  </si>
  <si>
    <t>1. Orientação temporal (0-5 pontos)</t>
  </si>
  <si>
    <t>ESTADO</t>
  </si>
  <si>
    <t>CIDADE</t>
  </si>
  <si>
    <t>BAIRRO</t>
  </si>
  <si>
    <t>RUA</t>
  </si>
  <si>
    <t>LOCAL</t>
  </si>
  <si>
    <t>2. Orientação espacial (0-5 pontos)</t>
  </si>
  <si>
    <t>3. Repita as palavrasl (0-3 pontos)</t>
  </si>
  <si>
    <t>CANECA</t>
  </si>
  <si>
    <t>TIJOLO</t>
  </si>
  <si>
    <t>TAPETE</t>
  </si>
  <si>
    <t>Quanto é 100-7?</t>
  </si>
  <si>
    <t>Quanto é 93-7?</t>
  </si>
  <si>
    <t>Quanto é 86-7</t>
  </si>
  <si>
    <t>Quanto é 79-7?</t>
  </si>
  <si>
    <t>Quanto é 72-7?</t>
  </si>
  <si>
    <t>O</t>
  </si>
  <si>
    <t>D</t>
  </si>
  <si>
    <t>N</t>
  </si>
  <si>
    <t>U</t>
  </si>
  <si>
    <t>M</t>
  </si>
  <si>
    <t>Onde estamos?</t>
  </si>
  <si>
    <t>6. Linguagem 1 (0-2 pontos)</t>
  </si>
  <si>
    <t>7. Linguagem 2 (0-1 ponto)</t>
  </si>
  <si>
    <t>5. Memorização (0-3 pontos)</t>
  </si>
  <si>
    <t>4. Para o idoso que faz cálculos (0-5 pontos)</t>
  </si>
  <si>
    <t>4. Para o idoso alfabetizado (0-5 pontos)</t>
  </si>
  <si>
    <t>RELÓGIO</t>
  </si>
  <si>
    <t>CANETA</t>
  </si>
  <si>
    <t>REPETE</t>
  </si>
  <si>
    <t>NÃO REPETE</t>
  </si>
  <si>
    <t>Peça ao idoso que repita a frase:</t>
  </si>
  <si>
    <t>"NEM AQUI, NEM ALI, NEM LÁ"</t>
  </si>
  <si>
    <t>8. Linguagem 3 (0-3 pontos)</t>
  </si>
  <si>
    <t>Peça ao idoso que siga uma ordem de 3 estágios de comando:</t>
  </si>
  <si>
    <t>Pegue o papel com a mão direita</t>
  </si>
  <si>
    <t>Dobre o papel ao meio</t>
  </si>
  <si>
    <t>Ponha o papel no chão</t>
  </si>
  <si>
    <t>Mostre um relógio e uma caneta e peça para o idoso nomeá-los:</t>
  </si>
  <si>
    <t>Peça ao idoso que repita as palavras ditas anteriormente (ítem 3)</t>
  </si>
  <si>
    <t>Escreva em um papel: "FECHE OS OLHOS!"</t>
  </si>
  <si>
    <t>Peça ao idoso que leia o comando e execute</t>
  </si>
  <si>
    <t>EXECUTA</t>
  </si>
  <si>
    <t>NÃO EXECUTA</t>
  </si>
  <si>
    <t>Peça à pessoa que escreva uma frase completa</t>
  </si>
  <si>
    <t>9. Linguagem 4 (0-1 pontos)</t>
  </si>
  <si>
    <t>10. Linguagem 5 (0-1 pontos)</t>
  </si>
  <si>
    <t>11. Linguagem 6 (0-1 ponto)</t>
  </si>
  <si>
    <t>Peça à pessoa que copie o desenho ao lado</t>
  </si>
  <si>
    <t>ESCOLARIDADE EM ANOS:</t>
  </si>
  <si>
    <t>Peça ao idoso que realize os cálculos abaixo de cabeça</t>
  </si>
  <si>
    <t>Peça ao idoso que soletre a palavra MUNDO de trás para frente</t>
  </si>
  <si>
    <t xml:space="preserve">R: 93  </t>
  </si>
  <si>
    <t xml:space="preserve">R: 86  </t>
  </si>
  <si>
    <t xml:space="preserve">R: 79  </t>
  </si>
  <si>
    <t xml:space="preserve">R: 72  </t>
  </si>
  <si>
    <t xml:space="preserve">R: 65  </t>
  </si>
  <si>
    <t>PONTUAÇÃO FINAL:</t>
  </si>
  <si>
    <t>DECLÍNIO COGNITIVO</t>
  </si>
  <si>
    <t>SIM</t>
  </si>
  <si>
    <t>NÃO</t>
  </si>
  <si>
    <t>Data</t>
  </si>
  <si>
    <t>Idade</t>
  </si>
  <si>
    <t>ESCALA DE DEPRESSÃO GERIÁTRICA (GDS-15) 1</t>
  </si>
  <si>
    <r>
      <t xml:space="preserve">MINI EXAME DO ESTADO MENTAL - </t>
    </r>
    <r>
      <rPr>
        <b/>
        <i/>
        <sz val="11"/>
        <color theme="1"/>
        <rFont val="Calibri"/>
        <family val="2"/>
        <scheme val="minor"/>
      </rPr>
      <t>MINI MENTAL</t>
    </r>
    <r>
      <rPr>
        <b/>
        <sz val="11"/>
        <color theme="1"/>
        <rFont val="Calibri"/>
        <family val="2"/>
        <scheme val="minor"/>
      </rPr>
      <t xml:space="preserve"> 1</t>
    </r>
  </si>
  <si>
    <t>4) Teste de caminhada habitual (4,5 metros) Tempo (HOMEM)</t>
  </si>
  <si>
    <t xml:space="preserve">     Teste de caminhada habitual (4,5 metros) Tempo (MULHER)</t>
  </si>
  <si>
    <t>2) Força de preensão manual</t>
  </si>
  <si>
    <t>1) Velocidade (m/s) habitual de caminhada (3m)</t>
  </si>
  <si>
    <t>RESULTADO</t>
  </si>
  <si>
    <t>Peso (kg)</t>
  </si>
  <si>
    <t>Estatura (m)</t>
  </si>
  <si>
    <t>Sexo</t>
  </si>
  <si>
    <t>Raça</t>
  </si>
  <si>
    <t>Homem</t>
  </si>
  <si>
    <t>Mulher</t>
  </si>
  <si>
    <t>Branco</t>
  </si>
  <si>
    <t>Pardo</t>
  </si>
  <si>
    <t>Negro</t>
  </si>
  <si>
    <t>Asiático</t>
  </si>
  <si>
    <t>Massa Muscular Estimada (Kg)</t>
  </si>
  <si>
    <t>Massa Muscular Medida (Kg)</t>
  </si>
  <si>
    <r>
      <t>3) Índice de Massa Muscular (Kg/m</t>
    </r>
    <r>
      <rPr>
        <sz val="11"/>
        <color theme="1"/>
        <rFont val="Calibri"/>
        <family val="2"/>
      </rPr>
      <t>²)</t>
    </r>
  </si>
  <si>
    <t>Índice de Massa Muscular (Kg/m²):</t>
  </si>
  <si>
    <t>CLASSIFICAÇÃO</t>
  </si>
  <si>
    <t>AVALIAÇÃO DE SARCOPENIA 1</t>
  </si>
  <si>
    <t>CLASSIFICAÇÃO (HOMEM)</t>
  </si>
  <si>
    <t>CLASSIFICAÇÃO (MULHER)</t>
  </si>
  <si>
    <t>3) Circunferência de Panturrilha</t>
  </si>
  <si>
    <t>BATERIA FUNCIONAL DE RIKLI E JONES (BATERIA DE FULLERTON/SENIOR TEST) 1</t>
  </si>
  <si>
    <t>1) Sentar e Levantar (30 segundos)</t>
  </si>
  <si>
    <t>2) Flexão de cotovelos (30 segundos)</t>
  </si>
  <si>
    <t>3) Marcha estacionária (2 minutos)</t>
  </si>
  <si>
    <t>4) Sentar e alcançar os pés</t>
  </si>
  <si>
    <t>Materiais: cadeira (43cm), cronômetro, fita métrica, fita adesiva, régua</t>
  </si>
  <si>
    <t>5) Alcançar as costas</t>
  </si>
  <si>
    <t>PERCENTIL</t>
  </si>
  <si>
    <t>Sentar e levantar (HOMEM)</t>
  </si>
  <si>
    <t>Sentar e levantar (MULHER)</t>
  </si>
  <si>
    <t>Flexão de cotovelo (HOMEM)</t>
  </si>
  <si>
    <t>Flexão de cotovelo (MULHER)</t>
  </si>
  <si>
    <t>Marcha estacionária de 2 minutos (HOMEM)</t>
  </si>
  <si>
    <t>Marcha estacionária de 2 minutos (MULHER)</t>
  </si>
  <si>
    <t>Sentar e alcançar os pés (MULHER)</t>
  </si>
  <si>
    <t>Sentar e alcançar os pés (HOMEM)</t>
  </si>
  <si>
    <t>Alcançar as costas (MULHER)</t>
  </si>
  <si>
    <t>Alcançar as costas (HOMEM)</t>
  </si>
  <si>
    <t>TUG (levantar e caminhar em 2,5 metros) (HOMEM)</t>
  </si>
  <si>
    <t>TUG (levantar e caminhar em 2,5 metros) (MULHER)</t>
  </si>
  <si>
    <t>Idade:</t>
  </si>
  <si>
    <t>TEMPO</t>
  </si>
  <si>
    <t>SEXO</t>
  </si>
  <si>
    <t>CAMINHADA DE 1 MILHA (1609m)</t>
  </si>
  <si>
    <t>PESO</t>
  </si>
  <si>
    <t>IDADE</t>
  </si>
  <si>
    <t>FC FINAL</t>
  </si>
  <si>
    <t>VO2 (ml.kg-1.min-1)</t>
  </si>
  <si>
    <t>VO2 (L/min)</t>
  </si>
  <si>
    <t>AVALIAÇÃO DA COMPOSIÇÃO CORPORAL</t>
  </si>
  <si>
    <t>idade</t>
  </si>
  <si>
    <t>estatura</t>
  </si>
  <si>
    <t>peso</t>
  </si>
  <si>
    <t>subescapular</t>
  </si>
  <si>
    <t>tricipital</t>
  </si>
  <si>
    <t>bicipital</t>
  </si>
  <si>
    <t>suprailíaca</t>
  </si>
  <si>
    <t>%GC</t>
  </si>
  <si>
    <t>MG(kg)</t>
  </si>
  <si>
    <t>MCM(Kg)</t>
  </si>
  <si>
    <t>peso min(kg)</t>
  </si>
  <si>
    <t>Sexo:</t>
  </si>
  <si>
    <t>cintura</t>
  </si>
  <si>
    <t>quadril</t>
  </si>
  <si>
    <t>cint:est</t>
  </si>
  <si>
    <t>cint:quadril</t>
  </si>
  <si>
    <t>soma pregas</t>
  </si>
  <si>
    <t>Dens.</t>
  </si>
  <si>
    <t>peso max(kg)</t>
  </si>
  <si>
    <t>AVALIAÇÃO DE FRAGILIDADE</t>
  </si>
  <si>
    <t>Banho - banho de leito, banheira ou chuveiro</t>
  </si>
  <si>
    <t>Não recebe assistência</t>
  </si>
  <si>
    <t>Recebe assistência apenas para uma parte do corpo</t>
  </si>
  <si>
    <t>Recebe assistência em mais de uma parte do corpo</t>
  </si>
  <si>
    <t>Independente:</t>
  </si>
  <si>
    <t>Vestir - pega roupa no armário e veste, incluindo roupas íntimas, roupas externas e fechos e cintos</t>
  </si>
  <si>
    <t xml:space="preserve">Assistência apenas para amarrar os sapatos </t>
  </si>
  <si>
    <t>Recebe assistência para pegar as roupas</t>
  </si>
  <si>
    <t>ou para vestir-se ou permanece parcial ou</t>
  </si>
  <si>
    <t>totalmente despido</t>
  </si>
  <si>
    <t>Ir ao banheiro - dirige-se ao banheiro para urinar ou evacuar: faz sua higiene e se veste depois</t>
  </si>
  <si>
    <t>(pode utilizar objetos de apoio, comadre ou urinol</t>
  </si>
  <si>
    <t>à noite, esvaziando pela manhã)</t>
  </si>
  <si>
    <t>Recebe assistência para ir ao banheiro ou para</t>
  </si>
  <si>
    <t>higienizar-se ou para vestir-se após as eliminações</t>
  </si>
  <si>
    <t>ou para usar o urinol à noite</t>
  </si>
  <si>
    <t>Não vai ao banheiro para urinar ou evacuar</t>
  </si>
  <si>
    <t>Transferência</t>
  </si>
  <si>
    <t>Deita-se e levanta-se da cama ou da cadeira</t>
  </si>
  <si>
    <t>sem assistência (pode utilizar um objeto</t>
  </si>
  <si>
    <t>de apoio como bengala ou andador)</t>
  </si>
  <si>
    <t>com auxílio</t>
  </si>
  <si>
    <t>Não sai da cama</t>
  </si>
  <si>
    <t>Continência</t>
  </si>
  <si>
    <t>Tem controle sobre as funções de urinar e evacuar</t>
  </si>
  <si>
    <t>Perdas urinárias ou fecais ocasionais ("acidentes")</t>
  </si>
  <si>
    <t>Supervisão para controlar urina e fezes,</t>
  </si>
  <si>
    <t>utiliza cateterismo ou é incontinente</t>
  </si>
  <si>
    <t>Alimentação</t>
  </si>
  <si>
    <t>Assistência apenas para cortar carne ou passar</t>
  </si>
  <si>
    <t>manteiga no pão</t>
  </si>
  <si>
    <t>Recebe assistência para se alimentar ou é</t>
  </si>
  <si>
    <t>alimentado parcial ou totalmente por sonda</t>
  </si>
  <si>
    <t>enteral ou parenteral</t>
  </si>
  <si>
    <t>INDEPENDÊNCIA NAS ATIVIDADES DE VIDA DIÁRIA (AVD) - KATZ</t>
  </si>
  <si>
    <t>INDEPENDENTE EM</t>
  </si>
  <si>
    <t>FUNÇÕES</t>
  </si>
  <si>
    <t>FUNÇÕES E DEPENDENTE EM</t>
  </si>
  <si>
    <t>*TUG pode ser feito em 3m</t>
  </si>
  <si>
    <t>Testes avulos</t>
  </si>
  <si>
    <t>Distância</t>
  </si>
  <si>
    <t>Preencher</t>
  </si>
  <si>
    <t>(cálculo)</t>
  </si>
  <si>
    <t>Resultado(kg)</t>
  </si>
  <si>
    <t>Tempo(s)</t>
  </si>
  <si>
    <t>Velocidade(m/s)</t>
  </si>
  <si>
    <t>1)Sentar e levantar 5x</t>
  </si>
  <si>
    <t>2)Força de preensão manual</t>
  </si>
  <si>
    <t>3)Velocidade da marcha</t>
  </si>
  <si>
    <t>6) TUG (2,5 metros)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</si>
</sst>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/yy;@"/>
    <numFmt numFmtId="166" formatCode="0;;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10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name val="Calibri"/>
      <family val="2"/>
      <scheme val="minor"/>
    </font>
    <font>
      <b/>
      <sz val="11"/>
      <color indexed="81"/>
      <name val="Segoe UI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2CA79"/>
        <bgColor indexed="64"/>
      </patternFill>
    </fill>
    <fill>
      <patternFill patternType="solid">
        <fgColor theme="5" tint="0.7999816888943144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2">
    <xf numFmtId="0" fontId="0" fillId="0" borderId="0" xfId="0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4" borderId="2" xfId="0" applyFont="1" applyFill="1" applyBorder="1"/>
    <xf numFmtId="0" fontId="1" fillId="4" borderId="4" xfId="0" applyFont="1" applyFill="1" applyBorder="1"/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0" xfId="0" applyFont="1"/>
    <xf numFmtId="0" fontId="1" fillId="5" borderId="7" xfId="0" applyFont="1" applyFill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/>
    <xf numFmtId="0" fontId="0" fillId="0" borderId="18" xfId="0" applyBorder="1"/>
    <xf numFmtId="0" fontId="0" fillId="0" borderId="20" xfId="0" applyBorder="1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0" fillId="0" borderId="22" xfId="0" applyBorder="1"/>
    <xf numFmtId="0" fontId="1" fillId="0" borderId="13" xfId="0" applyFont="1" applyBorder="1" applyAlignment="1">
      <alignment horizontal="right"/>
    </xf>
    <xf numFmtId="0" fontId="0" fillId="0" borderId="15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5" fillId="9" borderId="24" xfId="0" applyFont="1" applyFill="1" applyBorder="1" applyAlignment="1">
      <alignment horizontal="center"/>
    </xf>
    <xf numFmtId="0" fontId="5" fillId="9" borderId="3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30" xfId="0" applyFill="1" applyBorder="1"/>
    <xf numFmtId="0" fontId="0" fillId="4" borderId="36" xfId="0" applyFill="1" applyBorder="1"/>
    <xf numFmtId="0" fontId="0" fillId="4" borderId="0" xfId="0" applyFill="1"/>
    <xf numFmtId="0" fontId="0" fillId="4" borderId="33" xfId="0" applyFill="1" applyBorder="1"/>
    <xf numFmtId="0" fontId="5" fillId="9" borderId="21" xfId="0" applyFont="1" applyFill="1" applyBorder="1" applyAlignment="1">
      <alignment horizontal="center"/>
    </xf>
    <xf numFmtId="0" fontId="5" fillId="9" borderId="40" xfId="0" applyFont="1" applyFill="1" applyBorder="1"/>
    <xf numFmtId="0" fontId="5" fillId="9" borderId="26" xfId="0" applyFont="1" applyFill="1" applyBorder="1" applyAlignment="1">
      <alignment horizontal="center"/>
    </xf>
    <xf numFmtId="0" fontId="5" fillId="9" borderId="23" xfId="0" applyFont="1" applyFill="1" applyBorder="1" applyAlignment="1">
      <alignment horizontal="center"/>
    </xf>
    <xf numFmtId="0" fontId="0" fillId="4" borderId="43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44" xfId="0" applyFill="1" applyBorder="1"/>
    <xf numFmtId="0" fontId="1" fillId="0" borderId="4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6" xfId="0" applyFill="1" applyBorder="1"/>
    <xf numFmtId="0" fontId="0" fillId="4" borderId="16" xfId="0" applyFill="1" applyBorder="1"/>
    <xf numFmtId="16" fontId="1" fillId="5" borderId="2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5" fillId="9" borderId="55" xfId="0" applyFont="1" applyFill="1" applyBorder="1" applyAlignment="1">
      <alignment horizontal="center"/>
    </xf>
    <xf numFmtId="0" fontId="5" fillId="9" borderId="54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9" xfId="0" applyFill="1" applyBorder="1" applyAlignment="1">
      <alignment horizontal="right"/>
    </xf>
    <xf numFmtId="0" fontId="0" fillId="4" borderId="13" xfId="0" applyFill="1" applyBorder="1"/>
    <xf numFmtId="0" fontId="0" fillId="4" borderId="14" xfId="0" applyFill="1" applyBorder="1"/>
    <xf numFmtId="0" fontId="1" fillId="4" borderId="14" xfId="0" applyFont="1" applyFill="1" applyBorder="1" applyAlignment="1">
      <alignment horizontal="center"/>
    </xf>
    <xf numFmtId="0" fontId="0" fillId="4" borderId="15" xfId="0" applyFill="1" applyBorder="1"/>
    <xf numFmtId="0" fontId="1" fillId="4" borderId="14" xfId="0" applyFont="1" applyFill="1" applyBorder="1"/>
    <xf numFmtId="0" fontId="1" fillId="5" borderId="5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/>
    <xf numFmtId="2" fontId="0" fillId="0" borderId="17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11" borderId="43" xfId="0" applyFill="1" applyBorder="1"/>
    <xf numFmtId="0" fontId="0" fillId="11" borderId="30" xfId="0" applyFill="1" applyBorder="1"/>
    <xf numFmtId="0" fontId="0" fillId="3" borderId="7" xfId="0" applyFill="1" applyBorder="1"/>
    <xf numFmtId="0" fontId="0" fillId="3" borderId="8" xfId="0" applyFill="1" applyBorder="1"/>
    <xf numFmtId="0" fontId="1" fillId="0" borderId="46" xfId="0" applyFont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2" fontId="1" fillId="0" borderId="24" xfId="0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0" fontId="1" fillId="4" borderId="28" xfId="0" applyFont="1" applyFill="1" applyBorder="1" applyAlignment="1">
      <alignment horizontal="right"/>
    </xf>
    <xf numFmtId="2" fontId="1" fillId="4" borderId="28" xfId="0" applyNumberFormat="1" applyFont="1" applyFill="1" applyBorder="1" applyAlignment="1">
      <alignment horizontal="center"/>
    </xf>
    <xf numFmtId="2" fontId="1" fillId="4" borderId="39" xfId="0" applyNumberFormat="1" applyFont="1" applyFill="1" applyBorder="1" applyAlignment="1">
      <alignment horizontal="center"/>
    </xf>
    <xf numFmtId="0" fontId="0" fillId="4" borderId="38" xfId="0" applyFill="1" applyBorder="1" applyAlignment="1">
      <alignment horizontal="left"/>
    </xf>
    <xf numFmtId="0" fontId="0" fillId="5" borderId="46" xfId="0" applyFill="1" applyBorder="1" applyAlignment="1">
      <alignment horizontal="center"/>
    </xf>
    <xf numFmtId="0" fontId="1" fillId="0" borderId="24" xfId="0" applyFont="1" applyBorder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4" borderId="59" xfId="0" applyFill="1" applyBorder="1"/>
    <xf numFmtId="0" fontId="0" fillId="4" borderId="38" xfId="0" applyFill="1" applyBorder="1"/>
    <xf numFmtId="0" fontId="0" fillId="4" borderId="48" xfId="0" applyFill="1" applyBorder="1"/>
    <xf numFmtId="0" fontId="1" fillId="0" borderId="14" xfId="0" applyFont="1" applyBorder="1" applyAlignment="1">
      <alignment vertical="center"/>
    </xf>
    <xf numFmtId="0" fontId="7" fillId="4" borderId="13" xfId="0" applyFont="1" applyFill="1" applyBorder="1"/>
    <xf numFmtId="0" fontId="1" fillId="0" borderId="1" xfId="0" applyFont="1" applyBorder="1" applyAlignment="1">
      <alignment horizontal="center" vertical="center"/>
    </xf>
    <xf numFmtId="0" fontId="0" fillId="5" borderId="0" xfId="0" applyFill="1"/>
    <xf numFmtId="0" fontId="0" fillId="4" borderId="5" xfId="0" applyFill="1" applyBorder="1" applyAlignment="1">
      <alignment horizontal="right" vertical="center"/>
    </xf>
    <xf numFmtId="0" fontId="0" fillId="0" borderId="38" xfId="0" applyBorder="1"/>
    <xf numFmtId="0" fontId="0" fillId="0" borderId="28" xfId="0" applyBorder="1"/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0" fontId="13" fillId="0" borderId="0" xfId="0" applyFont="1" applyAlignment="1">
      <alignment horizontal="center"/>
    </xf>
    <xf numFmtId="166" fontId="0" fillId="0" borderId="0" xfId="0" applyNumberFormat="1"/>
    <xf numFmtId="0" fontId="12" fillId="0" borderId="0" xfId="0" applyFont="1"/>
    <xf numFmtId="164" fontId="1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5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6" fillId="0" borderId="0" xfId="0" applyFont="1"/>
    <xf numFmtId="0" fontId="7" fillId="12" borderId="0" xfId="0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13" borderId="0" xfId="0" applyFont="1" applyFill="1" applyAlignment="1">
      <alignment horizontal="center"/>
    </xf>
    <xf numFmtId="164" fontId="4" fillId="13" borderId="0" xfId="0" applyNumberFormat="1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23" xfId="0" applyFont="1" applyBorder="1" applyAlignment="1">
      <alignment horizontal="center"/>
    </xf>
    <xf numFmtId="0" fontId="0" fillId="0" borderId="16" xfId="0" applyBorder="1"/>
    <xf numFmtId="16" fontId="1" fillId="0" borderId="0" xfId="0" applyNumberFormat="1" applyFont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0" fillId="4" borderId="31" xfId="0" applyFill="1" applyBorder="1" applyAlignment="1">
      <alignment vertical="center"/>
    </xf>
    <xf numFmtId="0" fontId="0" fillId="4" borderId="30" xfId="0" applyFill="1" applyBorder="1" applyAlignment="1">
      <alignment vertical="center"/>
    </xf>
    <xf numFmtId="0" fontId="0" fillId="4" borderId="36" xfId="0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0" fillId="4" borderId="28" xfId="0" applyFill="1" applyBorder="1"/>
    <xf numFmtId="0" fontId="1" fillId="4" borderId="38" xfId="0" applyFont="1" applyFill="1" applyBorder="1" applyAlignment="1">
      <alignment vertical="center"/>
    </xf>
    <xf numFmtId="16" fontId="1" fillId="5" borderId="21" xfId="0" applyNumberFormat="1" applyFont="1" applyFill="1" applyBorder="1" applyAlignment="1">
      <alignment horizontal="center"/>
    </xf>
    <xf numFmtId="0" fontId="1" fillId="4" borderId="41" xfId="0" applyFont="1" applyFill="1" applyBorder="1"/>
    <xf numFmtId="0" fontId="0" fillId="4" borderId="42" xfId="0" applyFill="1" applyBorder="1"/>
    <xf numFmtId="0" fontId="0" fillId="4" borderId="39" xfId="0" applyFill="1" applyBorder="1"/>
    <xf numFmtId="0" fontId="1" fillId="0" borderId="41" xfId="0" applyFont="1" applyBorder="1"/>
    <xf numFmtId="0" fontId="0" fillId="0" borderId="42" xfId="0" applyBorder="1"/>
    <xf numFmtId="0" fontId="0" fillId="4" borderId="40" xfId="0" applyFill="1" applyBorder="1" applyAlignment="1">
      <alignment vertical="center"/>
    </xf>
    <xf numFmtId="0" fontId="0" fillId="4" borderId="43" xfId="0" applyFill="1" applyBorder="1" applyAlignment="1">
      <alignment vertical="center"/>
    </xf>
    <xf numFmtId="0" fontId="1" fillId="0" borderId="38" xfId="0" applyFont="1" applyBorder="1"/>
    <xf numFmtId="0" fontId="0" fillId="0" borderId="59" xfId="0" applyBorder="1"/>
    <xf numFmtId="0" fontId="0" fillId="0" borderId="61" xfId="0" applyBorder="1"/>
    <xf numFmtId="0" fontId="1" fillId="5" borderId="61" xfId="0" applyFont="1" applyFill="1" applyBorder="1" applyAlignment="1">
      <alignment horizontal="center"/>
    </xf>
    <xf numFmtId="0" fontId="0" fillId="4" borderId="61" xfId="0" applyFill="1" applyBorder="1"/>
    <xf numFmtId="0" fontId="0" fillId="4" borderId="60" xfId="0" applyFill="1" applyBorder="1"/>
    <xf numFmtId="166" fontId="1" fillId="16" borderId="8" xfId="0" applyNumberFormat="1" applyFont="1" applyFill="1" applyBorder="1" applyAlignment="1">
      <alignment horizontal="center"/>
    </xf>
    <xf numFmtId="166" fontId="4" fillId="15" borderId="8" xfId="0" applyNumberFormat="1" applyFont="1" applyFill="1" applyBorder="1" applyAlignment="1">
      <alignment horizontal="center"/>
    </xf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1" fillId="14" borderId="8" xfId="0" applyFont="1" applyFill="1" applyBorder="1"/>
    <xf numFmtId="0" fontId="0" fillId="14" borderId="8" xfId="0" applyFill="1" applyBorder="1"/>
    <xf numFmtId="0" fontId="0" fillId="14" borderId="9" xfId="0" applyFill="1" applyBorder="1"/>
    <xf numFmtId="0" fontId="0" fillId="14" borderId="7" xfId="0" applyFill="1" applyBorder="1"/>
    <xf numFmtId="0" fontId="0" fillId="0" borderId="32" xfId="0" applyBorder="1"/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" fontId="1" fillId="5" borderId="10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5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1" fillId="10" borderId="31" xfId="0" applyFont="1" applyFill="1" applyBorder="1" applyAlignment="1">
      <alignment horizontal="center" vertical="center"/>
    </xf>
    <xf numFmtId="0" fontId="1" fillId="10" borderId="3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34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5" fillId="9" borderId="38" xfId="0" applyFont="1" applyFill="1" applyBorder="1" applyAlignment="1">
      <alignment horizontal="center"/>
    </xf>
    <xf numFmtId="0" fontId="5" fillId="9" borderId="28" xfId="0" applyFont="1" applyFill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20" xfId="0" applyBorder="1" applyAlignment="1">
      <alignment horizontal="right"/>
    </xf>
    <xf numFmtId="0" fontId="1" fillId="10" borderId="43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10" borderId="36" xfId="0" applyFont="1" applyFill="1" applyBorder="1" applyAlignment="1">
      <alignment horizontal="center"/>
    </xf>
    <xf numFmtId="0" fontId="1" fillId="10" borderId="41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0" borderId="35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10" borderId="38" xfId="0" applyFont="1" applyFill="1" applyBorder="1" applyAlignment="1">
      <alignment horizontal="center"/>
    </xf>
    <xf numFmtId="0" fontId="1" fillId="10" borderId="28" xfId="0" applyFont="1" applyFill="1" applyBorder="1" applyAlignment="1">
      <alignment horizontal="center"/>
    </xf>
    <xf numFmtId="0" fontId="1" fillId="10" borderId="39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7" fillId="10" borderId="38" xfId="0" applyFont="1" applyFill="1" applyBorder="1" applyAlignment="1">
      <alignment horizontal="center"/>
    </xf>
    <xf numFmtId="0" fontId="4" fillId="10" borderId="28" xfId="0" applyFont="1" applyFill="1" applyBorder="1" applyAlignment="1">
      <alignment horizontal="center"/>
    </xf>
    <xf numFmtId="0" fontId="4" fillId="10" borderId="39" xfId="0" applyFont="1" applyFill="1" applyBorder="1" applyAlignment="1">
      <alignment horizontal="center"/>
    </xf>
    <xf numFmtId="0" fontId="5" fillId="9" borderId="43" xfId="0" applyFont="1" applyFill="1" applyBorder="1" applyAlignment="1">
      <alignment horizontal="center"/>
    </xf>
    <xf numFmtId="0" fontId="5" fillId="9" borderId="30" xfId="0" applyFont="1" applyFill="1" applyBorder="1" applyAlignment="1">
      <alignment horizontal="center"/>
    </xf>
    <xf numFmtId="0" fontId="5" fillId="9" borderId="36" xfId="0" applyFont="1" applyFill="1" applyBorder="1" applyAlignment="1">
      <alignment horizontal="center"/>
    </xf>
    <xf numFmtId="0" fontId="5" fillId="9" borderId="31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5" fillId="9" borderId="33" xfId="0" applyFont="1" applyFill="1" applyBorder="1" applyAlignment="1">
      <alignment horizontal="center"/>
    </xf>
    <xf numFmtId="0" fontId="5" fillId="9" borderId="34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5" fillId="9" borderId="35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0" borderId="42" xfId="0" applyFont="1" applyFill="1" applyBorder="1" applyAlignment="1">
      <alignment horizontal="center"/>
    </xf>
    <xf numFmtId="0" fontId="1" fillId="10" borderId="48" xfId="0" applyFont="1" applyFill="1" applyBorder="1" applyAlignment="1">
      <alignment horizontal="center"/>
    </xf>
    <xf numFmtId="0" fontId="1" fillId="10" borderId="49" xfId="0" applyFont="1" applyFill="1" applyBorder="1" applyAlignment="1">
      <alignment horizontal="center"/>
    </xf>
    <xf numFmtId="0" fontId="1" fillId="10" borderId="50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5" fillId="9" borderId="41" xfId="0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4" borderId="4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57" xfId="0" applyBorder="1" applyAlignment="1">
      <alignment horizontal="right"/>
    </xf>
    <xf numFmtId="0" fontId="0" fillId="0" borderId="58" xfId="0" applyBorder="1" applyAlignment="1">
      <alignment horizontal="right"/>
    </xf>
    <xf numFmtId="0" fontId="5" fillId="9" borderId="13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5" fillId="9" borderId="52" xfId="0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4" xfId="0" applyBorder="1" applyAlignment="1">
      <alignment horizontal="right"/>
    </xf>
    <xf numFmtId="0" fontId="1" fillId="4" borderId="14" xfId="0" applyFont="1" applyFill="1" applyBorder="1" applyAlignment="1">
      <alignment horizontal="center"/>
    </xf>
    <xf numFmtId="0" fontId="1" fillId="10" borderId="32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right"/>
    </xf>
    <xf numFmtId="0" fontId="7" fillId="10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7" fillId="10" borderId="50" xfId="0" applyFont="1" applyFill="1" applyBorder="1" applyAlignment="1">
      <alignment horizontal="center"/>
    </xf>
    <xf numFmtId="0" fontId="7" fillId="10" borderId="48" xfId="0" applyFont="1" applyFill="1" applyBorder="1" applyAlignment="1">
      <alignment horizontal="center"/>
    </xf>
    <xf numFmtId="0" fontId="7" fillId="10" borderId="49" xfId="0" applyFont="1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33" xfId="0" applyFont="1" applyBorder="1" applyAlignment="1">
      <alignment horizontal="right"/>
    </xf>
    <xf numFmtId="0" fontId="1" fillId="11" borderId="30" xfId="0" applyFont="1" applyFill="1" applyBorder="1" applyAlignment="1">
      <alignment horizontal="center"/>
    </xf>
    <xf numFmtId="0" fontId="1" fillId="11" borderId="36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16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62" xfId="0" applyBorder="1"/>
    <xf numFmtId="0" fontId="0" fillId="0" borderId="8" xfId="0" applyBorder="1"/>
    <xf numFmtId="0" fontId="1" fillId="0" borderId="5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0" fontId="0" fillId="17" borderId="25" xfId="0" applyFill="1" applyBorder="1"/>
    <xf numFmtId="0" fontId="0" fillId="17" borderId="17" xfId="0" applyFill="1" applyBorder="1"/>
    <xf numFmtId="0" fontId="0" fillId="17" borderId="46" xfId="0" applyFill="1" applyBorder="1"/>
    <xf numFmtId="0" fontId="0" fillId="17" borderId="47" xfId="0" applyFill="1" applyBorder="1"/>
    <xf numFmtId="0" fontId="1" fillId="0" borderId="5" xfId="0" applyFont="1" applyBorder="1" applyAlignment="1"/>
    <xf numFmtId="0" fontId="1" fillId="0" borderId="0" xfId="0" applyFont="1" applyAlignment="1"/>
  </cellXfs>
  <cellStyles count="1">
    <cellStyle name="Normal" xfId="0" builtinId="0"/>
  </cellStyles>
  <dxfs count="7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33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66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CCFF33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2CA79"/>
      <color rgb="FFFF66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'Testes avulsos'!$D$5:$D$8</c:f>
              <c:numCache>
                <c:formatCode>m/d/yyyy</c:formatCode>
                <c:ptCount val="4"/>
              </c:numCache>
            </c:numRef>
          </c:cat>
          <c:val>
            <c:numRef>
              <c:f>'Testes avulsos'!$F$5:$F$8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D55F-4F64-809B-0D2409C787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5455648"/>
        <c:axId val="1795454816"/>
      </c:barChart>
      <c:catAx>
        <c:axId val="1795455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454816"/>
        <c:crosses val="autoZero"/>
        <c:auto val="1"/>
        <c:lblAlgn val="ctr"/>
        <c:lblOffset val="100"/>
        <c:noMultiLvlLbl val="1"/>
      </c:catAx>
      <c:valAx>
        <c:axId val="17954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TUG</a:t>
                </a:r>
                <a:r>
                  <a:rPr lang="pt-BR" sz="1400" baseline="0"/>
                  <a:t> (s)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4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57149</xdr:colOff>
      <xdr:row>0</xdr:row>
      <xdr:rowOff>0</xdr:rowOff>
    </xdr:from>
    <xdr:to>
      <xdr:col>24</xdr:col>
      <xdr:colOff>561974</xdr:colOff>
      <xdr:row>26</xdr:row>
      <xdr:rowOff>113876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EDA77BF-91CE-4FD8-A13C-8B637AB2F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8799" y="0"/>
          <a:ext cx="5991225" cy="5162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1</xdr:row>
      <xdr:rowOff>161925</xdr:rowOff>
    </xdr:from>
    <xdr:to>
      <xdr:col>25</xdr:col>
      <xdr:colOff>26390</xdr:colOff>
      <xdr:row>16</xdr:row>
      <xdr:rowOff>85725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8415A77-F5D5-49C0-B07A-1E29EBAB5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742950"/>
          <a:ext cx="6008090" cy="2781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0</xdr:row>
      <xdr:rowOff>342900</xdr:rowOff>
    </xdr:from>
    <xdr:to>
      <xdr:col>6</xdr:col>
      <xdr:colOff>409575</xdr:colOff>
      <xdr:row>16</xdr:row>
      <xdr:rowOff>55532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62C3BC3-5BFA-4C70-85A8-90F6414D9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342900"/>
          <a:ext cx="1962150" cy="29987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46</xdr:row>
      <xdr:rowOff>19050</xdr:rowOff>
    </xdr:from>
    <xdr:to>
      <xdr:col>5</xdr:col>
      <xdr:colOff>76199</xdr:colOff>
      <xdr:row>51</xdr:row>
      <xdr:rowOff>136211</xdr:rowOff>
    </xdr:to>
    <xdr:pic>
      <xdr:nvPicPr>
        <xdr:cNvPr id="2" name="Imagem 1" descr="Mini Exame do Estado Mental">
          <a:extLst>
            <a:ext uri="{FF2B5EF4-FFF2-40B4-BE49-F238E27FC236}">
              <a16:creationId xmlns:a16="http://schemas.microsoft.com/office/drawing/2014/main" id="{A03E4DDE-229C-4650-BD8F-9BC07E2E7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8905875"/>
          <a:ext cx="1695449" cy="1069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1752600</xdr:colOff>
      <xdr:row>12</xdr:row>
      <xdr:rowOff>180975</xdr:rowOff>
    </xdr:from>
    <xdr:to>
      <xdr:col>15</xdr:col>
      <xdr:colOff>495299</xdr:colOff>
      <xdr:row>41</xdr:row>
      <xdr:rowOff>57413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D0FDE4-81B5-4E63-A07F-1FFF811FF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2790825"/>
          <a:ext cx="5419724" cy="5400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19</xdr:row>
      <xdr:rowOff>0</xdr:rowOff>
    </xdr:from>
    <xdr:to>
      <xdr:col>18</xdr:col>
      <xdr:colOff>561975</xdr:colOff>
      <xdr:row>34</xdr:row>
      <xdr:rowOff>97882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84C06C-D7B5-4407-A747-EED563CBA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6075" y="3905250"/>
          <a:ext cx="5438775" cy="295538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74621</xdr:rowOff>
    </xdr:from>
    <xdr:to>
      <xdr:col>18</xdr:col>
      <xdr:colOff>542925</xdr:colOff>
      <xdr:row>17</xdr:row>
      <xdr:rowOff>142073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4B58C4-E900-4A42-9140-B2AAEB027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6075" y="731846"/>
          <a:ext cx="5419725" cy="2934477"/>
        </a:xfrm>
        <a:prstGeom prst="rect">
          <a:avLst/>
        </a:prstGeom>
      </xdr:spPr>
    </xdr:pic>
    <xdr:clientData/>
  </xdr:twoCellAnchor>
  <xdr:twoCellAnchor editAs="oneCell">
    <xdr:from>
      <xdr:col>19</xdr:col>
      <xdr:colOff>609599</xdr:colOff>
      <xdr:row>2</xdr:row>
      <xdr:rowOff>0</xdr:rowOff>
    </xdr:from>
    <xdr:to>
      <xdr:col>28</xdr:col>
      <xdr:colOff>542596</xdr:colOff>
      <xdr:row>17</xdr:row>
      <xdr:rowOff>66675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E3A69C8-FC2E-4D8E-BE92-ABFEC9E6A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92074" y="657225"/>
          <a:ext cx="5419397" cy="29337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19</xdr:row>
      <xdr:rowOff>12320</xdr:rowOff>
    </xdr:from>
    <xdr:to>
      <xdr:col>28</xdr:col>
      <xdr:colOff>523875</xdr:colOff>
      <xdr:row>34</xdr:row>
      <xdr:rowOff>85586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A835DA0-1770-42C0-9594-0A2E2165D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92075" y="3917570"/>
          <a:ext cx="5400675" cy="2930766"/>
        </a:xfrm>
        <a:prstGeom prst="rect">
          <a:avLst/>
        </a:prstGeom>
      </xdr:spPr>
    </xdr:pic>
    <xdr:clientData/>
  </xdr:twoCellAnchor>
  <xdr:twoCellAnchor editAs="oneCell">
    <xdr:from>
      <xdr:col>30</xdr:col>
      <xdr:colOff>9525</xdr:colOff>
      <xdr:row>19</xdr:row>
      <xdr:rowOff>9526</xdr:rowOff>
    </xdr:from>
    <xdr:to>
      <xdr:col>38</xdr:col>
      <xdr:colOff>581025</xdr:colOff>
      <xdr:row>34</xdr:row>
      <xdr:rowOff>101373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DDD4683-B31D-4430-9EB0-045FE97E4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897600" y="3914776"/>
          <a:ext cx="5448300" cy="2949347"/>
        </a:xfrm>
        <a:prstGeom prst="rect">
          <a:avLst/>
        </a:prstGeom>
      </xdr:spPr>
    </xdr:pic>
    <xdr:clientData/>
  </xdr:twoCellAnchor>
  <xdr:twoCellAnchor editAs="oneCell">
    <xdr:from>
      <xdr:col>30</xdr:col>
      <xdr:colOff>9524</xdr:colOff>
      <xdr:row>2</xdr:row>
      <xdr:rowOff>0</xdr:rowOff>
    </xdr:from>
    <xdr:to>
      <xdr:col>38</xdr:col>
      <xdr:colOff>552449</xdr:colOff>
      <xdr:row>17</xdr:row>
      <xdr:rowOff>91813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72D4BAA-3BE2-4477-AD5B-7F9DAD592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897599" y="657225"/>
          <a:ext cx="5419725" cy="2958838"/>
        </a:xfrm>
        <a:prstGeom prst="rect">
          <a:avLst/>
        </a:prstGeom>
      </xdr:spPr>
    </xdr:pic>
    <xdr:clientData/>
  </xdr:twoCellAnchor>
  <xdr:twoCellAnchor editAs="oneCell">
    <xdr:from>
      <xdr:col>40</xdr:col>
      <xdr:colOff>9525</xdr:colOff>
      <xdr:row>19</xdr:row>
      <xdr:rowOff>9526</xdr:rowOff>
    </xdr:from>
    <xdr:to>
      <xdr:col>49</xdr:col>
      <xdr:colOff>27683</xdr:colOff>
      <xdr:row>34</xdr:row>
      <xdr:rowOff>128456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9DA0B6B-325C-4D75-BEA0-462AC6B03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993600" y="3914776"/>
          <a:ext cx="5504558" cy="2976430"/>
        </a:xfrm>
        <a:prstGeom prst="rect">
          <a:avLst/>
        </a:prstGeom>
      </xdr:spPr>
    </xdr:pic>
    <xdr:clientData/>
  </xdr:twoCellAnchor>
  <xdr:twoCellAnchor editAs="oneCell">
    <xdr:from>
      <xdr:col>39</xdr:col>
      <xdr:colOff>600075</xdr:colOff>
      <xdr:row>1</xdr:row>
      <xdr:rowOff>189723</xdr:rowOff>
    </xdr:from>
    <xdr:to>
      <xdr:col>49</xdr:col>
      <xdr:colOff>9525</xdr:colOff>
      <xdr:row>17</xdr:row>
      <xdr:rowOff>109710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E7F2074-0FDC-49E9-8627-32D203CED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974550" y="656448"/>
          <a:ext cx="5505450" cy="2977512"/>
        </a:xfrm>
        <a:prstGeom prst="rect">
          <a:avLst/>
        </a:prstGeom>
      </xdr:spPr>
    </xdr:pic>
    <xdr:clientData/>
  </xdr:twoCellAnchor>
  <xdr:twoCellAnchor editAs="oneCell">
    <xdr:from>
      <xdr:col>50</xdr:col>
      <xdr:colOff>9525</xdr:colOff>
      <xdr:row>19</xdr:row>
      <xdr:rowOff>9525</xdr:rowOff>
    </xdr:from>
    <xdr:to>
      <xdr:col>59</xdr:col>
      <xdr:colOff>6642</xdr:colOff>
      <xdr:row>34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7B82FCC-6AB7-4E23-803E-C47F112FD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089600" y="3914775"/>
          <a:ext cx="5483517" cy="2962275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</xdr:row>
      <xdr:rowOff>1</xdr:rowOff>
    </xdr:from>
    <xdr:to>
      <xdr:col>59</xdr:col>
      <xdr:colOff>9525</xdr:colOff>
      <xdr:row>17</xdr:row>
      <xdr:rowOff>100776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5DFC51B-6D1D-4F9A-BA9A-C96E9016F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080075" y="657226"/>
          <a:ext cx="5495925" cy="2967800"/>
        </a:xfrm>
        <a:prstGeom prst="rect">
          <a:avLst/>
        </a:prstGeom>
      </xdr:spPr>
    </xdr:pic>
    <xdr:clientData/>
  </xdr:twoCellAnchor>
  <xdr:twoCellAnchor editAs="oneCell">
    <xdr:from>
      <xdr:col>60</xdr:col>
      <xdr:colOff>1</xdr:colOff>
      <xdr:row>19</xdr:row>
      <xdr:rowOff>9526</xdr:rowOff>
    </xdr:from>
    <xdr:to>
      <xdr:col>68</xdr:col>
      <xdr:colOff>590173</xdr:colOff>
      <xdr:row>34</xdr:row>
      <xdr:rowOff>104776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DA21C2FD-15D6-471E-B984-165351879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7176076" y="3914776"/>
          <a:ext cx="5466972" cy="2952750"/>
        </a:xfrm>
        <a:prstGeom prst="rect">
          <a:avLst/>
        </a:prstGeom>
      </xdr:spPr>
    </xdr:pic>
    <xdr:clientData/>
  </xdr:twoCellAnchor>
  <xdr:twoCellAnchor editAs="oneCell">
    <xdr:from>
      <xdr:col>60</xdr:col>
      <xdr:colOff>1</xdr:colOff>
      <xdr:row>2</xdr:row>
      <xdr:rowOff>1</xdr:rowOff>
    </xdr:from>
    <xdr:to>
      <xdr:col>69</xdr:col>
      <xdr:colOff>1</xdr:colOff>
      <xdr:row>17</xdr:row>
      <xdr:rowOff>84382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F7F74F2A-7675-49C6-8A66-B45E0E985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7176076" y="657226"/>
          <a:ext cx="5486400" cy="2951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7</xdr:row>
      <xdr:rowOff>114300</xdr:rowOff>
    </xdr:from>
    <xdr:to>
      <xdr:col>5</xdr:col>
      <xdr:colOff>295051</xdr:colOff>
      <xdr:row>16</xdr:row>
      <xdr:rowOff>18848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3176B03-7EE8-45E5-8448-8FB95ED5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1714500"/>
          <a:ext cx="1790476" cy="16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104775</xdr:rowOff>
    </xdr:from>
    <xdr:to>
      <xdr:col>9</xdr:col>
      <xdr:colOff>85508</xdr:colOff>
      <xdr:row>15</xdr:row>
      <xdr:rowOff>133156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4D1B7F4-1AFA-4C3C-96C1-70E0E96EC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1350" y="1704975"/>
          <a:ext cx="1733333" cy="15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</xdr:row>
      <xdr:rowOff>0</xdr:rowOff>
    </xdr:from>
    <xdr:to>
      <xdr:col>25</xdr:col>
      <xdr:colOff>314325</xdr:colOff>
      <xdr:row>15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E1A65E-E554-4C19-A298-CB9057278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B76445-293C-4571-BD90-93F2B6CF4C94}" name="Tabela4" displayName="Tabela4" ref="B2:J3" totalsRowShown="0" headerRowDxfId="75" tableBorderDxfId="74">
  <autoFilter ref="B2:J3" xr:uid="{2CFF0FC1-6470-44FD-9951-D14F409DD0F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45926BF-EB53-4B28-989A-4908F5C7972E}" name="DATA" dataDxfId="73"/>
    <tableColumn id="2" xr3:uid="{0834376C-2D25-46FE-875A-E3096DCD65C1}" name="PESO" dataDxfId="72"/>
    <tableColumn id="3" xr3:uid="{06116ED1-70BF-479C-B6CC-0FEBDE131E66}" name="IDADE" dataDxfId="71"/>
    <tableColumn id="4" xr3:uid="{1B487E72-7DF3-4946-AC92-CE5751BB8A55}" name="SEXO" dataDxfId="70"/>
    <tableColumn id="5" xr3:uid="{BEEFAEB7-82C5-4BC5-B14B-4CE9CD61EBC1}" name="TEMPO" dataDxfId="69"/>
    <tableColumn id="6" xr3:uid="{F70A2B0F-81C3-46EC-91A5-95E168AC6F1A}" name="FC FINAL" dataDxfId="68"/>
    <tableColumn id="7" xr3:uid="{4BB7610A-088F-443D-A50B-BDDDAB6B4A8D}" name="VO2 (L/min)" dataDxfId="67">
      <calculatedColumnFormula>IF(C3="","",6.952+(0.0091*(C3*2.205))-(0.0257*D3)+(0.5955*IF(E3="Homem",1,0))-(0.224*F3)-(0.0115*G3))</calculatedColumnFormula>
    </tableColumn>
    <tableColumn id="8" xr3:uid="{325ACA65-5068-4339-9AB8-AACA95FBEEBB}" name="VO2 (ml.kg-1.min-1)" dataDxfId="66">
      <calculatedColumnFormula>H3*1000/C3</calculatedColumnFormula>
    </tableColumn>
    <tableColumn id="9" xr3:uid="{A58A9A66-028C-4A1F-8518-74573EC7D599}" name="CLASSIFICAÇÃO" dataDxfId="65">
      <calculatedColumnFormula>IF(AND(E3="Homem",I3&gt;=42.5),"MUITO BOM",IF(AND(E3="Homem",I3&gt;=35.3),"BOM",IF(AND(E3="Homem",I3&gt;=31.8),"SUFICIENTE",IF(AND(E3="Homem",I3&gt;=28.7),"FRACO",IF(AND(E3="Homem",I3&lt;28.7),"MUITO FRACO",IF(AND(E3="Mulher",I3&gt;=35.2),"MUITO BOM",IF(AND(E3="Mulher",I3&gt;=29.4),"BOM",IF(AND(E3="Mulher",I3&gt;=25.8),"SUFICIENTE",IF(AND(E3="Mulher",I3&gt;=23.6),"FRACO",IF(AND(E3="Mulher",I3&lt;=23.6),"MUITO FRACO",""))))))))))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378090-7B2F-4A4F-AB7B-54C915074E13}" name="Tabela6" displayName="Tabela6" ref="A3:T4" totalsRowShown="0" headerRowDxfId="64" dataDxfId="63">
  <autoFilter ref="A3:T4" xr:uid="{A8F6054E-6EAA-485A-9016-576D454249C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5B78FB5A-AC26-48BD-8A6E-951AAB139F0A}" name="Data" dataDxfId="62"/>
    <tableColumn id="2" xr3:uid="{B8FEB3BA-56AE-46BF-B123-9A4D223CBC52}" name="idade" dataDxfId="61"/>
    <tableColumn id="3" xr3:uid="{4A2F2251-F5E7-491F-8AD2-A9E03DD4B7BE}" name="estatura" dataDxfId="60"/>
    <tableColumn id="4" xr3:uid="{1849F661-9774-4ACD-83AC-59A23F213F78}" name="peso" dataDxfId="59"/>
    <tableColumn id="5" xr3:uid="{D0A80DB9-B38D-4B24-8F8A-1D3104657950}" name="cintura" dataDxfId="58"/>
    <tableColumn id="6" xr3:uid="{F5FA5ED8-BB3F-454C-A8F6-669C4F51B16D}" name="quadril" dataDxfId="57"/>
    <tableColumn id="7" xr3:uid="{82A0A6BC-6EC0-406C-B20E-A983C8CFDDF2}" name="cint:est" dataDxfId="56">
      <calculatedColumnFormula>Tabela6[[#This Row],[cintura]]/Tabela6[[#This Row],[estatura]]</calculatedColumnFormula>
    </tableColumn>
    <tableColumn id="8" xr3:uid="{B3145C6B-B5B0-4758-A297-49C92F761212}" name="cint:quadril" dataDxfId="55">
      <calculatedColumnFormula>Tabela6[[#This Row],[cintura]]/Tabela6[[#This Row],[quadril]]</calculatedColumnFormula>
    </tableColumn>
    <tableColumn id="23" xr3:uid="{B4594EEA-B509-4755-83C5-ECFB2704B10B}" name="IMC" dataDxfId="54">
      <calculatedColumnFormula>($D$4/($C$4/100)^2)</calculatedColumnFormula>
    </tableColumn>
    <tableColumn id="9" xr3:uid="{B187C2A2-90B2-46AB-BE84-4159A411828A}" name="subescapular" dataDxfId="53"/>
    <tableColumn id="10" xr3:uid="{EA844DDF-20CA-4369-B4DA-1D5648D14652}" name="tricipital" dataDxfId="52"/>
    <tableColumn id="11" xr3:uid="{6245E068-3F68-4214-BBFC-14AC3EAA6711}" name="bicipital" dataDxfId="51"/>
    <tableColumn id="12" xr3:uid="{A94533E6-6C29-49C0-BB75-AB9E129AB41B}" name="suprailíaca" dataDxfId="50"/>
    <tableColumn id="14" xr3:uid="{8C715F83-1814-4702-BBE6-095FCF9DA838}" name="soma pregas" dataDxfId="49">
      <calculatedColumnFormula>SUM(J4:M4)</calculatedColumnFormula>
    </tableColumn>
    <tableColumn id="15" xr3:uid="{E824884C-8253-41DC-B71E-E01BA8C6B130}" name="Dens." dataDxfId="48">
      <calculatedColumnFormula>IF(B2="Mulher",1.1715-0.0779*LOG(Tabela6[[#This Row],[soma pregas]]),1.1567-0.0717*LOG10(N4))</calculatedColumnFormula>
    </tableColumn>
    <tableColumn id="16" xr3:uid="{2B0F95A4-F941-4FD6-86AE-9D881968E5EF}" name="%GC" dataDxfId="47">
      <calculatedColumnFormula>((4.95/O4)-4.5)*100</calculatedColumnFormula>
    </tableColumn>
    <tableColumn id="17" xr3:uid="{7DFD4270-EE09-4F0D-B510-72B53C1B26BE}" name="MG(kg)" dataDxfId="46">
      <calculatedColumnFormula>(D4*P4)/100</calculatedColumnFormula>
    </tableColumn>
    <tableColumn id="18" xr3:uid="{E2C83DEE-EB96-4593-894F-084674D3BBDA}" name="MCM(Kg)" dataDxfId="45">
      <calculatedColumnFormula>D4-Q4</calculatedColumnFormula>
    </tableColumn>
    <tableColumn id="21" xr3:uid="{F6C82078-D536-4193-98E7-FE85DEEB7D84}" name="peso min(kg)" dataDxfId="44">
      <calculatedColumnFormula>R4*1.3888888888889</calculatedColumnFormula>
    </tableColumn>
    <tableColumn id="22" xr3:uid="{EB3CAC65-FFE7-4F12-8513-9D31F11111E4}" name="peso max(kg)" dataDxfId="43">
      <calculatedColumnFormula>R4*1.47058824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E5E5-19FC-4C98-803B-0B0CC2F54D0B}">
  <dimension ref="A1:O26"/>
  <sheetViews>
    <sheetView workbookViewId="0">
      <selection activeCell="D16" sqref="D16"/>
    </sheetView>
  </sheetViews>
  <sheetFormatPr defaultRowHeight="15" x14ac:dyDescent="0.25"/>
  <cols>
    <col min="1" max="1" width="94.7109375" customWidth="1"/>
    <col min="2" max="2" width="11.7109375" customWidth="1"/>
    <col min="3" max="3" width="12.42578125" bestFit="1" customWidth="1"/>
    <col min="4" max="4" width="9.85546875" bestFit="1" customWidth="1"/>
    <col min="5" max="5" width="14.7109375" bestFit="1" customWidth="1"/>
    <col min="6" max="6" width="15.140625" bestFit="1" customWidth="1"/>
    <col min="7" max="7" width="5.7109375" bestFit="1" customWidth="1"/>
    <col min="8" max="8" width="14.7109375" bestFit="1" customWidth="1"/>
    <col min="9" max="9" width="15.140625" bestFit="1" customWidth="1"/>
    <col min="10" max="10" width="5.7109375" bestFit="1" customWidth="1"/>
    <col min="11" max="11" width="14.7109375" bestFit="1" customWidth="1"/>
    <col min="12" max="12" width="15.140625" bestFit="1" customWidth="1"/>
    <col min="13" max="13" width="5.7109375" bestFit="1" customWidth="1"/>
    <col min="14" max="14" width="10.5703125" bestFit="1" customWidth="1"/>
  </cols>
  <sheetData>
    <row r="1" spans="1:15" ht="15.75" thickBot="1" x14ac:dyDescent="0.3">
      <c r="A1" s="183" t="s">
        <v>208</v>
      </c>
      <c r="B1" s="16" t="s">
        <v>4</v>
      </c>
      <c r="C1" s="17" t="s">
        <v>5</v>
      </c>
      <c r="D1" s="18" t="s">
        <v>6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15.75" thickBot="1" x14ac:dyDescent="0.3">
      <c r="A2" s="184"/>
      <c r="B2" s="27">
        <v>1.5</v>
      </c>
      <c r="C2" s="15">
        <v>59</v>
      </c>
      <c r="D2" s="28">
        <f>C2/(B2*B2)</f>
        <v>26.222222222222221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5.75" thickBot="1" x14ac:dyDescent="0.3">
      <c r="A3" s="4" t="s">
        <v>7</v>
      </c>
      <c r="B3" s="7" t="s">
        <v>0</v>
      </c>
      <c r="C3" s="30" t="s">
        <v>1</v>
      </c>
      <c r="D3" s="31" t="s">
        <v>22</v>
      </c>
      <c r="E3" s="20"/>
      <c r="F3" s="20"/>
      <c r="G3" s="21"/>
      <c r="H3" s="20"/>
      <c r="I3" s="20"/>
      <c r="J3" s="21"/>
      <c r="K3" s="20"/>
      <c r="L3" s="20"/>
      <c r="M3" s="21"/>
      <c r="N3" s="21"/>
      <c r="O3" s="21"/>
    </row>
    <row r="4" spans="1:15" ht="15.75" thickBot="1" x14ac:dyDescent="0.3">
      <c r="A4" s="1" t="s">
        <v>8</v>
      </c>
      <c r="B4" s="13"/>
      <c r="C4" s="5" t="str">
        <f>IF(B4="","",IF(B4&gt;=4.5,1,0))</f>
        <v/>
      </c>
      <c r="D4" s="185"/>
      <c r="E4" s="29"/>
      <c r="F4" s="29"/>
      <c r="G4" s="29"/>
      <c r="H4" s="29"/>
      <c r="I4" s="29"/>
      <c r="J4" s="29"/>
      <c r="K4" s="29"/>
      <c r="L4" s="29"/>
      <c r="M4" s="29"/>
      <c r="N4" s="19"/>
      <c r="O4" s="19"/>
    </row>
    <row r="5" spans="1:15" x14ac:dyDescent="0.25">
      <c r="A5" s="1" t="s">
        <v>2</v>
      </c>
      <c r="B5" s="197"/>
      <c r="C5" s="199" t="str">
        <f>IF(B5="","",IF(B5&gt;=2,1,0))</f>
        <v/>
      </c>
      <c r="D5" s="186"/>
      <c r="E5" s="20"/>
      <c r="F5" s="20"/>
      <c r="G5" s="21"/>
      <c r="H5" s="20"/>
      <c r="I5" s="20"/>
      <c r="J5" s="21"/>
      <c r="K5" s="20"/>
      <c r="L5" s="20"/>
      <c r="M5" s="21"/>
      <c r="N5" s="21"/>
      <c r="O5" s="21"/>
    </row>
    <row r="6" spans="1:15" ht="15.75" thickBot="1" x14ac:dyDescent="0.3">
      <c r="A6" s="1" t="s">
        <v>3</v>
      </c>
      <c r="B6" s="198"/>
      <c r="C6" s="200">
        <f t="shared" ref="C6" si="0">IF(B6&gt;=4.5,1,0)</f>
        <v>0</v>
      </c>
      <c r="D6" s="186"/>
      <c r="E6" s="20"/>
      <c r="F6" s="20"/>
      <c r="G6" s="21"/>
      <c r="H6" s="20"/>
      <c r="I6" s="20"/>
      <c r="J6" s="21"/>
      <c r="K6" s="20"/>
      <c r="L6" s="20"/>
      <c r="M6" s="21"/>
      <c r="N6" s="21"/>
      <c r="O6" s="21"/>
    </row>
    <row r="7" spans="1:15" x14ac:dyDescent="0.25">
      <c r="A7" s="2" t="s">
        <v>9</v>
      </c>
      <c r="B7" s="81"/>
      <c r="C7" s="79" t="str">
        <f>IF(B7&lt;1,"",IF(AND(D2&lt;=24,B7&lt;=29),1,IF(AND(D2&gt;24,B7&lt;=30),1,IF(AND(D2&gt;28,B7&lt;=32),1,0))))</f>
        <v/>
      </c>
      <c r="D7" s="186"/>
    </row>
    <row r="8" spans="1:15" ht="15.75" thickBot="1" x14ac:dyDescent="0.3">
      <c r="A8" s="3" t="s">
        <v>10</v>
      </c>
      <c r="B8" s="82"/>
      <c r="C8" s="80" t="str">
        <f>IF(B8&lt;1,"",IF(AND(D2&lt;=23,B8&lt;=17),1,IF(AND(D2&gt;23,B8&lt;=17.3),1,IF(AND(D2&gt;26,B8&lt;=18),1,IF(AND(D2&gt;29,B8&lt;=21),1,0)))))</f>
        <v/>
      </c>
      <c r="D8" s="186"/>
    </row>
    <row r="9" spans="1:15" x14ac:dyDescent="0.25">
      <c r="A9" s="2" t="s">
        <v>135</v>
      </c>
      <c r="B9" s="81"/>
      <c r="C9" s="79" t="str">
        <f>IF(B9&lt;1,"",IF(AND($B$2&lt;=1.73,B9&gt;=7),1,IF(AND($B$2&gt;1.73,B9&gt;=6),1,0)))</f>
        <v/>
      </c>
      <c r="D9" s="186"/>
    </row>
    <row r="10" spans="1:15" ht="15.75" thickBot="1" x14ac:dyDescent="0.3">
      <c r="A10" s="3" t="s">
        <v>136</v>
      </c>
      <c r="B10" s="82"/>
      <c r="C10" s="80" t="str">
        <f>IF(B10&lt;1,"",IF(AND($B$2&lt;=1.59,B10&gt;=7),1,IF(AND($B$2&gt;1.59,B10&gt;=6),1,0)))</f>
        <v/>
      </c>
      <c r="D10" s="186"/>
    </row>
    <row r="11" spans="1:15" ht="15.75" thickBot="1" x14ac:dyDescent="0.3">
      <c r="A11" s="2" t="s">
        <v>11</v>
      </c>
      <c r="B11" s="81"/>
      <c r="C11" s="79" t="str">
        <f>IF(B11="","",IF(B11&lt;383,1,0))</f>
        <v/>
      </c>
      <c r="D11" s="186"/>
      <c r="E11" s="188" t="s">
        <v>13</v>
      </c>
      <c r="F11" s="189"/>
      <c r="G11" s="190"/>
      <c r="H11" s="191" t="s">
        <v>14</v>
      </c>
      <c r="I11" s="192"/>
      <c r="J11" s="193"/>
      <c r="K11" s="194" t="s">
        <v>15</v>
      </c>
      <c r="L11" s="195"/>
      <c r="M11" s="196"/>
      <c r="N11" s="22"/>
      <c r="O11" s="23"/>
    </row>
    <row r="12" spans="1:15" ht="15.75" thickBot="1" x14ac:dyDescent="0.3">
      <c r="A12" s="3" t="s">
        <v>12</v>
      </c>
      <c r="B12" s="14"/>
      <c r="C12" s="80" t="str">
        <f>IF(B12="","",IF(B12&lt;383,1,0))</f>
        <v/>
      </c>
      <c r="D12" s="186"/>
      <c r="E12" s="8" t="s">
        <v>16</v>
      </c>
      <c r="F12" s="8" t="s">
        <v>17</v>
      </c>
      <c r="G12" s="8" t="s">
        <v>18</v>
      </c>
      <c r="H12" s="8" t="s">
        <v>16</v>
      </c>
      <c r="I12" s="8" t="s">
        <v>17</v>
      </c>
      <c r="J12" s="8" t="s">
        <v>18</v>
      </c>
      <c r="K12" s="8" t="s">
        <v>16</v>
      </c>
      <c r="L12" s="8" t="s">
        <v>17</v>
      </c>
      <c r="M12" s="8" t="s">
        <v>18</v>
      </c>
      <c r="N12" s="9" t="s">
        <v>19</v>
      </c>
      <c r="O12" s="10" t="s">
        <v>20</v>
      </c>
    </row>
    <row r="13" spans="1:15" ht="15.75" thickBot="1" x14ac:dyDescent="0.3">
      <c r="A13" s="12" t="s">
        <v>21</v>
      </c>
      <c r="B13" s="7" t="str">
        <f>IF(C13=0,"NÃO FRÁGIL",IF(C13=1,"PRÉ-FRÁGIL",IF(C13=2,"PRÉ-FRÁGIL",IF(C13&gt;=3,"FRÁGIL"))))</f>
        <v>NÃO FRÁGIL</v>
      </c>
      <c r="C13" s="6">
        <f>SUM(C4:C12)</f>
        <v>0</v>
      </c>
      <c r="D13" s="187"/>
      <c r="E13" s="14"/>
      <c r="F13" s="14"/>
      <c r="G13" s="11">
        <f>E13*F13*3.3</f>
        <v>0</v>
      </c>
      <c r="H13" s="14"/>
      <c r="I13" s="14"/>
      <c r="J13" s="11">
        <f>H13*I13*4</f>
        <v>0</v>
      </c>
      <c r="K13" s="14"/>
      <c r="L13" s="14"/>
      <c r="M13" s="11">
        <f>K13*L13*8</f>
        <v>0</v>
      </c>
      <c r="N13" s="24">
        <f>G13+J13+M13</f>
        <v>0</v>
      </c>
      <c r="O13" s="25">
        <f>N13*$C$2/60</f>
        <v>0</v>
      </c>
    </row>
    <row r="14" spans="1:15" x14ac:dyDescent="0.25">
      <c r="A14" s="29"/>
      <c r="B14" s="21"/>
      <c r="C14" s="21"/>
      <c r="D14" s="21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25">
      <c r="A15" s="29"/>
      <c r="B15" s="21"/>
      <c r="C15" s="21"/>
      <c r="D15" s="1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5" x14ac:dyDescent="0.25">
      <c r="B16" s="21"/>
      <c r="C16" s="21"/>
      <c r="D16" s="21"/>
      <c r="E16" s="20"/>
      <c r="F16" s="20"/>
      <c r="G16" s="21"/>
      <c r="H16" s="20"/>
      <c r="I16" s="20"/>
      <c r="J16" s="21"/>
      <c r="K16" s="20"/>
      <c r="L16" s="20"/>
      <c r="M16" s="21"/>
      <c r="N16" s="21"/>
      <c r="O16" s="21"/>
    </row>
    <row r="17" spans="1:15" x14ac:dyDescent="0.25">
      <c r="B17" s="20"/>
      <c r="C17" s="20"/>
      <c r="D17" s="112"/>
      <c r="E17" s="29"/>
      <c r="F17" s="29"/>
      <c r="G17" s="29"/>
      <c r="H17" s="29"/>
      <c r="I17" s="29"/>
      <c r="J17" s="29"/>
      <c r="K17" s="29"/>
      <c r="L17" s="29"/>
      <c r="M17" s="29"/>
      <c r="N17" s="19"/>
      <c r="O17" s="19"/>
    </row>
    <row r="18" spans="1:15" x14ac:dyDescent="0.25">
      <c r="B18" s="113"/>
      <c r="C18" s="113"/>
      <c r="D18" s="29"/>
      <c r="E18" s="20"/>
      <c r="F18" s="20"/>
      <c r="G18" s="21"/>
      <c r="H18" s="20"/>
      <c r="I18" s="20"/>
      <c r="J18" s="21"/>
      <c r="K18" s="20"/>
      <c r="L18" s="20"/>
      <c r="M18" s="21"/>
      <c r="N18" s="21"/>
      <c r="O18" s="21"/>
    </row>
    <row r="19" spans="1:15" x14ac:dyDescent="0.25">
      <c r="B19" s="113"/>
      <c r="C19" s="113"/>
      <c r="D19" s="29"/>
      <c r="E19" s="20"/>
      <c r="F19" s="20"/>
      <c r="G19" s="21"/>
      <c r="H19" s="20"/>
      <c r="I19" s="20"/>
      <c r="J19" s="21"/>
      <c r="K19" s="20"/>
      <c r="L19" s="20"/>
      <c r="M19" s="21"/>
      <c r="N19" s="21"/>
      <c r="O19" s="21"/>
    </row>
    <row r="20" spans="1:15" x14ac:dyDescent="0.25">
      <c r="B20" s="20"/>
      <c r="C20" s="20"/>
      <c r="D20" s="29"/>
    </row>
    <row r="21" spans="1:15" x14ac:dyDescent="0.25">
      <c r="B21" s="20"/>
      <c r="C21" s="20"/>
      <c r="D21" s="29"/>
    </row>
    <row r="22" spans="1:15" x14ac:dyDescent="0.25">
      <c r="B22" s="20"/>
      <c r="C22" s="20"/>
      <c r="D22" s="29"/>
    </row>
    <row r="23" spans="1:15" x14ac:dyDescent="0.25">
      <c r="B23" s="20"/>
      <c r="C23" s="20"/>
      <c r="D23" s="29"/>
    </row>
    <row r="24" spans="1:15" x14ac:dyDescent="0.25">
      <c r="B24" s="20"/>
      <c r="C24" s="20"/>
      <c r="D24" s="29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25">
      <c r="B25" s="20"/>
      <c r="C25" s="20"/>
      <c r="D25" s="2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 x14ac:dyDescent="0.25">
      <c r="A26" s="111"/>
      <c r="B26" s="21"/>
      <c r="C26" s="20"/>
      <c r="D26" s="29"/>
      <c r="E26" s="20"/>
      <c r="F26" s="20"/>
      <c r="G26" s="21"/>
      <c r="H26" s="20"/>
      <c r="I26" s="20"/>
      <c r="J26" s="21"/>
      <c r="K26" s="20"/>
      <c r="L26" s="20"/>
      <c r="M26" s="21"/>
      <c r="N26" s="21"/>
      <c r="O26" s="21"/>
    </row>
  </sheetData>
  <mergeCells count="7">
    <mergeCell ref="A1:A2"/>
    <mergeCell ref="D4:D13"/>
    <mergeCell ref="E11:G11"/>
    <mergeCell ref="H11:J11"/>
    <mergeCell ref="K11:M11"/>
    <mergeCell ref="B5:B6"/>
    <mergeCell ref="C5:C6"/>
  </mergeCells>
  <conditionalFormatting sqref="B13">
    <cfRule type="cellIs" dxfId="42" priority="13" operator="equal">
      <formula>"FRÁGIL"</formula>
    </cfRule>
    <cfRule type="cellIs" dxfId="41" priority="14" operator="equal">
      <formula>"PRÉ-FRÁGIL"</formula>
    </cfRule>
    <cfRule type="cellIs" dxfId="40" priority="15" operator="equal">
      <formula>"NÃO FRÁGIL"</formula>
    </cfRule>
  </conditionalFormatting>
  <conditionalFormatting sqref="B26">
    <cfRule type="cellIs" dxfId="39" priority="1" operator="equal">
      <formula>"FRÁGIL"</formula>
    </cfRule>
    <cfRule type="cellIs" dxfId="38" priority="2" operator="equal">
      <formula>"PRÉ-FRÁGIL"</formula>
    </cfRule>
    <cfRule type="cellIs" dxfId="37" priority="3" operator="equal">
      <formula>"NÃO FRÁGIL"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C86B-9E32-4148-AC00-6990B8C0E561}">
  <dimension ref="A1:J19"/>
  <sheetViews>
    <sheetView tabSelected="1" workbookViewId="0">
      <selection activeCell="F17" sqref="F17"/>
    </sheetView>
  </sheetViews>
  <sheetFormatPr defaultRowHeight="15" x14ac:dyDescent="0.25"/>
  <cols>
    <col min="1" max="1" width="26.7109375" bestFit="1" customWidth="1"/>
    <col min="2" max="2" width="13.42578125" bestFit="1" customWidth="1"/>
    <col min="4" max="4" width="12.28515625" bestFit="1" customWidth="1"/>
    <col min="6" max="6" width="16" bestFit="1" customWidth="1"/>
    <col min="10" max="10" width="17.85546875" bestFit="1" customWidth="1"/>
  </cols>
  <sheetData>
    <row r="1" spans="1:10" ht="15.75" thickBot="1" x14ac:dyDescent="0.3">
      <c r="A1" s="32" t="s">
        <v>248</v>
      </c>
      <c r="B1" s="343" t="s">
        <v>250</v>
      </c>
      <c r="C1" s="344"/>
      <c r="D1" s="344"/>
      <c r="E1" s="344"/>
      <c r="F1" s="344"/>
      <c r="G1" s="345"/>
      <c r="H1" s="39"/>
    </row>
    <row r="2" spans="1:10" x14ac:dyDescent="0.25">
      <c r="A2" s="1" t="s">
        <v>255</v>
      </c>
      <c r="B2" s="182" t="s">
        <v>253</v>
      </c>
      <c r="C2" s="346"/>
      <c r="D2" s="338"/>
      <c r="E2" s="338"/>
      <c r="F2" s="338"/>
      <c r="G2" s="338"/>
      <c r="H2" s="340"/>
    </row>
    <row r="3" spans="1:10" x14ac:dyDescent="0.25">
      <c r="A3" s="1" t="s">
        <v>256</v>
      </c>
      <c r="B3" s="182" t="s">
        <v>252</v>
      </c>
      <c r="C3" s="347"/>
      <c r="D3" s="338"/>
      <c r="E3" s="338"/>
      <c r="F3" s="338"/>
      <c r="G3" s="338"/>
      <c r="H3" s="340"/>
    </row>
    <row r="4" spans="1:10" ht="15.75" thickBot="1" x14ac:dyDescent="0.3">
      <c r="A4" s="4" t="s">
        <v>257</v>
      </c>
      <c r="B4" s="341" t="s">
        <v>253</v>
      </c>
      <c r="C4" s="348"/>
      <c r="D4" s="342" t="s">
        <v>249</v>
      </c>
      <c r="E4" s="348"/>
      <c r="F4" s="342" t="s">
        <v>254</v>
      </c>
      <c r="G4" s="342" t="s">
        <v>251</v>
      </c>
      <c r="H4" s="349"/>
    </row>
    <row r="5" spans="1:10" x14ac:dyDescent="0.25">
      <c r="D5" s="147"/>
      <c r="J5">
        <v>3</v>
      </c>
    </row>
    <row r="6" spans="1:10" x14ac:dyDescent="0.25">
      <c r="D6" s="147"/>
      <c r="J6">
        <v>3.5</v>
      </c>
    </row>
    <row r="7" spans="1:10" x14ac:dyDescent="0.25">
      <c r="D7" s="147"/>
      <c r="J7">
        <v>4</v>
      </c>
    </row>
    <row r="8" spans="1:10" x14ac:dyDescent="0.25">
      <c r="D8" s="147"/>
      <c r="J8">
        <v>4.5</v>
      </c>
    </row>
    <row r="9" spans="1:10" x14ac:dyDescent="0.25">
      <c r="J9">
        <v>5</v>
      </c>
    </row>
    <row r="10" spans="1:10" x14ac:dyDescent="0.25">
      <c r="J10">
        <v>5.5</v>
      </c>
    </row>
    <row r="11" spans="1:10" x14ac:dyDescent="0.25">
      <c r="J11">
        <v>6</v>
      </c>
    </row>
    <row r="12" spans="1:10" x14ac:dyDescent="0.25">
      <c r="J12">
        <v>6.5</v>
      </c>
    </row>
    <row r="13" spans="1:10" x14ac:dyDescent="0.25">
      <c r="J13">
        <v>7</v>
      </c>
    </row>
    <row r="14" spans="1:10" x14ac:dyDescent="0.25">
      <c r="J14">
        <v>7.5</v>
      </c>
    </row>
    <row r="15" spans="1:10" x14ac:dyDescent="0.25">
      <c r="J15">
        <v>8</v>
      </c>
    </row>
    <row r="16" spans="1:10" x14ac:dyDescent="0.25">
      <c r="J16">
        <v>8.5</v>
      </c>
    </row>
    <row r="17" spans="10:10" x14ac:dyDescent="0.25">
      <c r="J17">
        <v>9</v>
      </c>
    </row>
    <row r="18" spans="10:10" x14ac:dyDescent="0.25">
      <c r="J18">
        <v>9.5</v>
      </c>
    </row>
    <row r="19" spans="10:10" x14ac:dyDescent="0.25">
      <c r="J19">
        <v>10</v>
      </c>
    </row>
  </sheetData>
  <mergeCells count="1">
    <mergeCell ref="B1:F1"/>
  </mergeCells>
  <dataValidations count="1">
    <dataValidation type="list" allowBlank="1" showInputMessage="1" showErrorMessage="1" sqref="E4" xr:uid="{9E3FD0B3-7BA5-4BFF-BC7B-766A96119E4E}">
      <formula1>$J$5:$J$19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7C28-9DFD-47B9-A6C4-8A3B98071405}">
  <dimension ref="A1:P40"/>
  <sheetViews>
    <sheetView topLeftCell="A4" workbookViewId="0">
      <selection activeCell="O2" sqref="O2"/>
    </sheetView>
  </sheetViews>
  <sheetFormatPr defaultRowHeight="15" x14ac:dyDescent="0.25"/>
  <cols>
    <col min="1" max="14" width="9.140625" customWidth="1"/>
  </cols>
  <sheetData>
    <row r="1" spans="1:16" ht="45.75" customHeight="1" x14ac:dyDescent="0.25">
      <c r="A1" s="201" t="s">
        <v>243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3"/>
      <c r="P1" s="29"/>
    </row>
    <row r="2" spans="1:16" x14ac:dyDescent="0.25">
      <c r="A2" s="158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1" t="s">
        <v>22</v>
      </c>
      <c r="O2" s="159"/>
      <c r="P2" s="150"/>
    </row>
    <row r="3" spans="1:16" x14ac:dyDescent="0.25">
      <c r="A3" s="160" t="s">
        <v>209</v>
      </c>
      <c r="B3" s="49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161"/>
    </row>
    <row r="4" spans="1:16" x14ac:dyDescent="0.25">
      <c r="A4" s="204" t="s">
        <v>210</v>
      </c>
      <c r="B4" s="205"/>
      <c r="C4" s="205"/>
      <c r="D4" s="205"/>
      <c r="E4" s="206"/>
      <c r="F4" s="213" t="s">
        <v>211</v>
      </c>
      <c r="G4" s="205"/>
      <c r="H4" s="205"/>
      <c r="I4" s="205"/>
      <c r="J4" s="206"/>
      <c r="K4" s="213" t="s">
        <v>212</v>
      </c>
      <c r="L4" s="205"/>
      <c r="M4" s="205"/>
      <c r="N4" s="205"/>
      <c r="O4" s="216"/>
    </row>
    <row r="5" spans="1:16" x14ac:dyDescent="0.25">
      <c r="A5" s="207"/>
      <c r="B5" s="208"/>
      <c r="C5" s="208"/>
      <c r="D5" s="208"/>
      <c r="E5" s="209"/>
      <c r="F5" s="214"/>
      <c r="G5" s="208"/>
      <c r="H5" s="208"/>
      <c r="I5" s="208"/>
      <c r="J5" s="209"/>
      <c r="K5" s="214"/>
      <c r="L5" s="208"/>
      <c r="M5" s="208"/>
      <c r="N5" s="208"/>
      <c r="O5" s="217"/>
    </row>
    <row r="6" spans="1:16" x14ac:dyDescent="0.25">
      <c r="A6" s="207"/>
      <c r="B6" s="208"/>
      <c r="C6" s="208"/>
      <c r="D6" s="208"/>
      <c r="E6" s="209"/>
      <c r="F6" s="214"/>
      <c r="G6" s="208"/>
      <c r="H6" s="208"/>
      <c r="I6" s="208"/>
      <c r="J6" s="209"/>
      <c r="K6" s="214"/>
      <c r="L6" s="208"/>
      <c r="M6" s="208"/>
      <c r="N6" s="208"/>
      <c r="O6" s="217"/>
    </row>
    <row r="7" spans="1:16" x14ac:dyDescent="0.25">
      <c r="A7" s="210"/>
      <c r="B7" s="211"/>
      <c r="C7" s="211"/>
      <c r="D7" s="211"/>
      <c r="E7" s="212"/>
      <c r="F7" s="215"/>
      <c r="G7" s="211"/>
      <c r="H7" s="211"/>
      <c r="I7" s="211"/>
      <c r="J7" s="212"/>
      <c r="K7" s="215"/>
      <c r="L7" s="211"/>
      <c r="M7" s="211"/>
      <c r="N7" s="211"/>
      <c r="O7" s="218"/>
    </row>
    <row r="8" spans="1:16" x14ac:dyDescent="0.25">
      <c r="A8" s="122" t="s">
        <v>213</v>
      </c>
      <c r="B8" s="123"/>
      <c r="C8" s="152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62"/>
    </row>
    <row r="9" spans="1:16" x14ac:dyDescent="0.25">
      <c r="A9" s="163" t="s">
        <v>214</v>
      </c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64"/>
    </row>
    <row r="10" spans="1:16" x14ac:dyDescent="0.25">
      <c r="A10" s="204" t="s">
        <v>210</v>
      </c>
      <c r="B10" s="205"/>
      <c r="C10" s="205"/>
      <c r="D10" s="205"/>
      <c r="E10" s="206"/>
      <c r="F10" s="213" t="s">
        <v>215</v>
      </c>
      <c r="G10" s="205"/>
      <c r="H10" s="205"/>
      <c r="I10" s="205"/>
      <c r="J10" s="206"/>
      <c r="K10" s="153"/>
      <c r="L10" s="154"/>
      <c r="M10" s="154"/>
      <c r="N10" s="154"/>
      <c r="O10" s="165"/>
    </row>
    <row r="11" spans="1:16" x14ac:dyDescent="0.25">
      <c r="A11" s="207"/>
      <c r="B11" s="208"/>
      <c r="C11" s="208"/>
      <c r="D11" s="208"/>
      <c r="E11" s="209"/>
      <c r="F11" s="214"/>
      <c r="G11" s="208"/>
      <c r="H11" s="208"/>
      <c r="I11" s="208"/>
      <c r="J11" s="209"/>
      <c r="K11" s="219" t="s">
        <v>216</v>
      </c>
      <c r="L11" s="220"/>
      <c r="M11" s="220"/>
      <c r="N11" s="220"/>
      <c r="O11" s="221"/>
    </row>
    <row r="12" spans="1:16" x14ac:dyDescent="0.25">
      <c r="A12" s="207"/>
      <c r="B12" s="208"/>
      <c r="C12" s="208"/>
      <c r="D12" s="208"/>
      <c r="E12" s="209"/>
      <c r="F12" s="214"/>
      <c r="G12" s="208"/>
      <c r="H12" s="208"/>
      <c r="I12" s="208"/>
      <c r="J12" s="209"/>
      <c r="K12" s="219" t="s">
        <v>217</v>
      </c>
      <c r="L12" s="220"/>
      <c r="M12" s="220"/>
      <c r="N12" s="220"/>
      <c r="O12" s="221"/>
    </row>
    <row r="13" spans="1:16" x14ac:dyDescent="0.25">
      <c r="A13" s="210"/>
      <c r="B13" s="211"/>
      <c r="C13" s="211"/>
      <c r="D13" s="211"/>
      <c r="E13" s="212"/>
      <c r="F13" s="215"/>
      <c r="G13" s="211"/>
      <c r="H13" s="211"/>
      <c r="I13" s="211"/>
      <c r="J13" s="212"/>
      <c r="K13" s="223" t="s">
        <v>218</v>
      </c>
      <c r="L13" s="224"/>
      <c r="M13" s="224"/>
      <c r="N13" s="224"/>
      <c r="O13" s="228"/>
      <c r="P13" s="111"/>
    </row>
    <row r="14" spans="1:16" x14ac:dyDescent="0.25">
      <c r="A14" s="122" t="s">
        <v>213</v>
      </c>
      <c r="B14" s="123"/>
      <c r="C14" s="152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62"/>
      <c r="P14" s="29"/>
    </row>
    <row r="15" spans="1:16" x14ac:dyDescent="0.25">
      <c r="A15" s="163" t="s">
        <v>219</v>
      </c>
      <c r="C15" s="149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161"/>
      <c r="P15" s="29"/>
    </row>
    <row r="16" spans="1:16" x14ac:dyDescent="0.25">
      <c r="A16" s="166"/>
      <c r="B16" s="154"/>
      <c r="C16" s="154"/>
      <c r="D16" s="154"/>
      <c r="E16" s="155"/>
      <c r="F16" s="153"/>
      <c r="G16" s="154"/>
      <c r="H16" s="154"/>
      <c r="I16" s="154"/>
      <c r="J16" s="155"/>
      <c r="K16" s="153"/>
      <c r="L16" s="154"/>
      <c r="M16" s="154"/>
      <c r="N16" s="154"/>
      <c r="O16" s="165"/>
    </row>
    <row r="17" spans="1:16" x14ac:dyDescent="0.25">
      <c r="A17" s="226" t="s">
        <v>210</v>
      </c>
      <c r="B17" s="220"/>
      <c r="C17" s="220"/>
      <c r="D17" s="220"/>
      <c r="E17" s="222"/>
      <c r="F17" s="219" t="s">
        <v>222</v>
      </c>
      <c r="G17" s="220"/>
      <c r="H17" s="220"/>
      <c r="I17" s="220"/>
      <c r="J17" s="222"/>
      <c r="K17" s="219" t="s">
        <v>225</v>
      </c>
      <c r="L17" s="220"/>
      <c r="M17" s="220"/>
      <c r="N17" s="220"/>
      <c r="O17" s="221"/>
    </row>
    <row r="18" spans="1:16" x14ac:dyDescent="0.25">
      <c r="A18" s="226" t="s">
        <v>220</v>
      </c>
      <c r="B18" s="220"/>
      <c r="C18" s="220"/>
      <c r="D18" s="220"/>
      <c r="E18" s="222"/>
      <c r="F18" s="219" t="s">
        <v>223</v>
      </c>
      <c r="G18" s="220"/>
      <c r="H18" s="220"/>
      <c r="I18" s="220"/>
      <c r="J18" s="222"/>
      <c r="K18" s="219"/>
      <c r="L18" s="220"/>
      <c r="M18" s="220"/>
      <c r="N18" s="220"/>
      <c r="O18" s="221"/>
    </row>
    <row r="19" spans="1:16" x14ac:dyDescent="0.25">
      <c r="A19" s="227" t="s">
        <v>221</v>
      </c>
      <c r="B19" s="224"/>
      <c r="C19" s="224"/>
      <c r="D19" s="224"/>
      <c r="E19" s="225"/>
      <c r="F19" s="223" t="s">
        <v>224</v>
      </c>
      <c r="G19" s="224"/>
      <c r="H19" s="224"/>
      <c r="I19" s="224"/>
      <c r="J19" s="225"/>
      <c r="K19" s="223"/>
      <c r="L19" s="224"/>
      <c r="M19" s="224"/>
      <c r="N19" s="224"/>
      <c r="O19" s="228"/>
    </row>
    <row r="20" spans="1:16" x14ac:dyDescent="0.25">
      <c r="A20" s="122" t="s">
        <v>213</v>
      </c>
      <c r="B20" s="123"/>
      <c r="C20" s="152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62"/>
    </row>
    <row r="21" spans="1:16" x14ac:dyDescent="0.25">
      <c r="A21" s="167" t="s">
        <v>226</v>
      </c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62"/>
    </row>
    <row r="22" spans="1:16" x14ac:dyDescent="0.25">
      <c r="A22" s="226" t="s">
        <v>227</v>
      </c>
      <c r="B22" s="220"/>
      <c r="C22" s="220"/>
      <c r="D22" s="220"/>
      <c r="E22" s="222"/>
      <c r="F22" s="219"/>
      <c r="G22" s="220"/>
      <c r="H22" s="220"/>
      <c r="I22" s="220"/>
      <c r="J22" s="222"/>
      <c r="K22" s="219"/>
      <c r="L22" s="220"/>
      <c r="M22" s="220"/>
      <c r="N22" s="220"/>
      <c r="O22" s="221"/>
    </row>
    <row r="23" spans="1:16" x14ac:dyDescent="0.25">
      <c r="A23" s="226" t="s">
        <v>228</v>
      </c>
      <c r="B23" s="220"/>
      <c r="C23" s="220"/>
      <c r="D23" s="220"/>
      <c r="E23" s="222"/>
      <c r="F23" s="219" t="s">
        <v>227</v>
      </c>
      <c r="G23" s="220"/>
      <c r="H23" s="220"/>
      <c r="I23" s="220"/>
      <c r="J23" s="222"/>
      <c r="K23" s="219" t="s">
        <v>231</v>
      </c>
      <c r="L23" s="220"/>
      <c r="M23" s="220"/>
      <c r="N23" s="220"/>
      <c r="O23" s="221"/>
    </row>
    <row r="24" spans="1:16" x14ac:dyDescent="0.25">
      <c r="A24" s="226" t="s">
        <v>229</v>
      </c>
      <c r="B24" s="220"/>
      <c r="C24" s="220"/>
      <c r="D24" s="220"/>
      <c r="E24" s="222"/>
      <c r="F24" s="219" t="s">
        <v>230</v>
      </c>
      <c r="G24" s="220"/>
      <c r="H24" s="220"/>
      <c r="I24" s="220"/>
      <c r="J24" s="222"/>
      <c r="K24" s="219"/>
      <c r="L24" s="220"/>
      <c r="M24" s="220"/>
      <c r="N24" s="220"/>
      <c r="O24" s="221"/>
    </row>
    <row r="25" spans="1:16" x14ac:dyDescent="0.25">
      <c r="A25" s="227"/>
      <c r="B25" s="224"/>
      <c r="C25" s="224"/>
      <c r="D25" s="224"/>
      <c r="E25" s="225"/>
      <c r="F25" s="223"/>
      <c r="G25" s="224"/>
      <c r="H25" s="224"/>
      <c r="I25" s="224"/>
      <c r="J25" s="225"/>
      <c r="K25" s="223"/>
      <c r="L25" s="224"/>
      <c r="M25" s="224"/>
      <c r="N25" s="224"/>
      <c r="O25" s="228"/>
    </row>
    <row r="26" spans="1:16" x14ac:dyDescent="0.25">
      <c r="A26" s="122" t="s">
        <v>213</v>
      </c>
      <c r="B26" s="123"/>
      <c r="C26" s="152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62"/>
      <c r="P26" s="111"/>
    </row>
    <row r="27" spans="1:16" x14ac:dyDescent="0.25">
      <c r="A27" s="163" t="s">
        <v>232</v>
      </c>
      <c r="C27" s="149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161"/>
    </row>
    <row r="28" spans="1:16" x14ac:dyDescent="0.25">
      <c r="A28" s="204" t="s">
        <v>233</v>
      </c>
      <c r="B28" s="205"/>
      <c r="C28" s="205"/>
      <c r="D28" s="205"/>
      <c r="E28" s="206"/>
      <c r="F28" s="219"/>
      <c r="G28" s="220"/>
      <c r="H28" s="220"/>
      <c r="I28" s="220"/>
      <c r="J28" s="222"/>
      <c r="K28" s="219"/>
      <c r="L28" s="220"/>
      <c r="M28" s="220"/>
      <c r="N28" s="220"/>
      <c r="O28" s="221"/>
    </row>
    <row r="29" spans="1:16" x14ac:dyDescent="0.25">
      <c r="A29" s="207"/>
      <c r="B29" s="208"/>
      <c r="C29" s="208"/>
      <c r="D29" s="208"/>
      <c r="E29" s="209"/>
      <c r="F29" s="219" t="s">
        <v>234</v>
      </c>
      <c r="G29" s="220"/>
      <c r="H29" s="220"/>
      <c r="I29" s="220"/>
      <c r="J29" s="222"/>
      <c r="K29" s="219" t="s">
        <v>235</v>
      </c>
      <c r="L29" s="220"/>
      <c r="M29" s="220"/>
      <c r="N29" s="220"/>
      <c r="O29" s="221"/>
    </row>
    <row r="30" spans="1:16" x14ac:dyDescent="0.25">
      <c r="A30" s="207"/>
      <c r="B30" s="208"/>
      <c r="C30" s="208"/>
      <c r="D30" s="208"/>
      <c r="E30" s="209"/>
      <c r="F30" s="219"/>
      <c r="G30" s="220"/>
      <c r="H30" s="220"/>
      <c r="I30" s="220"/>
      <c r="J30" s="222"/>
      <c r="K30" s="219" t="s">
        <v>236</v>
      </c>
      <c r="L30" s="220"/>
      <c r="M30" s="220"/>
      <c r="N30" s="220"/>
      <c r="O30" s="221"/>
    </row>
    <row r="31" spans="1:16" x14ac:dyDescent="0.25">
      <c r="A31" s="210"/>
      <c r="B31" s="211"/>
      <c r="C31" s="211"/>
      <c r="D31" s="211"/>
      <c r="E31" s="212"/>
      <c r="F31" s="223"/>
      <c r="G31" s="224"/>
      <c r="H31" s="224"/>
      <c r="I31" s="224"/>
      <c r="J31" s="225"/>
      <c r="K31" s="223"/>
      <c r="L31" s="224"/>
      <c r="M31" s="224"/>
      <c r="N31" s="224"/>
      <c r="O31" s="228"/>
    </row>
    <row r="32" spans="1:16" x14ac:dyDescent="0.25">
      <c r="A32" s="122" t="s">
        <v>213</v>
      </c>
      <c r="B32" s="123"/>
      <c r="C32" s="152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62"/>
    </row>
    <row r="33" spans="1:15" x14ac:dyDescent="0.25">
      <c r="A33" s="163" t="s">
        <v>237</v>
      </c>
      <c r="C33" s="149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161"/>
    </row>
    <row r="34" spans="1:15" x14ac:dyDescent="0.25">
      <c r="A34" s="204" t="s">
        <v>210</v>
      </c>
      <c r="B34" s="205"/>
      <c r="C34" s="205"/>
      <c r="D34" s="205"/>
      <c r="E34" s="206"/>
      <c r="F34" s="219"/>
      <c r="G34" s="220"/>
      <c r="H34" s="220"/>
      <c r="I34" s="220"/>
      <c r="J34" s="222"/>
      <c r="K34" s="219"/>
      <c r="L34" s="220"/>
      <c r="M34" s="220"/>
      <c r="N34" s="220"/>
      <c r="O34" s="221"/>
    </row>
    <row r="35" spans="1:15" x14ac:dyDescent="0.25">
      <c r="A35" s="207"/>
      <c r="B35" s="208"/>
      <c r="C35" s="208"/>
      <c r="D35" s="208"/>
      <c r="E35" s="209"/>
      <c r="F35" s="219" t="s">
        <v>238</v>
      </c>
      <c r="G35" s="220"/>
      <c r="H35" s="220"/>
      <c r="I35" s="220"/>
      <c r="J35" s="222"/>
      <c r="K35" s="219" t="s">
        <v>240</v>
      </c>
      <c r="L35" s="220"/>
      <c r="M35" s="220"/>
      <c r="N35" s="220"/>
      <c r="O35" s="221"/>
    </row>
    <row r="36" spans="1:15" x14ac:dyDescent="0.25">
      <c r="A36" s="207"/>
      <c r="B36" s="208"/>
      <c r="C36" s="208"/>
      <c r="D36" s="208"/>
      <c r="E36" s="209"/>
      <c r="F36" s="219" t="s">
        <v>239</v>
      </c>
      <c r="G36" s="220"/>
      <c r="H36" s="220"/>
      <c r="I36" s="220"/>
      <c r="J36" s="222"/>
      <c r="K36" s="219" t="s">
        <v>241</v>
      </c>
      <c r="L36" s="220"/>
      <c r="M36" s="220"/>
      <c r="N36" s="220"/>
      <c r="O36" s="221"/>
    </row>
    <row r="37" spans="1:15" x14ac:dyDescent="0.25">
      <c r="A37" s="210"/>
      <c r="B37" s="211"/>
      <c r="C37" s="211"/>
      <c r="D37" s="211"/>
      <c r="E37" s="212"/>
      <c r="F37" s="223"/>
      <c r="G37" s="224"/>
      <c r="H37" s="224"/>
      <c r="I37" s="224"/>
      <c r="J37" s="225"/>
      <c r="K37" s="223" t="s">
        <v>242</v>
      </c>
      <c r="L37" s="224"/>
      <c r="M37" s="224"/>
      <c r="N37" s="224"/>
      <c r="O37" s="228"/>
    </row>
    <row r="38" spans="1:15" ht="15.75" thickBot="1" x14ac:dyDescent="0.3">
      <c r="A38" s="168" t="s">
        <v>213</v>
      </c>
      <c r="B38" s="169"/>
      <c r="C38" s="170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2"/>
    </row>
    <row r="39" spans="1:15" x14ac:dyDescent="0.25">
      <c r="A39" s="175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7"/>
    </row>
    <row r="40" spans="1:15" ht="15.75" thickBot="1" x14ac:dyDescent="0.3">
      <c r="A40" s="181"/>
      <c r="B40" s="179"/>
      <c r="C40" s="179"/>
      <c r="D40" s="178" t="s">
        <v>244</v>
      </c>
      <c r="E40" s="178"/>
      <c r="F40" s="173">
        <f>COUNTIF($A$8:$E$38,"Sim")</f>
        <v>0</v>
      </c>
      <c r="G40" s="178" t="s">
        <v>246</v>
      </c>
      <c r="H40" s="178"/>
      <c r="I40" s="178"/>
      <c r="J40" s="174">
        <f>COUNTIF($A$8:$E$38,"Não")</f>
        <v>0</v>
      </c>
      <c r="K40" s="178" t="s">
        <v>245</v>
      </c>
      <c r="L40" s="179"/>
      <c r="M40" s="179"/>
      <c r="N40" s="179"/>
      <c r="O40" s="180"/>
    </row>
  </sheetData>
  <mergeCells count="48">
    <mergeCell ref="K35:O35"/>
    <mergeCell ref="K36:O36"/>
    <mergeCell ref="K37:O37"/>
    <mergeCell ref="F35:J35"/>
    <mergeCell ref="K28:O28"/>
    <mergeCell ref="K29:O29"/>
    <mergeCell ref="K30:O30"/>
    <mergeCell ref="K31:O31"/>
    <mergeCell ref="F34:J34"/>
    <mergeCell ref="K34:O34"/>
    <mergeCell ref="A22:E22"/>
    <mergeCell ref="F22:J22"/>
    <mergeCell ref="F23:J23"/>
    <mergeCell ref="F24:J24"/>
    <mergeCell ref="F25:J25"/>
    <mergeCell ref="A23:E23"/>
    <mergeCell ref="A24:E24"/>
    <mergeCell ref="A25:E25"/>
    <mergeCell ref="K22:O22"/>
    <mergeCell ref="K23:O23"/>
    <mergeCell ref="K24:O24"/>
    <mergeCell ref="K25:O25"/>
    <mergeCell ref="K12:O12"/>
    <mergeCell ref="K13:O13"/>
    <mergeCell ref="K17:O17"/>
    <mergeCell ref="K18:O18"/>
    <mergeCell ref="K19:O19"/>
    <mergeCell ref="A17:E17"/>
    <mergeCell ref="A18:E18"/>
    <mergeCell ref="A19:E19"/>
    <mergeCell ref="F17:J17"/>
    <mergeCell ref="F18:J18"/>
    <mergeCell ref="F19:J19"/>
    <mergeCell ref="A28:E31"/>
    <mergeCell ref="A34:E37"/>
    <mergeCell ref="F28:J28"/>
    <mergeCell ref="F29:J29"/>
    <mergeCell ref="F30:J30"/>
    <mergeCell ref="F31:J31"/>
    <mergeCell ref="F36:J36"/>
    <mergeCell ref="F37:J37"/>
    <mergeCell ref="A1:O1"/>
    <mergeCell ref="A4:E7"/>
    <mergeCell ref="F4:J7"/>
    <mergeCell ref="K4:O7"/>
    <mergeCell ref="A10:E13"/>
    <mergeCell ref="F10:J13"/>
    <mergeCell ref="K11:O11"/>
  </mergeCells>
  <conditionalFormatting sqref="C8">
    <cfRule type="cellIs" dxfId="36" priority="11" operator="equal">
      <formula>"Não"</formula>
    </cfRule>
    <cfRule type="cellIs" dxfId="35" priority="12" operator="equal">
      <formula>"Sim"</formula>
    </cfRule>
  </conditionalFormatting>
  <conditionalFormatting sqref="C14">
    <cfRule type="cellIs" dxfId="34" priority="9" operator="equal">
      <formula>"Não"</formula>
    </cfRule>
    <cfRule type="cellIs" dxfId="33" priority="10" operator="equal">
      <formula>"Sim"</formula>
    </cfRule>
  </conditionalFormatting>
  <conditionalFormatting sqref="C20">
    <cfRule type="cellIs" dxfId="32" priority="7" operator="equal">
      <formula>"Não"</formula>
    </cfRule>
    <cfRule type="cellIs" dxfId="31" priority="8" operator="equal">
      <formula>"Sim"</formula>
    </cfRule>
  </conditionalFormatting>
  <conditionalFormatting sqref="C26">
    <cfRule type="cellIs" dxfId="30" priority="5" operator="equal">
      <formula>"Não"</formula>
    </cfRule>
    <cfRule type="cellIs" dxfId="29" priority="6" operator="equal">
      <formula>"Sim"</formula>
    </cfRule>
  </conditionalFormatting>
  <conditionalFormatting sqref="C32">
    <cfRule type="cellIs" dxfId="28" priority="3" operator="equal">
      <formula>"Não"</formula>
    </cfRule>
    <cfRule type="cellIs" dxfId="27" priority="4" operator="equal">
      <formula>"Sim"</formula>
    </cfRule>
  </conditionalFormatting>
  <conditionalFormatting sqref="C38">
    <cfRule type="cellIs" dxfId="26" priority="1" operator="equal">
      <formula>"Não"</formula>
    </cfRule>
    <cfRule type="cellIs" dxfId="25" priority="2" operator="equal">
      <formula>"Sim"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B0A0E6-5E5F-4B6E-B3E0-4EC40FAB68E9}">
          <x14:formula1>
            <xm:f>DEPRE.!$I$2:$I$3</xm:f>
          </x14:formula1>
          <xm:sqref>C8 C14 C20 C26 C32 C38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97A9E-DB89-4E8B-91D7-419E1EBA518F}">
  <dimension ref="A1:M36"/>
  <sheetViews>
    <sheetView workbookViewId="0">
      <selection activeCell="E19" sqref="E19"/>
    </sheetView>
  </sheetViews>
  <sheetFormatPr defaultRowHeight="15" x14ac:dyDescent="0.25"/>
  <cols>
    <col min="1" max="1" width="55.140625" customWidth="1"/>
    <col min="2" max="2" width="20.42578125" customWidth="1"/>
    <col min="3" max="3" width="12.7109375" customWidth="1"/>
  </cols>
  <sheetData>
    <row r="1" spans="1:13" ht="32.25" customHeight="1" thickBot="1" x14ac:dyDescent="0.3">
      <c r="A1" s="229" t="s">
        <v>40</v>
      </c>
      <c r="B1" s="230"/>
      <c r="C1" s="231"/>
      <c r="H1" s="29"/>
      <c r="I1" s="29"/>
      <c r="J1" s="29"/>
      <c r="K1" s="29"/>
      <c r="L1" s="29"/>
      <c r="M1" s="29"/>
    </row>
    <row r="2" spans="1:13" ht="15.75" thickBot="1" x14ac:dyDescent="0.3">
      <c r="A2" s="35" t="s">
        <v>37</v>
      </c>
      <c r="B2" s="36" t="s">
        <v>38</v>
      </c>
      <c r="C2" s="31" t="s">
        <v>22</v>
      </c>
    </row>
    <row r="3" spans="1:13" x14ac:dyDescent="0.25">
      <c r="A3" s="33" t="s">
        <v>23</v>
      </c>
      <c r="B3" s="83">
        <v>4</v>
      </c>
      <c r="C3" s="185"/>
    </row>
    <row r="4" spans="1:13" x14ac:dyDescent="0.25">
      <c r="A4" s="34" t="s">
        <v>24</v>
      </c>
      <c r="B4" s="63">
        <v>4</v>
      </c>
      <c r="C4" s="186"/>
    </row>
    <row r="5" spans="1:13" x14ac:dyDescent="0.25">
      <c r="A5" s="34" t="s">
        <v>25</v>
      </c>
      <c r="B5" s="63">
        <v>4</v>
      </c>
      <c r="C5" s="186"/>
    </row>
    <row r="6" spans="1:13" x14ac:dyDescent="0.25">
      <c r="A6" s="34" t="s">
        <v>26</v>
      </c>
      <c r="B6" s="63">
        <v>4</v>
      </c>
      <c r="C6" s="186"/>
    </row>
    <row r="7" spans="1:13" x14ac:dyDescent="0.25">
      <c r="A7" s="34" t="s">
        <v>27</v>
      </c>
      <c r="B7" s="63">
        <v>4</v>
      </c>
      <c r="C7" s="186"/>
    </row>
    <row r="8" spans="1:13" x14ac:dyDescent="0.25">
      <c r="A8" s="34" t="s">
        <v>28</v>
      </c>
      <c r="B8" s="63">
        <v>4</v>
      </c>
      <c r="C8" s="186"/>
    </row>
    <row r="9" spans="1:13" x14ac:dyDescent="0.25">
      <c r="A9" s="34" t="s">
        <v>29</v>
      </c>
      <c r="B9" s="63">
        <v>4</v>
      </c>
      <c r="C9" s="186"/>
    </row>
    <row r="10" spans="1:13" x14ac:dyDescent="0.25">
      <c r="A10" s="34" t="s">
        <v>30</v>
      </c>
      <c r="B10" s="63">
        <v>4</v>
      </c>
      <c r="C10" s="186"/>
    </row>
    <row r="11" spans="1:13" x14ac:dyDescent="0.25">
      <c r="A11" s="34" t="s">
        <v>31</v>
      </c>
      <c r="B11" s="63">
        <v>4</v>
      </c>
      <c r="C11" s="186"/>
    </row>
    <row r="12" spans="1:13" x14ac:dyDescent="0.25">
      <c r="A12" s="34" t="s">
        <v>32</v>
      </c>
      <c r="B12" s="63">
        <v>4</v>
      </c>
      <c r="C12" s="186"/>
    </row>
    <row r="13" spans="1:13" x14ac:dyDescent="0.25">
      <c r="A13" s="34" t="s">
        <v>33</v>
      </c>
      <c r="B13" s="63">
        <v>4</v>
      </c>
      <c r="C13" s="186"/>
    </row>
    <row r="14" spans="1:13" x14ac:dyDescent="0.25">
      <c r="A14" s="34" t="s">
        <v>34</v>
      </c>
      <c r="B14" s="63"/>
      <c r="C14" s="186"/>
    </row>
    <row r="15" spans="1:13" x14ac:dyDescent="0.25">
      <c r="A15" s="34" t="s">
        <v>35</v>
      </c>
      <c r="B15" s="63"/>
      <c r="C15" s="186"/>
    </row>
    <row r="16" spans="1:13" ht="15.75" thickBot="1" x14ac:dyDescent="0.3">
      <c r="A16" s="37" t="s">
        <v>36</v>
      </c>
      <c r="B16" s="84"/>
      <c r="C16" s="187"/>
    </row>
    <row r="17" spans="1:3" ht="15.75" thickBot="1" x14ac:dyDescent="0.3">
      <c r="A17" s="38" t="s">
        <v>39</v>
      </c>
      <c r="B17" s="17">
        <f>SUM(B3:B16)</f>
        <v>44</v>
      </c>
      <c r="C17" s="39"/>
    </row>
    <row r="18" spans="1:3" ht="27.75" customHeight="1" thickBot="1" x14ac:dyDescent="0.3">
      <c r="A18" s="232" t="str">
        <f>IF(B17&gt;44,"NÃO EXISTEM RISCOS DE QUEDA",IF(B17&lt;37,"100% DE RISCO DE QUEDA","LOCOMOÇÃO SEGURA (RECOMENDA-SE ASSISTÊNCIA OU AUXILIXARES DE MARCHA)"))</f>
        <v>LOCOMOÇÃO SEGURA (RECOMENDA-SE ASSISTÊNCIA OU AUXILIXARES DE MARCHA)</v>
      </c>
      <c r="B18" s="233"/>
      <c r="C18" s="234"/>
    </row>
    <row r="19" spans="1:3" ht="15" customHeight="1" x14ac:dyDescent="0.25">
      <c r="A19" s="29"/>
      <c r="B19" s="29"/>
      <c r="C19" s="29"/>
    </row>
    <row r="20" spans="1:3" x14ac:dyDescent="0.25">
      <c r="A20" s="26"/>
      <c r="B20" s="21"/>
      <c r="C20" s="21"/>
    </row>
    <row r="21" spans="1:3" x14ac:dyDescent="0.25">
      <c r="B21" s="20"/>
      <c r="C21" s="112"/>
    </row>
    <row r="22" spans="1:3" x14ac:dyDescent="0.25">
      <c r="B22" s="20"/>
      <c r="C22" s="29"/>
    </row>
    <row r="23" spans="1:3" x14ac:dyDescent="0.25">
      <c r="B23" s="20"/>
      <c r="C23" s="29"/>
    </row>
    <row r="24" spans="1:3" x14ac:dyDescent="0.25">
      <c r="B24" s="20"/>
      <c r="C24" s="29"/>
    </row>
    <row r="25" spans="1:3" x14ac:dyDescent="0.25">
      <c r="B25" s="20"/>
      <c r="C25" s="29"/>
    </row>
    <row r="26" spans="1:3" x14ac:dyDescent="0.25">
      <c r="B26" s="20"/>
      <c r="C26" s="29"/>
    </row>
    <row r="27" spans="1:3" x14ac:dyDescent="0.25">
      <c r="B27" s="20"/>
      <c r="C27" s="29"/>
    </row>
    <row r="28" spans="1:3" x14ac:dyDescent="0.25">
      <c r="B28" s="20"/>
      <c r="C28" s="29"/>
    </row>
    <row r="29" spans="1:3" x14ac:dyDescent="0.25">
      <c r="B29" s="20"/>
      <c r="C29" s="29"/>
    </row>
    <row r="30" spans="1:3" x14ac:dyDescent="0.25">
      <c r="B30" s="20"/>
      <c r="C30" s="29"/>
    </row>
    <row r="31" spans="1:3" x14ac:dyDescent="0.25">
      <c r="B31" s="20"/>
      <c r="C31" s="29"/>
    </row>
    <row r="32" spans="1:3" x14ac:dyDescent="0.25">
      <c r="B32" s="20"/>
      <c r="C32" s="29"/>
    </row>
    <row r="33" spans="1:3" x14ac:dyDescent="0.25">
      <c r="B33" s="20"/>
      <c r="C33" s="29"/>
    </row>
    <row r="34" spans="1:3" x14ac:dyDescent="0.25">
      <c r="B34" s="20"/>
      <c r="C34" s="29"/>
    </row>
    <row r="35" spans="1:3" x14ac:dyDescent="0.25">
      <c r="A35" s="111"/>
      <c r="B35" s="21"/>
    </row>
    <row r="36" spans="1:3" ht="28.5" customHeight="1" x14ac:dyDescent="0.25">
      <c r="A36" s="29"/>
      <c r="B36" s="29"/>
      <c r="C36" s="29"/>
    </row>
  </sheetData>
  <mergeCells count="3">
    <mergeCell ref="A1:C1"/>
    <mergeCell ref="A18:C18"/>
    <mergeCell ref="C3:C16"/>
  </mergeCells>
  <conditionalFormatting sqref="A18">
    <cfRule type="cellIs" dxfId="24" priority="4" operator="equal">
      <formula>"NÃO EXISTEM RISCOS DE QUEDA"</formula>
    </cfRule>
    <cfRule type="cellIs" dxfId="23" priority="5" operator="equal">
      <formula>"LOCOMOÇÃO SEGURA (RECOMENDA-SE ASSISTÊNCIA OU AUXILIXARES DE MARCHA)"</formula>
    </cfRule>
    <cfRule type="cellIs" dxfId="22" priority="6" operator="equal">
      <formula>"100% DE RISCO DE QUEDA"</formula>
    </cfRule>
  </conditionalFormatting>
  <conditionalFormatting sqref="A36">
    <cfRule type="cellIs" dxfId="21" priority="1" operator="equal">
      <formula>"NÃO EXISTEM RISCOS DE QUEDA"</formula>
    </cfRule>
    <cfRule type="cellIs" dxfId="20" priority="2" operator="equal">
      <formula>"LOCOMOÇÃO SEGURA (RECOMENDA-SE ASSISTÊNCIA OU AUXILIXARES DE MARCHA)"</formula>
    </cfRule>
    <cfRule type="cellIs" dxfId="19" priority="3" operator="equal">
      <formula>"100% DE RISCO DE QUEDA"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1253-4EC5-44D7-88C4-8B43FFE255BB}">
  <sheetPr>
    <pageSetUpPr fitToPage="1"/>
  </sheetPr>
  <dimension ref="A1:R53"/>
  <sheetViews>
    <sheetView topLeftCell="A19" workbookViewId="0">
      <selection activeCell="G10" sqref="G10"/>
    </sheetView>
  </sheetViews>
  <sheetFormatPr defaultRowHeight="15" x14ac:dyDescent="0.25"/>
  <cols>
    <col min="6" max="6" width="13.28515625" customWidth="1"/>
    <col min="7" max="7" width="12.42578125" bestFit="1" customWidth="1"/>
    <col min="8" max="8" width="10.7109375" bestFit="1" customWidth="1"/>
    <col min="14" max="14" width="12.42578125" bestFit="1" customWidth="1"/>
    <col min="18" max="18" width="13.5703125" hidden="1" customWidth="1"/>
  </cols>
  <sheetData>
    <row r="1" spans="1:18" ht="30" customHeight="1" thickBot="1" x14ac:dyDescent="0.3">
      <c r="A1" s="229" t="s">
        <v>134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1"/>
      <c r="R1" s="20" t="s">
        <v>59</v>
      </c>
    </row>
    <row r="2" spans="1:18" x14ac:dyDescent="0.25">
      <c r="A2" s="56"/>
      <c r="B2" s="65"/>
      <c r="C2" s="49"/>
      <c r="D2" s="49"/>
      <c r="E2" s="49"/>
      <c r="F2" s="49"/>
      <c r="G2" s="67" t="s">
        <v>22</v>
      </c>
      <c r="H2" s="66"/>
      <c r="I2" s="49"/>
      <c r="J2" s="49"/>
      <c r="K2" s="302" t="s">
        <v>119</v>
      </c>
      <c r="L2" s="302"/>
      <c r="M2" s="302"/>
      <c r="N2" s="64">
        <v>10</v>
      </c>
      <c r="R2" s="20" t="s">
        <v>99</v>
      </c>
    </row>
    <row r="3" spans="1:18" ht="15.75" thickBot="1" x14ac:dyDescent="0.3">
      <c r="A3" s="273" t="s">
        <v>70</v>
      </c>
      <c r="B3" s="270"/>
      <c r="C3" s="274"/>
      <c r="D3" s="274"/>
      <c r="E3" s="274"/>
      <c r="F3" s="275"/>
      <c r="G3" s="45" t="s">
        <v>1</v>
      </c>
      <c r="H3" s="276" t="s">
        <v>76</v>
      </c>
      <c r="I3" s="277"/>
      <c r="J3" s="277"/>
      <c r="K3" s="277"/>
      <c r="L3" s="277"/>
      <c r="M3" s="278"/>
      <c r="N3" s="51" t="s">
        <v>1</v>
      </c>
      <c r="R3" s="20" t="s">
        <v>100</v>
      </c>
    </row>
    <row r="4" spans="1:18" x14ac:dyDescent="0.25">
      <c r="A4" s="281" t="s">
        <v>63</v>
      </c>
      <c r="B4" s="282"/>
      <c r="C4" s="282"/>
      <c r="D4" s="282"/>
      <c r="E4" s="282"/>
      <c r="F4" s="282"/>
      <c r="G4" s="283"/>
      <c r="H4" s="261" t="s">
        <v>91</v>
      </c>
      <c r="I4" s="261"/>
      <c r="J4" s="261"/>
      <c r="K4" s="261"/>
      <c r="L4" s="261"/>
      <c r="M4" s="261"/>
      <c r="N4" s="262"/>
      <c r="R4" s="20" t="s">
        <v>112</v>
      </c>
    </row>
    <row r="5" spans="1:18" x14ac:dyDescent="0.25">
      <c r="A5" s="258" t="s">
        <v>64</v>
      </c>
      <c r="B5" s="259"/>
      <c r="C5" s="259"/>
      <c r="D5" s="259"/>
      <c r="E5" s="259"/>
      <c r="F5" s="259"/>
      <c r="G5" s="63">
        <v>1</v>
      </c>
      <c r="H5" s="265" t="s">
        <v>71</v>
      </c>
      <c r="I5" s="259"/>
      <c r="J5" s="259"/>
      <c r="K5" s="259"/>
      <c r="L5" s="259"/>
      <c r="M5" s="259"/>
      <c r="N5" s="63">
        <v>1</v>
      </c>
      <c r="R5" s="20" t="s">
        <v>113</v>
      </c>
    </row>
    <row r="6" spans="1:18" x14ac:dyDescent="0.25">
      <c r="A6" s="258" t="s">
        <v>65</v>
      </c>
      <c r="B6" s="259"/>
      <c r="C6" s="259"/>
      <c r="D6" s="259"/>
      <c r="E6" s="259"/>
      <c r="F6" s="259"/>
      <c r="G6" s="63"/>
      <c r="H6" s="265" t="s">
        <v>72</v>
      </c>
      <c r="I6" s="259"/>
      <c r="J6" s="259"/>
      <c r="K6" s="259"/>
      <c r="L6" s="259"/>
      <c r="M6" s="259"/>
      <c r="N6" s="63"/>
      <c r="R6" s="20">
        <v>1</v>
      </c>
    </row>
    <row r="7" spans="1:18" x14ac:dyDescent="0.25">
      <c r="A7" s="258" t="s">
        <v>66</v>
      </c>
      <c r="B7" s="259"/>
      <c r="C7" s="259"/>
      <c r="D7" s="259"/>
      <c r="E7" s="259"/>
      <c r="F7" s="259"/>
      <c r="G7" s="63"/>
      <c r="H7" s="265" t="s">
        <v>73</v>
      </c>
      <c r="I7" s="259"/>
      <c r="J7" s="259"/>
      <c r="K7" s="259"/>
      <c r="L7" s="259"/>
      <c r="M7" s="259"/>
      <c r="N7" s="63"/>
      <c r="R7" s="20">
        <v>0</v>
      </c>
    </row>
    <row r="8" spans="1:18" x14ac:dyDescent="0.25">
      <c r="A8" s="258" t="s">
        <v>67</v>
      </c>
      <c r="B8" s="259"/>
      <c r="C8" s="259"/>
      <c r="D8" s="259"/>
      <c r="E8" s="259"/>
      <c r="F8" s="259"/>
      <c r="G8" s="63"/>
      <c r="H8" s="265" t="s">
        <v>74</v>
      </c>
      <c r="I8" s="259"/>
      <c r="J8" s="259"/>
      <c r="K8" s="259"/>
      <c r="L8" s="259"/>
      <c r="M8" s="259"/>
      <c r="N8" s="63"/>
      <c r="R8" s="20" t="s">
        <v>129</v>
      </c>
    </row>
    <row r="9" spans="1:18" x14ac:dyDescent="0.25">
      <c r="A9" s="258" t="s">
        <v>68</v>
      </c>
      <c r="B9" s="259"/>
      <c r="C9" s="259"/>
      <c r="D9" s="259"/>
      <c r="E9" s="259"/>
      <c r="F9" s="259"/>
      <c r="G9" s="63"/>
      <c r="H9" s="265" t="s">
        <v>75</v>
      </c>
      <c r="I9" s="259"/>
      <c r="J9" s="259"/>
      <c r="K9" s="259"/>
      <c r="L9" s="259"/>
      <c r="M9" s="259"/>
      <c r="N9" s="63"/>
      <c r="R9" s="20" t="s">
        <v>130</v>
      </c>
    </row>
    <row r="10" spans="1:18" ht="15.75" thickBot="1" x14ac:dyDescent="0.3">
      <c r="A10" s="287" t="s">
        <v>69</v>
      </c>
      <c r="B10" s="236"/>
      <c r="C10" s="236"/>
      <c r="D10" s="236"/>
      <c r="E10" s="236"/>
      <c r="F10" s="236"/>
      <c r="G10" s="60">
        <f>SUM(G5:G9)</f>
        <v>1</v>
      </c>
      <c r="H10" s="288" t="s">
        <v>69</v>
      </c>
      <c r="I10" s="248"/>
      <c r="J10" s="248"/>
      <c r="K10" s="248"/>
      <c r="L10" s="248"/>
      <c r="M10" s="248"/>
      <c r="N10" s="60">
        <f>SUM(N5:N9)</f>
        <v>1</v>
      </c>
    </row>
    <row r="11" spans="1:18" x14ac:dyDescent="0.25">
      <c r="A11" s="286" t="s">
        <v>77</v>
      </c>
      <c r="B11" s="277"/>
      <c r="C11" s="277"/>
      <c r="D11" s="277"/>
      <c r="E11" s="277"/>
      <c r="F11" s="277"/>
      <c r="G11" s="277"/>
      <c r="H11" s="247"/>
      <c r="I11" s="247"/>
      <c r="J11" s="247"/>
      <c r="K11" s="247"/>
      <c r="L11" s="247"/>
      <c r="M11" s="247"/>
      <c r="N11" s="52"/>
    </row>
    <row r="12" spans="1:18" x14ac:dyDescent="0.25">
      <c r="A12" s="258" t="s">
        <v>78</v>
      </c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63">
        <v>1</v>
      </c>
    </row>
    <row r="13" spans="1:18" x14ac:dyDescent="0.25">
      <c r="A13" s="258" t="s">
        <v>79</v>
      </c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63">
        <v>1</v>
      </c>
    </row>
    <row r="14" spans="1:18" x14ac:dyDescent="0.25">
      <c r="A14" s="258" t="s">
        <v>80</v>
      </c>
      <c r="B14" s="259"/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59"/>
      <c r="N14" s="63">
        <v>1</v>
      </c>
    </row>
    <row r="15" spans="1:18" ht="15.75" thickBot="1" x14ac:dyDescent="0.3">
      <c r="A15" s="296" t="s">
        <v>69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148">
        <f>SUM(N12:N14)</f>
        <v>3</v>
      </c>
    </row>
    <row r="16" spans="1:18" ht="15.75" thickBot="1" x14ac:dyDescent="0.3">
      <c r="A16" s="293" t="s">
        <v>95</v>
      </c>
      <c r="B16" s="294"/>
      <c r="C16" s="294"/>
      <c r="D16" s="294"/>
      <c r="E16" s="294"/>
      <c r="F16" s="295"/>
      <c r="G16" s="69" t="s">
        <v>1</v>
      </c>
      <c r="H16" s="293" t="s">
        <v>96</v>
      </c>
      <c r="I16" s="294"/>
      <c r="J16" s="294"/>
      <c r="K16" s="294"/>
      <c r="L16" s="294"/>
      <c r="M16" s="295"/>
      <c r="N16" s="68" t="s">
        <v>1</v>
      </c>
    </row>
    <row r="17" spans="1:14" x14ac:dyDescent="0.25">
      <c r="A17" s="303" t="s">
        <v>120</v>
      </c>
      <c r="B17" s="304"/>
      <c r="C17" s="304"/>
      <c r="D17" s="304"/>
      <c r="E17" s="304"/>
      <c r="F17" s="304"/>
      <c r="G17" s="305"/>
      <c r="H17" s="306" t="s">
        <v>121</v>
      </c>
      <c r="I17" s="307"/>
      <c r="J17" s="307"/>
      <c r="K17" s="307"/>
      <c r="L17" s="307"/>
      <c r="M17" s="307"/>
      <c r="N17" s="305"/>
    </row>
    <row r="18" spans="1:14" x14ac:dyDescent="0.25">
      <c r="A18" s="308" t="s">
        <v>81</v>
      </c>
      <c r="B18" s="309"/>
      <c r="C18" s="309"/>
      <c r="D18" s="309"/>
      <c r="E18" s="309"/>
      <c r="F18" s="72" t="s">
        <v>122</v>
      </c>
      <c r="G18" s="71">
        <v>1</v>
      </c>
      <c r="H18" s="258" t="s">
        <v>86</v>
      </c>
      <c r="I18" s="259"/>
      <c r="J18" s="259"/>
      <c r="K18" s="259"/>
      <c r="L18" s="259"/>
      <c r="M18" s="259"/>
      <c r="N18" s="63">
        <v>1</v>
      </c>
    </row>
    <row r="19" spans="1:14" x14ac:dyDescent="0.25">
      <c r="A19" s="308" t="s">
        <v>82</v>
      </c>
      <c r="B19" s="309"/>
      <c r="C19" s="309"/>
      <c r="D19" s="309"/>
      <c r="E19" s="309"/>
      <c r="F19" s="72" t="s">
        <v>123</v>
      </c>
      <c r="G19" s="71"/>
      <c r="H19" s="258" t="s">
        <v>87</v>
      </c>
      <c r="I19" s="259"/>
      <c r="J19" s="259"/>
      <c r="K19" s="259"/>
      <c r="L19" s="259"/>
      <c r="M19" s="259"/>
      <c r="N19" s="63"/>
    </row>
    <row r="20" spans="1:14" x14ac:dyDescent="0.25">
      <c r="A20" s="289" t="s">
        <v>83</v>
      </c>
      <c r="B20" s="290"/>
      <c r="C20" s="290"/>
      <c r="D20" s="290"/>
      <c r="E20" s="290"/>
      <c r="F20" s="72" t="s">
        <v>124</v>
      </c>
      <c r="G20" s="71"/>
      <c r="H20" s="258" t="s">
        <v>88</v>
      </c>
      <c r="I20" s="259"/>
      <c r="J20" s="259"/>
      <c r="K20" s="259"/>
      <c r="L20" s="259"/>
      <c r="M20" s="259"/>
      <c r="N20" s="63"/>
    </row>
    <row r="21" spans="1:14" x14ac:dyDescent="0.25">
      <c r="A21" s="289" t="s">
        <v>84</v>
      </c>
      <c r="B21" s="290"/>
      <c r="C21" s="290"/>
      <c r="D21" s="290"/>
      <c r="E21" s="290"/>
      <c r="F21" s="72" t="s">
        <v>125</v>
      </c>
      <c r="G21" s="71"/>
      <c r="H21" s="258" t="s">
        <v>89</v>
      </c>
      <c r="I21" s="259"/>
      <c r="J21" s="259"/>
      <c r="K21" s="259"/>
      <c r="L21" s="259"/>
      <c r="M21" s="259"/>
      <c r="N21" s="63"/>
    </row>
    <row r="22" spans="1:14" x14ac:dyDescent="0.25">
      <c r="A22" s="289" t="s">
        <v>85</v>
      </c>
      <c r="B22" s="290"/>
      <c r="C22" s="290"/>
      <c r="D22" s="290"/>
      <c r="E22" s="290"/>
      <c r="F22" s="72" t="s">
        <v>126</v>
      </c>
      <c r="G22" s="71"/>
      <c r="H22" s="258" t="s">
        <v>90</v>
      </c>
      <c r="I22" s="259"/>
      <c r="J22" s="259"/>
      <c r="K22" s="259"/>
      <c r="L22" s="259"/>
      <c r="M22" s="259"/>
      <c r="N22" s="63"/>
    </row>
    <row r="23" spans="1:14" ht="15.75" thickBot="1" x14ac:dyDescent="0.3">
      <c r="A23" s="291" t="s">
        <v>69</v>
      </c>
      <c r="B23" s="292"/>
      <c r="C23" s="292"/>
      <c r="D23" s="292"/>
      <c r="E23" s="292"/>
      <c r="F23" s="292"/>
      <c r="G23" s="70">
        <f>SUM(G18:G22)</f>
        <v>1</v>
      </c>
      <c r="H23" s="287" t="s">
        <v>69</v>
      </c>
      <c r="I23" s="236"/>
      <c r="J23" s="236"/>
      <c r="K23" s="236"/>
      <c r="L23" s="236"/>
      <c r="M23" s="236"/>
      <c r="N23" s="60">
        <f>SUM(N18:N22)</f>
        <v>1</v>
      </c>
    </row>
    <row r="24" spans="1:14" x14ac:dyDescent="0.25">
      <c r="A24" s="286" t="s">
        <v>94</v>
      </c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53" t="s">
        <v>1</v>
      </c>
    </row>
    <row r="25" spans="1:14" x14ac:dyDescent="0.25">
      <c r="A25" s="266" t="s">
        <v>109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8"/>
    </row>
    <row r="26" spans="1:14" x14ac:dyDescent="0.25">
      <c r="A26" s="258" t="s">
        <v>78</v>
      </c>
      <c r="B26" s="259"/>
      <c r="C26" s="259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63">
        <v>0</v>
      </c>
    </row>
    <row r="27" spans="1:14" x14ac:dyDescent="0.25">
      <c r="A27" s="258" t="s">
        <v>79</v>
      </c>
      <c r="B27" s="259"/>
      <c r="C27" s="259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63">
        <v>1</v>
      </c>
    </row>
    <row r="28" spans="1:14" x14ac:dyDescent="0.25">
      <c r="A28" s="258" t="s">
        <v>80</v>
      </c>
      <c r="B28" s="259"/>
      <c r="C28" s="259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63">
        <v>1</v>
      </c>
    </row>
    <row r="29" spans="1:14" x14ac:dyDescent="0.25">
      <c r="A29" s="249" t="s">
        <v>69</v>
      </c>
      <c r="B29" s="248"/>
      <c r="C29" s="248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61">
        <f>SUM(N26:N28)</f>
        <v>2</v>
      </c>
    </row>
    <row r="30" spans="1:14" ht="15.75" thickBot="1" x14ac:dyDescent="0.3">
      <c r="A30" s="269" t="s">
        <v>92</v>
      </c>
      <c r="B30" s="270"/>
      <c r="C30" s="270"/>
      <c r="D30" s="270"/>
      <c r="E30" s="270"/>
      <c r="F30" s="271"/>
      <c r="G30" s="44" t="s">
        <v>1</v>
      </c>
      <c r="H30" s="272" t="s">
        <v>93</v>
      </c>
      <c r="I30" s="270"/>
      <c r="J30" s="270"/>
      <c r="K30" s="270"/>
      <c r="L30" s="270"/>
      <c r="M30" s="271"/>
      <c r="N30" s="54" t="s">
        <v>1</v>
      </c>
    </row>
    <row r="31" spans="1:14" x14ac:dyDescent="0.25">
      <c r="A31" s="281" t="s">
        <v>108</v>
      </c>
      <c r="B31" s="282"/>
      <c r="C31" s="282"/>
      <c r="D31" s="282"/>
      <c r="E31" s="282"/>
      <c r="F31" s="282"/>
      <c r="G31" s="283"/>
      <c r="H31" s="251" t="s">
        <v>101</v>
      </c>
      <c r="I31" s="251"/>
      <c r="J31" s="251"/>
      <c r="K31" s="251"/>
      <c r="L31" s="251"/>
      <c r="M31" s="251"/>
      <c r="N31" s="279"/>
    </row>
    <row r="32" spans="1:14" x14ac:dyDescent="0.25">
      <c r="A32" s="258" t="s">
        <v>97</v>
      </c>
      <c r="B32" s="259"/>
      <c r="C32" s="259"/>
      <c r="D32" s="259"/>
      <c r="E32" s="259"/>
      <c r="F32" s="259"/>
      <c r="G32" s="63">
        <v>1</v>
      </c>
      <c r="H32" s="254" t="s">
        <v>102</v>
      </c>
      <c r="I32" s="254"/>
      <c r="J32" s="254"/>
      <c r="K32" s="254"/>
      <c r="L32" s="254"/>
      <c r="M32" s="254"/>
      <c r="N32" s="280"/>
    </row>
    <row r="33" spans="1:14" x14ac:dyDescent="0.25">
      <c r="A33" s="258" t="s">
        <v>98</v>
      </c>
      <c r="B33" s="259"/>
      <c r="C33" s="259"/>
      <c r="D33" s="259"/>
      <c r="E33" s="259"/>
      <c r="F33" s="259"/>
      <c r="G33" s="63">
        <v>0</v>
      </c>
      <c r="H33" s="284"/>
      <c r="I33" s="284"/>
      <c r="J33" s="284"/>
      <c r="K33" s="284"/>
      <c r="L33" s="284"/>
      <c r="M33" s="284"/>
      <c r="N33" s="285"/>
    </row>
    <row r="34" spans="1:14" ht="15.75" thickBot="1" x14ac:dyDescent="0.3">
      <c r="A34" s="287" t="s">
        <v>69</v>
      </c>
      <c r="B34" s="236"/>
      <c r="C34" s="236"/>
      <c r="D34" s="236"/>
      <c r="E34" s="236"/>
      <c r="F34" s="236"/>
      <c r="G34" s="60">
        <f>SUM(G32:G33)</f>
        <v>1</v>
      </c>
      <c r="H34" s="288" t="s">
        <v>69</v>
      </c>
      <c r="I34" s="248"/>
      <c r="J34" s="248"/>
      <c r="K34" s="248"/>
      <c r="L34" s="248"/>
      <c r="M34" s="248"/>
      <c r="N34" s="61">
        <f>IF(H33="REPETE",1,0)</f>
        <v>0</v>
      </c>
    </row>
    <row r="35" spans="1:14" x14ac:dyDescent="0.25">
      <c r="A35" s="286" t="s">
        <v>103</v>
      </c>
      <c r="B35" s="277"/>
      <c r="C35" s="277"/>
      <c r="D35" s="277"/>
      <c r="E35" s="277"/>
      <c r="F35" s="277"/>
      <c r="G35" s="277"/>
      <c r="H35" s="247"/>
      <c r="I35" s="247"/>
      <c r="J35" s="247"/>
      <c r="K35" s="247"/>
      <c r="L35" s="247"/>
      <c r="M35" s="247"/>
      <c r="N35" s="53" t="s">
        <v>1</v>
      </c>
    </row>
    <row r="36" spans="1:14" x14ac:dyDescent="0.25">
      <c r="A36" s="260" t="s">
        <v>104</v>
      </c>
      <c r="B36" s="261"/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2"/>
    </row>
    <row r="37" spans="1:14" x14ac:dyDescent="0.25">
      <c r="A37" s="258" t="s">
        <v>105</v>
      </c>
      <c r="B37" s="259"/>
      <c r="C37" s="259"/>
      <c r="D37" s="259"/>
      <c r="E37" s="259"/>
      <c r="F37" s="259"/>
      <c r="G37" s="259"/>
      <c r="H37" s="259"/>
      <c r="I37" s="259"/>
      <c r="J37" s="259"/>
      <c r="K37" s="259"/>
      <c r="L37" s="259"/>
      <c r="M37" s="259"/>
      <c r="N37" s="63">
        <v>1</v>
      </c>
    </row>
    <row r="38" spans="1:14" x14ac:dyDescent="0.25">
      <c r="A38" s="263" t="s">
        <v>106</v>
      </c>
      <c r="B38" s="264"/>
      <c r="C38" s="264"/>
      <c r="D38" s="264"/>
      <c r="E38" s="264"/>
      <c r="F38" s="264"/>
      <c r="G38" s="264"/>
      <c r="H38" s="264"/>
      <c r="I38" s="264"/>
      <c r="J38" s="264"/>
      <c r="K38" s="264"/>
      <c r="L38" s="264"/>
      <c r="M38" s="265"/>
      <c r="N38" s="63">
        <v>1</v>
      </c>
    </row>
    <row r="39" spans="1:14" x14ac:dyDescent="0.25">
      <c r="A39" s="258" t="s">
        <v>107</v>
      </c>
      <c r="B39" s="259"/>
      <c r="C39" s="259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63">
        <v>0</v>
      </c>
    </row>
    <row r="40" spans="1:14" x14ac:dyDescent="0.25">
      <c r="A40" s="249" t="s">
        <v>69</v>
      </c>
      <c r="B40" s="248"/>
      <c r="C40" s="248"/>
      <c r="D40" s="248"/>
      <c r="E40" s="248"/>
      <c r="F40" s="248"/>
      <c r="G40" s="248"/>
      <c r="H40" s="248"/>
      <c r="I40" s="248"/>
      <c r="J40" s="248"/>
      <c r="K40" s="248"/>
      <c r="L40" s="248"/>
      <c r="M40" s="248"/>
      <c r="N40" s="61">
        <f>SUM(N37:N39)</f>
        <v>2</v>
      </c>
    </row>
    <row r="41" spans="1:14" x14ac:dyDescent="0.25">
      <c r="A41" s="273" t="s">
        <v>115</v>
      </c>
      <c r="B41" s="274"/>
      <c r="C41" s="274"/>
      <c r="D41" s="274"/>
      <c r="E41" s="274"/>
      <c r="F41" s="275"/>
      <c r="G41" s="45" t="s">
        <v>1</v>
      </c>
      <c r="H41" s="276" t="s">
        <v>116</v>
      </c>
      <c r="I41" s="277"/>
      <c r="J41" s="277"/>
      <c r="K41" s="277"/>
      <c r="L41" s="277"/>
      <c r="M41" s="278"/>
      <c r="N41" s="53" t="s">
        <v>1</v>
      </c>
    </row>
    <row r="42" spans="1:14" x14ac:dyDescent="0.25">
      <c r="A42" s="250" t="s">
        <v>110</v>
      </c>
      <c r="B42" s="251"/>
      <c r="C42" s="251"/>
      <c r="D42" s="251"/>
      <c r="E42" s="251"/>
      <c r="F42" s="251"/>
      <c r="G42" s="252"/>
      <c r="H42" s="240" t="s">
        <v>114</v>
      </c>
      <c r="I42" s="241"/>
      <c r="J42" s="241"/>
      <c r="K42" s="241"/>
      <c r="L42" s="241"/>
      <c r="M42" s="241"/>
      <c r="N42" s="242"/>
    </row>
    <row r="43" spans="1:14" x14ac:dyDescent="0.25">
      <c r="A43" s="253" t="s">
        <v>111</v>
      </c>
      <c r="B43" s="254"/>
      <c r="C43" s="254"/>
      <c r="D43" s="254"/>
      <c r="E43" s="254"/>
      <c r="F43" s="254"/>
      <c r="G43" s="255"/>
      <c r="H43" s="243"/>
      <c r="I43" s="244"/>
      <c r="J43" s="244"/>
      <c r="K43" s="244"/>
      <c r="L43" s="244"/>
      <c r="M43" s="244"/>
      <c r="N43" s="245"/>
    </row>
    <row r="44" spans="1:14" x14ac:dyDescent="0.25">
      <c r="A44" s="256" t="s">
        <v>112</v>
      </c>
      <c r="B44" s="238"/>
      <c r="C44" s="238"/>
      <c r="D44" s="238"/>
      <c r="E44" s="238"/>
      <c r="F44" s="238"/>
      <c r="G44" s="257"/>
      <c r="H44" s="237" t="s">
        <v>112</v>
      </c>
      <c r="I44" s="238"/>
      <c r="J44" s="238"/>
      <c r="K44" s="238"/>
      <c r="L44" s="238"/>
      <c r="M44" s="238"/>
      <c r="N44" s="239"/>
    </row>
    <row r="45" spans="1:14" x14ac:dyDescent="0.25">
      <c r="A45" s="249" t="s">
        <v>69</v>
      </c>
      <c r="B45" s="248"/>
      <c r="C45" s="248"/>
      <c r="D45" s="248"/>
      <c r="E45" s="248"/>
      <c r="F45" s="248"/>
      <c r="G45" s="62">
        <f>IF(A44="EXECUTA",1,0)</f>
        <v>1</v>
      </c>
      <c r="H45" s="248" t="s">
        <v>69</v>
      </c>
      <c r="I45" s="248"/>
      <c r="J45" s="248"/>
      <c r="K45" s="248"/>
      <c r="L45" s="248"/>
      <c r="M45" s="248"/>
      <c r="N45" s="61">
        <f>IF(H44="EXECUTA",1,0)</f>
        <v>1</v>
      </c>
    </row>
    <row r="46" spans="1:14" x14ac:dyDescent="0.25">
      <c r="A46" s="246" t="s">
        <v>117</v>
      </c>
      <c r="B46" s="247"/>
      <c r="C46" s="247"/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53" t="s">
        <v>1</v>
      </c>
    </row>
    <row r="47" spans="1:14" x14ac:dyDescent="0.25">
      <c r="A47" s="55"/>
      <c r="B47" s="47"/>
      <c r="C47" s="47"/>
      <c r="D47" s="47"/>
      <c r="E47" s="47"/>
      <c r="F47" s="47"/>
      <c r="G47" s="48"/>
      <c r="H47" s="240" t="s">
        <v>118</v>
      </c>
      <c r="I47" s="241"/>
      <c r="J47" s="241"/>
      <c r="K47" s="241"/>
      <c r="L47" s="241"/>
      <c r="M47" s="241"/>
      <c r="N47" s="242"/>
    </row>
    <row r="48" spans="1:14" x14ac:dyDescent="0.25">
      <c r="A48" s="56"/>
      <c r="B48" s="49"/>
      <c r="C48" s="49"/>
      <c r="D48" s="49"/>
      <c r="E48" s="49"/>
      <c r="F48" s="49"/>
      <c r="G48" s="50"/>
      <c r="H48" s="299"/>
      <c r="I48" s="300"/>
      <c r="J48" s="300"/>
      <c r="K48" s="300"/>
      <c r="L48" s="300"/>
      <c r="M48" s="300"/>
      <c r="N48" s="301"/>
    </row>
    <row r="49" spans="1:14" x14ac:dyDescent="0.25">
      <c r="A49" s="56"/>
      <c r="B49" s="49"/>
      <c r="C49" s="49"/>
      <c r="D49" s="49"/>
      <c r="E49" s="49"/>
      <c r="F49" s="49"/>
      <c r="G49" s="50"/>
      <c r="H49" s="299"/>
      <c r="I49" s="300"/>
      <c r="J49" s="300"/>
      <c r="K49" s="300"/>
      <c r="L49" s="300"/>
      <c r="M49" s="300"/>
      <c r="N49" s="301"/>
    </row>
    <row r="50" spans="1:14" x14ac:dyDescent="0.25">
      <c r="A50" s="56"/>
      <c r="B50" s="49"/>
      <c r="C50" s="49"/>
      <c r="D50" s="49"/>
      <c r="E50" s="49"/>
      <c r="F50" s="49"/>
      <c r="G50" s="50"/>
      <c r="H50" s="243"/>
      <c r="I50" s="244"/>
      <c r="J50" s="244"/>
      <c r="K50" s="244"/>
      <c r="L50" s="244"/>
      <c r="M50" s="244"/>
      <c r="N50" s="245"/>
    </row>
    <row r="51" spans="1:14" x14ac:dyDescent="0.25">
      <c r="A51" s="56"/>
      <c r="B51" s="49"/>
      <c r="C51" s="49"/>
      <c r="D51" s="49"/>
      <c r="E51" s="49"/>
      <c r="F51" s="49"/>
      <c r="G51" s="50"/>
      <c r="H51" s="238"/>
      <c r="I51" s="238"/>
      <c r="J51" s="238"/>
      <c r="K51" s="238"/>
      <c r="L51" s="238"/>
      <c r="M51" s="238"/>
      <c r="N51" s="239"/>
    </row>
    <row r="52" spans="1:14" ht="15.75" thickBot="1" x14ac:dyDescent="0.3">
      <c r="A52" s="57"/>
      <c r="B52" s="58"/>
      <c r="C52" s="58"/>
      <c r="D52" s="58"/>
      <c r="E52" s="58"/>
      <c r="F52" s="58"/>
      <c r="G52" s="59"/>
      <c r="H52" s="235" t="s">
        <v>69</v>
      </c>
      <c r="I52" s="236"/>
      <c r="J52" s="236"/>
      <c r="K52" s="236"/>
      <c r="L52" s="236"/>
      <c r="M52" s="236"/>
      <c r="N52" s="60">
        <f>IF(H51="EXECUTA",1,0)</f>
        <v>0</v>
      </c>
    </row>
    <row r="53" spans="1:14" ht="15.75" thickBot="1" x14ac:dyDescent="0.3">
      <c r="A53" s="73"/>
      <c r="B53" s="74"/>
      <c r="C53" s="74"/>
      <c r="D53" s="74"/>
      <c r="E53" s="77" t="s">
        <v>127</v>
      </c>
      <c r="F53" s="77"/>
      <c r="G53" s="75">
        <f>SUM(G10+N10+N15+G23+N23+N29+G34+N34+N40+G45+N45+N52)</f>
        <v>14</v>
      </c>
      <c r="H53" s="298" t="s">
        <v>128</v>
      </c>
      <c r="I53" s="298"/>
      <c r="J53" s="298"/>
      <c r="K53" s="78" t="s">
        <v>130</v>
      </c>
      <c r="L53" s="74"/>
      <c r="M53" s="74"/>
      <c r="N53" s="76"/>
    </row>
  </sheetData>
  <mergeCells count="75">
    <mergeCell ref="A21:E21"/>
    <mergeCell ref="H53:J53"/>
    <mergeCell ref="A4:G4"/>
    <mergeCell ref="A3:F3"/>
    <mergeCell ref="A1:N1"/>
    <mergeCell ref="H51:N51"/>
    <mergeCell ref="H47:N50"/>
    <mergeCell ref="K2:M2"/>
    <mergeCell ref="A17:G17"/>
    <mergeCell ref="H17:N17"/>
    <mergeCell ref="A18:E18"/>
    <mergeCell ref="A19:E19"/>
    <mergeCell ref="A20:E20"/>
    <mergeCell ref="H20:M20"/>
    <mergeCell ref="H21:M21"/>
    <mergeCell ref="A5:F5"/>
    <mergeCell ref="H18:M18"/>
    <mergeCell ref="A13:M13"/>
    <mergeCell ref="H19:M19"/>
    <mergeCell ref="H8:M8"/>
    <mergeCell ref="H9:M9"/>
    <mergeCell ref="H10:M10"/>
    <mergeCell ref="A12:M12"/>
    <mergeCell ref="A8:F8"/>
    <mergeCell ref="A9:F9"/>
    <mergeCell ref="A10:F10"/>
    <mergeCell ref="H3:M3"/>
    <mergeCell ref="H5:M5"/>
    <mergeCell ref="H6:M6"/>
    <mergeCell ref="H7:M7"/>
    <mergeCell ref="A16:F16"/>
    <mergeCell ref="A14:M14"/>
    <mergeCell ref="A15:M15"/>
    <mergeCell ref="H16:M16"/>
    <mergeCell ref="A7:F7"/>
    <mergeCell ref="A6:F6"/>
    <mergeCell ref="H22:M22"/>
    <mergeCell ref="H23:M23"/>
    <mergeCell ref="A26:M26"/>
    <mergeCell ref="A27:M27"/>
    <mergeCell ref="A28:M28"/>
    <mergeCell ref="A22:E22"/>
    <mergeCell ref="A23:F23"/>
    <mergeCell ref="A41:F41"/>
    <mergeCell ref="H41:M41"/>
    <mergeCell ref="H4:N4"/>
    <mergeCell ref="H31:N31"/>
    <mergeCell ref="H32:N32"/>
    <mergeCell ref="A31:G31"/>
    <mergeCell ref="H33:N33"/>
    <mergeCell ref="A35:M35"/>
    <mergeCell ref="A34:F34"/>
    <mergeCell ref="H34:M34"/>
    <mergeCell ref="A37:M37"/>
    <mergeCell ref="A32:F32"/>
    <mergeCell ref="A33:F33"/>
    <mergeCell ref="A29:M29"/>
    <mergeCell ref="A11:M11"/>
    <mergeCell ref="A24:M24"/>
    <mergeCell ref="A39:M39"/>
    <mergeCell ref="A40:M40"/>
    <mergeCell ref="A36:N36"/>
    <mergeCell ref="A38:M38"/>
    <mergeCell ref="A25:N25"/>
    <mergeCell ref="A30:F30"/>
    <mergeCell ref="H30:M30"/>
    <mergeCell ref="H52:M52"/>
    <mergeCell ref="H44:N44"/>
    <mergeCell ref="H42:N43"/>
    <mergeCell ref="A46:M46"/>
    <mergeCell ref="H45:M45"/>
    <mergeCell ref="A45:F45"/>
    <mergeCell ref="A42:G42"/>
    <mergeCell ref="A43:G43"/>
    <mergeCell ref="A44:G44"/>
  </mergeCells>
  <phoneticPr fontId="9" type="noConversion"/>
  <conditionalFormatting sqref="K53">
    <cfRule type="cellIs" dxfId="18" priority="1" operator="equal">
      <formula>"NÃO"</formula>
    </cfRule>
    <cfRule type="cellIs" dxfId="17" priority="2" operator="equal">
      <formula>"SIM"</formula>
    </cfRule>
  </conditionalFormatting>
  <dataValidations count="4">
    <dataValidation type="list" allowBlank="1" showInputMessage="1" showErrorMessage="1" sqref="H33:N33" xr:uid="{1F57CB64-F147-4557-B806-C6BB413EAB8A}">
      <formula1>$R$2:$R$3</formula1>
    </dataValidation>
    <dataValidation type="list" allowBlank="1" showInputMessage="1" showErrorMessage="1" sqref="A44:N44 H51:N51" xr:uid="{622A683E-39DA-4180-BAD9-3F61AB0AED94}">
      <formula1>$R$4:$R$5</formula1>
    </dataValidation>
    <dataValidation type="list" allowBlank="1" showInputMessage="1" showErrorMessage="1" sqref="G5:G9 N5:N9 G18:G22 N18:N22 N26:N28 G32:G33 N37:N39 N12:N14" xr:uid="{57273414-1FBB-48A1-B069-B96712BCFBF8}">
      <formula1>$R$6:$R$7</formula1>
    </dataValidation>
    <dataValidation type="list" allowBlank="1" showInputMessage="1" showErrorMessage="1" sqref="K53" xr:uid="{C6633CA7-2F10-429D-B6B2-1F57E787FAA6}">
      <formula1>$R$8:$R$9</formula1>
    </dataValidation>
  </dataValidations>
  <pageMargins left="0.511811024" right="0.511811024" top="0.78740157499999996" bottom="0.78740157499999996" header="0.31496062000000002" footer="0.31496062000000002"/>
  <pageSetup paperSize="9" scale="65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12D48-4343-4370-A0C6-D3BE6D1EB165}">
  <dimension ref="A1:I18"/>
  <sheetViews>
    <sheetView workbookViewId="0">
      <pane xSplit="1" topLeftCell="B1" activePane="topRight" state="frozen"/>
      <selection pane="topRight" activeCell="F16" sqref="F16"/>
    </sheetView>
  </sheetViews>
  <sheetFormatPr defaultRowHeight="15" x14ac:dyDescent="0.25"/>
  <cols>
    <col min="1" max="1" width="63.7109375" customWidth="1"/>
    <col min="2" max="2" width="13.28515625" bestFit="1" customWidth="1"/>
    <col min="3" max="3" width="13.7109375" customWidth="1"/>
    <col min="4" max="4" width="12.42578125" customWidth="1"/>
  </cols>
  <sheetData>
    <row r="1" spans="1:9" ht="32.25" customHeight="1" thickBot="1" x14ac:dyDescent="0.3">
      <c r="A1" s="119" t="s">
        <v>133</v>
      </c>
      <c r="B1" s="117"/>
      <c r="C1" s="117"/>
      <c r="D1" s="117"/>
      <c r="I1" t="s">
        <v>59</v>
      </c>
    </row>
    <row r="2" spans="1:9" ht="15.75" thickBot="1" x14ac:dyDescent="0.3">
      <c r="A2" s="118" t="s">
        <v>61</v>
      </c>
      <c r="B2" s="43" t="s">
        <v>62</v>
      </c>
      <c r="C2" s="43" t="s">
        <v>1</v>
      </c>
      <c r="D2" s="18" t="s">
        <v>22</v>
      </c>
      <c r="I2" t="s">
        <v>60</v>
      </c>
    </row>
    <row r="3" spans="1:9" x14ac:dyDescent="0.25">
      <c r="A3" s="116" t="s">
        <v>41</v>
      </c>
      <c r="B3" s="85" t="s">
        <v>60</v>
      </c>
      <c r="C3" s="42">
        <f>IF(B3="","",IF(B3="Não",1,0))</f>
        <v>0</v>
      </c>
      <c r="D3" s="185"/>
      <c r="I3" t="s">
        <v>42</v>
      </c>
    </row>
    <row r="4" spans="1:9" x14ac:dyDescent="0.25">
      <c r="A4" s="115" t="s">
        <v>43</v>
      </c>
      <c r="B4" s="86" t="s">
        <v>42</v>
      </c>
      <c r="C4" s="40">
        <f>IF(B4="","",IF(B4="Sim",1,0))</f>
        <v>0</v>
      </c>
      <c r="D4" s="186"/>
    </row>
    <row r="5" spans="1:9" x14ac:dyDescent="0.25">
      <c r="A5" s="115" t="s">
        <v>44</v>
      </c>
      <c r="B5" s="86" t="s">
        <v>60</v>
      </c>
      <c r="C5" s="40">
        <f>IF(B5="","",IF(B5="Sim",1,0))</f>
        <v>1</v>
      </c>
      <c r="D5" s="186"/>
    </row>
    <row r="6" spans="1:9" x14ac:dyDescent="0.25">
      <c r="A6" s="115" t="s">
        <v>45</v>
      </c>
      <c r="B6" s="86" t="s">
        <v>42</v>
      </c>
      <c r="C6" s="40">
        <f>IF(B6="","",IF(B6="Sim",1,0))</f>
        <v>0</v>
      </c>
      <c r="D6" s="186"/>
    </row>
    <row r="7" spans="1:9" x14ac:dyDescent="0.25">
      <c r="A7" s="115" t="s">
        <v>46</v>
      </c>
      <c r="B7" s="86" t="s">
        <v>60</v>
      </c>
      <c r="C7" s="40">
        <f>IF(B7="","",IF(B7="Não",1,0))</f>
        <v>0</v>
      </c>
      <c r="D7" s="186"/>
    </row>
    <row r="8" spans="1:9" x14ac:dyDescent="0.25">
      <c r="A8" s="115" t="s">
        <v>47</v>
      </c>
      <c r="B8" s="86" t="s">
        <v>42</v>
      </c>
      <c r="C8" s="40">
        <f>IF(B8="","",IF(B8="Sim",1,0))</f>
        <v>0</v>
      </c>
      <c r="D8" s="186"/>
    </row>
    <row r="9" spans="1:9" x14ac:dyDescent="0.25">
      <c r="A9" s="115" t="s">
        <v>48</v>
      </c>
      <c r="B9" s="86" t="s">
        <v>60</v>
      </c>
      <c r="C9" s="40">
        <f>IF(B9="","",IF(B9="Não",1,0))</f>
        <v>0</v>
      </c>
      <c r="D9" s="186"/>
    </row>
    <row r="10" spans="1:9" x14ac:dyDescent="0.25">
      <c r="A10" s="115" t="s">
        <v>49</v>
      </c>
      <c r="B10" s="86" t="s">
        <v>60</v>
      </c>
      <c r="C10" s="40">
        <f>IF(B10="","",IF(B10="Sim",1,0))</f>
        <v>1</v>
      </c>
      <c r="D10" s="186"/>
    </row>
    <row r="11" spans="1:9" x14ac:dyDescent="0.25">
      <c r="A11" s="115" t="s">
        <v>50</v>
      </c>
      <c r="B11" s="86" t="s">
        <v>60</v>
      </c>
      <c r="C11" s="40">
        <f>IF(B11="","",IF(B11="Sim",1,0))</f>
        <v>1</v>
      </c>
      <c r="D11" s="186"/>
    </row>
    <row r="12" spans="1:9" x14ac:dyDescent="0.25">
      <c r="A12" s="115" t="s">
        <v>51</v>
      </c>
      <c r="B12" s="86" t="s">
        <v>60</v>
      </c>
      <c r="C12" s="40">
        <f>IF(B12="","",IF(B12="Sim",1,0))</f>
        <v>1</v>
      </c>
      <c r="D12" s="186"/>
    </row>
    <row r="13" spans="1:9" x14ac:dyDescent="0.25">
      <c r="A13" s="115" t="s">
        <v>52</v>
      </c>
      <c r="B13" s="86" t="s">
        <v>60</v>
      </c>
      <c r="C13" s="40">
        <f>IF(B13="","",IF(B13="Não",1,0))</f>
        <v>0</v>
      </c>
      <c r="D13" s="186"/>
    </row>
    <row r="14" spans="1:9" x14ac:dyDescent="0.25">
      <c r="A14" s="115" t="s">
        <v>53</v>
      </c>
      <c r="B14" s="86" t="s">
        <v>60</v>
      </c>
      <c r="C14" s="40">
        <f>IF(B14="","",IF(B14="Sim",1,0))</f>
        <v>1</v>
      </c>
      <c r="D14" s="186"/>
    </row>
    <row r="15" spans="1:9" x14ac:dyDescent="0.25">
      <c r="A15" s="115" t="s">
        <v>54</v>
      </c>
      <c r="B15" s="86"/>
      <c r="C15" s="40" t="str">
        <f>IF(B15="","",IF(B15="Não",1,0))</f>
        <v/>
      </c>
      <c r="D15" s="186"/>
    </row>
    <row r="16" spans="1:9" x14ac:dyDescent="0.25">
      <c r="A16" s="115" t="s">
        <v>55</v>
      </c>
      <c r="B16" s="86"/>
      <c r="C16" s="40" t="str">
        <f>IF(B16="","",IF(B16="Sim",1,0))</f>
        <v/>
      </c>
      <c r="D16" s="186"/>
    </row>
    <row r="17" spans="1:4" ht="15.75" thickBot="1" x14ac:dyDescent="0.3">
      <c r="A17" s="114" t="s">
        <v>56</v>
      </c>
      <c r="B17" s="87"/>
      <c r="C17" s="41" t="str">
        <f>IF(B17="","",IF(B17="Sim",1,0))</f>
        <v/>
      </c>
      <c r="D17" s="187"/>
    </row>
    <row r="18" spans="1:4" ht="15.75" thickBot="1" x14ac:dyDescent="0.3">
      <c r="A18" s="32" t="s">
        <v>57</v>
      </c>
      <c r="B18" s="17" t="s">
        <v>58</v>
      </c>
      <c r="C18" s="17">
        <f>SUM(C3:C17)</f>
        <v>5</v>
      </c>
      <c r="D18" s="39"/>
    </row>
  </sheetData>
  <mergeCells count="1">
    <mergeCell ref="D3:D17"/>
  </mergeCells>
  <conditionalFormatting sqref="C18">
    <cfRule type="cellIs" dxfId="16" priority="2" operator="greaterThan">
      <formula>4</formula>
    </cfRule>
  </conditionalFormatting>
  <conditionalFormatting sqref="C3:C17">
    <cfRule type="cellIs" dxfId="15" priority="1" operator="equal">
      <formula>1</formula>
    </cfRule>
  </conditionalFormatting>
  <dataValidations count="1">
    <dataValidation type="list" allowBlank="1" showInputMessage="1" showErrorMessage="1" sqref="B3:B17" xr:uid="{B28FA3F8-444A-4208-B5C0-539A5B7F6507}">
      <formula1>$I$2:$I$3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5334-1015-40A1-A178-BC8D77878585}">
  <dimension ref="A1:N18"/>
  <sheetViews>
    <sheetView topLeftCell="A7" workbookViewId="0">
      <selection activeCell="A14" sqref="A14:E14"/>
    </sheetView>
  </sheetViews>
  <sheetFormatPr defaultRowHeight="15" x14ac:dyDescent="0.25"/>
  <cols>
    <col min="1" max="1" width="9.140625" customWidth="1"/>
    <col min="2" max="2" width="11.7109375" bestFit="1" customWidth="1"/>
    <col min="3" max="3" width="9.140625" customWidth="1"/>
    <col min="5" max="5" width="9.140625" customWidth="1"/>
    <col min="6" max="6" width="28.140625" bestFit="1" customWidth="1"/>
    <col min="7" max="7" width="27" bestFit="1" customWidth="1"/>
    <col min="9" max="9" width="9.140625" customWidth="1"/>
  </cols>
  <sheetData>
    <row r="1" spans="1:14" ht="39.75" customHeight="1" thickBot="1" x14ac:dyDescent="0.3">
      <c r="A1" s="229" t="s">
        <v>155</v>
      </c>
      <c r="B1" s="230"/>
      <c r="C1" s="230"/>
      <c r="D1" s="230"/>
      <c r="E1" s="230"/>
      <c r="F1" s="230"/>
      <c r="G1" s="231"/>
      <c r="N1" t="s">
        <v>59</v>
      </c>
    </row>
    <row r="2" spans="1:14" ht="15" customHeight="1" x14ac:dyDescent="0.25">
      <c r="A2" s="91" t="s">
        <v>140</v>
      </c>
      <c r="B2" s="19" t="s">
        <v>141</v>
      </c>
      <c r="C2" s="19" t="s">
        <v>142</v>
      </c>
      <c r="D2" s="19" t="s">
        <v>132</v>
      </c>
      <c r="E2" s="19" t="s">
        <v>143</v>
      </c>
      <c r="F2" s="19" t="s">
        <v>150</v>
      </c>
      <c r="G2" s="92" t="s">
        <v>151</v>
      </c>
      <c r="N2" t="s">
        <v>144</v>
      </c>
    </row>
    <row r="3" spans="1:14" x14ac:dyDescent="0.25">
      <c r="A3" s="88">
        <v>90</v>
      </c>
      <c r="B3" s="20">
        <v>1.92</v>
      </c>
      <c r="C3" s="20" t="s">
        <v>144</v>
      </c>
      <c r="D3" s="20">
        <v>70</v>
      </c>
      <c r="E3" s="20" t="s">
        <v>146</v>
      </c>
      <c r="F3" s="46">
        <f>IF(A3="","",((0.244*A3)+(7.8*B3)+(6.6*IF(C3="Homem",1,0))-(0.098*D3)+IF(E3="Branco",0,IF(E3="Asiático",1.2,1.4))-3.3))</f>
        <v>33.376000000000005</v>
      </c>
      <c r="G3" s="98"/>
      <c r="N3" t="s">
        <v>145</v>
      </c>
    </row>
    <row r="4" spans="1:14" x14ac:dyDescent="0.25">
      <c r="A4" s="88"/>
      <c r="B4" s="311" t="s">
        <v>153</v>
      </c>
      <c r="C4" s="311"/>
      <c r="D4" s="311"/>
      <c r="E4" s="312"/>
      <c r="F4" s="102">
        <f>IF(F3="","",$F$3/($B$3*$B$3))</f>
        <v>9.0538194444444464</v>
      </c>
      <c r="G4" s="103" t="str">
        <f>IF(G3="","",$G$3/($B$3*$B$3))</f>
        <v/>
      </c>
    </row>
    <row r="5" spans="1:14" x14ac:dyDescent="0.25">
      <c r="A5" s="107" t="s">
        <v>7</v>
      </c>
      <c r="B5" s="104"/>
      <c r="C5" s="104"/>
      <c r="D5" s="104"/>
      <c r="E5" s="104"/>
      <c r="F5" s="105"/>
      <c r="G5" s="106"/>
    </row>
    <row r="6" spans="1:14" x14ac:dyDescent="0.25">
      <c r="A6" s="88"/>
      <c r="B6" s="20"/>
      <c r="C6" s="21"/>
      <c r="D6" s="21"/>
      <c r="E6" s="21"/>
      <c r="F6" s="100" t="s">
        <v>139</v>
      </c>
      <c r="G6" s="101" t="s">
        <v>22</v>
      </c>
    </row>
    <row r="7" spans="1:14" x14ac:dyDescent="0.25">
      <c r="A7" s="315" t="s">
        <v>138</v>
      </c>
      <c r="B7" s="316"/>
      <c r="C7" s="316"/>
      <c r="D7" s="316"/>
      <c r="E7" s="316"/>
      <c r="F7" s="99">
        <v>0.88</v>
      </c>
      <c r="G7" s="319"/>
      <c r="N7" t="s">
        <v>146</v>
      </c>
    </row>
    <row r="8" spans="1:14" x14ac:dyDescent="0.25">
      <c r="A8" s="315" t="s">
        <v>137</v>
      </c>
      <c r="B8" s="316"/>
      <c r="C8" s="316"/>
      <c r="D8" s="316"/>
      <c r="E8" s="316"/>
      <c r="F8" s="99">
        <v>32</v>
      </c>
      <c r="G8" s="320"/>
      <c r="N8" t="s">
        <v>147</v>
      </c>
    </row>
    <row r="9" spans="1:14" x14ac:dyDescent="0.25">
      <c r="A9" s="315" t="s">
        <v>152</v>
      </c>
      <c r="B9" s="316"/>
      <c r="C9" s="316"/>
      <c r="D9" s="316"/>
      <c r="E9" s="316"/>
      <c r="F9" s="90">
        <f>IF(G4="",F4,G4)</f>
        <v>9.0538194444444464</v>
      </c>
      <c r="G9" s="320"/>
      <c r="N9" t="s">
        <v>148</v>
      </c>
    </row>
    <row r="10" spans="1:14" x14ac:dyDescent="0.25">
      <c r="A10" s="315" t="s">
        <v>158</v>
      </c>
      <c r="B10" s="316"/>
      <c r="C10" s="316"/>
      <c r="D10" s="316"/>
      <c r="E10" s="316"/>
      <c r="F10" s="99"/>
      <c r="G10" s="320"/>
      <c r="I10" s="89"/>
      <c r="N10" t="s">
        <v>149</v>
      </c>
    </row>
    <row r="11" spans="1:14" x14ac:dyDescent="0.25">
      <c r="A11" s="93"/>
      <c r="B11" s="94"/>
      <c r="C11" s="313" t="s">
        <v>156</v>
      </c>
      <c r="D11" s="313"/>
      <c r="E11" s="314"/>
      <c r="F11" s="62" t="str">
        <f>IF($C$3&lt;&gt;"Homem","",IF(AND($F$7&gt;0.8,$F$8&gt;30),"SEM SARCOPENIA",IF(AND($F$7&gt;0.8,$F$8&lt;=30,$F$9&gt;8.9),"SEM SARCOPENIA",IF(AND($F$7&lt;=0.8,$F$9&gt;8.9),"SEM SARCOPENIA","SARCOPENIA"))))</f>
        <v>SEM SARCOPENIA</v>
      </c>
      <c r="G11" s="320"/>
    </row>
    <row r="12" spans="1:14" ht="15.75" thickBot="1" x14ac:dyDescent="0.3">
      <c r="A12" s="95"/>
      <c r="B12" s="96"/>
      <c r="C12" s="317" t="s">
        <v>157</v>
      </c>
      <c r="D12" s="317"/>
      <c r="E12" s="318"/>
      <c r="F12" s="97" t="str">
        <f>IF($C$3&lt;&gt;"Mulher","",IF(AND($F$7&gt;0.8,$F$8&gt;20),"SEM SARCOPENIA",IF(AND($F$7&gt;0.8,$F$8&lt;=20,$F$9&gt;6.37),"SEM SARCOPENIA",IF(AND($F$7&lt;=0.8,$F$9&gt;6.37),"SEM SARCOPENIA","SARCOPENIA"))))</f>
        <v/>
      </c>
      <c r="G12" s="321"/>
    </row>
    <row r="14" spans="1:14" x14ac:dyDescent="0.25">
      <c r="A14" s="350"/>
      <c r="B14" s="351"/>
      <c r="C14" s="351"/>
      <c r="D14" s="351"/>
      <c r="E14" s="351"/>
    </row>
    <row r="16" spans="1:14" x14ac:dyDescent="0.25">
      <c r="A16" s="26"/>
    </row>
    <row r="18" spans="8:8" x14ac:dyDescent="0.25">
      <c r="H18" s="89"/>
    </row>
  </sheetData>
  <mergeCells count="9">
    <mergeCell ref="B4:E4"/>
    <mergeCell ref="C11:E11"/>
    <mergeCell ref="A1:G1"/>
    <mergeCell ref="A7:E7"/>
    <mergeCell ref="C12:E12"/>
    <mergeCell ref="G7:G12"/>
    <mergeCell ref="A8:E8"/>
    <mergeCell ref="A9:E9"/>
    <mergeCell ref="A10:E10"/>
  </mergeCells>
  <conditionalFormatting sqref="F11:F12">
    <cfRule type="cellIs" dxfId="14" priority="1" operator="equal">
      <formula>"Sem Sarcopenia"</formula>
    </cfRule>
    <cfRule type="cellIs" dxfId="13" priority="2" operator="equal">
      <formula>"Sarcopenia"</formula>
    </cfRule>
  </conditionalFormatting>
  <dataValidations count="2">
    <dataValidation type="list" allowBlank="1" showInputMessage="1" showErrorMessage="1" sqref="C3" xr:uid="{FE5FDBC3-D665-4462-BF30-3CED67343549}">
      <formula1>$N$2:$N$3</formula1>
    </dataValidation>
    <dataValidation type="list" allowBlank="1" showInputMessage="1" showErrorMessage="1" sqref="E3" xr:uid="{A486BC19-C0D4-4BDD-AA24-DDD036FB1002}">
      <formula1>$N$7:$N$10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3699-F577-4FF9-91D9-DB80DCB9EF49}">
  <dimension ref="A1:BM19"/>
  <sheetViews>
    <sheetView workbookViewId="0">
      <selection activeCell="H15" sqref="H15"/>
    </sheetView>
  </sheetViews>
  <sheetFormatPr defaultRowHeight="15" x14ac:dyDescent="0.25"/>
  <cols>
    <col min="6" max="6" width="11.28515625" bestFit="1" customWidth="1"/>
    <col min="7" max="7" width="10.28515625" bestFit="1" customWidth="1"/>
    <col min="8" max="8" width="14.85546875" bestFit="1" customWidth="1"/>
  </cols>
  <sheetData>
    <row r="1" spans="1:65" ht="36.75" customHeight="1" thickBot="1" x14ac:dyDescent="0.3">
      <c r="A1" s="229" t="s">
        <v>159</v>
      </c>
      <c r="B1" s="230"/>
      <c r="C1" s="230"/>
      <c r="D1" s="230"/>
      <c r="E1" s="230"/>
      <c r="F1" s="230"/>
      <c r="G1" s="230"/>
      <c r="H1" s="230"/>
      <c r="I1" s="231"/>
    </row>
    <row r="2" spans="1:65" ht="15" customHeight="1" x14ac:dyDescent="0.25">
      <c r="A2" s="324" t="s">
        <v>164</v>
      </c>
      <c r="B2" s="325"/>
      <c r="C2" s="325"/>
      <c r="D2" s="325"/>
      <c r="E2" s="325"/>
      <c r="F2" s="325"/>
      <c r="G2" s="325"/>
      <c r="H2" s="325"/>
      <c r="I2" s="326"/>
      <c r="K2" t="s">
        <v>167</v>
      </c>
      <c r="U2" t="s">
        <v>169</v>
      </c>
      <c r="AE2" t="s">
        <v>171</v>
      </c>
      <c r="AO2" t="s">
        <v>174</v>
      </c>
      <c r="AY2" t="s">
        <v>176</v>
      </c>
      <c r="BI2" s="316" t="s">
        <v>177</v>
      </c>
      <c r="BJ2" s="316"/>
      <c r="BK2" s="316"/>
      <c r="BL2" s="316"/>
      <c r="BM2" s="316"/>
    </row>
    <row r="3" spans="1:65" ht="15" customHeight="1" x14ac:dyDescent="0.25">
      <c r="A3" s="121" t="s">
        <v>179</v>
      </c>
      <c r="B3" s="120">
        <v>70</v>
      </c>
      <c r="C3" s="49"/>
      <c r="D3" s="49"/>
      <c r="E3" s="49"/>
      <c r="F3" s="109" t="s">
        <v>139</v>
      </c>
      <c r="G3" s="109" t="s">
        <v>166</v>
      </c>
      <c r="H3" s="109" t="s">
        <v>154</v>
      </c>
      <c r="I3" s="61" t="s">
        <v>22</v>
      </c>
    </row>
    <row r="4" spans="1:65" x14ac:dyDescent="0.25">
      <c r="A4" s="327" t="s">
        <v>160</v>
      </c>
      <c r="B4" s="328"/>
      <c r="C4" s="328"/>
      <c r="D4" s="328"/>
      <c r="E4" s="328"/>
      <c r="F4" s="99"/>
      <c r="G4" s="99">
        <v>70</v>
      </c>
      <c r="H4" s="62" t="str">
        <f>IF(G4="","",IF(G4&lt;30,"RUIM",IF(G4&lt;55,"REGULAR",IF(G4&lt;=70,"BOM",IF(G4&gt;70,"ÓTIMO","")))))</f>
        <v>BOM</v>
      </c>
      <c r="I4" s="322"/>
    </row>
    <row r="5" spans="1:65" x14ac:dyDescent="0.25">
      <c r="A5" s="327" t="s">
        <v>161</v>
      </c>
      <c r="B5" s="328"/>
      <c r="C5" s="328"/>
      <c r="D5" s="328"/>
      <c r="E5" s="328"/>
      <c r="F5" s="99"/>
      <c r="G5" s="99">
        <v>60</v>
      </c>
      <c r="H5" s="62" t="str">
        <f t="shared" ref="H5:H8" si="0">IF(G5="","",IF(G5&lt;30,"RUIM",IF(G5&lt;55,"REGULAR",IF(G5&lt;=70,"BOM",IF(G5&gt;70,"ÓTIMO","")))))</f>
        <v>BOM</v>
      </c>
      <c r="I5" s="322"/>
    </row>
    <row r="6" spans="1:65" x14ac:dyDescent="0.25">
      <c r="A6" s="327" t="s">
        <v>162</v>
      </c>
      <c r="B6" s="328"/>
      <c r="C6" s="328"/>
      <c r="D6" s="328"/>
      <c r="E6" s="328"/>
      <c r="F6" s="99"/>
      <c r="G6" s="99">
        <v>50</v>
      </c>
      <c r="H6" s="62" t="str">
        <f t="shared" si="0"/>
        <v>REGULAR</v>
      </c>
      <c r="I6" s="322"/>
    </row>
    <row r="7" spans="1:65" x14ac:dyDescent="0.25">
      <c r="A7" s="327" t="s">
        <v>163</v>
      </c>
      <c r="B7" s="328"/>
      <c r="C7" s="328"/>
      <c r="D7" s="328"/>
      <c r="E7" s="328"/>
      <c r="F7" s="99"/>
      <c r="G7" s="99">
        <v>80</v>
      </c>
      <c r="H7" s="62" t="str">
        <f t="shared" si="0"/>
        <v>ÓTIMO</v>
      </c>
      <c r="I7" s="322"/>
    </row>
    <row r="8" spans="1:65" x14ac:dyDescent="0.25">
      <c r="A8" s="327" t="s">
        <v>165</v>
      </c>
      <c r="B8" s="328"/>
      <c r="C8" s="328"/>
      <c r="D8" s="328"/>
      <c r="E8" s="328"/>
      <c r="F8" s="99"/>
      <c r="G8" s="99">
        <v>90</v>
      </c>
      <c r="H8" s="62" t="str">
        <f t="shared" si="0"/>
        <v>ÓTIMO</v>
      </c>
      <c r="I8" s="322"/>
    </row>
    <row r="9" spans="1:65" ht="15.75" thickBot="1" x14ac:dyDescent="0.3">
      <c r="A9" s="329" t="s">
        <v>258</v>
      </c>
      <c r="B9" s="330"/>
      <c r="C9" s="330"/>
      <c r="D9" s="330"/>
      <c r="E9" s="330"/>
      <c r="F9" s="108"/>
      <c r="G9" s="108">
        <v>20</v>
      </c>
      <c r="H9" s="97" t="str">
        <f>IF(G9="","",IF(G9&lt;30,"RUIM",IF(G9&lt;55,"REGULAR",IF(G9&lt;=70,"BOM",IF(G9&gt;70,"ÓTIMO","")))))</f>
        <v>RUIM</v>
      </c>
      <c r="I9" s="323"/>
    </row>
    <row r="11" spans="1:65" x14ac:dyDescent="0.25">
      <c r="A11" s="310" t="s">
        <v>247</v>
      </c>
      <c r="B11" s="310"/>
      <c r="C11" s="310"/>
      <c r="D11" s="310"/>
      <c r="E11" s="310"/>
    </row>
    <row r="12" spans="1:65" x14ac:dyDescent="0.25">
      <c r="A12" s="26"/>
    </row>
    <row r="19" spans="11:65" x14ac:dyDescent="0.25">
      <c r="K19" t="s">
        <v>168</v>
      </c>
      <c r="U19" t="s">
        <v>170</v>
      </c>
      <c r="AE19" t="s">
        <v>172</v>
      </c>
      <c r="AO19" t="s">
        <v>173</v>
      </c>
      <c r="AY19" t="s">
        <v>175</v>
      </c>
      <c r="BI19" s="316" t="s">
        <v>178</v>
      </c>
      <c r="BJ19" s="316"/>
      <c r="BK19" s="316"/>
      <c r="BL19" s="316"/>
      <c r="BM19" s="316"/>
    </row>
  </sheetData>
  <mergeCells count="12">
    <mergeCell ref="A1:I1"/>
    <mergeCell ref="I4:I9"/>
    <mergeCell ref="A2:I2"/>
    <mergeCell ref="BI2:BM2"/>
    <mergeCell ref="BI19:BM19"/>
    <mergeCell ref="A4:E4"/>
    <mergeCell ref="A5:E5"/>
    <mergeCell ref="A6:E6"/>
    <mergeCell ref="A7:E7"/>
    <mergeCell ref="A8:E8"/>
    <mergeCell ref="A9:E9"/>
    <mergeCell ref="A11:E11"/>
  </mergeCells>
  <conditionalFormatting sqref="H4:H9">
    <cfRule type="cellIs" dxfId="12" priority="1" operator="equal">
      <formula>"RUIM"</formula>
    </cfRule>
    <cfRule type="cellIs" dxfId="11" priority="2" operator="equal">
      <formula>"REGULAR"</formula>
    </cfRule>
    <cfRule type="cellIs" dxfId="10" priority="3" operator="equal">
      <formula>"BOM"</formula>
    </cfRule>
    <cfRule type="cellIs" dxfId="9" priority="4" operator="equal">
      <formula>"ÓTIMO"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8AF5-17FF-4F2D-83EA-F2FAE175A33D}">
  <dimension ref="A1:J19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6" max="6" width="9.42578125" customWidth="1"/>
    <col min="7" max="7" width="10.85546875" customWidth="1"/>
    <col min="8" max="8" width="13.85546875" customWidth="1"/>
    <col min="9" max="9" width="21" customWidth="1"/>
    <col min="10" max="10" width="16.85546875" customWidth="1"/>
  </cols>
  <sheetData>
    <row r="1" spans="1:10" ht="24.75" customHeight="1" x14ac:dyDescent="0.25">
      <c r="A1" s="335"/>
      <c r="B1" s="331" t="s">
        <v>182</v>
      </c>
      <c r="C1" s="332"/>
      <c r="D1" s="332"/>
      <c r="E1" s="332"/>
      <c r="F1" s="332"/>
      <c r="G1" s="332"/>
      <c r="H1" s="332"/>
      <c r="I1" s="332"/>
      <c r="J1" s="333"/>
    </row>
    <row r="2" spans="1:10" ht="15.75" customHeight="1" x14ac:dyDescent="0.25">
      <c r="A2" s="334"/>
      <c r="B2" s="20" t="s">
        <v>22</v>
      </c>
      <c r="C2" s="20" t="s">
        <v>183</v>
      </c>
      <c r="D2" s="20" t="s">
        <v>184</v>
      </c>
      <c r="E2" s="20" t="s">
        <v>181</v>
      </c>
      <c r="F2" s="20" t="s">
        <v>180</v>
      </c>
      <c r="G2" s="20" t="s">
        <v>185</v>
      </c>
      <c r="H2" s="20" t="s">
        <v>187</v>
      </c>
      <c r="I2" s="20" t="s">
        <v>186</v>
      </c>
      <c r="J2" s="20" t="s">
        <v>154</v>
      </c>
    </row>
    <row r="3" spans="1:10" x14ac:dyDescent="0.25">
      <c r="A3" s="336"/>
      <c r="B3" s="124">
        <v>44270</v>
      </c>
      <c r="C3" s="20">
        <v>87</v>
      </c>
      <c r="D3" s="20">
        <v>70</v>
      </c>
      <c r="E3" s="20" t="s">
        <v>145</v>
      </c>
      <c r="F3" s="20">
        <v>10</v>
      </c>
      <c r="G3" s="20">
        <v>170</v>
      </c>
      <c r="H3" s="125">
        <f>IF(C3="","",6.952+(0.0091*(C3*2.205))-(0.0257*D3)+(0.5955*IF(E3="Homem",1,0))-(0.224*F3)-(0.0115*G3))</f>
        <v>2.7036984999999998</v>
      </c>
      <c r="I3" s="125">
        <f>H3*1000/C3</f>
        <v>31.076994252873561</v>
      </c>
      <c r="J3" s="21" t="str">
        <f>IF(AND(E3="Homem",I3&gt;=42.5),"MUITO BOM",IF(AND(E3="Homem",I3&gt;=35.3),"BOM",IF(AND(E3="Homem",I3&gt;=31.8),"SUFICIENTE",IF(AND(E3="Homem",I3&gt;=28.7),"FRACO",IF(AND(E3="Homem",I3&lt;28.7),"MUITO FRACO",IF(AND(E3="Mulher",I3&gt;=35.2),"MUITO BOM",IF(AND(E3="Mulher",I3&gt;=29.4),"BOM",IF(AND(E3="Mulher",I3&gt;=25.8),"SUFICIENTE",IF(AND(E3="Mulher",I3&gt;=23.6),"FRACO",IF(AND(E3="Mulher",I3&lt;=23.6),"MUITO FRACO",""))))))))))</f>
        <v>BOM</v>
      </c>
    </row>
    <row r="4" spans="1:10" x14ac:dyDescent="0.25">
      <c r="A4" s="337"/>
    </row>
    <row r="5" spans="1:10" x14ac:dyDescent="0.25">
      <c r="A5" s="339"/>
    </row>
    <row r="17" spans="1:1" x14ac:dyDescent="0.25">
      <c r="A17" t="s">
        <v>59</v>
      </c>
    </row>
    <row r="18" spans="1:1" x14ac:dyDescent="0.25">
      <c r="A18" t="s">
        <v>144</v>
      </c>
    </row>
    <row r="19" spans="1:1" x14ac:dyDescent="0.25">
      <c r="A19" t="s">
        <v>145</v>
      </c>
    </row>
  </sheetData>
  <mergeCells count="1">
    <mergeCell ref="B1:J1"/>
  </mergeCells>
  <conditionalFormatting sqref="J3">
    <cfRule type="cellIs" dxfId="8" priority="1" operator="equal">
      <formula>"FRACO"</formula>
    </cfRule>
    <cfRule type="cellIs" dxfId="7" priority="2" operator="equal">
      <formula>"SUFICIENTE"</formula>
    </cfRule>
    <cfRule type="cellIs" dxfId="6" priority="3" operator="equal">
      <formula>"MUITO BOM"</formula>
    </cfRule>
    <cfRule type="cellIs" dxfId="5" priority="4" operator="equal">
      <formula>"MUITO FRACO"</formula>
    </cfRule>
    <cfRule type="cellIs" dxfId="4" priority="5" operator="equal">
      <formula>"BOM"</formula>
    </cfRule>
  </conditionalFormatting>
  <dataValidations count="1">
    <dataValidation type="list" allowBlank="1" showInputMessage="1" showErrorMessage="1" sqref="E3" xr:uid="{3E140434-62D4-4155-9F9A-0CB89A1D44F1}">
      <formula1>$A$18:$A$19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46DC-BAFD-440A-8BD8-89AFD950133B}">
  <dimension ref="A1:X43"/>
  <sheetViews>
    <sheetView workbookViewId="0">
      <selection activeCell="N10" sqref="N10"/>
    </sheetView>
  </sheetViews>
  <sheetFormatPr defaultRowHeight="15" x14ac:dyDescent="0.25"/>
  <cols>
    <col min="1" max="1" width="11.42578125" customWidth="1"/>
    <col min="3" max="3" width="8.28515625" bestFit="1" customWidth="1"/>
    <col min="4" max="4" width="5.28515625" bestFit="1" customWidth="1"/>
    <col min="5" max="5" width="7.140625" bestFit="1" customWidth="1"/>
    <col min="6" max="6" width="7.28515625" bestFit="1" customWidth="1"/>
    <col min="7" max="7" width="7.5703125" bestFit="1" customWidth="1"/>
    <col min="8" max="8" width="11.140625" bestFit="1" customWidth="1"/>
    <col min="9" max="9" width="5.140625" customWidth="1"/>
    <col min="10" max="10" width="11.85546875" customWidth="1"/>
    <col min="11" max="11" width="8.140625" bestFit="1" customWidth="1"/>
    <col min="12" max="13" width="10.42578125" bestFit="1" customWidth="1"/>
    <col min="14" max="14" width="12" bestFit="1" customWidth="1"/>
    <col min="15" max="15" width="5.5703125" hidden="1" customWidth="1"/>
    <col min="16" max="16" width="8.5703125" customWidth="1"/>
    <col min="17" max="17" width="10.7109375" customWidth="1"/>
    <col min="18" max="18" width="13.140625" customWidth="1"/>
    <col min="19" max="19" width="13.5703125" customWidth="1"/>
    <col min="20" max="20" width="12.85546875" bestFit="1" customWidth="1"/>
  </cols>
  <sheetData>
    <row r="1" spans="1:24" ht="34.5" customHeight="1" thickBot="1" x14ac:dyDescent="0.3">
      <c r="A1" s="229" t="s">
        <v>188</v>
      </c>
      <c r="B1" s="230"/>
      <c r="C1" s="230"/>
      <c r="D1" s="230"/>
      <c r="E1" s="230"/>
      <c r="F1" s="230"/>
      <c r="G1" s="230"/>
      <c r="H1" s="231"/>
      <c r="I1" s="29"/>
      <c r="J1" s="29"/>
      <c r="K1" s="29"/>
      <c r="L1" s="29"/>
      <c r="M1" s="29"/>
      <c r="N1" s="29"/>
      <c r="O1" s="29"/>
      <c r="P1" s="29"/>
    </row>
    <row r="2" spans="1:24" ht="16.5" customHeight="1" x14ac:dyDescent="0.25">
      <c r="A2" s="140" t="s">
        <v>200</v>
      </c>
      <c r="B2" s="29" t="s">
        <v>144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24" x14ac:dyDescent="0.25">
      <c r="A3" s="145" t="s">
        <v>131</v>
      </c>
      <c r="B3" s="145" t="s">
        <v>189</v>
      </c>
      <c r="C3" s="145" t="s">
        <v>190</v>
      </c>
      <c r="D3" s="145" t="s">
        <v>191</v>
      </c>
      <c r="E3" s="145" t="s">
        <v>201</v>
      </c>
      <c r="F3" s="145" t="s">
        <v>202</v>
      </c>
      <c r="G3" s="141" t="s">
        <v>203</v>
      </c>
      <c r="H3" s="141" t="s">
        <v>204</v>
      </c>
      <c r="I3" s="141" t="s">
        <v>6</v>
      </c>
      <c r="J3" s="135" t="s">
        <v>192</v>
      </c>
      <c r="K3" s="135" t="s">
        <v>193</v>
      </c>
      <c r="L3" s="135" t="s">
        <v>194</v>
      </c>
      <c r="M3" s="135" t="s">
        <v>195</v>
      </c>
      <c r="N3" s="141" t="s">
        <v>205</v>
      </c>
      <c r="O3" s="141" t="s">
        <v>206</v>
      </c>
      <c r="P3" s="143" t="s">
        <v>196</v>
      </c>
      <c r="Q3" s="141" t="s">
        <v>197</v>
      </c>
      <c r="R3" s="141" t="s">
        <v>198</v>
      </c>
      <c r="S3" s="142" t="s">
        <v>199</v>
      </c>
      <c r="T3" s="142" t="s">
        <v>207</v>
      </c>
      <c r="X3" t="s">
        <v>144</v>
      </c>
    </row>
    <row r="4" spans="1:24" x14ac:dyDescent="0.25">
      <c r="A4" s="137">
        <v>43974</v>
      </c>
      <c r="B4" s="138">
        <v>70</v>
      </c>
      <c r="C4" s="127">
        <v>192.5</v>
      </c>
      <c r="D4" s="127">
        <v>100.2</v>
      </c>
      <c r="E4" s="127">
        <v>106.3</v>
      </c>
      <c r="F4" s="127">
        <v>106.7</v>
      </c>
      <c r="G4" s="139">
        <f>Tabela6[[#This Row],[cintura]]/Tabela6[[#This Row],[estatura]]</f>
        <v>0.55220779220779215</v>
      </c>
      <c r="H4" s="139">
        <f>Tabela6[[#This Row],[cintura]]/Tabela6[[#This Row],[quadril]]</f>
        <v>0.99625117150890341</v>
      </c>
      <c r="I4" s="146">
        <f>($D$4/($C$4/100)^2)</f>
        <v>27.039973013998985</v>
      </c>
      <c r="J4" s="127">
        <v>13</v>
      </c>
      <c r="K4" s="127">
        <v>7</v>
      </c>
      <c r="L4" s="127">
        <v>3</v>
      </c>
      <c r="M4" s="127">
        <v>20</v>
      </c>
      <c r="N4" s="138">
        <f>SUM(J4:M4)</f>
        <v>43</v>
      </c>
      <c r="O4" s="139">
        <f>IF(B2="Mulher",1.1715-0.0779*LOG(Tabela6[[#This Row],[soma pregas]]),1.1567-0.0717*LOG10(N4))</f>
        <v>1.0395803117349438</v>
      </c>
      <c r="P4" s="144">
        <f>((4.95/O4)-4.5)*100</f>
        <v>26.153688572554934</v>
      </c>
      <c r="Q4" s="138">
        <f>(D4*P4)/100</f>
        <v>26.205995949700046</v>
      </c>
      <c r="R4" s="138">
        <f>D4-Q4</f>
        <v>73.994004050299964</v>
      </c>
      <c r="S4" s="136">
        <f>R4*1.3888888888889</f>
        <v>102.76945006986188</v>
      </c>
      <c r="T4" s="136">
        <f>R4*1.47058824</f>
        <v>108.8147121868835</v>
      </c>
      <c r="X4" t="s">
        <v>145</v>
      </c>
    </row>
    <row r="5" spans="1:24" x14ac:dyDescent="0.25"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</row>
    <row r="6" spans="1:24" x14ac:dyDescent="0.25">
      <c r="B6" s="126"/>
      <c r="C6" s="126"/>
      <c r="D6" s="126"/>
      <c r="E6" s="126"/>
      <c r="F6" s="126"/>
      <c r="G6" s="126"/>
      <c r="H6" s="126"/>
      <c r="I6" s="126"/>
      <c r="J6" s="126"/>
      <c r="K6" s="89"/>
      <c r="L6" s="126"/>
      <c r="M6" s="126"/>
      <c r="N6" s="130"/>
      <c r="O6" s="130"/>
      <c r="P6" s="130"/>
      <c r="Q6" s="131"/>
    </row>
    <row r="7" spans="1:24" x14ac:dyDescent="0.25"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30"/>
      <c r="O7" s="130"/>
      <c r="P7" s="130"/>
      <c r="Q7" s="132"/>
    </row>
    <row r="8" spans="1:24" x14ac:dyDescent="0.25"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30"/>
      <c r="O8" s="130"/>
      <c r="P8" s="130"/>
      <c r="Q8" s="132"/>
    </row>
    <row r="9" spans="1:24" x14ac:dyDescent="0.25">
      <c r="B9" s="126"/>
      <c r="C9" s="89"/>
      <c r="D9" s="133"/>
      <c r="E9" s="133"/>
      <c r="F9" s="133"/>
      <c r="G9" s="133"/>
      <c r="H9" s="133"/>
      <c r="I9" s="131"/>
      <c r="K9" s="125"/>
      <c r="M9" s="89"/>
    </row>
    <row r="10" spans="1:24" x14ac:dyDescent="0.25">
      <c r="B10" s="126"/>
      <c r="C10" s="89"/>
      <c r="D10" s="133"/>
      <c r="E10" s="133"/>
      <c r="F10" s="133"/>
      <c r="G10" s="133"/>
      <c r="H10" s="133"/>
      <c r="I10" s="131"/>
      <c r="K10" s="125"/>
      <c r="M10" s="89"/>
    </row>
    <row r="11" spans="1:24" x14ac:dyDescent="0.25">
      <c r="B11" s="126"/>
      <c r="C11" s="89"/>
      <c r="D11" s="133"/>
      <c r="E11" s="133"/>
      <c r="F11" s="133"/>
      <c r="G11" s="133"/>
      <c r="H11" s="133"/>
      <c r="I11" s="131"/>
      <c r="K11" s="125"/>
      <c r="M11" s="89"/>
    </row>
    <row r="12" spans="1:24" x14ac:dyDescent="0.25">
      <c r="B12" s="126"/>
      <c r="C12" s="89"/>
      <c r="D12" s="133"/>
      <c r="E12" s="133"/>
      <c r="F12" s="133"/>
      <c r="G12" s="133"/>
      <c r="H12" s="133"/>
      <c r="I12" s="131"/>
      <c r="K12" s="125"/>
      <c r="M12" s="89"/>
    </row>
    <row r="13" spans="1:24" x14ac:dyDescent="0.25">
      <c r="B13" s="126"/>
      <c r="C13" s="89"/>
      <c r="D13" s="133"/>
      <c r="E13" s="133"/>
      <c r="F13" s="133"/>
      <c r="G13" s="133"/>
      <c r="H13" s="133"/>
      <c r="I13" s="131"/>
      <c r="K13" s="125"/>
      <c r="M13" s="89"/>
    </row>
    <row r="14" spans="1:24" x14ac:dyDescent="0.25">
      <c r="B14" s="126"/>
      <c r="C14" s="89"/>
      <c r="D14" s="133"/>
      <c r="E14" s="133"/>
      <c r="F14" s="133"/>
      <c r="G14" s="133"/>
      <c r="H14" s="133"/>
      <c r="I14" s="131"/>
      <c r="K14" s="125"/>
      <c r="M14" s="89"/>
      <c r="P14" s="125"/>
    </row>
    <row r="15" spans="1:24" x14ac:dyDescent="0.25">
      <c r="C15" s="89"/>
      <c r="I15" s="131"/>
      <c r="M15" s="89"/>
    </row>
    <row r="16" spans="1:24" x14ac:dyDescent="0.25">
      <c r="C16" s="89"/>
      <c r="I16" s="131"/>
      <c r="M16" s="89"/>
    </row>
    <row r="17" spans="1:13" ht="15.75" x14ac:dyDescent="0.25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</row>
    <row r="19" spans="1:13" x14ac:dyDescent="0.25">
      <c r="C19" s="127"/>
      <c r="D19" s="127"/>
      <c r="E19" s="127"/>
      <c r="F19" s="127"/>
      <c r="G19" s="127"/>
      <c r="H19" s="127"/>
      <c r="I19" s="127"/>
      <c r="J19" s="127"/>
      <c r="K19" s="127"/>
    </row>
    <row r="20" spans="1:13" x14ac:dyDescent="0.25">
      <c r="C20" s="126"/>
      <c r="D20" s="20"/>
      <c r="E20" s="20"/>
      <c r="F20" s="20"/>
      <c r="G20" s="20"/>
      <c r="H20" s="20"/>
      <c r="I20" s="125"/>
      <c r="J20" s="125"/>
      <c r="K20" s="125"/>
    </row>
    <row r="21" spans="1:13" x14ac:dyDescent="0.25">
      <c r="C21" s="126"/>
      <c r="D21" s="20"/>
      <c r="E21" s="20"/>
      <c r="F21" s="20"/>
      <c r="G21" s="20"/>
      <c r="H21" s="20"/>
      <c r="I21" s="125"/>
      <c r="J21" s="125"/>
      <c r="K21" s="125"/>
    </row>
    <row r="22" spans="1:13" x14ac:dyDescent="0.25">
      <c r="C22" s="126"/>
      <c r="D22" s="20"/>
      <c r="E22" s="20"/>
      <c r="F22" s="20"/>
      <c r="G22" s="20"/>
      <c r="H22" s="20"/>
      <c r="I22" s="125"/>
      <c r="J22" s="125"/>
      <c r="K22" s="125"/>
    </row>
    <row r="31" spans="1:13" ht="15.75" x14ac:dyDescent="0.25"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</row>
    <row r="33" spans="1:13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1:13" x14ac:dyDescent="0.25">
      <c r="A34" s="126"/>
      <c r="M34" s="128"/>
    </row>
    <row r="35" spans="1:13" x14ac:dyDescent="0.25">
      <c r="A35" s="126"/>
      <c r="M35" s="128"/>
    </row>
    <row r="36" spans="1:13" ht="15.75" x14ac:dyDescent="0.25">
      <c r="A36" s="126"/>
      <c r="D36" s="134"/>
      <c r="E36" s="134"/>
      <c r="F36" s="134"/>
      <c r="G36" s="134"/>
      <c r="H36" s="134"/>
      <c r="M36" s="128"/>
    </row>
    <row r="37" spans="1:13" x14ac:dyDescent="0.25">
      <c r="A37" s="126"/>
      <c r="M37" s="128"/>
    </row>
    <row r="38" spans="1:13" x14ac:dyDescent="0.25">
      <c r="A38" s="126"/>
      <c r="M38" s="128"/>
    </row>
    <row r="39" spans="1:13" x14ac:dyDescent="0.25">
      <c r="A39" s="126"/>
      <c r="M39" s="128"/>
    </row>
    <row r="40" spans="1:13" x14ac:dyDescent="0.25">
      <c r="A40" s="126"/>
      <c r="M40" s="128"/>
    </row>
    <row r="41" spans="1:13" x14ac:dyDescent="0.25">
      <c r="A41" s="126"/>
      <c r="M41" s="128"/>
    </row>
    <row r="42" spans="1:13" x14ac:dyDescent="0.25">
      <c r="A42" s="126"/>
      <c r="M42" s="128"/>
    </row>
    <row r="43" spans="1:13" x14ac:dyDescent="0.25">
      <c r="A43" s="126"/>
      <c r="M43" s="128"/>
    </row>
  </sheetData>
  <mergeCells count="1">
    <mergeCell ref="A1:H1"/>
  </mergeCells>
  <conditionalFormatting sqref="I4">
    <cfRule type="cellIs" dxfId="3" priority="1" operator="greaterThan">
      <formula>30</formula>
    </cfRule>
    <cfRule type="cellIs" dxfId="2" priority="2" operator="between">
      <formula>28</formula>
      <formula>30</formula>
    </cfRule>
    <cfRule type="cellIs" dxfId="1" priority="3" operator="between">
      <formula>23</formula>
      <formula>28</formula>
    </cfRule>
    <cfRule type="cellIs" dxfId="0" priority="4" operator="lessThan">
      <formula>23</formula>
    </cfRule>
  </conditionalFormatting>
  <dataValidations count="1">
    <dataValidation type="list" allowBlank="1" showInputMessage="1" showErrorMessage="1" sqref="B2" xr:uid="{D163248B-F605-44AA-A4D7-186FB7FBFE39}">
      <formula1>$X$3:$X$4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FRAG.</vt:lpstr>
      <vt:lpstr>AVD</vt:lpstr>
      <vt:lpstr>EQUIL.</vt:lpstr>
      <vt:lpstr>COG.</vt:lpstr>
      <vt:lpstr>DEPRE.</vt:lpstr>
      <vt:lpstr>SARCO.</vt:lpstr>
      <vt:lpstr>BAT. FUNC.</vt:lpstr>
      <vt:lpstr>CAP. CARDIO</vt:lpstr>
      <vt:lpstr>COMP. CORP.</vt:lpstr>
      <vt:lpstr>Testes avulsos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Usuário</cp:lastModifiedBy>
  <cp:lastPrinted>2021-03-13T03:02:54Z</cp:lastPrinted>
  <dcterms:created xsi:type="dcterms:W3CDTF">2021-03-11T15:36:27Z</dcterms:created>
  <dcterms:modified xsi:type="dcterms:W3CDTF">2022-09-22T23:16:04Z</dcterms:modified>
</cp:coreProperties>
</file>