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tilisateur\Documents\Github\Dukes Of The Realm\"/>
    </mc:Choice>
  </mc:AlternateContent>
  <xr:revisionPtr revIDLastSave="0" documentId="13_ncr:1_{4BB40CB2-8BCB-4C93-AB2D-FCD93B869BDB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Equi V.1" sheetId="1" r:id="rId1"/>
    <sheet name="Equi V.2" sheetId="3" r:id="rId2"/>
    <sheet name="Param V.1" sheetId="2" r:id="rId3"/>
    <sheet name="Param V.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4" l="1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6" i="4"/>
  <c r="J11" i="4"/>
  <c r="N6" i="4"/>
  <c r="M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6" i="4"/>
  <c r="M7" i="4" l="1"/>
  <c r="M8" i="4"/>
  <c r="M9" i="4"/>
  <c r="M10" i="4"/>
  <c r="M11" i="4"/>
  <c r="M12" i="4"/>
  <c r="M13" i="4"/>
  <c r="M14" i="4"/>
  <c r="M15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P6" i="4"/>
  <c r="P7" i="4"/>
  <c r="P8" i="4"/>
  <c r="P9" i="4"/>
  <c r="P10" i="4"/>
  <c r="P11" i="4"/>
  <c r="P12" i="4"/>
  <c r="P13" i="4"/>
  <c r="P14" i="4"/>
  <c r="P15" i="4"/>
  <c r="P5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6" i="4"/>
  <c r="H7" i="4"/>
  <c r="H8" i="4"/>
  <c r="H9" i="4"/>
  <c r="H10" i="4"/>
  <c r="H11" i="4"/>
  <c r="H12" i="4"/>
  <c r="H13" i="4"/>
  <c r="H14" i="4"/>
  <c r="H15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6" i="4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F19" i="4" s="1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6" i="4"/>
  <c r="F6" i="4" s="1"/>
  <c r="I9" i="3" l="1"/>
  <c r="I8" i="3"/>
  <c r="I7" i="3"/>
  <c r="I6" i="3"/>
  <c r="I5" i="3"/>
  <c r="I4" i="3"/>
  <c r="B7" i="4" l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6" i="4"/>
  <c r="G9" i="3" l="1"/>
  <c r="G8" i="3"/>
  <c r="G7" i="3"/>
  <c r="G6" i="3"/>
  <c r="G5" i="3"/>
  <c r="G4" i="3"/>
  <c r="H7" i="3"/>
  <c r="H6" i="3"/>
  <c r="E15" i="3"/>
  <c r="E16" i="3"/>
  <c r="E18" i="3"/>
  <c r="E19" i="3"/>
  <c r="E14" i="3"/>
  <c r="H9" i="3"/>
  <c r="H8" i="3"/>
  <c r="H5" i="3"/>
  <c r="H4" i="3"/>
  <c r="J26" i="3" l="1"/>
  <c r="J27" i="3"/>
  <c r="J28" i="3"/>
  <c r="J29" i="3"/>
  <c r="J24" i="3"/>
  <c r="B25" i="3"/>
  <c r="E25" i="3" s="1"/>
  <c r="B26" i="3"/>
  <c r="I26" i="3" s="1"/>
  <c r="B27" i="3"/>
  <c r="G27" i="3" s="1"/>
  <c r="B28" i="3"/>
  <c r="G28" i="3" s="1"/>
  <c r="B29" i="3"/>
  <c r="G29" i="3" s="1"/>
  <c r="B24" i="3"/>
  <c r="H24" i="3" s="1"/>
  <c r="F16" i="3"/>
  <c r="F26" i="3" s="1"/>
  <c r="F18" i="3"/>
  <c r="F28" i="3" s="1"/>
  <c r="F15" i="3"/>
  <c r="F25" i="3" s="1"/>
  <c r="F17" i="3"/>
  <c r="F27" i="3" s="1"/>
  <c r="F19" i="3"/>
  <c r="F29" i="3" s="1"/>
  <c r="F14" i="3"/>
  <c r="F24" i="3" s="1"/>
  <c r="J19" i="3"/>
  <c r="B19" i="3"/>
  <c r="I19" i="3" s="1"/>
  <c r="J15" i="3"/>
  <c r="J25" i="3" s="1"/>
  <c r="J17" i="3"/>
  <c r="B15" i="3"/>
  <c r="D15" i="3" s="1"/>
  <c r="B17" i="3"/>
  <c r="B18" i="3"/>
  <c r="I18" i="3" s="1"/>
  <c r="B16" i="3"/>
  <c r="I16" i="3" s="1"/>
  <c r="B14" i="3"/>
  <c r="H14" i="3" s="1"/>
  <c r="A11" i="1"/>
  <c r="C11" i="1"/>
  <c r="D17" i="3" l="1"/>
  <c r="E17" i="3"/>
  <c r="G19" i="3"/>
  <c r="D24" i="3"/>
  <c r="G24" i="3"/>
  <c r="H26" i="3"/>
  <c r="E24" i="3"/>
  <c r="I27" i="3"/>
  <c r="E27" i="3"/>
  <c r="I24" i="3"/>
  <c r="G26" i="3"/>
  <c r="D25" i="3"/>
  <c r="H25" i="3"/>
  <c r="I29" i="3"/>
  <c r="D28" i="3"/>
  <c r="D29" i="3"/>
  <c r="G25" i="3"/>
  <c r="E28" i="3"/>
  <c r="I28" i="3"/>
  <c r="H29" i="3"/>
  <c r="D27" i="3"/>
  <c r="I25" i="3"/>
  <c r="E29" i="3"/>
  <c r="H27" i="3"/>
  <c r="H28" i="3"/>
  <c r="D26" i="3"/>
  <c r="E26" i="3"/>
  <c r="D19" i="3"/>
  <c r="H19" i="3"/>
  <c r="D18" i="3"/>
  <c r="H17" i="3"/>
  <c r="I17" i="3"/>
  <c r="G17" i="3"/>
  <c r="G15" i="3"/>
  <c r="H15" i="3"/>
  <c r="I15" i="3"/>
  <c r="G18" i="3"/>
  <c r="H18" i="3"/>
  <c r="G16" i="3"/>
  <c r="H16" i="3"/>
  <c r="D16" i="3"/>
  <c r="G14" i="3"/>
  <c r="I14" i="3"/>
  <c r="D14" i="3"/>
  <c r="C5" i="1"/>
  <c r="C4" i="1"/>
  <c r="C3" i="1"/>
  <c r="G12" i="1" l="1"/>
  <c r="G13" i="1"/>
  <c r="G11" i="1"/>
  <c r="A13" i="1" l="1"/>
  <c r="D13" i="1" s="1"/>
  <c r="A12" i="1"/>
  <c r="E12" i="1" s="1"/>
  <c r="D11" i="1" l="1"/>
  <c r="F11" i="1"/>
  <c r="E13" i="1"/>
  <c r="F13" i="1"/>
  <c r="C13" i="1"/>
  <c r="C12" i="1"/>
  <c r="E11" i="1"/>
  <c r="F12" i="1"/>
  <c r="D12" i="1"/>
</calcChain>
</file>

<file path=xl/sharedStrings.xml><?xml version="1.0" encoding="utf-8"?>
<sst xmlns="http://schemas.openxmlformats.org/spreadsheetml/2006/main" count="127" uniqueCount="64">
  <si>
    <t>Coût</t>
  </si>
  <si>
    <t>HP</t>
  </si>
  <si>
    <t>Dmg</t>
  </si>
  <si>
    <t>Piker</t>
  </si>
  <si>
    <t>Knight</t>
  </si>
  <si>
    <t>Onager</t>
  </si>
  <si>
    <t xml:space="preserve">Pour </t>
  </si>
  <si>
    <t>Florin</t>
  </si>
  <si>
    <t>Speed</t>
  </si>
  <si>
    <t>Pour une full off :
- Full Onager : Pendant la création de l'off le château est sans défense mais une fois envoyé l'ost est dévastatrice !
- Full Knight : moins de dégâts mais très rapide
- Knight/Onager : Bon compromis entre dégât, HP</t>
  </si>
  <si>
    <t>Prod (s)</t>
  </si>
  <si>
    <t>Pour une full def : Piker
ou Piker/Knight si on veut envoyer du renfort rapidement</t>
  </si>
  <si>
    <t>Coût (Florin)</t>
  </si>
  <si>
    <t>Point de vie</t>
  </si>
  <si>
    <t>Temps de 
production (s)</t>
  </si>
  <si>
    <t>Vitesse de 
déplacement (pixel/s)</t>
  </si>
  <si>
    <t>Dégâts</t>
  </si>
  <si>
    <t>Paramètre du jeu</t>
  </si>
  <si>
    <t>Florin/s de base</t>
  </si>
  <si>
    <t>Florin/s par niveau de château</t>
  </si>
  <si>
    <t>Piker de base</t>
  </si>
  <si>
    <t>Onager de base</t>
  </si>
  <si>
    <t>Knight de base</t>
  </si>
  <si>
    <t xml:space="preserve">Niveau minium d'un château de Baron </t>
  </si>
  <si>
    <t>Niveau maximum d'un château de Baron</t>
  </si>
  <si>
    <t>Pourcentage de réduction des Florin/s pour un Baron</t>
  </si>
  <si>
    <t>Nombre d'unité sortant simultanément d'un château</t>
  </si>
  <si>
    <t>Nombre de point d'attaque autour d'un château</t>
  </si>
  <si>
    <t>Nombre de point d'attente autour d'un château</t>
  </si>
  <si>
    <t>Fréquence d'apparition des unités (s)</t>
  </si>
  <si>
    <t>Nombre de Duke (IA)</t>
  </si>
  <si>
    <t>Nombre de Baron (Neutre)</t>
  </si>
  <si>
    <t xml:space="preserve">Nombre de joueur </t>
  </si>
  <si>
    <t>Temps d'amélioration de base du château (s)</t>
  </si>
  <si>
    <t>Temps supplémentaire d'amélioration du château 
par niveau de château(s)</t>
  </si>
  <si>
    <t>Coût supplémentaire d'amélioration du château 
par niveau de château (Florin)</t>
  </si>
  <si>
    <t>Nombre de point d'attaque de chaque coté d'un château</t>
  </si>
  <si>
    <t xml:space="preserve">Nombre de production en parallèle </t>
  </si>
  <si>
    <t>Archer</t>
  </si>
  <si>
    <t>Spy</t>
  </si>
  <si>
    <t>Défense</t>
  </si>
  <si>
    <t>Def</t>
  </si>
  <si>
    <t>Off</t>
  </si>
  <si>
    <t>Support</t>
  </si>
  <si>
    <t>Berserker</t>
  </si>
  <si>
    <t>Villageois</t>
  </si>
  <si>
    <t>Pour</t>
  </si>
  <si>
    <t>Rempart</t>
  </si>
  <si>
    <t>Niveau</t>
  </si>
  <si>
    <t>Caserne</t>
  </si>
  <si>
    <t>Moulin</t>
  </si>
  <si>
    <t>(multiplier)</t>
  </si>
  <si>
    <t>(nb queue)</t>
  </si>
  <si>
    <t>(nb villager)</t>
  </si>
  <si>
    <t>Starter de base</t>
  </si>
  <si>
    <t>Château</t>
  </si>
  <si>
    <t>(Florin/s)</t>
  </si>
  <si>
    <t>(% de tmp de prod)</t>
  </si>
  <si>
    <t>Marché</t>
  </si>
  <si>
    <t>(nb convoyeur)</t>
  </si>
  <si>
    <t>(Florin/min)</t>
  </si>
  <si>
    <t>Offset</t>
  </si>
  <si>
    <t>Per Lvl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</si>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</sst>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1" fontId="0" fillId="3" borderId="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" fontId="0" fillId="5" borderId="0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7" borderId="1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0" xfId="0" applyAlignment="1"/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4" xfId="0" applyFill="1" applyBorder="1" applyAlignment="1">
      <alignment horizontal="center" vertical="center"/>
    </xf>
    <xf numFmtId="0" fontId="0" fillId="8" borderId="2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9" fontId="0" fillId="7" borderId="25" xfId="0" applyNumberForma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4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11" borderId="14" xfId="0" applyFill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0" fontId="0" fillId="0" borderId="32" xfId="0" applyBorder="1" applyAlignment="1">
      <alignment horizontal="center"/>
    </xf>
    <xf numFmtId="10" fontId="0" fillId="0" borderId="0" xfId="0" applyNumberFormat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12" borderId="0" xfId="0" applyFill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12" borderId="34" xfId="0" applyFill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33" xfId="0" applyNumberFormat="1" applyBorder="1" applyAlignment="1">
      <alignment horizontal="center"/>
    </xf>
    <xf numFmtId="1" fontId="0" fillId="0" borderId="14" xfId="0" applyNumberForma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7" borderId="18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6" fillId="8" borderId="17" xfId="0" applyFont="1" applyFill="1" applyBorder="1" applyAlignment="1">
      <alignment horizontal="center"/>
    </xf>
    <xf numFmtId="0" fontId="6" fillId="8" borderId="20" xfId="0" applyFont="1" applyFill="1" applyBorder="1" applyAlignment="1">
      <alignment horizontal="center"/>
    </xf>
    <xf numFmtId="0" fontId="6" fillId="8" borderId="21" xfId="0" applyFont="1" applyFill="1" applyBorder="1" applyAlignment="1">
      <alignment horizontal="center"/>
    </xf>
    <xf numFmtId="0" fontId="6" fillId="8" borderId="22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6" fillId="7" borderId="30" xfId="0" applyFont="1" applyFill="1" applyBorder="1" applyAlignment="1">
      <alignment horizontal="center"/>
    </xf>
    <xf numFmtId="0" fontId="6" fillId="7" borderId="31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6" fillId="8" borderId="18" xfId="0" applyFont="1" applyFill="1" applyBorder="1" applyAlignment="1">
      <alignment horizontal="center"/>
    </xf>
    <xf numFmtId="0" fontId="6" fillId="8" borderId="14" xfId="0" applyFont="1" applyFill="1" applyBorder="1" applyAlignment="1">
      <alignment horizontal="center"/>
    </xf>
    <xf numFmtId="0" fontId="6" fillId="8" borderId="19" xfId="0" applyFont="1" applyFill="1" applyBorder="1" applyAlignment="1">
      <alignment horizontal="center"/>
    </xf>
    <xf numFmtId="0" fontId="6" fillId="8" borderId="26" xfId="0" applyFont="1" applyFill="1" applyBorder="1" applyAlignment="1">
      <alignment horizontal="center"/>
    </xf>
    <xf numFmtId="0" fontId="6" fillId="8" borderId="27" xfId="0" applyFont="1" applyFill="1" applyBorder="1" applyAlignment="1">
      <alignment horizontal="center"/>
    </xf>
    <xf numFmtId="0" fontId="6" fillId="8" borderId="28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 wrapText="1"/>
    </xf>
    <xf numFmtId="0" fontId="6" fillId="7" borderId="2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50" zoomScaleNormal="150" workbookViewId="0">
      <selection activeCell="A12" sqref="A12"/>
    </sheetView>
  </sheetViews>
  <sheetFormatPr baseColWidth="10" defaultColWidth="9.140625" defaultRowHeight="15" x14ac:dyDescent="0.25"/>
  <cols>
    <col min="1" max="1" width="9.5703125" bestFit="1" customWidth="1"/>
    <col min="2" max="2" width="9.140625" customWidth="1"/>
    <col min="3" max="3" width="12.140625" customWidth="1"/>
    <col min="4" max="4" width="13" customWidth="1"/>
    <col min="5" max="5" width="11" customWidth="1"/>
    <col min="6" max="6" width="14.5703125" customWidth="1"/>
    <col min="7" max="7" width="21" customWidth="1"/>
    <col min="8" max="8" width="9.140625" customWidth="1"/>
  </cols>
  <sheetData>
    <row r="1" spans="1:14" ht="15.75" thickBot="1" x14ac:dyDescent="0.3">
      <c r="A1" s="3"/>
      <c r="B1" s="3"/>
      <c r="C1" s="3"/>
      <c r="D1" s="3"/>
      <c r="E1" s="3"/>
      <c r="F1" s="3"/>
    </row>
    <row r="2" spans="1:14" ht="33.75" customHeight="1" thickBot="1" x14ac:dyDescent="0.3">
      <c r="A2" s="3"/>
      <c r="B2" s="13"/>
      <c r="C2" s="15" t="s">
        <v>12</v>
      </c>
      <c r="D2" s="16" t="s">
        <v>13</v>
      </c>
      <c r="E2" s="15" t="s">
        <v>16</v>
      </c>
      <c r="F2" s="17" t="s">
        <v>14</v>
      </c>
      <c r="G2" s="14" t="s">
        <v>15</v>
      </c>
    </row>
    <row r="3" spans="1:14" ht="15.75" thickBot="1" x14ac:dyDescent="0.3">
      <c r="A3" s="3"/>
      <c r="B3" s="19" t="s">
        <v>3</v>
      </c>
      <c r="C3" s="37">
        <f>40*1.6</f>
        <v>64</v>
      </c>
      <c r="D3" s="42">
        <v>40</v>
      </c>
      <c r="E3" s="37">
        <v>20</v>
      </c>
      <c r="F3" s="42">
        <v>0.6</v>
      </c>
      <c r="G3" s="38">
        <v>65</v>
      </c>
    </row>
    <row r="4" spans="1:14" ht="15.75" thickBot="1" x14ac:dyDescent="0.3">
      <c r="A4" s="3"/>
      <c r="B4" s="18" t="s">
        <v>4</v>
      </c>
      <c r="C4" s="41">
        <f>80*1.6</f>
        <v>128</v>
      </c>
      <c r="D4" s="18">
        <v>50</v>
      </c>
      <c r="E4" s="41">
        <v>72</v>
      </c>
      <c r="F4" s="18">
        <v>1.5</v>
      </c>
      <c r="G4" s="43">
        <v>100</v>
      </c>
      <c r="H4" s="1"/>
      <c r="I4" s="1"/>
      <c r="J4" s="1"/>
    </row>
    <row r="5" spans="1:14" ht="15.75" thickBot="1" x14ac:dyDescent="0.3">
      <c r="A5" s="3"/>
      <c r="B5" s="20" t="s">
        <v>5</v>
      </c>
      <c r="C5" s="40">
        <f>120*1.6</f>
        <v>192</v>
      </c>
      <c r="D5" s="20">
        <v>24</v>
      </c>
      <c r="E5" s="40">
        <v>144</v>
      </c>
      <c r="F5" s="20">
        <v>3</v>
      </c>
      <c r="G5" s="39">
        <v>35</v>
      </c>
      <c r="H5" s="1"/>
      <c r="I5" s="1"/>
      <c r="J5" s="1"/>
    </row>
    <row r="6" spans="1:14" x14ac:dyDescent="0.25">
      <c r="A6" s="3"/>
      <c r="B6" s="3"/>
      <c r="C6" s="3"/>
      <c r="D6" s="3"/>
      <c r="E6" s="3"/>
      <c r="F6" s="3"/>
      <c r="H6" s="1"/>
      <c r="I6" s="1"/>
      <c r="J6" s="1"/>
    </row>
    <row r="7" spans="1:14" x14ac:dyDescent="0.25">
      <c r="A7" s="3"/>
      <c r="B7" s="3"/>
      <c r="C7" s="3"/>
      <c r="D7" s="3"/>
      <c r="E7" s="3"/>
      <c r="F7" s="3"/>
      <c r="H7" s="1"/>
      <c r="I7" s="1"/>
      <c r="J7" s="1"/>
    </row>
    <row r="8" spans="1:14" x14ac:dyDescent="0.25">
      <c r="A8" s="3"/>
      <c r="B8" s="6" t="s">
        <v>6</v>
      </c>
      <c r="C8" s="7">
        <v>5000</v>
      </c>
      <c r="D8" s="8" t="s">
        <v>7</v>
      </c>
      <c r="E8" s="2"/>
      <c r="F8" s="2"/>
      <c r="G8" s="1"/>
      <c r="H8" s="1"/>
      <c r="I8" s="1"/>
      <c r="J8" s="1"/>
    </row>
    <row r="9" spans="1:14" x14ac:dyDescent="0.25">
      <c r="A9" s="3"/>
      <c r="E9" s="2"/>
      <c r="F9" s="2"/>
      <c r="G9" s="1"/>
      <c r="H9" s="1"/>
      <c r="I9" s="83" t="s">
        <v>11</v>
      </c>
      <c r="J9" s="83"/>
      <c r="K9" s="83"/>
      <c r="L9" s="83"/>
      <c r="M9" s="83"/>
      <c r="N9" s="83"/>
    </row>
    <row r="10" spans="1:14" ht="15" customHeight="1" x14ac:dyDescent="0.25">
      <c r="A10" s="3"/>
      <c r="B10" s="4"/>
      <c r="C10" s="2" t="s">
        <v>0</v>
      </c>
      <c r="D10" s="2" t="s">
        <v>1</v>
      </c>
      <c r="E10" s="2" t="s">
        <v>2</v>
      </c>
      <c r="F10" s="2" t="s">
        <v>10</v>
      </c>
      <c r="G10" s="1" t="s">
        <v>8</v>
      </c>
      <c r="I10" s="83"/>
      <c r="J10" s="83"/>
      <c r="K10" s="83"/>
      <c r="L10" s="83"/>
      <c r="M10" s="83"/>
      <c r="N10" s="83"/>
    </row>
    <row r="11" spans="1:14" x14ac:dyDescent="0.25">
      <c r="A11" s="5">
        <f>C$8/C3</f>
        <v>78.125</v>
      </c>
      <c r="B11" s="2" t="s">
        <v>3</v>
      </c>
      <c r="C11" s="5">
        <f>A11*C3</f>
        <v>5000</v>
      </c>
      <c r="D11" s="9">
        <f>A11*D3</f>
        <v>3125</v>
      </c>
      <c r="E11" s="11">
        <f>E3*A11</f>
        <v>1562.5</v>
      </c>
      <c r="F11" s="9">
        <f>A11*F3</f>
        <v>46.875</v>
      </c>
      <c r="G11" s="12">
        <f>G3</f>
        <v>65</v>
      </c>
      <c r="I11" s="83"/>
      <c r="J11" s="83"/>
      <c r="K11" s="83"/>
      <c r="L11" s="83"/>
      <c r="M11" s="83"/>
      <c r="N11" s="83"/>
    </row>
    <row r="12" spans="1:14" ht="15" customHeight="1" x14ac:dyDescent="0.25">
      <c r="A12" s="5">
        <f>C$8/C4</f>
        <v>39.0625</v>
      </c>
      <c r="B12" s="2" t="s">
        <v>4</v>
      </c>
      <c r="C12" s="5">
        <f t="shared" ref="C12:C13" si="0">A12*C4</f>
        <v>5000</v>
      </c>
      <c r="D12" s="10">
        <f t="shared" ref="D12" si="1">A12*D4</f>
        <v>1953.125</v>
      </c>
      <c r="E12" s="10">
        <f t="shared" ref="E12:E13" si="2">E4*A12</f>
        <v>2812.5</v>
      </c>
      <c r="F12" s="10">
        <f t="shared" ref="F12" si="3">A12*F4</f>
        <v>58.59375</v>
      </c>
      <c r="G12" s="12">
        <f t="shared" ref="G12:G13" si="4">G4</f>
        <v>100</v>
      </c>
      <c r="H12" s="1"/>
      <c r="I12" s="82" t="s">
        <v>9</v>
      </c>
      <c r="J12" s="82"/>
      <c r="K12" s="82"/>
      <c r="L12" s="82"/>
      <c r="M12" s="82"/>
      <c r="N12" s="82"/>
    </row>
    <row r="13" spans="1:14" x14ac:dyDescent="0.25">
      <c r="A13" s="5">
        <f>C$8/C5</f>
        <v>26.041666666666668</v>
      </c>
      <c r="B13" s="2" t="s">
        <v>5</v>
      </c>
      <c r="C13" s="5">
        <f t="shared" si="0"/>
        <v>5000</v>
      </c>
      <c r="D13" s="11">
        <f>A13*D5</f>
        <v>625</v>
      </c>
      <c r="E13" s="9">
        <f t="shared" si="2"/>
        <v>3750</v>
      </c>
      <c r="F13" s="11">
        <f>A13*F5</f>
        <v>78.125</v>
      </c>
      <c r="G13" s="12">
        <f t="shared" si="4"/>
        <v>35</v>
      </c>
      <c r="H13" s="1"/>
      <c r="I13" s="82"/>
      <c r="J13" s="82"/>
      <c r="K13" s="82"/>
      <c r="L13" s="82"/>
      <c r="M13" s="82"/>
      <c r="N13" s="82"/>
    </row>
    <row r="14" spans="1:14" x14ac:dyDescent="0.25">
      <c r="A14" s="3"/>
      <c r="B14" s="3"/>
      <c r="C14" s="2"/>
      <c r="D14" s="2"/>
      <c r="E14" s="2"/>
      <c r="F14" s="2"/>
      <c r="G14" s="1"/>
      <c r="H14" s="1"/>
      <c r="I14" s="82"/>
      <c r="J14" s="82"/>
      <c r="K14" s="82"/>
      <c r="L14" s="82"/>
      <c r="M14" s="82"/>
      <c r="N14" s="82"/>
    </row>
    <row r="15" spans="1:14" x14ac:dyDescent="0.25">
      <c r="C15" s="1"/>
      <c r="D15" s="1"/>
      <c r="E15" s="1"/>
      <c r="F15" s="1"/>
      <c r="G15" s="1"/>
      <c r="H15" s="1"/>
      <c r="I15" s="82"/>
      <c r="J15" s="82"/>
      <c r="K15" s="82"/>
      <c r="L15" s="82"/>
      <c r="M15" s="82"/>
      <c r="N15" s="82"/>
    </row>
    <row r="16" spans="1:14" x14ac:dyDescent="0.25">
      <c r="C16" s="1"/>
      <c r="D16" s="1"/>
      <c r="E16" s="1"/>
      <c r="F16" s="1"/>
      <c r="G16" s="1"/>
      <c r="H16" s="1"/>
      <c r="I16" s="1"/>
      <c r="J16" s="1"/>
    </row>
  </sheetData>
  <mergeCells count="2">
    <mergeCell ref="I12:N15"/>
    <mergeCell ref="I9:N11"/>
  </mergeCells>
  <conditionalFormatting sqref="D11:D13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{201CC35E-6C1A-4406-9950-97C699B516E7}</x14:id>
        </ext>
      </extLst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E1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{F9A7E64F-BFBB-4DD3-9FAC-4BDF1D2EEE22}</x14:id>
        </ext>
      </extLs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1:F1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{CB429959-D0C6-4455-9F0E-3626FC8792FF}</x14:id>
        </ext>
      </extLst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{707E6499-FE01-4F20-8912-FF337239DB1A}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01CC35E-6C1A-4406-9950-97C699B516E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D11:D13</xm:sqref>
        </x14:conditionalFormatting>
        <x14:conditionalFormatting xmlns:xm="http://schemas.microsoft.com/office/excel/2006/main">
          <x14:cfRule type="dataBar" id="{F9A7E64F-BFBB-4DD3-9FAC-4BDF1D2EEE2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E11:E13</xm:sqref>
        </x14:conditionalFormatting>
        <x14:conditionalFormatting xmlns:xm="http://schemas.microsoft.com/office/excel/2006/main">
          <x14:cfRule type="dataBar" id="{CB429959-D0C6-4455-9F0E-3626FC8792F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F11:F13</xm:sqref>
        </x14:conditionalFormatting>
        <x14:conditionalFormatting xmlns:xm="http://schemas.microsoft.com/office/excel/2006/main">
          <x14:cfRule type="dataBar" id="{707E6499-FE01-4F20-8912-FF337239DB1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G11:G13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B80D-11E3-4393-9ABD-01470CEC1085}">
  <dimension ref="A1:L29"/>
  <sheetViews>
    <sheetView zoomScale="120" zoomScaleNormal="120" workbookViewId="0">
      <selection activeCell="K9" sqref="K9"/>
    </sheetView>
  </sheetViews>
  <sheetFormatPr baseColWidth="10" defaultRowHeight="15" x14ac:dyDescent="0.25"/>
  <cols>
    <col min="1" max="1" width="4.42578125" customWidth="1"/>
    <col min="2" max="2" width="15.85546875" customWidth="1"/>
    <col min="4" max="4" width="24.140625" customWidth="1"/>
    <col min="5" max="5" width="10.42578125" customWidth="1"/>
    <col min="6" max="6" width="11.140625" customWidth="1"/>
    <col min="7" max="7" width="31.5703125" customWidth="1"/>
    <col min="8" max="8" width="24.85546875" customWidth="1"/>
    <col min="9" max="9" width="34" customWidth="1"/>
    <col min="10" max="10" width="28" customWidth="1"/>
    <col min="11" max="11" width="21.7109375" customWidth="1"/>
  </cols>
  <sheetData>
    <row r="1" spans="1:11" x14ac:dyDescent="0.25">
      <c r="G1" s="1">
        <v>1</v>
      </c>
    </row>
    <row r="2" spans="1:11" x14ac:dyDescent="0.25">
      <c r="A2" s="44"/>
      <c r="B2" s="44"/>
      <c r="C2" s="44"/>
      <c r="D2" s="44"/>
      <c r="E2" s="44"/>
      <c r="F2" s="44"/>
      <c r="G2" s="44">
        <v>0.8</v>
      </c>
      <c r="H2" s="45">
        <v>1.2</v>
      </c>
      <c r="I2" s="45">
        <v>2.5</v>
      </c>
      <c r="J2" s="44"/>
      <c r="K2" s="44"/>
    </row>
    <row r="3" spans="1:11" ht="30" x14ac:dyDescent="0.25">
      <c r="A3" s="44"/>
      <c r="B3" s="44"/>
      <c r="C3" s="44"/>
      <c r="D3" s="47" t="s">
        <v>12</v>
      </c>
      <c r="E3" s="47" t="s">
        <v>45</v>
      </c>
      <c r="F3" s="47" t="s">
        <v>40</v>
      </c>
      <c r="G3" s="47" t="s">
        <v>13</v>
      </c>
      <c r="H3" s="47" t="s">
        <v>16</v>
      </c>
      <c r="I3" s="50" t="s">
        <v>14</v>
      </c>
      <c r="J3" s="50" t="s">
        <v>15</v>
      </c>
      <c r="K3" s="44"/>
    </row>
    <row r="4" spans="1:11" x14ac:dyDescent="0.25">
      <c r="A4" s="44"/>
      <c r="B4" s="52" t="s">
        <v>41</v>
      </c>
      <c r="C4" s="52" t="s">
        <v>3</v>
      </c>
      <c r="D4" s="47">
        <v>64</v>
      </c>
      <c r="E4" s="47">
        <v>1</v>
      </c>
      <c r="F4" s="54">
        <v>25</v>
      </c>
      <c r="G4" s="46">
        <f>(40*G2)*G1</f>
        <v>32</v>
      </c>
      <c r="H4" s="46">
        <f>20*H2</f>
        <v>24</v>
      </c>
      <c r="I4" s="72">
        <f>0.45*I2</f>
        <v>1.125</v>
      </c>
      <c r="J4" s="47">
        <v>65</v>
      </c>
      <c r="K4" s="66"/>
    </row>
    <row r="5" spans="1:11" x14ac:dyDescent="0.25">
      <c r="A5" s="44"/>
      <c r="B5" s="52" t="s">
        <v>41</v>
      </c>
      <c r="C5" s="52" t="s">
        <v>38</v>
      </c>
      <c r="D5" s="47">
        <v>128</v>
      </c>
      <c r="E5" s="47">
        <v>1</v>
      </c>
      <c r="F5" s="54">
        <v>25</v>
      </c>
      <c r="G5" s="46">
        <f>(75*G2)*G1</f>
        <v>60</v>
      </c>
      <c r="H5" s="46">
        <f>35*H2</f>
        <v>42</v>
      </c>
      <c r="I5" s="72">
        <f>1.5*I2</f>
        <v>3.75</v>
      </c>
      <c r="J5" s="47">
        <v>55</v>
      </c>
      <c r="K5" s="66"/>
    </row>
    <row r="6" spans="1:11" x14ac:dyDescent="0.25">
      <c r="A6" s="44"/>
      <c r="B6" s="51" t="s">
        <v>42</v>
      </c>
      <c r="C6" s="51" t="s">
        <v>4</v>
      </c>
      <c r="D6" s="47">
        <v>164</v>
      </c>
      <c r="E6" s="47">
        <v>2</v>
      </c>
      <c r="F6" s="54">
        <v>20</v>
      </c>
      <c r="G6" s="46">
        <f>(77*G2)*G1</f>
        <v>61.6</v>
      </c>
      <c r="H6" s="46">
        <f>85*H2</f>
        <v>102</v>
      </c>
      <c r="I6" s="72">
        <f>2.05*I2</f>
        <v>5.125</v>
      </c>
      <c r="J6" s="47">
        <v>100</v>
      </c>
      <c r="K6" s="66"/>
    </row>
    <row r="7" spans="1:11" x14ac:dyDescent="0.25">
      <c r="A7" s="44"/>
      <c r="B7" s="51" t="s">
        <v>42</v>
      </c>
      <c r="C7" s="51" t="s">
        <v>44</v>
      </c>
      <c r="D7" s="47">
        <v>80</v>
      </c>
      <c r="E7" s="47">
        <v>1</v>
      </c>
      <c r="F7" s="54">
        <v>15</v>
      </c>
      <c r="G7" s="46">
        <f>(20*G2)*G1</f>
        <v>16</v>
      </c>
      <c r="H7" s="46">
        <f>60*H2</f>
        <v>72</v>
      </c>
      <c r="I7" s="72">
        <f>0.75*I2</f>
        <v>1.875</v>
      </c>
      <c r="J7" s="47">
        <v>65</v>
      </c>
      <c r="K7" s="66"/>
    </row>
    <row r="8" spans="1:11" x14ac:dyDescent="0.25">
      <c r="A8" s="44"/>
      <c r="B8" s="53" t="s">
        <v>43</v>
      </c>
      <c r="C8" s="53" t="s">
        <v>5</v>
      </c>
      <c r="D8" s="47">
        <v>192</v>
      </c>
      <c r="E8" s="47">
        <v>3</v>
      </c>
      <c r="F8" s="54">
        <v>10</v>
      </c>
      <c r="G8" s="46">
        <f>(24*G2)*G1</f>
        <v>19.200000000000003</v>
      </c>
      <c r="H8" s="46">
        <f>30*H2</f>
        <v>36</v>
      </c>
      <c r="I8" s="72">
        <f>3*I2</f>
        <v>7.5</v>
      </c>
      <c r="J8" s="47">
        <v>35</v>
      </c>
      <c r="K8" s="66"/>
    </row>
    <row r="9" spans="1:11" x14ac:dyDescent="0.25">
      <c r="A9" s="44"/>
      <c r="B9" s="53" t="s">
        <v>43</v>
      </c>
      <c r="C9" s="53" t="s">
        <v>39</v>
      </c>
      <c r="D9" s="47">
        <v>80</v>
      </c>
      <c r="E9" s="47">
        <v>2</v>
      </c>
      <c r="F9" s="54">
        <v>5</v>
      </c>
      <c r="G9" s="46">
        <f>(8*G2)*G1</f>
        <v>6.4</v>
      </c>
      <c r="H9" s="46">
        <f>5*H2</f>
        <v>6</v>
      </c>
      <c r="I9" s="72">
        <f>0.875*I2</f>
        <v>2.1875</v>
      </c>
      <c r="J9" s="47">
        <v>80</v>
      </c>
      <c r="K9" s="66"/>
    </row>
    <row r="10" spans="1:11" ht="15.75" thickBot="1" x14ac:dyDescent="0.3">
      <c r="A10" s="44"/>
      <c r="K10" s="44"/>
    </row>
    <row r="11" spans="1:11" ht="15.75" thickBot="1" x14ac:dyDescent="0.3">
      <c r="A11" s="44"/>
      <c r="B11" s="44"/>
      <c r="C11" s="56" t="s">
        <v>6</v>
      </c>
      <c r="D11" s="57">
        <v>640</v>
      </c>
      <c r="E11" s="58" t="s">
        <v>7</v>
      </c>
      <c r="F11" s="55"/>
      <c r="H11" s="44"/>
      <c r="I11" s="44"/>
      <c r="J11" s="44"/>
      <c r="K11" s="44"/>
    </row>
    <row r="12" spans="1:11" x14ac:dyDescent="0.25">
      <c r="A12" s="44"/>
      <c r="B12" s="44"/>
      <c r="C12" s="44"/>
      <c r="D12" s="44"/>
      <c r="E12" s="44"/>
      <c r="F12" s="55"/>
      <c r="G12" s="44"/>
      <c r="H12" s="44"/>
      <c r="I12" s="44"/>
      <c r="J12" s="44"/>
      <c r="K12" s="44"/>
    </row>
    <row r="13" spans="1:11" x14ac:dyDescent="0.25">
      <c r="A13" s="44"/>
      <c r="B13" s="44"/>
      <c r="C13" s="44"/>
      <c r="D13" s="47" t="s">
        <v>0</v>
      </c>
      <c r="E13" s="47" t="s">
        <v>45</v>
      </c>
      <c r="F13" s="54" t="s">
        <v>40</v>
      </c>
      <c r="G13" s="47" t="s">
        <v>1</v>
      </c>
      <c r="H13" s="47" t="s">
        <v>2</v>
      </c>
      <c r="I13" s="47" t="s">
        <v>10</v>
      </c>
      <c r="J13" s="47" t="s">
        <v>8</v>
      </c>
      <c r="K13" s="44"/>
    </row>
    <row r="14" spans="1:11" x14ac:dyDescent="0.25">
      <c r="A14" s="44"/>
      <c r="B14" s="46">
        <f>D11/D4</f>
        <v>10</v>
      </c>
      <c r="C14" s="52" t="s">
        <v>3</v>
      </c>
      <c r="D14" s="47">
        <f>D4*B14</f>
        <v>640</v>
      </c>
      <c r="E14" s="46">
        <f>E4*B14</f>
        <v>10</v>
      </c>
      <c r="F14" s="54">
        <f t="shared" ref="F14:F19" si="0">F4</f>
        <v>25</v>
      </c>
      <c r="G14" s="46">
        <f>$B14*G4</f>
        <v>320</v>
      </c>
      <c r="H14" s="46">
        <f t="shared" ref="H14:H19" si="1">H4*B14</f>
        <v>240</v>
      </c>
      <c r="I14" s="72">
        <f t="shared" ref="I14:I19" si="2">I4*B14</f>
        <v>11.25</v>
      </c>
      <c r="J14" s="46">
        <v>65</v>
      </c>
      <c r="K14" s="44"/>
    </row>
    <row r="15" spans="1:11" x14ac:dyDescent="0.25">
      <c r="A15" s="44"/>
      <c r="B15" s="48">
        <f>D11/D5</f>
        <v>5</v>
      </c>
      <c r="C15" s="52" t="s">
        <v>38</v>
      </c>
      <c r="D15" s="49">
        <f>B15*D5</f>
        <v>640</v>
      </c>
      <c r="E15" s="46">
        <f t="shared" ref="E15:E19" si="3">E5*B15</f>
        <v>5</v>
      </c>
      <c r="F15" s="54">
        <f t="shared" si="0"/>
        <v>25</v>
      </c>
      <c r="G15" s="46">
        <f>$B15*G5</f>
        <v>300</v>
      </c>
      <c r="H15" s="46">
        <f t="shared" si="1"/>
        <v>210</v>
      </c>
      <c r="I15" s="72">
        <f t="shared" si="2"/>
        <v>18.75</v>
      </c>
      <c r="J15" s="48">
        <f>J5</f>
        <v>55</v>
      </c>
      <c r="K15" s="44"/>
    </row>
    <row r="16" spans="1:11" x14ac:dyDescent="0.25">
      <c r="A16" s="44"/>
      <c r="B16" s="46">
        <f>D11/D6</f>
        <v>3.9024390243902438</v>
      </c>
      <c r="C16" s="51" t="s">
        <v>4</v>
      </c>
      <c r="D16" s="47">
        <f>D6*B16</f>
        <v>640</v>
      </c>
      <c r="E16" s="46">
        <f t="shared" si="3"/>
        <v>7.8048780487804876</v>
      </c>
      <c r="F16" s="54">
        <f t="shared" si="0"/>
        <v>20</v>
      </c>
      <c r="G16" s="46">
        <f>$B16*G6</f>
        <v>240.39024390243901</v>
      </c>
      <c r="H16" s="46">
        <f t="shared" si="1"/>
        <v>398.04878048780489</v>
      </c>
      <c r="I16" s="72">
        <f t="shared" si="2"/>
        <v>20</v>
      </c>
      <c r="J16" s="46">
        <v>100</v>
      </c>
      <c r="K16" s="44"/>
    </row>
    <row r="17" spans="2:12" x14ac:dyDescent="0.25">
      <c r="B17" s="48">
        <f>D11/D7</f>
        <v>8</v>
      </c>
      <c r="C17" s="51" t="s">
        <v>44</v>
      </c>
      <c r="D17" s="49">
        <f>B17*D7</f>
        <v>640</v>
      </c>
      <c r="E17" s="46">
        <f t="shared" si="3"/>
        <v>8</v>
      </c>
      <c r="F17" s="54">
        <f t="shared" si="0"/>
        <v>15</v>
      </c>
      <c r="G17" s="46">
        <f>$B17*G7</f>
        <v>128</v>
      </c>
      <c r="H17" s="46">
        <f t="shared" si="1"/>
        <v>576</v>
      </c>
      <c r="I17" s="72">
        <f t="shared" si="2"/>
        <v>15</v>
      </c>
      <c r="J17" s="48">
        <f>J7</f>
        <v>65</v>
      </c>
      <c r="K17" s="1"/>
    </row>
    <row r="18" spans="2:12" x14ac:dyDescent="0.25">
      <c r="B18" s="46">
        <f>D11/D8</f>
        <v>3.3333333333333335</v>
      </c>
      <c r="C18" s="53" t="s">
        <v>5</v>
      </c>
      <c r="D18" s="47">
        <f>D8*B18</f>
        <v>640</v>
      </c>
      <c r="E18" s="46">
        <f t="shared" si="3"/>
        <v>10</v>
      </c>
      <c r="F18" s="54">
        <f t="shared" si="0"/>
        <v>10</v>
      </c>
      <c r="G18" s="46">
        <f>$B18*G8</f>
        <v>64.000000000000014</v>
      </c>
      <c r="H18" s="46">
        <f t="shared" si="1"/>
        <v>120</v>
      </c>
      <c r="I18" s="72">
        <f t="shared" si="2"/>
        <v>25</v>
      </c>
      <c r="J18" s="46">
        <v>35</v>
      </c>
      <c r="K18" s="44"/>
    </row>
    <row r="19" spans="2:12" x14ac:dyDescent="0.25">
      <c r="B19" s="48">
        <f>D11/D9</f>
        <v>8</v>
      </c>
      <c r="C19" s="62" t="s">
        <v>39</v>
      </c>
      <c r="D19" s="49">
        <f>B19*D9</f>
        <v>640</v>
      </c>
      <c r="E19" s="46">
        <f t="shared" si="3"/>
        <v>16</v>
      </c>
      <c r="F19" s="54">
        <f t="shared" si="0"/>
        <v>5</v>
      </c>
      <c r="G19" s="46">
        <f>G9*B19</f>
        <v>51.2</v>
      </c>
      <c r="H19" s="48">
        <f t="shared" si="1"/>
        <v>48</v>
      </c>
      <c r="I19" s="71">
        <f t="shared" si="2"/>
        <v>17.5</v>
      </c>
      <c r="J19" s="48">
        <f>J9</f>
        <v>80</v>
      </c>
    </row>
    <row r="20" spans="2:12" ht="15.75" thickBot="1" x14ac:dyDescent="0.3">
      <c r="I20" s="64"/>
    </row>
    <row r="21" spans="2:12" ht="15.75" thickBot="1" x14ac:dyDescent="0.3">
      <c r="C21" s="59" t="s">
        <v>46</v>
      </c>
      <c r="D21" s="60">
        <v>250</v>
      </c>
      <c r="E21" s="61" t="s">
        <v>45</v>
      </c>
      <c r="I21" s="64"/>
    </row>
    <row r="22" spans="2:12" x14ac:dyDescent="0.25">
      <c r="I22" s="64"/>
    </row>
    <row r="23" spans="2:12" x14ac:dyDescent="0.25">
      <c r="B23" s="44"/>
      <c r="C23" s="44"/>
      <c r="D23" s="47" t="s">
        <v>0</v>
      </c>
      <c r="E23" s="47" t="s">
        <v>45</v>
      </c>
      <c r="F23" s="54" t="s">
        <v>40</v>
      </c>
      <c r="G23" s="47" t="s">
        <v>1</v>
      </c>
      <c r="H23" s="47" t="s">
        <v>2</v>
      </c>
      <c r="I23" s="72" t="s">
        <v>10</v>
      </c>
      <c r="J23" s="47" t="s">
        <v>8</v>
      </c>
    </row>
    <row r="24" spans="2:12" x14ac:dyDescent="0.25">
      <c r="B24" s="46">
        <f>D$21/E4</f>
        <v>250</v>
      </c>
      <c r="C24" s="52" t="s">
        <v>3</v>
      </c>
      <c r="D24" s="47">
        <f>$B$24*D4</f>
        <v>16000</v>
      </c>
      <c r="E24" s="47">
        <f>$B24*E4</f>
        <v>250</v>
      </c>
      <c r="F24" s="47">
        <f>F14</f>
        <v>25</v>
      </c>
      <c r="G24" s="47">
        <f t="shared" ref="G24:H24" si="4">$B$24*G4</f>
        <v>8000</v>
      </c>
      <c r="H24" s="47">
        <f t="shared" si="4"/>
        <v>6000</v>
      </c>
      <c r="I24" s="72">
        <f>$B$24*I4</f>
        <v>281.25</v>
      </c>
      <c r="J24" s="46">
        <f>J14</f>
        <v>65</v>
      </c>
      <c r="K24" s="63"/>
      <c r="L24" s="64"/>
    </row>
    <row r="25" spans="2:12" x14ac:dyDescent="0.25">
      <c r="B25" s="46">
        <f t="shared" ref="B25:B29" si="5">D$21/E5</f>
        <v>250</v>
      </c>
      <c r="C25" s="52" t="s">
        <v>38</v>
      </c>
      <c r="D25" s="47">
        <f t="shared" ref="D25:D28" si="6">B25*D5</f>
        <v>32000</v>
      </c>
      <c r="E25" s="47">
        <f>$B$25*E5</f>
        <v>250</v>
      </c>
      <c r="F25" s="47">
        <f t="shared" ref="F25:F29" si="7">F15</f>
        <v>25</v>
      </c>
      <c r="G25" s="47">
        <f t="shared" ref="G25:H25" si="8">$B$25*G5</f>
        <v>15000</v>
      </c>
      <c r="H25" s="47">
        <f t="shared" si="8"/>
        <v>10500</v>
      </c>
      <c r="I25" s="72">
        <f>$B$25*I5</f>
        <v>937.5</v>
      </c>
      <c r="J25" s="46">
        <f t="shared" ref="J25:J29" si="9">J15</f>
        <v>55</v>
      </c>
      <c r="K25" s="63"/>
    </row>
    <row r="26" spans="2:12" x14ac:dyDescent="0.25">
      <c r="B26" s="46">
        <f t="shared" si="5"/>
        <v>125</v>
      </c>
      <c r="C26" s="51" t="s">
        <v>4</v>
      </c>
      <c r="D26" s="47">
        <f t="shared" si="6"/>
        <v>20500</v>
      </c>
      <c r="E26" s="47">
        <f>$B$26*E6</f>
        <v>250</v>
      </c>
      <c r="F26" s="47">
        <f t="shared" si="7"/>
        <v>20</v>
      </c>
      <c r="G26" s="47">
        <f t="shared" ref="G26:I26" si="10">$B$26*G6</f>
        <v>7700</v>
      </c>
      <c r="H26" s="47">
        <f t="shared" si="10"/>
        <v>12750</v>
      </c>
      <c r="I26" s="72">
        <f t="shared" si="10"/>
        <v>640.625</v>
      </c>
      <c r="J26" s="46">
        <f t="shared" si="9"/>
        <v>100</v>
      </c>
      <c r="K26" s="63"/>
      <c r="L26" s="64"/>
    </row>
    <row r="27" spans="2:12" x14ac:dyDescent="0.25">
      <c r="B27" s="46">
        <f t="shared" si="5"/>
        <v>250</v>
      </c>
      <c r="C27" s="51" t="s">
        <v>44</v>
      </c>
      <c r="D27" s="47">
        <f t="shared" si="6"/>
        <v>20000</v>
      </c>
      <c r="E27" s="47">
        <f>$B$27*E7</f>
        <v>250</v>
      </c>
      <c r="F27" s="47">
        <f t="shared" si="7"/>
        <v>15</v>
      </c>
      <c r="G27" s="47">
        <f t="shared" ref="G27:H27" si="11">$B$27*G7</f>
        <v>4000</v>
      </c>
      <c r="H27" s="47">
        <f t="shared" si="11"/>
        <v>18000</v>
      </c>
      <c r="I27" s="72">
        <f>$B$27*I7</f>
        <v>468.75</v>
      </c>
      <c r="J27" s="46">
        <f t="shared" si="9"/>
        <v>65</v>
      </c>
      <c r="K27" s="63"/>
    </row>
    <row r="28" spans="2:12" x14ac:dyDescent="0.25">
      <c r="B28" s="46">
        <f t="shared" si="5"/>
        <v>83.333333333333329</v>
      </c>
      <c r="C28" s="53" t="s">
        <v>5</v>
      </c>
      <c r="D28" s="47">
        <f t="shared" si="6"/>
        <v>16000</v>
      </c>
      <c r="E28" s="47">
        <f>$B$28*E8</f>
        <v>250</v>
      </c>
      <c r="F28" s="47">
        <f t="shared" si="7"/>
        <v>10</v>
      </c>
      <c r="G28" s="47">
        <f t="shared" ref="G28:I28" si="12">$B$28*G8</f>
        <v>1600.0000000000002</v>
      </c>
      <c r="H28" s="47">
        <f t="shared" si="12"/>
        <v>3000</v>
      </c>
      <c r="I28" s="72">
        <f t="shared" si="12"/>
        <v>625</v>
      </c>
      <c r="J28" s="46">
        <f t="shared" si="9"/>
        <v>35</v>
      </c>
      <c r="K28" s="63"/>
    </row>
    <row r="29" spans="2:12" x14ac:dyDescent="0.25">
      <c r="B29" s="46">
        <f t="shared" si="5"/>
        <v>125</v>
      </c>
      <c r="C29" s="62" t="s">
        <v>39</v>
      </c>
      <c r="D29" s="47">
        <f>B29*D9</f>
        <v>10000</v>
      </c>
      <c r="E29" s="47">
        <f>$B$29*E9</f>
        <v>250</v>
      </c>
      <c r="F29" s="47">
        <f t="shared" si="7"/>
        <v>5</v>
      </c>
      <c r="G29" s="47">
        <f t="shared" ref="G29:I29" si="13">$B$29*G9</f>
        <v>800</v>
      </c>
      <c r="H29" s="47">
        <f t="shared" si="13"/>
        <v>750</v>
      </c>
      <c r="I29" s="72">
        <f t="shared" si="13"/>
        <v>273.4375</v>
      </c>
      <c r="J29" s="46">
        <f t="shared" si="9"/>
        <v>80</v>
      </c>
      <c r="K29" s="63"/>
    </row>
  </sheetData>
  <conditionalFormatting sqref="G14:G1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{AFC33B2B-FE20-4ADD-A055-B63843D39E0E}</x14:id>
        </ext>
      </extLst>
    </cfRule>
  </conditionalFormatting>
  <conditionalFormatting sqref="H14:H19">
    <cfRule type="dataBar" priority="4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{F6C176E9-D79E-4FDD-BB72-064AA77B2EA4}</x14:id>
        </ext>
      </extLst>
    </cfRule>
  </conditionalFormatting>
  <conditionalFormatting sqref="I14:I19">
    <cfRule type="dataBar" priority="4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{A396167E-C86D-424C-8AD4-9929BCBCDCF3}</x14:id>
        </ext>
      </extLst>
    </cfRule>
  </conditionalFormatting>
  <conditionalFormatting sqref="J14:J19"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{5DB14E55-D55C-4D5F-8635-8FA16B103177}</x14:id>
        </ext>
      </extLst>
    </cfRule>
  </conditionalFormatting>
  <conditionalFormatting sqref="B14:B19">
    <cfRule type="dataBar" priority="5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{B7B92030-00D1-41CA-BC6F-576549C2A50D}</x14:id>
        </ext>
      </extLst>
    </cfRule>
  </conditionalFormatting>
  <conditionalFormatting sqref="J24:J29">
    <cfRule type="dataBar" priority="1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{7185BFC0-6A01-4787-ABB0-D58CD94D7B6D}</x14:id>
        </ext>
      </extLst>
    </cfRule>
  </conditionalFormatting>
  <conditionalFormatting sqref="B24:B29">
    <cfRule type="dataBar" priority="1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{628ACAE9-2D0F-40F2-AD82-70B593E128EC}</x14:id>
        </ext>
      </extLst>
    </cfRule>
  </conditionalFormatting>
  <conditionalFormatting sqref="D24:D29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{4CE5AB91-2D4E-4B5D-84E2-4769220C033F}</x14:id>
        </ext>
      </extLst>
    </cfRule>
  </conditionalFormatting>
  <conditionalFormatting sqref="G24:G2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{F0032F38-DBC0-4596-82FF-1CC77D80F75B}</x14:id>
        </ext>
      </extLst>
    </cfRule>
  </conditionalFormatting>
  <conditionalFormatting sqref="H24:H29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{85BB8DAF-9397-488D-9E4C-C6DBF1375802}</x14:id>
        </ext>
      </extLst>
    </cfRule>
  </conditionalFormatting>
  <conditionalFormatting sqref="I24:I29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{4CB24186-A77E-4E34-93AF-FD08517134F0}</x14:id>
        </ext>
      </extLst>
    </cfRule>
  </conditionalFormatting>
  <conditionalFormatting sqref="K24:K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{F456EBD8-6768-4FD7-8C30-F2A908742113}</x14:id>
        </ext>
      </extLst>
    </cfRule>
  </conditionalFormatting>
  <conditionalFormatting sqref="E14:E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{5464AF1F-2547-4B6A-B6A0-96ACE7572AB6}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C33B2B-FE20-4ADD-A055-B63843D39E0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G14:G19</xm:sqref>
        </x14:conditionalFormatting>
        <x14:conditionalFormatting xmlns:xm="http://schemas.microsoft.com/office/excel/2006/main">
          <x14:cfRule type="dataBar" id="{F6C176E9-D79E-4FDD-BB72-064AA77B2EA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H14:H19</xm:sqref>
        </x14:conditionalFormatting>
        <x14:conditionalFormatting xmlns:xm="http://schemas.microsoft.com/office/excel/2006/main">
          <x14:cfRule type="dataBar" id="{A396167E-C86D-424C-8AD4-9929BCBCDCF3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I14:I19</xm:sqref>
        </x14:conditionalFormatting>
        <x14:conditionalFormatting xmlns:xm="http://schemas.microsoft.com/office/excel/2006/main">
          <x14:cfRule type="dataBar" id="{5DB14E55-D55C-4D5F-8635-8FA16B1031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J14:J19</xm:sqref>
        </x14:conditionalFormatting>
        <x14:conditionalFormatting xmlns:xm="http://schemas.microsoft.com/office/excel/2006/main">
          <x14:cfRule type="dataBar" id="{B7B92030-00D1-41CA-BC6F-576549C2A50D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B14:B19</xm:sqref>
        </x14:conditionalFormatting>
        <x14:conditionalFormatting xmlns:xm="http://schemas.microsoft.com/office/excel/2006/main">
          <x14:cfRule type="dataBar" id="{7185BFC0-6A01-4787-ABB0-D58CD94D7B6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J24:J29</xm:sqref>
        </x14:conditionalFormatting>
        <x14:conditionalFormatting xmlns:xm="http://schemas.microsoft.com/office/excel/2006/main">
          <x14:cfRule type="dataBar" id="{628ACAE9-2D0F-40F2-AD82-70B593E128EC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B24:B29</xm:sqref>
        </x14:conditionalFormatting>
        <x14:conditionalFormatting xmlns:xm="http://schemas.microsoft.com/office/excel/2006/main">
          <x14:cfRule type="dataBar" id="{4CE5AB91-2D4E-4B5D-84E2-4769220C033F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D24:D29</xm:sqref>
        </x14:conditionalFormatting>
        <x14:conditionalFormatting xmlns:xm="http://schemas.microsoft.com/office/excel/2006/main">
          <x14:cfRule type="dataBar" id="{F0032F38-DBC0-4596-82FF-1CC77D80F75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G24:G29</xm:sqref>
        </x14:conditionalFormatting>
        <x14:conditionalFormatting xmlns:xm="http://schemas.microsoft.com/office/excel/2006/main">
          <x14:cfRule type="dataBar" id="{85BB8DAF-9397-488D-9E4C-C6DBF13758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H24:H29</xm:sqref>
        </x14:conditionalFormatting>
        <x14:conditionalFormatting xmlns:xm="http://schemas.microsoft.com/office/excel/2006/main">
          <x14:cfRule type="dataBar" id="{4CB24186-A77E-4E34-93AF-FD08517134F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I24:I29</xm:sqref>
        </x14:conditionalFormatting>
        <x14:conditionalFormatting xmlns:xm="http://schemas.microsoft.com/office/excel/2006/main">
          <x14:cfRule type="dataBar" id="{F456EBD8-6768-4FD7-8C30-F2A90874211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K24:K29</xm:sqref>
        </x14:conditionalFormatting>
        <x14:conditionalFormatting xmlns:xm="http://schemas.microsoft.com/office/excel/2006/main">
          <x14:cfRule type="dataBar" id="{5464AF1F-2547-4B6A-B6A0-96ACE7572AB6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E14:E19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DFBE-E0CD-444E-9C48-EAF49AA577DB}">
  <dimension ref="B2:G23"/>
  <sheetViews>
    <sheetView topLeftCell="A7" zoomScale="150" zoomScaleNormal="150" workbookViewId="0">
      <selection activeCell="J8" sqref="J8"/>
    </sheetView>
  </sheetViews>
  <sheetFormatPr baseColWidth="10" defaultRowHeight="15" x14ac:dyDescent="0.25"/>
  <cols>
    <col min="5" max="5" width="13.42578125" customWidth="1"/>
  </cols>
  <sheetData>
    <row r="2" spans="2:7" ht="15.75" thickBot="1" x14ac:dyDescent="0.3"/>
    <row r="3" spans="2:7" ht="16.5" thickBot="1" x14ac:dyDescent="0.3">
      <c r="B3" s="87" t="s">
        <v>17</v>
      </c>
      <c r="C3" s="88"/>
      <c r="D3" s="88"/>
      <c r="E3" s="88"/>
      <c r="F3" s="89"/>
      <c r="G3" s="21"/>
    </row>
    <row r="4" spans="2:7" x14ac:dyDescent="0.25">
      <c r="B4" s="90" t="s">
        <v>30</v>
      </c>
      <c r="C4" s="91"/>
      <c r="D4" s="91"/>
      <c r="E4" s="92"/>
      <c r="F4" s="29">
        <v>5</v>
      </c>
    </row>
    <row r="5" spans="2:7" x14ac:dyDescent="0.25">
      <c r="B5" s="102" t="s">
        <v>32</v>
      </c>
      <c r="C5" s="103"/>
      <c r="D5" s="103"/>
      <c r="E5" s="104"/>
      <c r="F5" s="35">
        <v>1</v>
      </c>
    </row>
    <row r="6" spans="2:7" ht="15.75" thickBot="1" x14ac:dyDescent="0.3">
      <c r="B6" s="93" t="s">
        <v>31</v>
      </c>
      <c r="C6" s="94"/>
      <c r="D6" s="94"/>
      <c r="E6" s="95"/>
      <c r="F6" s="27">
        <v>6</v>
      </c>
    </row>
    <row r="7" spans="2:7" x14ac:dyDescent="0.25">
      <c r="B7" s="96" t="s">
        <v>18</v>
      </c>
      <c r="C7" s="97"/>
      <c r="D7" s="97"/>
      <c r="E7" s="98"/>
      <c r="F7" s="22">
        <v>5</v>
      </c>
    </row>
    <row r="8" spans="2:7" ht="15.75" thickBot="1" x14ac:dyDescent="0.3">
      <c r="B8" s="93" t="s">
        <v>19</v>
      </c>
      <c r="C8" s="94"/>
      <c r="D8" s="94"/>
      <c r="E8" s="95"/>
      <c r="F8" s="27">
        <v>5</v>
      </c>
    </row>
    <row r="9" spans="2:7" ht="30" customHeight="1" x14ac:dyDescent="0.25">
      <c r="B9" s="114" t="s">
        <v>35</v>
      </c>
      <c r="C9" s="97"/>
      <c r="D9" s="97"/>
      <c r="E9" s="98"/>
      <c r="F9" s="22">
        <v>250</v>
      </c>
    </row>
    <row r="10" spans="2:7" x14ac:dyDescent="0.25">
      <c r="B10" s="108" t="s">
        <v>33</v>
      </c>
      <c r="C10" s="109"/>
      <c r="D10" s="109"/>
      <c r="E10" s="110"/>
      <c r="F10" s="26">
        <v>1</v>
      </c>
    </row>
    <row r="11" spans="2:7" ht="30" customHeight="1" thickBot="1" x14ac:dyDescent="0.3">
      <c r="B11" s="115" t="s">
        <v>34</v>
      </c>
      <c r="C11" s="100"/>
      <c r="D11" s="100"/>
      <c r="E11" s="101"/>
      <c r="F11" s="28">
        <v>2</v>
      </c>
    </row>
    <row r="12" spans="2:7" x14ac:dyDescent="0.25">
      <c r="B12" s="90" t="s">
        <v>20</v>
      </c>
      <c r="C12" s="91"/>
      <c r="D12" s="91"/>
      <c r="E12" s="92"/>
      <c r="F12" s="29">
        <v>20</v>
      </c>
    </row>
    <row r="13" spans="2:7" x14ac:dyDescent="0.25">
      <c r="B13" s="84" t="s">
        <v>22</v>
      </c>
      <c r="C13" s="85"/>
      <c r="D13" s="85"/>
      <c r="E13" s="86"/>
      <c r="F13" s="23">
        <v>10</v>
      </c>
    </row>
    <row r="14" spans="2:7" ht="15.75" thickBot="1" x14ac:dyDescent="0.3">
      <c r="B14" s="93" t="s">
        <v>21</v>
      </c>
      <c r="C14" s="94"/>
      <c r="D14" s="94"/>
      <c r="E14" s="95"/>
      <c r="F14" s="24">
        <v>0</v>
      </c>
    </row>
    <row r="15" spans="2:7" x14ac:dyDescent="0.25">
      <c r="B15" s="96" t="s">
        <v>23</v>
      </c>
      <c r="C15" s="97"/>
      <c r="D15" s="97"/>
      <c r="E15" s="98"/>
      <c r="F15" s="31">
        <v>5</v>
      </c>
    </row>
    <row r="16" spans="2:7" x14ac:dyDescent="0.25">
      <c r="B16" s="108" t="s">
        <v>24</v>
      </c>
      <c r="C16" s="109"/>
      <c r="D16" s="109"/>
      <c r="E16" s="110"/>
      <c r="F16" s="25">
        <v>20</v>
      </c>
    </row>
    <row r="17" spans="2:6" ht="15.75" thickBot="1" x14ac:dyDescent="0.3">
      <c r="B17" s="99" t="s">
        <v>25</v>
      </c>
      <c r="C17" s="100"/>
      <c r="D17" s="100"/>
      <c r="E17" s="101"/>
      <c r="F17" s="32">
        <v>0.9</v>
      </c>
    </row>
    <row r="18" spans="2:6" x14ac:dyDescent="0.25">
      <c r="B18" s="90" t="s">
        <v>26</v>
      </c>
      <c r="C18" s="91"/>
      <c r="D18" s="91"/>
      <c r="E18" s="92"/>
      <c r="F18" s="33">
        <v>3</v>
      </c>
    </row>
    <row r="19" spans="2:6" ht="15.75" thickBot="1" x14ac:dyDescent="0.3">
      <c r="B19" s="99" t="s">
        <v>29</v>
      </c>
      <c r="C19" s="100"/>
      <c r="D19" s="100"/>
      <c r="E19" s="101"/>
      <c r="F19" s="34">
        <v>0.66700000000000004</v>
      </c>
    </row>
    <row r="20" spans="2:6" x14ac:dyDescent="0.25">
      <c r="B20" s="111" t="s">
        <v>27</v>
      </c>
      <c r="C20" s="112"/>
      <c r="D20" s="112"/>
      <c r="E20" s="113"/>
      <c r="F20" s="30">
        <v>12</v>
      </c>
    </row>
    <row r="21" spans="2:6" x14ac:dyDescent="0.25">
      <c r="B21" s="84" t="s">
        <v>36</v>
      </c>
      <c r="C21" s="85"/>
      <c r="D21" s="85"/>
      <c r="E21" s="86"/>
      <c r="F21" s="23">
        <v>3</v>
      </c>
    </row>
    <row r="22" spans="2:6" ht="15.75" thickBot="1" x14ac:dyDescent="0.3">
      <c r="B22" s="93" t="s">
        <v>28</v>
      </c>
      <c r="C22" s="94"/>
      <c r="D22" s="94"/>
      <c r="E22" s="95"/>
      <c r="F22" s="24">
        <v>4</v>
      </c>
    </row>
    <row r="23" spans="2:6" ht="15.75" thickBot="1" x14ac:dyDescent="0.3">
      <c r="B23" s="105" t="s">
        <v>37</v>
      </c>
      <c r="C23" s="106"/>
      <c r="D23" s="106"/>
      <c r="E23" s="107"/>
      <c r="F23" s="36">
        <v>1</v>
      </c>
    </row>
  </sheetData>
  <mergeCells count="21">
    <mergeCell ref="B21:E21"/>
    <mergeCell ref="B22:E22"/>
    <mergeCell ref="B19:E19"/>
    <mergeCell ref="B5:E5"/>
    <mergeCell ref="B23:E23"/>
    <mergeCell ref="B14:E14"/>
    <mergeCell ref="B15:E15"/>
    <mergeCell ref="B16:E16"/>
    <mergeCell ref="B17:E17"/>
    <mergeCell ref="B18:E18"/>
    <mergeCell ref="B20:E20"/>
    <mergeCell ref="B8:E8"/>
    <mergeCell ref="B9:E9"/>
    <mergeCell ref="B10:E10"/>
    <mergeCell ref="B11:E11"/>
    <mergeCell ref="B12:E12"/>
    <mergeCell ref="B13:E13"/>
    <mergeCell ref="B3:F3"/>
    <mergeCell ref="B4:E4"/>
    <mergeCell ref="B6:E6"/>
    <mergeCell ref="B7:E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574A-592A-4C40-9736-421EE2E19A0C}">
  <dimension ref="A2:X28"/>
  <sheetViews>
    <sheetView tabSelected="1" zoomScale="140" zoomScaleNormal="140" workbookViewId="0">
      <selection activeCell="F19" sqref="F19"/>
    </sheetView>
  </sheetViews>
  <sheetFormatPr baseColWidth="10" defaultRowHeight="15" x14ac:dyDescent="0.25"/>
  <cols>
    <col min="7" max="7" width="18.140625" bestFit="1" customWidth="1"/>
    <col min="8" max="8" width="16" bestFit="1" customWidth="1"/>
    <col min="9" max="9" width="13" customWidth="1"/>
    <col min="10" max="10" width="13.140625" customWidth="1"/>
  </cols>
  <sheetData>
    <row r="2" spans="1:24" x14ac:dyDescent="0.25">
      <c r="E2">
        <v>5</v>
      </c>
      <c r="S2" t="s">
        <v>61</v>
      </c>
      <c r="T2" s="79">
        <v>0</v>
      </c>
      <c r="U2" s="79">
        <v>1</v>
      </c>
      <c r="V2" s="79">
        <v>1</v>
      </c>
      <c r="W2" s="79">
        <v>3</v>
      </c>
      <c r="X2" s="79">
        <v>6</v>
      </c>
    </row>
    <row r="3" spans="1:24" x14ac:dyDescent="0.25">
      <c r="B3" t="s">
        <v>51</v>
      </c>
      <c r="C3" t="s">
        <v>52</v>
      </c>
      <c r="D3" t="s">
        <v>53</v>
      </c>
      <c r="E3" t="s">
        <v>56</v>
      </c>
      <c r="F3" t="s">
        <v>60</v>
      </c>
      <c r="G3" t="s">
        <v>57</v>
      </c>
      <c r="H3" t="s">
        <v>59</v>
      </c>
      <c r="L3" t="s">
        <v>63</v>
      </c>
      <c r="M3" s="79">
        <v>200</v>
      </c>
      <c r="N3" s="79">
        <v>300</v>
      </c>
      <c r="O3" s="79">
        <v>250</v>
      </c>
      <c r="P3" s="79">
        <v>100</v>
      </c>
      <c r="Q3" s="79">
        <v>200</v>
      </c>
      <c r="S3" t="s">
        <v>62</v>
      </c>
      <c r="T3" s="79">
        <v>4</v>
      </c>
      <c r="U3" s="79">
        <v>3</v>
      </c>
      <c r="V3" s="79">
        <v>3</v>
      </c>
      <c r="W3" s="79">
        <v>2</v>
      </c>
      <c r="X3" s="79">
        <v>5</v>
      </c>
    </row>
    <row r="4" spans="1:24" x14ac:dyDescent="0.25">
      <c r="A4" s="49" t="s">
        <v>48</v>
      </c>
      <c r="B4" s="49" t="s">
        <v>47</v>
      </c>
      <c r="C4" s="49" t="s">
        <v>49</v>
      </c>
      <c r="D4" s="49" t="s">
        <v>50</v>
      </c>
      <c r="E4" s="70" t="s">
        <v>55</v>
      </c>
      <c r="F4" s="70" t="s">
        <v>55</v>
      </c>
      <c r="G4" s="70" t="s">
        <v>55</v>
      </c>
      <c r="H4" s="70" t="s">
        <v>58</v>
      </c>
      <c r="I4" s="1"/>
      <c r="J4" s="1" t="s">
        <v>54</v>
      </c>
      <c r="L4" s="73" t="s">
        <v>48</v>
      </c>
      <c r="M4" s="73" t="s">
        <v>49</v>
      </c>
      <c r="N4" s="73" t="s">
        <v>50</v>
      </c>
      <c r="O4" s="81" t="s">
        <v>55</v>
      </c>
      <c r="P4" s="73" t="s">
        <v>58</v>
      </c>
      <c r="Q4" s="73" t="s">
        <v>47</v>
      </c>
      <c r="S4" s="73" t="s">
        <v>48</v>
      </c>
      <c r="T4" s="73" t="s">
        <v>49</v>
      </c>
      <c r="U4" s="73" t="s">
        <v>50</v>
      </c>
      <c r="V4" s="73" t="s">
        <v>55</v>
      </c>
      <c r="W4" s="73" t="s">
        <v>58</v>
      </c>
      <c r="X4" s="73" t="s">
        <v>47</v>
      </c>
    </row>
    <row r="5" spans="1:24" x14ac:dyDescent="0.25">
      <c r="A5" s="49">
        <v>0</v>
      </c>
      <c r="B5" s="67">
        <v>1</v>
      </c>
      <c r="C5" s="69"/>
      <c r="D5" s="69"/>
      <c r="E5" s="69"/>
      <c r="F5" s="69"/>
      <c r="G5" s="69"/>
      <c r="H5" s="49">
        <v>0</v>
      </c>
      <c r="I5" s="1" t="s">
        <v>3</v>
      </c>
      <c r="J5" s="1">
        <v>17</v>
      </c>
      <c r="L5" s="1">
        <v>0</v>
      </c>
      <c r="M5" s="69"/>
      <c r="N5" s="69"/>
      <c r="O5" s="75"/>
      <c r="P5" s="76">
        <f>100 + L6*L6*L6*L6 / 4</f>
        <v>100.25</v>
      </c>
      <c r="Q5" s="48">
        <f>200*L6 + L5*L5*(L5/2)</f>
        <v>200</v>
      </c>
      <c r="S5" s="1">
        <v>0</v>
      </c>
      <c r="T5" s="69"/>
      <c r="U5" s="69"/>
      <c r="V5" s="75"/>
      <c r="W5" s="76">
        <v>3</v>
      </c>
      <c r="X5" s="48">
        <v>6</v>
      </c>
    </row>
    <row r="6" spans="1:24" x14ac:dyDescent="0.25">
      <c r="A6" s="49">
        <v>1</v>
      </c>
      <c r="B6" s="49">
        <f>B5+0.05</f>
        <v>1.05</v>
      </c>
      <c r="C6" s="65">
        <v>1</v>
      </c>
      <c r="D6" s="48">
        <f>80+6*A6</f>
        <v>86</v>
      </c>
      <c r="E6" s="48">
        <f>$E$2+A6*$E$2+EXP(A6/4)</f>
        <v>11.284025416687742</v>
      </c>
      <c r="F6" s="48">
        <f>E6*60</f>
        <v>677.04152500126452</v>
      </c>
      <c r="G6" s="48">
        <f>100-EXP(A6/6)-A6</f>
        <v>97.818639587134356</v>
      </c>
      <c r="H6" s="48">
        <f>A6*(A6/2)+A6</f>
        <v>1.5</v>
      </c>
      <c r="I6" s="1" t="s">
        <v>4</v>
      </c>
      <c r="J6" s="1">
        <v>10</v>
      </c>
      <c r="L6" s="1">
        <v>1</v>
      </c>
      <c r="M6" s="77">
        <f>200*L8+L8*L8*L8*L8/7</f>
        <v>611.57142857142856</v>
      </c>
      <c r="N6" s="74">
        <f>300*L6+L6*L7*L8</f>
        <v>306</v>
      </c>
      <c r="O6" s="80">
        <f>250*L6+L6*L6*L6</f>
        <v>251</v>
      </c>
      <c r="P6" s="76">
        <f t="shared" ref="P6:P15" si="0">100 + L7*L7*L7*L7 / 4</f>
        <v>104</v>
      </c>
      <c r="Q6" s="48">
        <f t="shared" ref="Q6:Q25" si="1">200*L7 + L6*L6*(L6/2)</f>
        <v>400.5</v>
      </c>
      <c r="R6" s="64">
        <f>V6*G6/100</f>
        <v>3.9127455834853744</v>
      </c>
      <c r="S6" s="1">
        <v>1</v>
      </c>
      <c r="T6" s="77">
        <v>4</v>
      </c>
      <c r="U6" s="74">
        <v>4</v>
      </c>
      <c r="V6" s="78">
        <v>4</v>
      </c>
      <c r="W6" s="76">
        <v>5</v>
      </c>
      <c r="X6" s="48">
        <v>11</v>
      </c>
    </row>
    <row r="7" spans="1:24" x14ac:dyDescent="0.25">
      <c r="A7" s="49">
        <v>2</v>
      </c>
      <c r="B7" s="49">
        <f>B6+0.05</f>
        <v>1.1000000000000001</v>
      </c>
      <c r="C7" s="65">
        <v>1</v>
      </c>
      <c r="D7" s="48">
        <f t="shared" ref="D7:D25" si="2">80+6*A7</f>
        <v>92</v>
      </c>
      <c r="E7" s="48">
        <f t="shared" ref="E7:E25" si="3">$E$2+A7*$E$2+EXP(A7/4)</f>
        <v>16.648721270700129</v>
      </c>
      <c r="F7" s="48">
        <f t="shared" ref="F7:F25" si="4">E7*60</f>
        <v>998.92327624200777</v>
      </c>
      <c r="G7" s="48">
        <f t="shared" ref="G7:G25" si="5">100-EXP(A7/6)-A7</f>
        <v>96.604387574913915</v>
      </c>
      <c r="H7" s="48">
        <f t="shared" ref="H7:H15" si="6">A7*(A7/2)+A7</f>
        <v>4</v>
      </c>
      <c r="I7" s="1" t="s">
        <v>5</v>
      </c>
      <c r="J7" s="1">
        <v>0</v>
      </c>
      <c r="L7" s="1">
        <v>2</v>
      </c>
      <c r="M7" s="77">
        <f t="shared" ref="M7:M15" si="7">200*L9+L9*L9*L9*L9/7</f>
        <v>836.57142857142856</v>
      </c>
      <c r="N7" s="74">
        <f t="shared" ref="N7:N25" si="8">300*L7+L7*L8*L9</f>
        <v>624</v>
      </c>
      <c r="O7" s="80">
        <f t="shared" ref="O7:O25" si="9">250*L7+L7*L7*L7</f>
        <v>508</v>
      </c>
      <c r="P7" s="76">
        <f t="shared" si="0"/>
        <v>120.25</v>
      </c>
      <c r="Q7" s="48">
        <f t="shared" si="1"/>
        <v>604</v>
      </c>
      <c r="R7" s="64">
        <f t="shared" ref="R7:R25" si="10">V7*G7/100</f>
        <v>6.7623071302439737</v>
      </c>
      <c r="S7" s="1">
        <v>2</v>
      </c>
      <c r="T7" s="77">
        <v>8</v>
      </c>
      <c r="U7" s="74">
        <v>7</v>
      </c>
      <c r="V7" s="78">
        <v>7</v>
      </c>
      <c r="W7" s="76">
        <v>7</v>
      </c>
      <c r="X7" s="48">
        <v>16</v>
      </c>
    </row>
    <row r="8" spans="1:24" x14ac:dyDescent="0.25">
      <c r="A8" s="49">
        <v>3</v>
      </c>
      <c r="B8" s="49">
        <f t="shared" ref="B8:B15" si="11">B7+0.05</f>
        <v>1.1500000000000001</v>
      </c>
      <c r="C8" s="65">
        <v>2</v>
      </c>
      <c r="D8" s="48">
        <f t="shared" si="2"/>
        <v>98</v>
      </c>
      <c r="E8" s="48">
        <f t="shared" si="3"/>
        <v>22.117000016612675</v>
      </c>
      <c r="F8" s="48">
        <f t="shared" si="4"/>
        <v>1327.0200009967605</v>
      </c>
      <c r="G8" s="48">
        <f t="shared" si="5"/>
        <v>95.351278729299878</v>
      </c>
      <c r="H8" s="48">
        <f t="shared" si="6"/>
        <v>7.5</v>
      </c>
      <c r="I8" s="1" t="s">
        <v>44</v>
      </c>
      <c r="J8" s="1">
        <v>20</v>
      </c>
      <c r="L8" s="1">
        <v>3</v>
      </c>
      <c r="M8" s="77">
        <f t="shared" si="7"/>
        <v>1089.2857142857142</v>
      </c>
      <c r="N8" s="74">
        <f t="shared" si="8"/>
        <v>960</v>
      </c>
      <c r="O8" s="80">
        <f t="shared" si="9"/>
        <v>777</v>
      </c>
      <c r="P8" s="76">
        <f t="shared" si="0"/>
        <v>164</v>
      </c>
      <c r="Q8" s="48">
        <f t="shared" si="1"/>
        <v>813.5</v>
      </c>
      <c r="R8" s="64">
        <f t="shared" si="10"/>
        <v>9.5351278729299889</v>
      </c>
      <c r="S8" s="1">
        <v>3</v>
      </c>
      <c r="T8" s="77">
        <v>12</v>
      </c>
      <c r="U8" s="74">
        <v>10</v>
      </c>
      <c r="V8" s="78">
        <v>10</v>
      </c>
      <c r="W8" s="76">
        <v>9</v>
      </c>
      <c r="X8" s="48">
        <v>21</v>
      </c>
    </row>
    <row r="9" spans="1:24" x14ac:dyDescent="0.25">
      <c r="A9" s="49">
        <v>4</v>
      </c>
      <c r="B9" s="49">
        <f t="shared" si="11"/>
        <v>1.2000000000000002</v>
      </c>
      <c r="C9" s="65">
        <v>2</v>
      </c>
      <c r="D9" s="48">
        <f t="shared" si="2"/>
        <v>104</v>
      </c>
      <c r="E9" s="48">
        <f t="shared" si="3"/>
        <v>27.718281828459045</v>
      </c>
      <c r="F9" s="48">
        <f t="shared" si="4"/>
        <v>1663.0969097075426</v>
      </c>
      <c r="G9" s="48">
        <f t="shared" si="5"/>
        <v>94.052265958945327</v>
      </c>
      <c r="H9" s="48">
        <f t="shared" si="6"/>
        <v>12</v>
      </c>
      <c r="I9" s="1" t="s">
        <v>38</v>
      </c>
      <c r="J9" s="1">
        <v>10</v>
      </c>
      <c r="L9" s="1">
        <v>4</v>
      </c>
      <c r="M9" s="77">
        <f t="shared" si="7"/>
        <v>1385.1428571428571</v>
      </c>
      <c r="N9" s="74">
        <f t="shared" si="8"/>
        <v>1320</v>
      </c>
      <c r="O9" s="80">
        <f t="shared" si="9"/>
        <v>1064</v>
      </c>
      <c r="P9" s="76">
        <f t="shared" si="0"/>
        <v>256.25</v>
      </c>
      <c r="Q9" s="48">
        <f t="shared" si="1"/>
        <v>1032</v>
      </c>
      <c r="R9" s="64">
        <f t="shared" si="10"/>
        <v>12.226794574662893</v>
      </c>
      <c r="S9" s="1">
        <v>4</v>
      </c>
      <c r="T9" s="77">
        <v>16</v>
      </c>
      <c r="U9" s="74">
        <v>13</v>
      </c>
      <c r="V9" s="78">
        <v>13</v>
      </c>
      <c r="W9" s="76">
        <v>11</v>
      </c>
      <c r="X9" s="48">
        <v>26</v>
      </c>
    </row>
    <row r="10" spans="1:24" x14ac:dyDescent="0.25">
      <c r="A10" s="49">
        <v>5</v>
      </c>
      <c r="B10" s="49">
        <f t="shared" si="11"/>
        <v>1.2500000000000002</v>
      </c>
      <c r="C10" s="65">
        <v>3</v>
      </c>
      <c r="D10" s="48">
        <f t="shared" si="2"/>
        <v>110</v>
      </c>
      <c r="E10" s="48">
        <f t="shared" si="3"/>
        <v>33.490342957461841</v>
      </c>
      <c r="F10" s="48">
        <f t="shared" si="4"/>
        <v>2009.4205774477105</v>
      </c>
      <c r="G10" s="48">
        <f t="shared" si="5"/>
        <v>92.699024109107171</v>
      </c>
      <c r="H10" s="48">
        <f t="shared" si="6"/>
        <v>17.5</v>
      </c>
      <c r="I10" s="1" t="s">
        <v>39</v>
      </c>
      <c r="J10" s="1">
        <v>0</v>
      </c>
      <c r="L10" s="1">
        <v>5</v>
      </c>
      <c r="M10" s="77">
        <f t="shared" si="7"/>
        <v>1743</v>
      </c>
      <c r="N10" s="74">
        <f t="shared" si="8"/>
        <v>1710</v>
      </c>
      <c r="O10" s="80">
        <f t="shared" si="9"/>
        <v>1375</v>
      </c>
      <c r="P10" s="76">
        <f t="shared" si="0"/>
        <v>424</v>
      </c>
      <c r="Q10" s="48">
        <f t="shared" si="1"/>
        <v>1262.5</v>
      </c>
      <c r="R10" s="64">
        <f t="shared" si="10"/>
        <v>14.831843857457148</v>
      </c>
      <c r="S10" s="1">
        <v>5</v>
      </c>
      <c r="T10" s="77">
        <v>20</v>
      </c>
      <c r="U10" s="74">
        <v>16</v>
      </c>
      <c r="V10" s="78">
        <v>16</v>
      </c>
      <c r="W10" s="76">
        <v>13</v>
      </c>
      <c r="X10" s="48">
        <v>31</v>
      </c>
    </row>
    <row r="11" spans="1:24" x14ac:dyDescent="0.25">
      <c r="A11" s="49">
        <v>6</v>
      </c>
      <c r="B11" s="49">
        <f t="shared" si="11"/>
        <v>1.3000000000000003</v>
      </c>
      <c r="C11" s="65">
        <v>3</v>
      </c>
      <c r="D11" s="48">
        <f t="shared" si="2"/>
        <v>116</v>
      </c>
      <c r="E11" s="48">
        <f t="shared" si="3"/>
        <v>39.481689070338064</v>
      </c>
      <c r="F11" s="48">
        <f t="shared" si="4"/>
        <v>2368.901344220284</v>
      </c>
      <c r="G11" s="48">
        <f t="shared" si="5"/>
        <v>91.281718171540959</v>
      </c>
      <c r="H11" s="48">
        <f t="shared" si="6"/>
        <v>24</v>
      </c>
      <c r="I11" s="1"/>
      <c r="J11" s="1">
        <f>J5+J6*2+J7*3+J8+J9+J10*2</f>
        <v>67</v>
      </c>
      <c r="L11" s="1">
        <v>6</v>
      </c>
      <c r="M11" s="77">
        <f t="shared" si="7"/>
        <v>2185.1428571428569</v>
      </c>
      <c r="N11" s="74">
        <f t="shared" si="8"/>
        <v>2136</v>
      </c>
      <c r="O11" s="80">
        <f t="shared" si="9"/>
        <v>1716</v>
      </c>
      <c r="P11" s="76">
        <f t="shared" si="0"/>
        <v>700.25</v>
      </c>
      <c r="Q11" s="48">
        <f t="shared" si="1"/>
        <v>1508</v>
      </c>
      <c r="R11" s="64">
        <f t="shared" si="10"/>
        <v>17.343526452592783</v>
      </c>
      <c r="S11" s="1">
        <v>6</v>
      </c>
      <c r="T11" s="77">
        <v>24</v>
      </c>
      <c r="U11" s="74">
        <v>19</v>
      </c>
      <c r="V11" s="78">
        <v>19</v>
      </c>
      <c r="W11" s="76">
        <v>15</v>
      </c>
      <c r="X11" s="48">
        <v>36</v>
      </c>
    </row>
    <row r="12" spans="1:24" x14ac:dyDescent="0.25">
      <c r="A12" s="49">
        <v>7</v>
      </c>
      <c r="B12" s="49">
        <f t="shared" si="11"/>
        <v>1.3500000000000003</v>
      </c>
      <c r="C12" s="65">
        <v>4</v>
      </c>
      <c r="D12" s="48">
        <f t="shared" si="2"/>
        <v>122</v>
      </c>
      <c r="E12" s="48">
        <f t="shared" si="3"/>
        <v>45.754602676005732</v>
      </c>
      <c r="F12" s="48">
        <f t="shared" si="4"/>
        <v>2745.2761605603437</v>
      </c>
      <c r="G12" s="48">
        <f t="shared" si="5"/>
        <v>89.78872945684644</v>
      </c>
      <c r="H12" s="48">
        <f t="shared" si="6"/>
        <v>31.5</v>
      </c>
      <c r="L12" s="1">
        <v>7</v>
      </c>
      <c r="M12" s="77">
        <f t="shared" si="7"/>
        <v>2737.2857142857142</v>
      </c>
      <c r="N12" s="74">
        <f t="shared" si="8"/>
        <v>2604</v>
      </c>
      <c r="O12" s="80">
        <f t="shared" si="9"/>
        <v>2093</v>
      </c>
      <c r="P12" s="76">
        <f t="shared" si="0"/>
        <v>1124</v>
      </c>
      <c r="Q12" s="48">
        <f t="shared" si="1"/>
        <v>1771.5</v>
      </c>
      <c r="R12" s="64">
        <f t="shared" si="10"/>
        <v>19.753520480506218</v>
      </c>
      <c r="S12" s="1">
        <v>7</v>
      </c>
      <c r="T12" s="77">
        <v>28</v>
      </c>
      <c r="U12" s="74">
        <v>22</v>
      </c>
      <c r="V12" s="78">
        <v>22</v>
      </c>
      <c r="W12" s="76">
        <v>17</v>
      </c>
      <c r="X12" s="48">
        <v>41</v>
      </c>
    </row>
    <row r="13" spans="1:24" x14ac:dyDescent="0.25">
      <c r="A13" s="49">
        <v>8</v>
      </c>
      <c r="B13" s="49">
        <f t="shared" si="11"/>
        <v>1.4000000000000004</v>
      </c>
      <c r="C13" s="65">
        <v>4</v>
      </c>
      <c r="D13" s="48">
        <f t="shared" si="2"/>
        <v>128</v>
      </c>
      <c r="E13" s="48">
        <f t="shared" si="3"/>
        <v>52.389056098930652</v>
      </c>
      <c r="F13" s="48">
        <f t="shared" si="4"/>
        <v>3143.3433659358393</v>
      </c>
      <c r="G13" s="48">
        <f t="shared" si="5"/>
        <v>88.206332105316818</v>
      </c>
      <c r="H13" s="48">
        <f t="shared" si="6"/>
        <v>40</v>
      </c>
      <c r="I13" s="1"/>
      <c r="J13" s="1"/>
      <c r="L13" s="1">
        <v>8</v>
      </c>
      <c r="M13" s="77">
        <f t="shared" si="7"/>
        <v>3428.5714285714284</v>
      </c>
      <c r="N13" s="74">
        <f t="shared" si="8"/>
        <v>3120</v>
      </c>
      <c r="O13" s="80">
        <f t="shared" si="9"/>
        <v>2512</v>
      </c>
      <c r="P13" s="76">
        <f t="shared" si="0"/>
        <v>1740.25</v>
      </c>
      <c r="Q13" s="48">
        <f t="shared" si="1"/>
        <v>2056</v>
      </c>
      <c r="R13" s="64">
        <f t="shared" si="10"/>
        <v>22.051583026329205</v>
      </c>
      <c r="S13" s="1">
        <v>8</v>
      </c>
      <c r="T13" s="77">
        <v>32</v>
      </c>
      <c r="U13" s="74">
        <v>25</v>
      </c>
      <c r="V13" s="78">
        <v>25</v>
      </c>
      <c r="W13" s="76">
        <v>19</v>
      </c>
      <c r="X13" s="48">
        <v>46</v>
      </c>
    </row>
    <row r="14" spans="1:24" x14ac:dyDescent="0.25">
      <c r="A14" s="49">
        <v>9</v>
      </c>
      <c r="B14" s="49">
        <f t="shared" si="11"/>
        <v>1.4500000000000004</v>
      </c>
      <c r="C14" s="65">
        <v>5</v>
      </c>
      <c r="D14" s="48">
        <f t="shared" si="2"/>
        <v>134</v>
      </c>
      <c r="E14" s="48">
        <f t="shared" si="3"/>
        <v>59.487735836358524</v>
      </c>
      <c r="F14" s="48">
        <f t="shared" si="4"/>
        <v>3569.2641501815115</v>
      </c>
      <c r="G14" s="48">
        <f t="shared" si="5"/>
        <v>86.518310929661936</v>
      </c>
      <c r="H14" s="48">
        <f t="shared" si="6"/>
        <v>49.5</v>
      </c>
      <c r="I14" s="1"/>
      <c r="J14" s="1"/>
      <c r="L14" s="1">
        <v>9</v>
      </c>
      <c r="M14" s="77">
        <f t="shared" si="7"/>
        <v>4291.5714285714284</v>
      </c>
      <c r="N14" s="74">
        <f t="shared" si="8"/>
        <v>3690</v>
      </c>
      <c r="O14" s="80">
        <f t="shared" si="9"/>
        <v>2979</v>
      </c>
      <c r="P14" s="76">
        <f t="shared" si="0"/>
        <v>2600</v>
      </c>
      <c r="Q14" s="48">
        <f t="shared" si="1"/>
        <v>2364.5</v>
      </c>
      <c r="R14" s="64">
        <f t="shared" si="10"/>
        <v>24.22512706030534</v>
      </c>
      <c r="S14" s="1">
        <v>9</v>
      </c>
      <c r="T14" s="77">
        <v>36</v>
      </c>
      <c r="U14" s="74">
        <v>28</v>
      </c>
      <c r="V14" s="78">
        <v>28</v>
      </c>
      <c r="W14" s="76">
        <v>21</v>
      </c>
      <c r="X14" s="48">
        <v>51</v>
      </c>
    </row>
    <row r="15" spans="1:24" x14ac:dyDescent="0.25">
      <c r="A15" s="49">
        <v>10</v>
      </c>
      <c r="B15" s="49">
        <f t="shared" si="11"/>
        <v>1.5000000000000004</v>
      </c>
      <c r="C15" s="65">
        <v>6</v>
      </c>
      <c r="D15" s="48">
        <f t="shared" si="2"/>
        <v>140</v>
      </c>
      <c r="E15" s="48">
        <f t="shared" si="3"/>
        <v>67.182493960703468</v>
      </c>
      <c r="F15" s="48">
        <f t="shared" si="4"/>
        <v>4030.949637642208</v>
      </c>
      <c r="G15" s="48">
        <f t="shared" si="5"/>
        <v>84.705509949529969</v>
      </c>
      <c r="H15" s="48">
        <f t="shared" si="6"/>
        <v>60</v>
      </c>
      <c r="I15" s="1"/>
      <c r="J15" s="1"/>
      <c r="L15" s="1">
        <v>10</v>
      </c>
      <c r="M15" s="77">
        <f t="shared" si="7"/>
        <v>5362.2857142857138</v>
      </c>
      <c r="N15" s="74">
        <f t="shared" si="8"/>
        <v>4320</v>
      </c>
      <c r="O15" s="80">
        <f t="shared" si="9"/>
        <v>3500</v>
      </c>
      <c r="P15" s="76">
        <f t="shared" si="0"/>
        <v>3760.25</v>
      </c>
      <c r="Q15" s="48">
        <f t="shared" si="1"/>
        <v>2700</v>
      </c>
      <c r="R15" s="64">
        <f t="shared" si="10"/>
        <v>26.258708084354289</v>
      </c>
      <c r="S15" s="1">
        <v>10</v>
      </c>
      <c r="T15" s="77">
        <v>40</v>
      </c>
      <c r="U15" s="74">
        <v>31</v>
      </c>
      <c r="V15" s="78">
        <v>31</v>
      </c>
      <c r="W15" s="76">
        <v>23</v>
      </c>
      <c r="X15" s="48">
        <v>56</v>
      </c>
    </row>
    <row r="16" spans="1:24" x14ac:dyDescent="0.25">
      <c r="A16" s="49">
        <v>11</v>
      </c>
      <c r="B16" s="49">
        <f>B15+0.15</f>
        <v>1.6500000000000004</v>
      </c>
      <c r="C16" s="68"/>
      <c r="D16" s="48">
        <f t="shared" si="2"/>
        <v>146</v>
      </c>
      <c r="E16" s="48">
        <f t="shared" si="3"/>
        <v>75.642631884188177</v>
      </c>
      <c r="F16" s="48">
        <f t="shared" si="4"/>
        <v>4538.5579130512906</v>
      </c>
      <c r="G16" s="48">
        <f t="shared" si="5"/>
        <v>82.745299048063671</v>
      </c>
      <c r="I16" s="1"/>
      <c r="J16" s="1"/>
      <c r="L16" s="1">
        <v>11</v>
      </c>
      <c r="M16" s="1"/>
      <c r="N16" s="74">
        <f t="shared" si="8"/>
        <v>5016</v>
      </c>
      <c r="O16" s="80">
        <f t="shared" si="9"/>
        <v>4081</v>
      </c>
      <c r="P16" s="1"/>
      <c r="Q16" s="48">
        <f t="shared" si="1"/>
        <v>3065.5</v>
      </c>
      <c r="R16" s="64">
        <f t="shared" si="10"/>
        <v>28.133401676341649</v>
      </c>
      <c r="S16" s="1">
        <v>11</v>
      </c>
      <c r="T16" s="1"/>
      <c r="U16" s="74">
        <v>34</v>
      </c>
      <c r="V16" s="78">
        <v>34</v>
      </c>
      <c r="W16" s="1"/>
      <c r="X16" s="48">
        <v>61</v>
      </c>
    </row>
    <row r="17" spans="1:24" x14ac:dyDescent="0.25">
      <c r="A17" s="49">
        <v>12</v>
      </c>
      <c r="B17" s="49">
        <f>B16+0.15</f>
        <v>1.8000000000000003</v>
      </c>
      <c r="C17" s="68"/>
      <c r="D17" s="48">
        <f t="shared" si="2"/>
        <v>152</v>
      </c>
      <c r="E17" s="48">
        <f t="shared" si="3"/>
        <v>85.085536923187675</v>
      </c>
      <c r="F17" s="48">
        <f t="shared" si="4"/>
        <v>5105.1322153912606</v>
      </c>
      <c r="G17" s="48">
        <f t="shared" si="5"/>
        <v>80.610943901069348</v>
      </c>
      <c r="I17" s="1"/>
      <c r="J17" s="1"/>
      <c r="L17" s="1">
        <v>12</v>
      </c>
      <c r="M17" s="1"/>
      <c r="N17" s="74">
        <f t="shared" si="8"/>
        <v>5784</v>
      </c>
      <c r="O17" s="80">
        <f t="shared" si="9"/>
        <v>4728</v>
      </c>
      <c r="P17" s="1"/>
      <c r="Q17" s="48">
        <f t="shared" si="1"/>
        <v>3464</v>
      </c>
      <c r="R17" s="64">
        <f t="shared" si="10"/>
        <v>29.826049243395659</v>
      </c>
      <c r="S17" s="1">
        <v>12</v>
      </c>
      <c r="T17" s="1"/>
      <c r="U17" s="74">
        <v>37</v>
      </c>
      <c r="V17" s="78">
        <v>37</v>
      </c>
      <c r="W17" s="1"/>
      <c r="X17" s="48">
        <v>66</v>
      </c>
    </row>
    <row r="18" spans="1:24" x14ac:dyDescent="0.25">
      <c r="A18" s="49">
        <v>13</v>
      </c>
      <c r="B18" s="49">
        <f t="shared" ref="B18:B25" si="12">B17+0.15</f>
        <v>1.9500000000000002</v>
      </c>
      <c r="C18" s="68"/>
      <c r="D18" s="48">
        <f t="shared" si="2"/>
        <v>158</v>
      </c>
      <c r="E18" s="48">
        <f t="shared" si="3"/>
        <v>95.790339917193066</v>
      </c>
      <c r="F18" s="48">
        <f t="shared" si="4"/>
        <v>5747.4203950315841</v>
      </c>
      <c r="G18" s="48">
        <f t="shared" si="5"/>
        <v>78.270861636279875</v>
      </c>
      <c r="I18" s="1"/>
      <c r="J18" s="1"/>
      <c r="L18" s="1">
        <v>13</v>
      </c>
      <c r="M18" s="1"/>
      <c r="N18" s="74">
        <f t="shared" si="8"/>
        <v>6630</v>
      </c>
      <c r="O18" s="80">
        <f t="shared" si="9"/>
        <v>5447</v>
      </c>
      <c r="P18" s="1"/>
      <c r="Q18" s="48">
        <f t="shared" si="1"/>
        <v>3898.5</v>
      </c>
      <c r="R18" s="64">
        <f t="shared" si="10"/>
        <v>31.308344654511949</v>
      </c>
      <c r="S18" s="1">
        <v>13</v>
      </c>
      <c r="T18" s="1"/>
      <c r="U18" s="74">
        <v>40</v>
      </c>
      <c r="V18" s="78">
        <v>40</v>
      </c>
      <c r="W18" s="1"/>
      <c r="X18" s="48">
        <v>71</v>
      </c>
    </row>
    <row r="19" spans="1:24" x14ac:dyDescent="0.25">
      <c r="A19" s="49">
        <v>14</v>
      </c>
      <c r="B19" s="49">
        <f t="shared" si="12"/>
        <v>2.1</v>
      </c>
      <c r="C19" s="68"/>
      <c r="D19" s="48">
        <f t="shared" si="2"/>
        <v>164</v>
      </c>
      <c r="E19" s="48">
        <f t="shared" si="3"/>
        <v>108.11545195869232</v>
      </c>
      <c r="F19" s="48">
        <f t="shared" si="4"/>
        <v>6486.927117521539</v>
      </c>
      <c r="G19" s="48">
        <f t="shared" si="5"/>
        <v>75.687741498674228</v>
      </c>
      <c r="I19" s="1"/>
      <c r="J19" s="1"/>
      <c r="L19" s="1">
        <v>14</v>
      </c>
      <c r="M19" s="1"/>
      <c r="N19" s="74">
        <f t="shared" si="8"/>
        <v>7560</v>
      </c>
      <c r="O19" s="80">
        <f t="shared" si="9"/>
        <v>6244</v>
      </c>
      <c r="P19" s="1"/>
      <c r="Q19" s="48">
        <f t="shared" si="1"/>
        <v>4372</v>
      </c>
      <c r="R19" s="64">
        <f t="shared" si="10"/>
        <v>32.545728844429917</v>
      </c>
      <c r="S19" s="1">
        <v>14</v>
      </c>
      <c r="T19" s="1"/>
      <c r="U19" s="74">
        <v>43</v>
      </c>
      <c r="V19" s="78">
        <v>43</v>
      </c>
      <c r="W19" s="1"/>
      <c r="X19" s="48">
        <v>76</v>
      </c>
    </row>
    <row r="20" spans="1:24" x14ac:dyDescent="0.25">
      <c r="A20" s="49">
        <v>15</v>
      </c>
      <c r="B20" s="49">
        <f t="shared" si="12"/>
        <v>2.25</v>
      </c>
      <c r="C20" s="68"/>
      <c r="D20" s="48">
        <f t="shared" si="2"/>
        <v>170</v>
      </c>
      <c r="E20" s="48">
        <f t="shared" si="3"/>
        <v>122.52108200006279</v>
      </c>
      <c r="F20" s="48">
        <f t="shared" si="4"/>
        <v>7351.2649200037677</v>
      </c>
      <c r="G20" s="48">
        <f t="shared" si="5"/>
        <v>72.817506039296532</v>
      </c>
      <c r="I20" s="1"/>
      <c r="J20" s="1"/>
      <c r="L20" s="1">
        <v>15</v>
      </c>
      <c r="M20" s="1"/>
      <c r="N20" s="74">
        <f t="shared" si="8"/>
        <v>8580</v>
      </c>
      <c r="O20" s="80">
        <f t="shared" si="9"/>
        <v>7125</v>
      </c>
      <c r="P20" s="1"/>
      <c r="Q20" s="48">
        <f t="shared" si="1"/>
        <v>4887.5</v>
      </c>
      <c r="R20" s="64">
        <f t="shared" si="10"/>
        <v>33.496052778076404</v>
      </c>
      <c r="S20" s="1">
        <v>15</v>
      </c>
      <c r="T20" s="1"/>
      <c r="U20" s="74">
        <v>46</v>
      </c>
      <c r="V20" s="78">
        <v>46</v>
      </c>
      <c r="W20" s="1"/>
      <c r="X20" s="48">
        <v>81</v>
      </c>
    </row>
    <row r="21" spans="1:24" x14ac:dyDescent="0.25">
      <c r="A21" s="49">
        <v>16</v>
      </c>
      <c r="B21" s="49">
        <f t="shared" si="12"/>
        <v>2.4</v>
      </c>
      <c r="C21" s="68"/>
      <c r="D21" s="48">
        <f t="shared" si="2"/>
        <v>176</v>
      </c>
      <c r="E21" s="48">
        <f t="shared" si="3"/>
        <v>139.59815003314424</v>
      </c>
      <c r="F21" s="48">
        <f t="shared" si="4"/>
        <v>8375.8890019886549</v>
      </c>
      <c r="G21" s="48">
        <f t="shared" si="5"/>
        <v>69.608083904850105</v>
      </c>
      <c r="L21" s="1">
        <v>16</v>
      </c>
      <c r="M21" s="1"/>
      <c r="N21" s="74">
        <f t="shared" si="8"/>
        <v>9696</v>
      </c>
      <c r="O21" s="80">
        <f t="shared" si="9"/>
        <v>8096</v>
      </c>
      <c r="P21" s="1"/>
      <c r="Q21" s="48">
        <f t="shared" si="1"/>
        <v>5448</v>
      </c>
      <c r="R21" s="64">
        <f t="shared" si="10"/>
        <v>34.107961113376547</v>
      </c>
      <c r="S21" s="1">
        <v>16</v>
      </c>
      <c r="T21" s="1"/>
      <c r="U21" s="74">
        <v>49</v>
      </c>
      <c r="V21" s="78">
        <v>49</v>
      </c>
      <c r="W21" s="1"/>
      <c r="X21" s="48">
        <v>86</v>
      </c>
    </row>
    <row r="22" spans="1:24" x14ac:dyDescent="0.25">
      <c r="A22" s="49">
        <v>17</v>
      </c>
      <c r="B22" s="49">
        <f t="shared" si="12"/>
        <v>2.5499999999999998</v>
      </c>
      <c r="C22" s="68"/>
      <c r="D22" s="48">
        <f t="shared" si="2"/>
        <v>182</v>
      </c>
      <c r="E22" s="48">
        <f t="shared" si="3"/>
        <v>160.10541234668784</v>
      </c>
      <c r="F22" s="48">
        <f t="shared" si="4"/>
        <v>9606.3247408012703</v>
      </c>
      <c r="G22" s="48">
        <f t="shared" si="5"/>
        <v>65.997960059905978</v>
      </c>
      <c r="L22" s="1">
        <v>17</v>
      </c>
      <c r="M22" s="1"/>
      <c r="N22" s="74">
        <f t="shared" si="8"/>
        <v>10914</v>
      </c>
      <c r="O22" s="80">
        <f t="shared" si="9"/>
        <v>9163</v>
      </c>
      <c r="P22" s="1"/>
      <c r="Q22" s="48">
        <f t="shared" si="1"/>
        <v>6056.5</v>
      </c>
      <c r="R22" s="64">
        <f t="shared" si="10"/>
        <v>34.318939231151106</v>
      </c>
      <c r="S22" s="1">
        <v>17</v>
      </c>
      <c r="T22" s="1"/>
      <c r="U22" s="74">
        <v>52</v>
      </c>
      <c r="V22" s="78">
        <v>52</v>
      </c>
      <c r="W22" s="1"/>
      <c r="X22" s="48">
        <v>91</v>
      </c>
    </row>
    <row r="23" spans="1:24" x14ac:dyDescent="0.25">
      <c r="A23" s="49">
        <v>18</v>
      </c>
      <c r="B23" s="49">
        <f t="shared" si="12"/>
        <v>2.6999999999999997</v>
      </c>
      <c r="C23" s="68"/>
      <c r="D23" s="48">
        <f t="shared" si="2"/>
        <v>188</v>
      </c>
      <c r="E23" s="48">
        <f t="shared" si="3"/>
        <v>185.01713130052181</v>
      </c>
      <c r="F23" s="48">
        <f t="shared" si="4"/>
        <v>11101.027878031309</v>
      </c>
      <c r="G23" s="48">
        <f t="shared" si="5"/>
        <v>61.914463076812325</v>
      </c>
      <c r="L23" s="1">
        <v>18</v>
      </c>
      <c r="M23" s="1"/>
      <c r="N23" s="74">
        <f t="shared" si="8"/>
        <v>12240</v>
      </c>
      <c r="O23" s="80">
        <f t="shared" si="9"/>
        <v>10332</v>
      </c>
      <c r="P23" s="1"/>
      <c r="Q23" s="48">
        <f t="shared" si="1"/>
        <v>6716</v>
      </c>
      <c r="R23" s="64">
        <f t="shared" si="10"/>
        <v>34.052954692246779</v>
      </c>
      <c r="S23" s="1">
        <v>18</v>
      </c>
      <c r="T23" s="1"/>
      <c r="U23" s="74">
        <v>55</v>
      </c>
      <c r="V23" s="78">
        <v>55</v>
      </c>
      <c r="W23" s="1"/>
      <c r="X23" s="48">
        <v>96</v>
      </c>
    </row>
    <row r="24" spans="1:24" x14ac:dyDescent="0.25">
      <c r="A24" s="49">
        <v>19</v>
      </c>
      <c r="B24" s="49">
        <f t="shared" si="12"/>
        <v>2.8499999999999996</v>
      </c>
      <c r="C24" s="68"/>
      <c r="D24" s="48">
        <f t="shared" si="2"/>
        <v>194</v>
      </c>
      <c r="E24" s="48">
        <f t="shared" si="3"/>
        <v>215.58428452718766</v>
      </c>
      <c r="F24" s="48">
        <f t="shared" si="4"/>
        <v>12935.05707163126</v>
      </c>
      <c r="G24" s="48">
        <f t="shared" si="5"/>
        <v>57.271741807794839</v>
      </c>
      <c r="L24" s="1">
        <v>19</v>
      </c>
      <c r="M24" s="1"/>
      <c r="N24" s="74">
        <f t="shared" si="8"/>
        <v>13680</v>
      </c>
      <c r="O24" s="80">
        <f t="shared" si="9"/>
        <v>11609</v>
      </c>
      <c r="P24" s="1"/>
      <c r="Q24" s="48">
        <f t="shared" si="1"/>
        <v>7429.5</v>
      </c>
      <c r="R24" s="64">
        <f t="shared" si="10"/>
        <v>33.217610248521005</v>
      </c>
      <c r="S24" s="1">
        <v>19</v>
      </c>
      <c r="T24" s="1"/>
      <c r="U24" s="74">
        <v>58</v>
      </c>
      <c r="V24" s="78">
        <v>58</v>
      </c>
      <c r="W24" s="1"/>
      <c r="X24" s="48">
        <v>101</v>
      </c>
    </row>
    <row r="25" spans="1:24" x14ac:dyDescent="0.25">
      <c r="A25" s="49">
        <v>20</v>
      </c>
      <c r="B25" s="49">
        <f t="shared" si="12"/>
        <v>2.9999999999999996</v>
      </c>
      <c r="C25" s="68"/>
      <c r="D25" s="48">
        <f t="shared" si="2"/>
        <v>200</v>
      </c>
      <c r="E25" s="48">
        <f t="shared" si="3"/>
        <v>253.4131591025766</v>
      </c>
      <c r="F25" s="48">
        <f t="shared" si="4"/>
        <v>15204.789546154596</v>
      </c>
      <c r="G25" s="48">
        <f t="shared" si="5"/>
        <v>51.968375105473854</v>
      </c>
      <c r="L25" s="1">
        <v>20</v>
      </c>
      <c r="M25" s="1"/>
      <c r="N25" s="74">
        <f t="shared" si="8"/>
        <v>15240</v>
      </c>
      <c r="O25" s="80">
        <f t="shared" si="9"/>
        <v>13000</v>
      </c>
      <c r="P25" s="1"/>
      <c r="Q25" s="48">
        <f t="shared" si="1"/>
        <v>8200</v>
      </c>
      <c r="R25" s="64">
        <f t="shared" si="10"/>
        <v>31.700708814339052</v>
      </c>
      <c r="S25" s="1">
        <v>20</v>
      </c>
      <c r="T25" s="1"/>
      <c r="U25" s="74">
        <v>61</v>
      </c>
      <c r="V25" s="78">
        <v>61</v>
      </c>
      <c r="W25" s="1"/>
      <c r="X25" s="48">
        <v>106</v>
      </c>
    </row>
    <row r="26" spans="1:24" x14ac:dyDescent="0.25">
      <c r="L26" s="1">
        <v>21</v>
      </c>
      <c r="O26" s="73"/>
      <c r="S26" s="1">
        <v>21</v>
      </c>
      <c r="V26" s="73"/>
    </row>
    <row r="27" spans="1:24" x14ac:dyDescent="0.25">
      <c r="L27" s="1">
        <v>22</v>
      </c>
      <c r="S27" s="1">
        <v>22</v>
      </c>
    </row>
    <row r="28" spans="1:24" x14ac:dyDescent="0.25">
      <c r="R28" s="6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Equi V.1</vt:lpstr>
      <vt:lpstr>Equi V.2</vt:lpstr>
      <vt:lpstr>Param V.1</vt:lpstr>
      <vt:lpstr>Param V.2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Dubois</dc:creator>
  <cp:lastModifiedBy>Gabriel Dubois</cp:lastModifiedBy>
  <dcterms:created xsi:type="dcterms:W3CDTF">2015-06-05T18:19:34Z</dcterms:created>
  <dcterms:modified xsi:type="dcterms:W3CDTF">2020-01-04T23:44:14Z</dcterms:modified>
</cp:coreProperties>
</file>