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 paplaczyk\Dropbox\GAMES\KSP\Git\ROEngines\Notes\"/>
    </mc:Choice>
  </mc:AlternateContent>
  <bookViews>
    <workbookView xWindow="-120" yWindow="-120" windowWidth="25005" windowHeight="12120" activeTab="1"/>
  </bookViews>
  <sheets>
    <sheet name="Sheet2" sheetId="2" r:id="rId1"/>
    <sheet name="Sheet1" sheetId="1" r:id="rId2"/>
    <sheet name="TVC" sheetId="4" r:id="rId3"/>
    <sheet name="Propellants" sheetId="3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60" i="1" l="1"/>
  <c r="AG60" i="1" s="1"/>
  <c r="AH60" i="1"/>
  <c r="AI60" i="1"/>
  <c r="AE59" i="1"/>
  <c r="AF59" i="1" s="1"/>
  <c r="AH59" i="1"/>
  <c r="AI59" i="1"/>
  <c r="AL59" i="1"/>
  <c r="AE58" i="1"/>
  <c r="AF58" i="1" s="1"/>
  <c r="AH58" i="1"/>
  <c r="AE61" i="1"/>
  <c r="AF61" i="1" s="1"/>
  <c r="AH61" i="1"/>
  <c r="AI61" i="1"/>
  <c r="AE35" i="1"/>
  <c r="AF35" i="1" s="1"/>
  <c r="AH35" i="1"/>
  <c r="AL61" i="1" l="1"/>
  <c r="AK58" i="1"/>
  <c r="AJ59" i="1"/>
  <c r="AJ60" i="1"/>
  <c r="AF60" i="1"/>
  <c r="AL60" i="1"/>
  <c r="AK60" i="1"/>
  <c r="AK61" i="1"/>
  <c r="AL58" i="1"/>
  <c r="AK59" i="1"/>
  <c r="AG59" i="1"/>
  <c r="AI58" i="1"/>
  <c r="AG58" i="1"/>
  <c r="AJ58" i="1"/>
  <c r="AG61" i="1"/>
  <c r="AJ61" i="1"/>
  <c r="AI35" i="1"/>
  <c r="AL35" i="1"/>
  <c r="AK35" i="1"/>
  <c r="AG35" i="1"/>
  <c r="AJ35" i="1"/>
  <c r="AE57" i="1"/>
  <c r="AH57" i="1"/>
  <c r="AF57" i="1" l="1"/>
  <c r="AL57" i="1"/>
  <c r="AK57" i="1"/>
  <c r="AG57" i="1"/>
  <c r="AI57" i="1"/>
  <c r="AJ57" i="1"/>
  <c r="AH56" i="1"/>
  <c r="AE56" i="1"/>
  <c r="AE55" i="1"/>
  <c r="AH55" i="1"/>
  <c r="AF56" i="1" l="1"/>
  <c r="AL56" i="1"/>
  <c r="AG55" i="1"/>
  <c r="AL55" i="1"/>
  <c r="AJ56" i="1"/>
  <c r="AJ55" i="1"/>
  <c r="AI56" i="1"/>
  <c r="AK56" i="1"/>
  <c r="AG56" i="1"/>
  <c r="AF55" i="1"/>
  <c r="AK55" i="1"/>
  <c r="AI55" i="1"/>
  <c r="AH54" i="1" l="1"/>
  <c r="AE54" i="1"/>
  <c r="AF54" i="1" l="1"/>
  <c r="AL54" i="1"/>
  <c r="AK54" i="1"/>
  <c r="AG54" i="1"/>
  <c r="AJ54" i="1"/>
  <c r="AI54" i="1"/>
  <c r="AA102" i="1" l="1"/>
  <c r="AA101" i="1"/>
  <c r="Z101" i="1"/>
  <c r="AH101" i="1" s="1"/>
  <c r="Z102" i="1"/>
  <c r="AH102" i="1" s="1"/>
  <c r="E101" i="1"/>
  <c r="AE102" i="1"/>
  <c r="AE101" i="1"/>
  <c r="AE4" i="1"/>
  <c r="AE11" i="1"/>
  <c r="AE9" i="1"/>
  <c r="AE8" i="1"/>
  <c r="AE7" i="1"/>
  <c r="AH7" i="1"/>
  <c r="AE6" i="1"/>
  <c r="AH6" i="1"/>
  <c r="AE10" i="1"/>
  <c r="AH10" i="1"/>
  <c r="M12" i="1"/>
  <c r="AE12" i="1"/>
  <c r="AH12" i="1"/>
  <c r="AE24" i="1"/>
  <c r="AH24" i="1"/>
  <c r="AF8" i="1" l="1"/>
  <c r="AL8" i="1"/>
  <c r="AF101" i="1"/>
  <c r="AL101" i="1"/>
  <c r="AF24" i="1"/>
  <c r="AL24" i="1"/>
  <c r="AF7" i="1"/>
  <c r="AL7" i="1"/>
  <c r="AF9" i="1"/>
  <c r="AL9" i="1"/>
  <c r="AF11" i="1"/>
  <c r="AL11" i="1"/>
  <c r="AF6" i="1"/>
  <c r="AL6" i="1"/>
  <c r="AF102" i="1"/>
  <c r="AL102" i="1"/>
  <c r="AF12" i="1"/>
  <c r="AL12" i="1"/>
  <c r="AF10" i="1"/>
  <c r="AL10" i="1"/>
  <c r="AF4" i="1"/>
  <c r="AL4" i="1"/>
  <c r="AI102" i="1"/>
  <c r="AK101" i="1"/>
  <c r="AJ101" i="1"/>
  <c r="AK102" i="1"/>
  <c r="AG102" i="1"/>
  <c r="AI101" i="1"/>
  <c r="AJ102" i="1"/>
  <c r="AG101" i="1"/>
  <c r="AH13" i="1"/>
  <c r="AE13" i="1"/>
  <c r="AI4" i="1"/>
  <c r="AH9" i="1"/>
  <c r="AK4" i="1"/>
  <c r="AG4" i="1"/>
  <c r="AH4" i="1"/>
  <c r="AK11" i="1"/>
  <c r="AK9" i="1"/>
  <c r="AJ11" i="1"/>
  <c r="AJ4" i="1"/>
  <c r="AI11" i="1"/>
  <c r="AH8" i="1"/>
  <c r="AH11" i="1"/>
  <c r="AH5" i="1"/>
  <c r="AG11" i="1"/>
  <c r="AI9" i="1"/>
  <c r="AG9" i="1"/>
  <c r="AK8" i="1"/>
  <c r="AJ9" i="1"/>
  <c r="AI8" i="1"/>
  <c r="AG8" i="1"/>
  <c r="AJ8" i="1"/>
  <c r="AI7" i="1"/>
  <c r="AK6" i="1"/>
  <c r="AK7" i="1"/>
  <c r="AG7" i="1"/>
  <c r="AJ6" i="1"/>
  <c r="AJ7" i="1"/>
  <c r="AI6" i="1"/>
  <c r="AG6" i="1"/>
  <c r="AJ12" i="1"/>
  <c r="AI12" i="1"/>
  <c r="AJ10" i="1"/>
  <c r="AI10" i="1"/>
  <c r="AG12" i="1"/>
  <c r="AK10" i="1"/>
  <c r="AG10" i="1"/>
  <c r="AK12" i="1"/>
  <c r="AI24" i="1"/>
  <c r="AG24" i="1"/>
  <c r="AK24" i="1"/>
  <c r="AJ24" i="1"/>
  <c r="AE5" i="1"/>
  <c r="AL5" i="1" s="1"/>
  <c r="AH45" i="1"/>
  <c r="AH53" i="1"/>
  <c r="AH20" i="1"/>
  <c r="AH19" i="1"/>
  <c r="AH2" i="1"/>
  <c r="AH36" i="1"/>
  <c r="AH37" i="1"/>
  <c r="AH38" i="1"/>
  <c r="AH39" i="1"/>
  <c r="AH43" i="1"/>
  <c r="AH40" i="1"/>
  <c r="AH42" i="1"/>
  <c r="AH41" i="1"/>
  <c r="AH21" i="1"/>
  <c r="AH22" i="1"/>
  <c r="AH23" i="1"/>
  <c r="AH16" i="1"/>
  <c r="AH17" i="1"/>
  <c r="AH18" i="1"/>
  <c r="AH14" i="1"/>
  <c r="AH15" i="1"/>
  <c r="AH33" i="1"/>
  <c r="AH34" i="1"/>
  <c r="AH26" i="1"/>
  <c r="AH25" i="1"/>
  <c r="AH27" i="1"/>
  <c r="AH29" i="1"/>
  <c r="AH30" i="1"/>
  <c r="AH28" i="1"/>
  <c r="AH31" i="1"/>
  <c r="AH32" i="1"/>
  <c r="AH62" i="1"/>
  <c r="AH46" i="1"/>
  <c r="AH47" i="1"/>
  <c r="AH48" i="1"/>
  <c r="AH49" i="1"/>
  <c r="AH50" i="1"/>
  <c r="AH51" i="1"/>
  <c r="AH52" i="1"/>
  <c r="AH75" i="1"/>
  <c r="AH85" i="1"/>
  <c r="AH91" i="1"/>
  <c r="AH92" i="1"/>
  <c r="AH93" i="1"/>
  <c r="AH94" i="1"/>
  <c r="AH95" i="1"/>
  <c r="AH96" i="1"/>
  <c r="AH99" i="1"/>
  <c r="AH100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79" i="1"/>
  <c r="AH80" i="1"/>
  <c r="AH81" i="1"/>
  <c r="AH82" i="1"/>
  <c r="AH84" i="1"/>
  <c r="AH83" i="1"/>
  <c r="AH86" i="1"/>
  <c r="AH87" i="1"/>
  <c r="AH88" i="1"/>
  <c r="AH89" i="1"/>
  <c r="AH90" i="1"/>
  <c r="AH97" i="1"/>
  <c r="AH98" i="1"/>
  <c r="AH44" i="1"/>
  <c r="AH3" i="1"/>
  <c r="AE45" i="1"/>
  <c r="AE53" i="1"/>
  <c r="AE20" i="1"/>
  <c r="AE19" i="1"/>
  <c r="AE2" i="1"/>
  <c r="AE36" i="1"/>
  <c r="AE37" i="1"/>
  <c r="AE38" i="1"/>
  <c r="AE39" i="1"/>
  <c r="AE43" i="1"/>
  <c r="AE40" i="1"/>
  <c r="AE42" i="1"/>
  <c r="AE41" i="1"/>
  <c r="AE21" i="1"/>
  <c r="AE22" i="1"/>
  <c r="AE23" i="1"/>
  <c r="AE16" i="1"/>
  <c r="AE17" i="1"/>
  <c r="AE18" i="1"/>
  <c r="AE14" i="1"/>
  <c r="AE15" i="1"/>
  <c r="AE33" i="1"/>
  <c r="AE34" i="1"/>
  <c r="AE26" i="1"/>
  <c r="AE25" i="1"/>
  <c r="AE27" i="1"/>
  <c r="AE29" i="1"/>
  <c r="AE30" i="1"/>
  <c r="AE28" i="1"/>
  <c r="AE31" i="1"/>
  <c r="AE32" i="1"/>
  <c r="AE62" i="1"/>
  <c r="AE46" i="1"/>
  <c r="AE47" i="1"/>
  <c r="AE48" i="1"/>
  <c r="AE49" i="1"/>
  <c r="AE50" i="1"/>
  <c r="AE51" i="1"/>
  <c r="AE52" i="1"/>
  <c r="AE75" i="1"/>
  <c r="AE85" i="1"/>
  <c r="AE91" i="1"/>
  <c r="AE92" i="1"/>
  <c r="AE93" i="1"/>
  <c r="AE94" i="1"/>
  <c r="AE95" i="1"/>
  <c r="AE96" i="1"/>
  <c r="AE99" i="1"/>
  <c r="AE100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6" i="1"/>
  <c r="AE77" i="1"/>
  <c r="AE78" i="1"/>
  <c r="AE79" i="1"/>
  <c r="AL79" i="1" s="1"/>
  <c r="AE80" i="1"/>
  <c r="AE81" i="1"/>
  <c r="AL81" i="1" s="1"/>
  <c r="AE82" i="1"/>
  <c r="AE84" i="1"/>
  <c r="AE83" i="1"/>
  <c r="AE86" i="1"/>
  <c r="AE87" i="1"/>
  <c r="AE88" i="1"/>
  <c r="AE89" i="1"/>
  <c r="AE90" i="1"/>
  <c r="AE97" i="1"/>
  <c r="AE98" i="1"/>
  <c r="AE44" i="1"/>
  <c r="AE3" i="1"/>
  <c r="AA81" i="1"/>
  <c r="AB81" i="1"/>
  <c r="W81" i="1"/>
  <c r="AB79" i="1"/>
  <c r="AA79" i="1"/>
  <c r="W79" i="1"/>
  <c r="AA84" i="1"/>
  <c r="AA82" i="1"/>
  <c r="AA73" i="1"/>
  <c r="AA72" i="1"/>
  <c r="AA92" i="1"/>
  <c r="AI96" i="1" l="1"/>
  <c r="AL96" i="1"/>
  <c r="AG37" i="1"/>
  <c r="AL37" i="1"/>
  <c r="AG83" i="1"/>
  <c r="AL83" i="1"/>
  <c r="AG67" i="1"/>
  <c r="AL67" i="1"/>
  <c r="AG95" i="1"/>
  <c r="AL95" i="1"/>
  <c r="AG51" i="1"/>
  <c r="AL51" i="1"/>
  <c r="AG31" i="1"/>
  <c r="AL31" i="1"/>
  <c r="AG33" i="1"/>
  <c r="AL33" i="1"/>
  <c r="AG21" i="1"/>
  <c r="AL21" i="1"/>
  <c r="AG36" i="1"/>
  <c r="AL36" i="1"/>
  <c r="AG76" i="1"/>
  <c r="AL76" i="1"/>
  <c r="AG98" i="1"/>
  <c r="AL98" i="1"/>
  <c r="AG84" i="1"/>
  <c r="AL84" i="1"/>
  <c r="AG74" i="1"/>
  <c r="AL74" i="1"/>
  <c r="AG66" i="1"/>
  <c r="AL66" i="1"/>
  <c r="AG94" i="1"/>
  <c r="AL94" i="1"/>
  <c r="AG50" i="1"/>
  <c r="AL50" i="1"/>
  <c r="AF28" i="1"/>
  <c r="AL28" i="1"/>
  <c r="AF15" i="1"/>
  <c r="AL15" i="1"/>
  <c r="AF41" i="1"/>
  <c r="AL41" i="1"/>
  <c r="AF2" i="1"/>
  <c r="AL2" i="1"/>
  <c r="AI68" i="1"/>
  <c r="AL68" i="1"/>
  <c r="AF73" i="1"/>
  <c r="AL73" i="1"/>
  <c r="AF49" i="1"/>
  <c r="AL49" i="1"/>
  <c r="AJ30" i="1"/>
  <c r="AL30" i="1"/>
  <c r="AJ14" i="1"/>
  <c r="AL14" i="1"/>
  <c r="AJ42" i="1"/>
  <c r="AL42" i="1"/>
  <c r="AJ19" i="1"/>
  <c r="AL19" i="1"/>
  <c r="AG22" i="1"/>
  <c r="AL22" i="1"/>
  <c r="AF82" i="1"/>
  <c r="AL82" i="1"/>
  <c r="AJ64" i="1"/>
  <c r="AL64" i="1"/>
  <c r="AJ92" i="1"/>
  <c r="AL92" i="1"/>
  <c r="AJ48" i="1"/>
  <c r="AL48" i="1"/>
  <c r="AJ29" i="1"/>
  <c r="AL29" i="1"/>
  <c r="AJ18" i="1"/>
  <c r="AL18" i="1"/>
  <c r="AJ40" i="1"/>
  <c r="AL40" i="1"/>
  <c r="AJ20" i="1"/>
  <c r="AL20" i="1"/>
  <c r="AI86" i="1"/>
  <c r="AL86" i="1"/>
  <c r="AG32" i="1"/>
  <c r="AL32" i="1"/>
  <c r="AF93" i="1"/>
  <c r="AL93" i="1"/>
  <c r="AJ90" i="1"/>
  <c r="AL90" i="1"/>
  <c r="AJ72" i="1"/>
  <c r="AL72" i="1"/>
  <c r="AJ89" i="1"/>
  <c r="AL89" i="1"/>
  <c r="AJ80" i="1"/>
  <c r="AL80" i="1"/>
  <c r="AJ71" i="1"/>
  <c r="AL71" i="1"/>
  <c r="AJ63" i="1"/>
  <c r="AL63" i="1"/>
  <c r="AJ91" i="1"/>
  <c r="AL91" i="1"/>
  <c r="AJ47" i="1"/>
  <c r="AL47" i="1"/>
  <c r="AJ27" i="1"/>
  <c r="AL27" i="1"/>
  <c r="AJ17" i="1"/>
  <c r="AL17" i="1"/>
  <c r="AJ43" i="1"/>
  <c r="AL43" i="1"/>
  <c r="AJ53" i="1"/>
  <c r="AL53" i="1"/>
  <c r="AI77" i="1"/>
  <c r="AL77" i="1"/>
  <c r="AG34" i="1"/>
  <c r="AL34" i="1"/>
  <c r="AI44" i="1"/>
  <c r="AL44" i="1"/>
  <c r="AJ88" i="1"/>
  <c r="AL88" i="1"/>
  <c r="AJ70" i="1"/>
  <c r="AL70" i="1"/>
  <c r="AJ100" i="1"/>
  <c r="AL100" i="1"/>
  <c r="AJ85" i="1"/>
  <c r="AL85" i="1"/>
  <c r="AJ46" i="1"/>
  <c r="AL46" i="1"/>
  <c r="AJ25" i="1"/>
  <c r="AL25" i="1"/>
  <c r="AJ16" i="1"/>
  <c r="AL16" i="1"/>
  <c r="AJ39" i="1"/>
  <c r="AL39" i="1"/>
  <c r="AJ45" i="1"/>
  <c r="AL45" i="1"/>
  <c r="AJ3" i="1"/>
  <c r="AL3" i="1"/>
  <c r="AI52" i="1"/>
  <c r="AL52" i="1"/>
  <c r="AI13" i="1"/>
  <c r="AL13" i="1"/>
  <c r="AF97" i="1"/>
  <c r="AL97" i="1"/>
  <c r="AF65" i="1"/>
  <c r="AL65" i="1"/>
  <c r="AJ87" i="1"/>
  <c r="AL87" i="1"/>
  <c r="AJ78" i="1"/>
  <c r="AL78" i="1"/>
  <c r="AJ69" i="1"/>
  <c r="AL69" i="1"/>
  <c r="AJ99" i="1"/>
  <c r="AL99" i="1"/>
  <c r="AJ75" i="1"/>
  <c r="AL75" i="1"/>
  <c r="AI62" i="1"/>
  <c r="AL62" i="1"/>
  <c r="AI26" i="1"/>
  <c r="AL26" i="1"/>
  <c r="AI23" i="1"/>
  <c r="AL23" i="1"/>
  <c r="AI38" i="1"/>
  <c r="AL38" i="1"/>
  <c r="AI82" i="1"/>
  <c r="AG13" i="1"/>
  <c r="AJ13" i="1"/>
  <c r="AK13" i="1"/>
  <c r="AF13" i="1"/>
  <c r="AJ81" i="1"/>
  <c r="AJ79" i="1"/>
  <c r="AI92" i="1"/>
  <c r="AI73" i="1"/>
  <c r="AK49" i="1"/>
  <c r="AK3" i="1"/>
  <c r="AK16" i="1"/>
  <c r="AK82" i="1"/>
  <c r="AK2" i="1"/>
  <c r="AK99" i="1"/>
  <c r="AK78" i="1"/>
  <c r="AK45" i="1"/>
  <c r="AK65" i="1"/>
  <c r="AK15" i="1"/>
  <c r="AI72" i="1"/>
  <c r="AK97" i="1"/>
  <c r="AK73" i="1"/>
  <c r="AK93" i="1"/>
  <c r="AK28" i="1"/>
  <c r="AK41" i="1"/>
  <c r="AK87" i="1"/>
  <c r="AK69" i="1"/>
  <c r="AK75" i="1"/>
  <c r="AK25" i="1"/>
  <c r="AK39" i="1"/>
  <c r="AF5" i="1"/>
  <c r="AJ5" i="1"/>
  <c r="AG5" i="1"/>
  <c r="AK5" i="1"/>
  <c r="AI5" i="1"/>
  <c r="AK44" i="1"/>
  <c r="AK90" i="1"/>
  <c r="AK86" i="1"/>
  <c r="AK81" i="1"/>
  <c r="AK77" i="1"/>
  <c r="AK72" i="1"/>
  <c r="AK68" i="1"/>
  <c r="AK64" i="1"/>
  <c r="AK96" i="1"/>
  <c r="AK92" i="1"/>
  <c r="AK52" i="1"/>
  <c r="AK48" i="1"/>
  <c r="AK62" i="1"/>
  <c r="AK30" i="1"/>
  <c r="AK26" i="1"/>
  <c r="AK14" i="1"/>
  <c r="AK23" i="1"/>
  <c r="AK42" i="1"/>
  <c r="AK38" i="1"/>
  <c r="AK19" i="1"/>
  <c r="AK89" i="1"/>
  <c r="AK83" i="1"/>
  <c r="AK80" i="1"/>
  <c r="AK76" i="1"/>
  <c r="AK71" i="1"/>
  <c r="AK67" i="1"/>
  <c r="AK63" i="1"/>
  <c r="AK95" i="1"/>
  <c r="AK91" i="1"/>
  <c r="AK51" i="1"/>
  <c r="AK47" i="1"/>
  <c r="AK32" i="1"/>
  <c r="AK29" i="1"/>
  <c r="AK34" i="1"/>
  <c r="AK18" i="1"/>
  <c r="AK22" i="1"/>
  <c r="AK40" i="1"/>
  <c r="AK37" i="1"/>
  <c r="AK20" i="1"/>
  <c r="AK98" i="1"/>
  <c r="AK88" i="1"/>
  <c r="AK84" i="1"/>
  <c r="AK79" i="1"/>
  <c r="AK74" i="1"/>
  <c r="AK70" i="1"/>
  <c r="AK66" i="1"/>
  <c r="AK100" i="1"/>
  <c r="AK94" i="1"/>
  <c r="AK85" i="1"/>
  <c r="AK50" i="1"/>
  <c r="AK46" i="1"/>
  <c r="AK31" i="1"/>
  <c r="AK27" i="1"/>
  <c r="AK33" i="1"/>
  <c r="AK17" i="1"/>
  <c r="AK21" i="1"/>
  <c r="AK43" i="1"/>
  <c r="AK36" i="1"/>
  <c r="AK53" i="1"/>
  <c r="AF90" i="1"/>
  <c r="AF81" i="1"/>
  <c r="AF72" i="1"/>
  <c r="AF64" i="1"/>
  <c r="AF92" i="1"/>
  <c r="AF48" i="1"/>
  <c r="AF30" i="1"/>
  <c r="AF14" i="1"/>
  <c r="AF42" i="1"/>
  <c r="AF19" i="1"/>
  <c r="AG97" i="1"/>
  <c r="AG82" i="1"/>
  <c r="AG73" i="1"/>
  <c r="AG65" i="1"/>
  <c r="AG93" i="1"/>
  <c r="AG49" i="1"/>
  <c r="AG28" i="1"/>
  <c r="AG15" i="1"/>
  <c r="AG41" i="1"/>
  <c r="AG2" i="1"/>
  <c r="AI83" i="1"/>
  <c r="AI76" i="1"/>
  <c r="AI67" i="1"/>
  <c r="AI95" i="1"/>
  <c r="AI51" i="1"/>
  <c r="AI32" i="1"/>
  <c r="AI34" i="1"/>
  <c r="AI22" i="1"/>
  <c r="AI37" i="1"/>
  <c r="AJ44" i="1"/>
  <c r="AJ86" i="1"/>
  <c r="AJ77" i="1"/>
  <c r="AJ68" i="1"/>
  <c r="AJ96" i="1"/>
  <c r="AJ52" i="1"/>
  <c r="AJ62" i="1"/>
  <c r="AJ26" i="1"/>
  <c r="AJ23" i="1"/>
  <c r="AJ38" i="1"/>
  <c r="AF89" i="1"/>
  <c r="AF80" i="1"/>
  <c r="AF71" i="1"/>
  <c r="AF63" i="1"/>
  <c r="AF91" i="1"/>
  <c r="AF47" i="1"/>
  <c r="AF29" i="1"/>
  <c r="AF18" i="1"/>
  <c r="AF40" i="1"/>
  <c r="AF20" i="1"/>
  <c r="AG90" i="1"/>
  <c r="AG81" i="1"/>
  <c r="AG72" i="1"/>
  <c r="AG64" i="1"/>
  <c r="AG92" i="1"/>
  <c r="AG48" i="1"/>
  <c r="AG30" i="1"/>
  <c r="AG14" i="1"/>
  <c r="AG42" i="1"/>
  <c r="AG19" i="1"/>
  <c r="AI98" i="1"/>
  <c r="AI84" i="1"/>
  <c r="AI74" i="1"/>
  <c r="AI66" i="1"/>
  <c r="AI94" i="1"/>
  <c r="AI50" i="1"/>
  <c r="AI31" i="1"/>
  <c r="AI33" i="1"/>
  <c r="AI21" i="1"/>
  <c r="AI36" i="1"/>
  <c r="AJ83" i="1"/>
  <c r="AJ76" i="1"/>
  <c r="AJ67" i="1"/>
  <c r="AJ95" i="1"/>
  <c r="AJ51" i="1"/>
  <c r="AJ32" i="1"/>
  <c r="AJ34" i="1"/>
  <c r="AJ22" i="1"/>
  <c r="AJ37" i="1"/>
  <c r="AF88" i="1"/>
  <c r="AF79" i="1"/>
  <c r="AF70" i="1"/>
  <c r="AF100" i="1"/>
  <c r="AF85" i="1"/>
  <c r="AF46" i="1"/>
  <c r="AF27" i="1"/>
  <c r="AF17" i="1"/>
  <c r="AF43" i="1"/>
  <c r="AF53" i="1"/>
  <c r="AG89" i="1"/>
  <c r="AG80" i="1"/>
  <c r="AG71" i="1"/>
  <c r="AG63" i="1"/>
  <c r="AG91" i="1"/>
  <c r="AG47" i="1"/>
  <c r="AG29" i="1"/>
  <c r="AG18" i="1"/>
  <c r="AG40" i="1"/>
  <c r="AG20" i="1"/>
  <c r="AI97" i="1"/>
  <c r="AI65" i="1"/>
  <c r="AI93" i="1"/>
  <c r="AI49" i="1"/>
  <c r="AI28" i="1"/>
  <c r="AI15" i="1"/>
  <c r="AI41" i="1"/>
  <c r="AI2" i="1"/>
  <c r="AJ98" i="1"/>
  <c r="AJ84" i="1"/>
  <c r="AJ74" i="1"/>
  <c r="AJ66" i="1"/>
  <c r="AJ94" i="1"/>
  <c r="AJ50" i="1"/>
  <c r="AJ31" i="1"/>
  <c r="AJ33" i="1"/>
  <c r="AJ21" i="1"/>
  <c r="AJ36" i="1"/>
  <c r="AF3" i="1"/>
  <c r="AF87" i="1"/>
  <c r="AF78" i="1"/>
  <c r="AF69" i="1"/>
  <c r="AF99" i="1"/>
  <c r="AF75" i="1"/>
  <c r="AF25" i="1"/>
  <c r="AF16" i="1"/>
  <c r="AF39" i="1"/>
  <c r="AF45" i="1"/>
  <c r="AG88" i="1"/>
  <c r="AG79" i="1"/>
  <c r="AG70" i="1"/>
  <c r="AG100" i="1"/>
  <c r="AG85" i="1"/>
  <c r="AG46" i="1"/>
  <c r="AG27" i="1"/>
  <c r="AG17" i="1"/>
  <c r="AG43" i="1"/>
  <c r="AG53" i="1"/>
  <c r="AI90" i="1"/>
  <c r="AI81" i="1"/>
  <c r="AI64" i="1"/>
  <c r="AI48" i="1"/>
  <c r="AI30" i="1"/>
  <c r="AI14" i="1"/>
  <c r="AI42" i="1"/>
  <c r="AI19" i="1"/>
  <c r="AJ97" i="1"/>
  <c r="AJ82" i="1"/>
  <c r="AJ73" i="1"/>
  <c r="AJ65" i="1"/>
  <c r="AJ93" i="1"/>
  <c r="AJ49" i="1"/>
  <c r="AJ28" i="1"/>
  <c r="AJ15" i="1"/>
  <c r="AJ41" i="1"/>
  <c r="AJ2" i="1"/>
  <c r="AF44" i="1"/>
  <c r="AF86" i="1"/>
  <c r="AF77" i="1"/>
  <c r="AF68" i="1"/>
  <c r="AF96" i="1"/>
  <c r="AF52" i="1"/>
  <c r="AF62" i="1"/>
  <c r="AF26" i="1"/>
  <c r="AF23" i="1"/>
  <c r="AF38" i="1"/>
  <c r="AG3" i="1"/>
  <c r="AG87" i="1"/>
  <c r="AG78" i="1"/>
  <c r="AG69" i="1"/>
  <c r="AG99" i="1"/>
  <c r="AG75" i="1"/>
  <c r="AG25" i="1"/>
  <c r="AG16" i="1"/>
  <c r="AG39" i="1"/>
  <c r="AG45" i="1"/>
  <c r="AI89" i="1"/>
  <c r="AI80" i="1"/>
  <c r="AI71" i="1"/>
  <c r="AI63" i="1"/>
  <c r="AI91" i="1"/>
  <c r="AI47" i="1"/>
  <c r="AI29" i="1"/>
  <c r="AI18" i="1"/>
  <c r="AI40" i="1"/>
  <c r="AI20" i="1"/>
  <c r="AF83" i="1"/>
  <c r="AF76" i="1"/>
  <c r="AF67" i="1"/>
  <c r="AF95" i="1"/>
  <c r="AF51" i="1"/>
  <c r="AF32" i="1"/>
  <c r="AF34" i="1"/>
  <c r="AF22" i="1"/>
  <c r="AF37" i="1"/>
  <c r="AG44" i="1"/>
  <c r="AG86" i="1"/>
  <c r="AG77" i="1"/>
  <c r="AG68" i="1"/>
  <c r="AG96" i="1"/>
  <c r="AG52" i="1"/>
  <c r="AG62" i="1"/>
  <c r="AG26" i="1"/>
  <c r="AG23" i="1"/>
  <c r="AG38" i="1"/>
  <c r="AI88" i="1"/>
  <c r="AI79" i="1"/>
  <c r="AI70" i="1"/>
  <c r="AI100" i="1"/>
  <c r="AI85" i="1"/>
  <c r="AI46" i="1"/>
  <c r="AI27" i="1"/>
  <c r="AI17" i="1"/>
  <c r="AI43" i="1"/>
  <c r="AI53" i="1"/>
  <c r="AF98" i="1"/>
  <c r="AF84" i="1"/>
  <c r="AF74" i="1"/>
  <c r="AF66" i="1"/>
  <c r="AF94" i="1"/>
  <c r="AF50" i="1"/>
  <c r="AF31" i="1"/>
  <c r="AF33" i="1"/>
  <c r="AF21" i="1"/>
  <c r="AF36" i="1"/>
  <c r="AI3" i="1"/>
  <c r="AI87" i="1"/>
  <c r="AI78" i="1"/>
  <c r="AI69" i="1"/>
  <c r="AI99" i="1"/>
  <c r="AI75" i="1"/>
  <c r="AI25" i="1"/>
  <c r="AI16" i="1"/>
  <c r="AI39" i="1"/>
  <c r="AI45" i="1"/>
</calcChain>
</file>

<file path=xl/sharedStrings.xml><?xml version="1.0" encoding="utf-8"?>
<sst xmlns="http://schemas.openxmlformats.org/spreadsheetml/2006/main" count="701" uniqueCount="236">
  <si>
    <t>SRB</t>
  </si>
  <si>
    <t>Type</t>
  </si>
  <si>
    <t>RSRM</t>
  </si>
  <si>
    <t>RSRMV</t>
  </si>
  <si>
    <t>LV</t>
  </si>
  <si>
    <t>Shuttle</t>
  </si>
  <si>
    <t>Ares</t>
  </si>
  <si>
    <t>Length</t>
  </si>
  <si>
    <t>Diameter</t>
  </si>
  <si>
    <t>Nozzle Throat</t>
  </si>
  <si>
    <t>Nozzle Exit</t>
  </si>
  <si>
    <t>Expansion Ratio</t>
  </si>
  <si>
    <t>Propellant Mass</t>
  </si>
  <si>
    <t>Propellant</t>
  </si>
  <si>
    <t>PBAN</t>
  </si>
  <si>
    <t>Year</t>
  </si>
  <si>
    <t>Castor I</t>
  </si>
  <si>
    <t>4130 Steel</t>
  </si>
  <si>
    <t>Scout</t>
  </si>
  <si>
    <t>Nozzle</t>
  </si>
  <si>
    <t>Burn Time</t>
  </si>
  <si>
    <t>Avg Thrust</t>
  </si>
  <si>
    <t>Max Thrust</t>
  </si>
  <si>
    <t>ISP</t>
  </si>
  <si>
    <t>Avg Pressure</t>
  </si>
  <si>
    <t>Max Pressure</t>
  </si>
  <si>
    <t>260-SL</t>
  </si>
  <si>
    <t>Thrust Vector</t>
  </si>
  <si>
    <t>TVC Mass</t>
  </si>
  <si>
    <t>Liquid Injection</t>
  </si>
  <si>
    <t>Dry Mass</t>
  </si>
  <si>
    <t>Maranger Steel</t>
  </si>
  <si>
    <t>Casing</t>
  </si>
  <si>
    <t>Maraging Steel</t>
  </si>
  <si>
    <t>Smooth</t>
  </si>
  <si>
    <t>Nozzle Mass</t>
  </si>
  <si>
    <t>Additional Mass</t>
  </si>
  <si>
    <t>Mass Fraction</t>
  </si>
  <si>
    <t>Nozzle Length</t>
  </si>
  <si>
    <t>Orion 38</t>
  </si>
  <si>
    <t>Orion 50</t>
  </si>
  <si>
    <t>Orion 50 XL</t>
  </si>
  <si>
    <t>Orion 50S</t>
  </si>
  <si>
    <t>Orion 50ST</t>
  </si>
  <si>
    <t>Orion 50S XL</t>
  </si>
  <si>
    <t>Orion 50S XLT</t>
  </si>
  <si>
    <t>Orion 50S XLG</t>
  </si>
  <si>
    <t>Vectorable</t>
  </si>
  <si>
    <t>Fixed</t>
  </si>
  <si>
    <t>Castor IVA</t>
  </si>
  <si>
    <t>Castor IVA-XL</t>
  </si>
  <si>
    <t>Castor IVB</t>
  </si>
  <si>
    <t>Castor 30</t>
  </si>
  <si>
    <t>Castor 30B</t>
  </si>
  <si>
    <t>Castor 30XL</t>
  </si>
  <si>
    <t>Castor 120</t>
  </si>
  <si>
    <t>Castor 120XL</t>
  </si>
  <si>
    <t>LCS I</t>
  </si>
  <si>
    <t>LCS III</t>
  </si>
  <si>
    <t>GEM-40 VN</t>
  </si>
  <si>
    <t>GEM-40 (Air)</t>
  </si>
  <si>
    <t>GEM-46 (Ground)</t>
  </si>
  <si>
    <t>GEM-46 (Air)</t>
  </si>
  <si>
    <t>GEM-60</t>
  </si>
  <si>
    <t>SRMU</t>
  </si>
  <si>
    <t>RSRM 1</t>
  </si>
  <si>
    <t>RSRM 1.5</t>
  </si>
  <si>
    <t>RSRM 2</t>
  </si>
  <si>
    <t>RSRM 2.5</t>
  </si>
  <si>
    <t>RSRM 3</t>
  </si>
  <si>
    <t>RSRM 4</t>
  </si>
  <si>
    <t>RSRM V</t>
  </si>
  <si>
    <t>Segment</t>
  </si>
  <si>
    <t>Pegasus, Taurus, Minotaur</t>
  </si>
  <si>
    <t>Pegasus</t>
  </si>
  <si>
    <t>Pegasus, Minotaur</t>
  </si>
  <si>
    <t>Pegasus, Hyper-X</t>
  </si>
  <si>
    <t>Taurus</t>
  </si>
  <si>
    <t>Delta II</t>
  </si>
  <si>
    <t>HII-A</t>
  </si>
  <si>
    <t>Antares, Athena</t>
  </si>
  <si>
    <t>Antares</t>
  </si>
  <si>
    <t>Athena, Taurus</t>
  </si>
  <si>
    <t>Delta II Heavy, Delta III</t>
  </si>
  <si>
    <t>Delta IV</t>
  </si>
  <si>
    <t>Titan IVB</t>
  </si>
  <si>
    <t>Ares, SLS</t>
  </si>
  <si>
    <t>HTPB</t>
  </si>
  <si>
    <t>Upper</t>
  </si>
  <si>
    <t>GEM-40 (Ground)</t>
  </si>
  <si>
    <t>Case Mass</t>
  </si>
  <si>
    <t>STAR 3</t>
  </si>
  <si>
    <t>MER</t>
  </si>
  <si>
    <t>Titanium</t>
  </si>
  <si>
    <t>TP-H-3498</t>
  </si>
  <si>
    <t>STAR 3A</t>
  </si>
  <si>
    <t>STAR 4G</t>
  </si>
  <si>
    <t>Nanosat</t>
  </si>
  <si>
    <t>TP-H-3399</t>
  </si>
  <si>
    <t>Graphite</t>
  </si>
  <si>
    <t>STAR 5A</t>
  </si>
  <si>
    <t>Satellites</t>
  </si>
  <si>
    <t>Aluminum</t>
  </si>
  <si>
    <t>STAR 5C</t>
  </si>
  <si>
    <t>Separator</t>
  </si>
  <si>
    <t>STAR 5CB</t>
  </si>
  <si>
    <t>Titan II</t>
  </si>
  <si>
    <t>TP-H-3237A</t>
  </si>
  <si>
    <t>STAR 5D</t>
  </si>
  <si>
    <t>Pathfinder</t>
  </si>
  <si>
    <t>Cant: 17 deg</t>
  </si>
  <si>
    <t>STAR 5F</t>
  </si>
  <si>
    <t>Atlas V</t>
  </si>
  <si>
    <t>Stainless Steel</t>
  </si>
  <si>
    <t>Cant: 20 deg</t>
  </si>
  <si>
    <t>STAR 6B</t>
  </si>
  <si>
    <t>TP-H-3237B</t>
  </si>
  <si>
    <t>STAR 8</t>
  </si>
  <si>
    <t>STAR 12GV</t>
  </si>
  <si>
    <t>STAR 13B</t>
  </si>
  <si>
    <t>STAR 17</t>
  </si>
  <si>
    <t>STAR 17A</t>
  </si>
  <si>
    <t>STAR 20 Altair III</t>
  </si>
  <si>
    <t>TP-H-3062 (CTPB)</t>
  </si>
  <si>
    <t>Fiber Glass</t>
  </si>
  <si>
    <t>STAR 24</t>
  </si>
  <si>
    <t>Skynet II</t>
  </si>
  <si>
    <t>STAR 24C</t>
  </si>
  <si>
    <t>IUE</t>
  </si>
  <si>
    <t>STAR 26</t>
  </si>
  <si>
    <t>Strypi IV</t>
  </si>
  <si>
    <t>TP-H-3114</t>
  </si>
  <si>
    <t>D6AC Steel</t>
  </si>
  <si>
    <t>STAR 26B</t>
  </si>
  <si>
    <t>Burner IIA</t>
  </si>
  <si>
    <t>STAR 26C</t>
  </si>
  <si>
    <t>STAR 27</t>
  </si>
  <si>
    <t>TP-H-3135</t>
  </si>
  <si>
    <t>Carbon-Phenolic</t>
  </si>
  <si>
    <t>STAR 27H</t>
  </si>
  <si>
    <t>IBEX</t>
  </si>
  <si>
    <t>TP-H-3340A (HTPB)</t>
  </si>
  <si>
    <t>STAR 30BP</t>
  </si>
  <si>
    <t>STAR 30C</t>
  </si>
  <si>
    <t>STAR 30C/BP</t>
  </si>
  <si>
    <t>STAR 30E</t>
  </si>
  <si>
    <t>STAR 31 Antares III</t>
  </si>
  <si>
    <t>Kevlar</t>
  </si>
  <si>
    <t>STAR 37FM</t>
  </si>
  <si>
    <t>STAR 37FMV</t>
  </si>
  <si>
    <t>STAR 37XFP</t>
  </si>
  <si>
    <t>STAR 37GV</t>
  </si>
  <si>
    <t>STAR 48A</t>
  </si>
  <si>
    <t>STAR 48B</t>
  </si>
  <si>
    <t>STAR 48A (Long)</t>
  </si>
  <si>
    <t>STAR 48B (Long)</t>
  </si>
  <si>
    <t>STAR 48BV</t>
  </si>
  <si>
    <t>STAR 63D</t>
  </si>
  <si>
    <t>PAM</t>
  </si>
  <si>
    <t>TP-H-1202</t>
  </si>
  <si>
    <t>STAR 63F</t>
  </si>
  <si>
    <t>Long March</t>
  </si>
  <si>
    <t>Row Labels</t>
  </si>
  <si>
    <t>Grand Total</t>
  </si>
  <si>
    <t>Max of Diameter</t>
  </si>
  <si>
    <t>P-230</t>
  </si>
  <si>
    <t>Ariane 5</t>
  </si>
  <si>
    <t>Wall Thickness (mm)</t>
  </si>
  <si>
    <t>Igniter Mass</t>
  </si>
  <si>
    <t>Commerical Titan 3</t>
  </si>
  <si>
    <t>Cant: 6 deg</t>
  </si>
  <si>
    <t>Volume</t>
  </si>
  <si>
    <t>3.2m segment</t>
  </si>
  <si>
    <t>Case Mass % Vol</t>
  </si>
  <si>
    <t>Nozzle Mass % Vol</t>
  </si>
  <si>
    <t>Nozzle Mass &amp; Diameter</t>
  </si>
  <si>
    <t>Additional Mass % Vol</t>
  </si>
  <si>
    <t>Igniter Mass % Vol</t>
  </si>
  <si>
    <t>Dry Mass % Vol</t>
  </si>
  <si>
    <t>Algol IB</t>
  </si>
  <si>
    <t>Polyurethane</t>
  </si>
  <si>
    <t>Castor XM-33-E5</t>
  </si>
  <si>
    <t>PBAA</t>
  </si>
  <si>
    <t>Double Base</t>
  </si>
  <si>
    <t>Algol III</t>
  </si>
  <si>
    <t>Altair II X-258</t>
  </si>
  <si>
    <t>Altair X-248</t>
  </si>
  <si>
    <t>Altair III FW-4S</t>
  </si>
  <si>
    <t>Antares II X-259</t>
  </si>
  <si>
    <t>Antares X-254</t>
  </si>
  <si>
    <t>Castor IIA (TX-354-3)</t>
  </si>
  <si>
    <t>CTPB</t>
  </si>
  <si>
    <t>Algol IIB</t>
  </si>
  <si>
    <t>TP-H 7025</t>
  </si>
  <si>
    <t>Insulation Mass</t>
  </si>
  <si>
    <t>Alcyone IA BE 3 A9</t>
  </si>
  <si>
    <t>Notes</t>
  </si>
  <si>
    <t>4.6863m actual body length, 15.5in interior radius</t>
  </si>
  <si>
    <t>Baby Sergeant</t>
  </si>
  <si>
    <t>Explorer 1</t>
  </si>
  <si>
    <t>5.5 Segment</t>
  </si>
  <si>
    <t>UA-1205</t>
  </si>
  <si>
    <t>Titan IIIC</t>
  </si>
  <si>
    <t>UA-1207</t>
  </si>
  <si>
    <t>3.35m per Segment</t>
  </si>
  <si>
    <t>Cant: 6 Deg</t>
  </si>
  <si>
    <t>3.35m per segment, 5.33m nose segment, 4.26m base segment, 2562 kg Each Segment Case Mass, 33225.4 kg Each Segment Propell</t>
  </si>
  <si>
    <t>3.35m per segment, 6.1m nose, 5.18m mount, 2513 kg each segment case mass, 38417 kg Each Segment Propell</t>
  </si>
  <si>
    <t>Name</t>
  </si>
  <si>
    <t>Titan PBAN</t>
  </si>
  <si>
    <t>c</t>
  </si>
  <si>
    <t>n</t>
  </si>
  <si>
    <t>S-IC Retrorocket</t>
  </si>
  <si>
    <t>Saturn V</t>
  </si>
  <si>
    <t>S-II Retrorockets</t>
  </si>
  <si>
    <t>S-IVB Ullage</t>
  </si>
  <si>
    <t>S-II Ullage</t>
  </si>
  <si>
    <t>Saturn IB</t>
  </si>
  <si>
    <t>4135 Steel</t>
  </si>
  <si>
    <t>Max of Length</t>
  </si>
  <si>
    <t>Max of Nozzle Exit</t>
  </si>
  <si>
    <t>Carbon</t>
  </si>
  <si>
    <t>Thrust % Vol</t>
  </si>
  <si>
    <t>Minotaur I</t>
  </si>
  <si>
    <t>TP-H1011</t>
  </si>
  <si>
    <t>237/262</t>
  </si>
  <si>
    <t>SR-19</t>
  </si>
  <si>
    <t>ANB-3066</t>
  </si>
  <si>
    <t>SR-118 (Peacekeeper)</t>
  </si>
  <si>
    <t>M55 A1 (Minuteman)</t>
  </si>
  <si>
    <t>Minotaur IV</t>
  </si>
  <si>
    <t>229/284</t>
  </si>
  <si>
    <t>SR-119</t>
  </si>
  <si>
    <t>SR-120</t>
  </si>
  <si>
    <t>NEPE</t>
  </si>
  <si>
    <t>Max of Thrust %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</si>
</sst>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1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27428</xdr:colOff>
      <xdr:row>40</xdr:row>
      <xdr:rowOff>27619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71428" cy="7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30</xdr:col>
      <xdr:colOff>208381</xdr:colOff>
      <xdr:row>38</xdr:row>
      <xdr:rowOff>94333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0"/>
          <a:ext cx="9352381" cy="7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8</xdr:col>
      <xdr:colOff>475581</xdr:colOff>
      <xdr:row>55</xdr:row>
      <xdr:rowOff>18714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10500"/>
          <a:ext cx="5352381" cy="26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18</xdr:col>
      <xdr:colOff>294552</xdr:colOff>
      <xdr:row>72</xdr:row>
      <xdr:rowOff>104024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7810500"/>
          <a:ext cx="5780952" cy="6009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Paplaczyk" refreshedDate="43636.489933217592" createdVersion="6" refreshedVersion="6" minRefreshableVersion="3" recordCount="101">
  <cacheSource type="worksheet">
    <worksheetSource name="Table1"/>
  </cacheSource>
  <cacheFields count="39">
    <cacheField name="SRB" numFmtId="0">
      <sharedItems containsBlank="1" count="101">
        <s v="260-SL"/>
        <s v="5.5 Segment"/>
        <s v="Alcyone IA BE 3 A9"/>
        <s v="Algol IB"/>
        <s v="Algol IIB"/>
        <s v="Algol III"/>
        <s v="Altair II X-258"/>
        <s v="Altair III FW-4S"/>
        <s v="Altair X-248"/>
        <s v="Antares II X-259"/>
        <s v="Antares X-254"/>
        <s v="Baby Sergeant"/>
        <s v="Castor 120"/>
        <s v="Castor 120XL"/>
        <s v="Castor 30"/>
        <s v="Castor 30B"/>
        <s v="Castor 30XL"/>
        <s v="Castor I"/>
        <s v="Castor IIA (TX-354-3)"/>
        <s v="Castor IVA"/>
        <s v="Castor IVA-XL"/>
        <s v="Castor IVB"/>
        <s v="Castor XM-33-E5"/>
        <s v="GEM-40 (Air)"/>
        <s v="GEM-40 (Ground)"/>
        <s v="GEM-40 VN"/>
        <s v="GEM-46 (Air)"/>
        <s v="GEM-46 (Ground)"/>
        <s v="GEM-60"/>
        <s v="LCS I"/>
        <s v="LCS III"/>
        <s v="Orion 38"/>
        <s v="Orion 50"/>
        <s v="Orion 50 XL"/>
        <s v="Orion 50S"/>
        <s v="Orion 50S XL"/>
        <s v="Orion 50S XLG"/>
        <s v="Orion 50S XLT"/>
        <s v="Orion 50ST"/>
        <s v="P-230"/>
        <s v="RSRM"/>
        <s v="RSRM 1"/>
        <s v="RSRM 1.5"/>
        <s v="RSRM 2"/>
        <s v="RSRM 2.5"/>
        <s v="RSRM 3"/>
        <s v="RSRM 4"/>
        <s v="RSRM V"/>
        <s v="RSRMV"/>
        <s v="SRMU"/>
        <s v="STAR 12GV"/>
        <s v="STAR 13B"/>
        <s v="STAR 17"/>
        <s v="STAR 17A"/>
        <s v="STAR 20 Altair III"/>
        <s v="STAR 24"/>
        <s v="STAR 24C"/>
        <s v="STAR 26"/>
        <s v="STAR 26B"/>
        <s v="STAR 26C"/>
        <s v="STAR 27"/>
        <s v="STAR 27H"/>
        <s v="STAR 3"/>
        <s v="STAR 30BP"/>
        <s v="STAR 30C"/>
        <s v="STAR 30C/BP"/>
        <s v="STAR 30E"/>
        <s v="STAR 31 Antares III"/>
        <s v="STAR 37FM"/>
        <s v="STAR 37FMV"/>
        <s v="STAR 37GV"/>
        <s v="STAR 37XFP"/>
        <s v="STAR 3A"/>
        <s v="STAR 48A"/>
        <s v="STAR 48A (Long)"/>
        <s v="STAR 48B"/>
        <s v="STAR 48B (Long)"/>
        <s v="STAR 48BV"/>
        <s v="STAR 4G"/>
        <s v="STAR 5A"/>
        <s v="STAR 5C"/>
        <s v="STAR 5CB"/>
        <s v="STAR 5D"/>
        <s v="STAR 5F"/>
        <s v="STAR 63D"/>
        <s v="STAR 63F"/>
        <s v="STAR 6B"/>
        <s v="STAR 8"/>
        <s v="UA-1205"/>
        <s v="UA-1207"/>
        <s v="S-IC Retrorocket"/>
        <s v="S-II Ullage"/>
        <s v="S-II Retrorockets"/>
        <s v="S-IVB Ullage"/>
        <s v="M55 A1 (Minuteman)"/>
        <s v="SR-19"/>
        <s v="SR-118 (Peacekeeper)"/>
        <s v="SR-119"/>
        <s v="SR-120"/>
        <m u="1"/>
        <s v="Castor IIA" u="1"/>
      </sharedItems>
    </cacheField>
    <cacheField name="Type" numFmtId="0">
      <sharedItems count="9">
        <s v="Smooth"/>
        <s v="Segment"/>
        <s v="Upper"/>
        <s v="Separator"/>
        <s v="6-Segment" u="1"/>
        <s v="5.5-Segment" u="1"/>
        <s v="Solid" u="1"/>
        <s v="4-Segment" u="1"/>
        <s v="5-Segment" u="1"/>
      </sharedItems>
    </cacheField>
    <cacheField name="LV" numFmtId="0">
      <sharedItems containsBlank="1"/>
    </cacheField>
    <cacheField name="Year" numFmtId="0">
      <sharedItems containsBlank="1" containsMixedTypes="1" containsNumber="1" containsInteger="1" minValue="1957" maxValue="2011"/>
    </cacheField>
    <cacheField name="Max Thrust" numFmtId="0">
      <sharedItems containsString="0" containsBlank="1" containsNumber="1" minValue="0.16903235999999999" maxValue="15866.800740000001"/>
    </cacheField>
    <cacheField name="Dry Mass" numFmtId="0">
      <sharedItems containsString="0" containsBlank="1" containsNumber="1" minValue="0.48534344000000001" maxValue="85418.631072000004"/>
    </cacheField>
    <cacheField name="Length" numFmtId="0">
      <sharedItems containsString="0" containsBlank="1" containsNumber="1" minValue="0.13792199999999999" maxValue="47.45355"/>
    </cacheField>
    <cacheField name="Diameter" numFmtId="0">
      <sharedItems containsString="0" containsBlank="1" containsNumber="1" minValue="8.0771999999999997E-2" maxValue="6.6344799999999999"/>
    </cacheField>
    <cacheField name="Propellant Mass" numFmtId="0">
      <sharedItems containsSemiMixedTypes="0" containsString="0" containsNumber="1" minValue="0.12246984000000001" maxValue="760386"/>
    </cacheField>
    <cacheField name="Propellant" numFmtId="0">
      <sharedItems containsBlank="1"/>
    </cacheField>
    <cacheField name="Burn Time" numFmtId="0">
      <sharedItems containsString="0" containsBlank="1" containsNumber="1" minValue="0.49" maxValue="155"/>
    </cacheField>
    <cacheField name="Avg Thrust" numFmtId="0">
      <sharedItems containsString="0" containsBlank="1" containsNumber="1" minValue="0.16903235999999999" maxValue="12895.38978"/>
    </cacheField>
    <cacheField name="ISP" numFmtId="0">
      <sharedItems containsBlank="1" containsMixedTypes="1" containsNumber="1" minValue="200.2" maxValue="308"/>
    </cacheField>
    <cacheField name="Casing" numFmtId="0">
      <sharedItems containsBlank="1"/>
    </cacheField>
    <cacheField name="Nozzle" numFmtId="0">
      <sharedItems containsBlank="1"/>
    </cacheField>
    <cacheField name="Nozzle Throat" numFmtId="0">
      <sharedItems containsString="0" containsBlank="1" containsNumber="1" minValue="3.8099999999999996E-3" maxValue="1.8033999999999999"/>
    </cacheField>
    <cacheField name="Nozzle Exit" numFmtId="0">
      <sharedItems containsString="0" containsBlank="1" containsNumber="1" minValue="2.794E-2" maxValue="4.5973999999999995"/>
    </cacheField>
    <cacheField name="Nozzle Length" numFmtId="0">
      <sharedItems containsString="0" containsBlank="1" containsNumber="1" minValue="0.23723599999999997" maxValue="5.9080399999999997"/>
    </cacheField>
    <cacheField name="Expansion Ratio" numFmtId="0">
      <sharedItems containsString="0" containsBlank="1" containsNumber="1" minValue="3.8" maxValue="88.2"/>
    </cacheField>
    <cacheField name="Avg Pressure" numFmtId="0">
      <sharedItems containsString="0" containsBlank="1" containsNumber="1" minValue="216.8" maxValue="2185"/>
    </cacheField>
    <cacheField name="Max Pressure" numFmtId="0">
      <sharedItems containsString="0" containsBlank="1" containsNumber="1" minValue="416" maxValue="2600"/>
    </cacheField>
    <cacheField name="Thrust Vector" numFmtId="0">
      <sharedItems containsBlank="1"/>
    </cacheField>
    <cacheField name="Insulation Mass" numFmtId="0">
      <sharedItems containsString="0" containsBlank="1" containsNumber="1" minValue="10.020000000000001" maxValue="8487.6135040000008"/>
    </cacheField>
    <cacheField name="TVC Mass" numFmtId="0">
      <sharedItems containsString="0" containsBlank="1" containsNumber="1" minValue="1.3635999999999999" maxValue="7091"/>
    </cacheField>
    <cacheField name="Case Mass" numFmtId="0">
      <sharedItems containsString="0" containsBlank="1" containsNumber="1" minValue="0" maxValue="57988.562056000002"/>
    </cacheField>
    <cacheField name="Nozzle Mass" numFmtId="0">
      <sharedItems containsString="0" containsBlank="1" containsNumber="1" minValue="0" maxValue="12122.2462"/>
    </cacheField>
    <cacheField name="Additional Mass" numFmtId="0">
      <sharedItems containsString="0" containsBlank="1" containsNumber="1" minValue="0" maxValue="18350.517951999998"/>
    </cacheField>
    <cacheField name="Igniter Mass" numFmtId="0">
      <sharedItems containsString="0" containsBlank="1" containsNumber="1" minValue="0.53" maxValue="315"/>
    </cacheField>
    <cacheField name="Mass Fraction" numFmtId="0">
      <sharedItems containsString="0" containsBlank="1" containsNumber="1" minValue="0.14000000000000001" maxValue="0.94"/>
    </cacheField>
    <cacheField name="Wall Thickness (mm)" numFmtId="0">
      <sharedItems containsString="0" containsBlank="1" containsNumber="1" minValue="5.842E-4" maxValue="12.7"/>
    </cacheField>
    <cacheField name="Volume" numFmtId="0">
      <sharedItems containsSemiMixedTypes="0" containsString="0" containsNumber="1" minValue="0" maxValue="747154.94568767992"/>
    </cacheField>
    <cacheField name="Case Mass % Vol" numFmtId="0">
      <sharedItems containsMixedTypes="1" containsNumber="1" minValue="0" maxValue="0.48902092288392568"/>
    </cacheField>
    <cacheField name="Nozzle Mass % Vol" numFmtId="0">
      <sharedItems containsMixedTypes="1" containsNumber="1" minValue="0" maxValue="0.17793843940178453"/>
    </cacheField>
    <cacheField name="Nozzle Mass &amp; Diameter" numFmtId="0">
      <sharedItems containsMixedTypes="1" containsNumber="1" minValue="0" maxValue="3107.2131147540986"/>
    </cacheField>
    <cacheField name="Additional Mass % Vol" numFmtId="0">
      <sharedItems containsMixedTypes="1" containsNumber="1" minValue="0" maxValue="0.69123989902758598"/>
    </cacheField>
    <cacheField name="Igniter Mass % Vol" numFmtId="0">
      <sharedItems containsMixedTypes="1" containsNumber="1" minValue="0" maxValue="1.6105441050098149E-3"/>
    </cacheField>
    <cacheField name="Dry Mass % Vol" numFmtId="0">
      <sharedItems containsMixedTypes="1" containsNumber="1" minValue="0" maxValue="0.90596040872301375"/>
    </cacheField>
    <cacheField name="Thrust % Vol" numFmtId="0">
      <sharedItems containsMixedTypes="1" containsNumber="1" minValue="0" maxValue="1.5191833398348618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m/>
    <n v="1966"/>
    <n v="15866.800740000001"/>
    <n v="82524.259999999995"/>
    <n v="21.6126"/>
    <n v="6.6344799999999999"/>
    <n v="760386"/>
    <s v="PBAN"/>
    <n v="129"/>
    <n v="12895.38978"/>
    <n v="244.6"/>
    <s v="Maraging Steel"/>
    <s v="Maranger Steel"/>
    <n v="1.8033999999999999"/>
    <n v="4.5973999999999995"/>
    <n v="5.9080399999999997"/>
    <n v="3.8"/>
    <n v="533"/>
    <n v="602"/>
    <s v="Liquid Injection"/>
    <n v="8487.6135040000008"/>
    <n v="6650"/>
    <m/>
    <n v="12122.2462"/>
    <n v="3211.8849519999999"/>
    <m/>
    <n v="0.90200000000000002"/>
    <m/>
    <n v="747154.94568767992"/>
    <n v="0"/>
    <n v="1.6224541201213236E-2"/>
    <n v="1827.158451001435"/>
    <n v="4.2988204395057409E-3"/>
    <n v="0"/>
    <n v="0.11045133338981626"/>
    <n v="1.725932466140756E-2"/>
    <m/>
  </r>
  <r>
    <x v="1"/>
    <x v="1"/>
    <s v="Commerical Titan 3"/>
    <s v="3.2m segment"/>
    <m/>
    <n v="27370"/>
    <n v="27.57"/>
    <n v="3.11"/>
    <n v="210630"/>
    <s v="PBAN"/>
    <n v="113.7"/>
    <n v="4800"/>
    <n v="265.2"/>
    <s v="D6AC Steel"/>
    <s v="Cant: 6 deg"/>
    <m/>
    <n v="3.05"/>
    <m/>
    <n v="10"/>
    <m/>
    <n v="841.21900000000005"/>
    <s v="Liquid Injection"/>
    <m/>
    <m/>
    <m/>
    <m/>
    <m/>
    <m/>
    <m/>
    <n v="12.7"/>
    <n v="209434.11481573636"/>
    <n v="0"/>
    <n v="0"/>
    <n v="0"/>
    <n v="0"/>
    <n v="0"/>
    <n v="0.13068549039434471"/>
    <n v="2.2918902224802872E-2"/>
    <m/>
  </r>
  <r>
    <x v="2"/>
    <x v="2"/>
    <s v="Scout"/>
    <n v="1974"/>
    <n v="27.491"/>
    <n v="9.0718399999999999"/>
    <n v="0.81840000000000002"/>
    <n v="0.4839"/>
    <n v="86.636071999999999"/>
    <m/>
    <n v="9.1"/>
    <n v="26.244498"/>
    <n v="276"/>
    <m/>
    <m/>
    <n v="7.1999999999999995E-2"/>
    <n v="0.307"/>
    <m/>
    <n v="18.600000000000001"/>
    <n v="500"/>
    <n v="550"/>
    <m/>
    <m/>
    <m/>
    <m/>
    <n v="3.2658624000000001"/>
    <m/>
    <m/>
    <m/>
    <m/>
    <n v="150.51048190924732"/>
    <n v="0"/>
    <n v="2.1698571146488013E-2"/>
    <n v="6.7490440173589583"/>
    <n v="0"/>
    <n v="0"/>
    <n v="6.0273808740244482E-2"/>
    <n v="0.17436990212963729"/>
    <m/>
  </r>
  <r>
    <x v="3"/>
    <x v="0"/>
    <s v="Scout"/>
    <m/>
    <n v="493.64420000000001"/>
    <n v="2033.9970000000001"/>
    <n v="9.4"/>
    <n v="1.02"/>
    <n v="8617.3410000000003"/>
    <s v="Polyurethane"/>
    <n v="41.29"/>
    <m/>
    <n v="241.4"/>
    <m/>
    <m/>
    <m/>
    <n v="0.85499999999999998"/>
    <m/>
    <n v="4.6399999999999997"/>
    <n v="294.39999999999998"/>
    <m/>
    <m/>
    <m/>
    <m/>
    <m/>
    <m/>
    <m/>
    <m/>
    <n v="0.83799999999999997"/>
    <m/>
    <n v="7681.0055424678285"/>
    <n v="0"/>
    <n v="0"/>
    <n v="0"/>
    <n v="0"/>
    <n v="0"/>
    <n v="0.26480868797114521"/>
    <n v="0"/>
    <m/>
  </r>
  <r>
    <x v="4"/>
    <x v="0"/>
    <s v="Scout"/>
    <m/>
    <n v="449.02112"/>
    <n v="1065.5329999999999"/>
    <n v="9.4"/>
    <n v="1.02"/>
    <n v="9588.4809999999998"/>
    <m/>
    <n v="80"/>
    <m/>
    <n v="258.88"/>
    <m/>
    <m/>
    <m/>
    <m/>
    <m/>
    <n v="7.25"/>
    <n v="530"/>
    <n v="675"/>
    <m/>
    <m/>
    <m/>
    <m/>
    <n v="261.26899200000003"/>
    <m/>
    <m/>
    <n v="0.89"/>
    <m/>
    <n v="7681.0055424678285"/>
    <n v="0"/>
    <n v="3.401494642276446E-2"/>
    <n v="256.14607058823532"/>
    <n v="0"/>
    <n v="0"/>
    <n v="0.13872311302325335"/>
    <n v="0"/>
    <m/>
  </r>
  <r>
    <x v="5"/>
    <x v="0"/>
    <s v="Scout"/>
    <m/>
    <n v="530.25896"/>
    <n v="1391.1210000000001"/>
    <n v="9.4"/>
    <n v="1.1399999999999999"/>
    <n v="12564.5"/>
    <s v="PBAN"/>
    <n v="70"/>
    <m/>
    <n v="260.28899999999999"/>
    <s v="4130 Steel"/>
    <m/>
    <m/>
    <m/>
    <m/>
    <n v="6.49"/>
    <n v="503"/>
    <n v="970"/>
    <m/>
    <m/>
    <m/>
    <m/>
    <m/>
    <m/>
    <m/>
    <n v="0.89019999999999999"/>
    <m/>
    <n v="9594.6124596224436"/>
    <n v="0"/>
    <n v="0"/>
    <n v="0"/>
    <n v="0"/>
    <n v="0"/>
    <n v="0.14498980608694037"/>
    <n v="0"/>
    <m/>
  </r>
  <r>
    <x v="6"/>
    <x v="2"/>
    <s v="Scout"/>
    <n v="1963"/>
    <n v="35"/>
    <n v="32.700000000000003"/>
    <n v="1.50495"/>
    <n v="0.4572"/>
    <n v="239.06399999999999"/>
    <m/>
    <n v="23.2"/>
    <n v="29.091358800000002"/>
    <n v="279"/>
    <m/>
    <m/>
    <n v="0.08"/>
    <n v="0.41399999999999998"/>
    <m/>
    <n v="25"/>
    <n v="450"/>
    <n v="485"/>
    <m/>
    <m/>
    <m/>
    <m/>
    <n v="10.886208"/>
    <m/>
    <m/>
    <m/>
    <m/>
    <n v="247.07249229636048"/>
    <n v="0"/>
    <n v="4.406078515184169E-2"/>
    <n v="23.810603674540683"/>
    <n v="0"/>
    <n v="0"/>
    <n v="0.1323498204760761"/>
    <n v="0.11774422368761824"/>
    <m/>
  </r>
  <r>
    <x v="7"/>
    <x v="2"/>
    <s v="Scout"/>
    <n v="1965"/>
    <n v="31"/>
    <n v="23.165849999999999"/>
    <n v="1.4841219999999999"/>
    <n v="0.50800000000000001"/>
    <n v="274.4332"/>
    <s v="CTPB"/>
    <n v="31.5"/>
    <n v="25.227"/>
    <n v="284.5"/>
    <m/>
    <m/>
    <n v="5.8999999999999997E-2"/>
    <n v="0.43"/>
    <m/>
    <n v="50.37"/>
    <n v="701"/>
    <n v="859"/>
    <m/>
    <m/>
    <m/>
    <m/>
    <n v="5.4431039999999999"/>
    <m/>
    <m/>
    <m/>
    <m/>
    <n v="300.80628691725462"/>
    <n v="0"/>
    <n v="1.8095047333559492E-2"/>
    <n v="10.714771653543307"/>
    <n v="0"/>
    <n v="0"/>
    <n v="7.7012519377204464E-2"/>
    <n v="8.3864603557768758E-2"/>
    <m/>
  </r>
  <r>
    <x v="8"/>
    <x v="2"/>
    <s v="Scout"/>
    <n v="1959"/>
    <n v="16.350000000000001"/>
    <n v="22.498159999999999"/>
    <n v="1.47828"/>
    <n v="0.4572"/>
    <n v="206.2029"/>
    <s v="Double Base"/>
    <n v="39"/>
    <n v="13.344659999999999"/>
    <n v="255.04"/>
    <m/>
    <m/>
    <m/>
    <m/>
    <m/>
    <n v="25.8"/>
    <n v="216.8"/>
    <m/>
    <m/>
    <m/>
    <m/>
    <m/>
    <m/>
    <m/>
    <m/>
    <n v="0.70899999999999996"/>
    <m/>
    <n v="242.69399243288063"/>
    <n v="0"/>
    <n v="0"/>
    <n v="0"/>
    <n v="0"/>
    <n v="0"/>
    <n v="9.2701759011286952E-2"/>
    <n v="5.4985539057752303E-2"/>
    <m/>
  </r>
  <r>
    <x v="9"/>
    <x v="2"/>
    <s v="Scout"/>
    <m/>
    <m/>
    <n v="116"/>
    <n v="2.89"/>
    <n v="0.76"/>
    <n v="1162"/>
    <m/>
    <n v="33.700000000000003"/>
    <n v="95.988"/>
    <n v="281.14999999999998"/>
    <m/>
    <m/>
    <n v="0.16900000000000001"/>
    <n v="0.74299999999999999"/>
    <m/>
    <n v="17.91"/>
    <n v="337"/>
    <n v="416"/>
    <s v="Fixed"/>
    <m/>
    <m/>
    <m/>
    <n v="34.472991999999998"/>
    <m/>
    <m/>
    <m/>
    <m/>
    <n v="1311.0368798254781"/>
    <n v="0"/>
    <n v="2.6294448714965939E-2"/>
    <n v="45.359199999999994"/>
    <n v="0"/>
    <n v="0"/>
    <n v="8.8479585727170101E-2"/>
    <n v="7.3215331679134521E-2"/>
    <m/>
  </r>
  <r>
    <x v="10"/>
    <x v="2"/>
    <s v="Scout"/>
    <m/>
    <m/>
    <n v="76.747770000000003"/>
    <n v="2.89"/>
    <n v="0.76"/>
    <n v="945.73929999999996"/>
    <s v="Double Base"/>
    <n v="38.1"/>
    <n v="62.275080000000003"/>
    <n v="256.27639155470251"/>
    <m/>
    <m/>
    <m/>
    <m/>
    <m/>
    <n v="25.15"/>
    <n v="294.39999999999998"/>
    <m/>
    <m/>
    <m/>
    <m/>
    <m/>
    <m/>
    <m/>
    <m/>
    <n v="0.753"/>
    <m/>
    <n v="1311.0368798254781"/>
    <n v="0"/>
    <n v="0"/>
    <n v="0"/>
    <n v="0"/>
    <n v="0"/>
    <n v="5.853974909555288E-2"/>
    <n v="4.7500631720054975E-2"/>
    <m/>
  </r>
  <r>
    <x v="11"/>
    <x v="2"/>
    <s v="Explorer 1"/>
    <n v="1957"/>
    <n v="9.3412620000000004"/>
    <n v="5.07"/>
    <n v="1.1049"/>
    <n v="0.15240000000000001"/>
    <n v="21.899421759999999"/>
    <m/>
    <n v="6.7"/>
    <n v="8.7799999999999994"/>
    <n v="219.8"/>
    <s v="Stainless Steel"/>
    <m/>
    <n v="4.4043599999999995E-2"/>
    <n v="0.15087600000000001"/>
    <n v="0.23723599999999997"/>
    <n v="11.84"/>
    <n v="496"/>
    <n v="527"/>
    <s v="Fixed"/>
    <m/>
    <m/>
    <m/>
    <m/>
    <m/>
    <m/>
    <m/>
    <n v="5.842E-4"/>
    <n v="20.154999371573709"/>
    <n v="0"/>
    <n v="0"/>
    <n v="0"/>
    <n v="0"/>
    <n v="0"/>
    <n v="0.25155049159419213"/>
    <n v="0.43562392824398555"/>
    <m/>
  </r>
  <r>
    <x v="12"/>
    <x v="0"/>
    <s v="Athena, Taurus"/>
    <m/>
    <n v="1957.2168000000001"/>
    <n v="4118.1617679999999"/>
    <n v="9.0169999999999995"/>
    <n v="2.3367999999999998"/>
    <n v="48948.927087999997"/>
    <s v="HTPB"/>
    <n v="79.400000000000006"/>
    <n v="1685.87538"/>
    <n v="280"/>
    <s v="Carbon"/>
    <m/>
    <m/>
    <n v="1.5163800000000001"/>
    <n v="1.448"/>
    <m/>
    <n v="1146"/>
    <n v="1484"/>
    <s v="Vectorable"/>
    <m/>
    <m/>
    <m/>
    <m/>
    <m/>
    <m/>
    <n v="0.92300000000000004"/>
    <m/>
    <n v="38671.858053483353"/>
    <n v="0"/>
    <n v="0"/>
    <n v="0"/>
    <n v="0"/>
    <n v="0"/>
    <n v="0.10648988632262157"/>
    <n v="4.3594372364224823E-2"/>
    <m/>
  </r>
  <r>
    <x v="13"/>
    <x v="0"/>
    <m/>
    <m/>
    <n v="2039.5088700000001"/>
    <n v="4168.0568880000001"/>
    <n v="9.6088199999999997"/>
    <n v="2.33934"/>
    <n v="51797.484848"/>
    <s v="HTPB"/>
    <n v="83.5"/>
    <n v="1697.89002222"/>
    <n v="279.10000000000002"/>
    <m/>
    <m/>
    <m/>
    <n v="1.5189199999999998"/>
    <m/>
    <m/>
    <m/>
    <m/>
    <s v="Vectorable"/>
    <m/>
    <m/>
    <m/>
    <m/>
    <m/>
    <m/>
    <n v="0.93"/>
    <m/>
    <n v="41299.674889789632"/>
    <n v="0"/>
    <n v="0"/>
    <n v="0"/>
    <n v="0"/>
    <n v="0"/>
    <n v="0.10092226873753075"/>
    <n v="4.1111462178598485E-2"/>
    <m/>
  </r>
  <r>
    <x v="14"/>
    <x v="2"/>
    <s v="Antares, Athena"/>
    <m/>
    <n v="330.76519098"/>
    <n v="1121.2794240000001"/>
    <n v="3.6626799999999995"/>
    <n v="2.3367999999999998"/>
    <n v="12745.028016"/>
    <s v="HTPB"/>
    <n v="149.80000000000001"/>
    <n v="238.86941400000001"/>
    <n v="301"/>
    <m/>
    <m/>
    <m/>
    <n v="1.21"/>
    <m/>
    <n v="65"/>
    <m/>
    <m/>
    <s v="Vectorable"/>
    <m/>
    <m/>
    <n v="408"/>
    <m/>
    <m/>
    <m/>
    <n v="0.92"/>
    <m/>
    <n v="15708.39980651352"/>
    <n v="2.5973364889199088E-2"/>
    <n v="0"/>
    <n v="0"/>
    <n v="0"/>
    <n v="0"/>
    <n v="7.1380881427213175E-2"/>
    <n v="1.5206476594831276E-2"/>
    <m/>
  </r>
  <r>
    <x v="15"/>
    <x v="2"/>
    <s v="Antares"/>
    <m/>
    <n v="396.29191980000002"/>
    <n v="1086.35284"/>
    <n v="4.3103799999999994"/>
    <n v="2.3367999999999998"/>
    <n v="12884.28076"/>
    <s v="HTPB"/>
    <n v="126.7"/>
    <n v="299.67658140000003"/>
    <n v="300.60000000000002"/>
    <m/>
    <m/>
    <m/>
    <n v="1.5849599999999999"/>
    <m/>
    <m/>
    <m/>
    <m/>
    <s v="Vectorable"/>
    <m/>
    <m/>
    <m/>
    <m/>
    <m/>
    <m/>
    <n v="0.92"/>
    <m/>
    <n v="18486.237497679227"/>
    <n v="0"/>
    <n v="0"/>
    <n v="0"/>
    <n v="0"/>
    <n v="0"/>
    <n v="5.876549190371385E-2"/>
    <n v="1.6210793647848654E-2"/>
    <m/>
  </r>
  <r>
    <x v="16"/>
    <x v="2"/>
    <s v="Antares"/>
    <m/>
    <n v="533.34157800000003"/>
    <n v="1482.3386559999999"/>
    <n v="5.9893200000000002"/>
    <n v="2.3367999999999998"/>
    <n v="24924.426808"/>
    <s v="HTPB"/>
    <n v="155"/>
    <n v="464.17175700000001"/>
    <n v="294.39999999999998"/>
    <m/>
    <m/>
    <m/>
    <n v="1.99898"/>
    <m/>
    <m/>
    <m/>
    <m/>
    <s v="Vectorable"/>
    <m/>
    <m/>
    <m/>
    <m/>
    <m/>
    <m/>
    <n v="0.94"/>
    <m/>
    <n v="25686.828532426411"/>
    <n v="0"/>
    <n v="0"/>
    <n v="0"/>
    <n v="0"/>
    <n v="0"/>
    <n v="5.770812282757027E-2"/>
    <n v="1.8070419102694642E-2"/>
    <m/>
  </r>
  <r>
    <x v="17"/>
    <x v="0"/>
    <s v="Scout"/>
    <m/>
    <n v="304.3"/>
    <n v="529.25296800000024"/>
    <n v="5.92"/>
    <n v="0.79"/>
    <n v="3320.7470319999998"/>
    <m/>
    <n v="46"/>
    <n v="286.19847479999999"/>
    <n v="273.2"/>
    <s v="Maraging Steel"/>
    <s v="4130 Steel"/>
    <m/>
    <m/>
    <m/>
    <m/>
    <m/>
    <m/>
    <m/>
    <m/>
    <m/>
    <m/>
    <m/>
    <m/>
    <m/>
    <n v="0.82499999999999996"/>
    <m/>
    <n v="2901.7886031559774"/>
    <n v="0"/>
    <n v="0"/>
    <n v="0"/>
    <n v="0"/>
    <n v="0"/>
    <n v="0.18238853354940679"/>
    <n v="9.8628299280220239E-2"/>
    <s v="4.6863m actual body length, 15.5in interior radius"/>
  </r>
  <r>
    <x v="18"/>
    <x v="0"/>
    <s v="Scout"/>
    <m/>
    <n v="324.60000000000002"/>
    <n v="677.21289999999999"/>
    <n v="6.2737999999999996"/>
    <n v="0.79"/>
    <n v="3722.0308025600002"/>
    <s v="TP-H 7025"/>
    <n v="39.118000000000002"/>
    <n v="273.12070800000004"/>
    <n v="282.2"/>
    <s v="4130 Steel"/>
    <s v="4130 Steel"/>
    <n v="0.21099999999999999"/>
    <n v="1.016"/>
    <n v="1.097534"/>
    <n v="21.212"/>
    <m/>
    <m/>
    <m/>
    <n v="53.070259999999998"/>
    <m/>
    <m/>
    <n v="244.486088"/>
    <m/>
    <m/>
    <m/>
    <m/>
    <n v="3075.209685554049"/>
    <n v="0"/>
    <n v="7.9502249602193181E-2"/>
    <n v="309.47606075949363"/>
    <n v="0"/>
    <n v="0"/>
    <n v="0.22021682071997933"/>
    <n v="8.8813686196098501E-2"/>
    <m/>
  </r>
  <r>
    <x v="19"/>
    <x v="0"/>
    <s v="Delta II"/>
    <m/>
    <n v="537.70083360000001"/>
    <n v="1565.345992"/>
    <n v="9.2303599999999992"/>
    <n v="1.01854"/>
    <n v="10108.751312"/>
    <s v="HTPB"/>
    <n v="55.2"/>
    <n v="481.25292180000002"/>
    <n v="265.3"/>
    <m/>
    <m/>
    <n v="0.27860000000000001"/>
    <n v="0.85343999999999998"/>
    <n v="1.1120000000000001"/>
    <m/>
    <n v="685"/>
    <n v="733"/>
    <s v="Fixed"/>
    <m/>
    <m/>
    <m/>
    <m/>
    <m/>
    <m/>
    <n v="0.874"/>
    <m/>
    <n v="7520.8114253183721"/>
    <n v="0"/>
    <n v="0"/>
    <n v="0"/>
    <n v="0"/>
    <n v="0"/>
    <n v="0.20813525342895239"/>
    <n v="6.3989494561702498E-2"/>
    <m/>
  </r>
  <r>
    <x v="20"/>
    <x v="0"/>
    <s v="HII-A"/>
    <m/>
    <n v="765.36073320000003"/>
    <n v="1871.067"/>
    <n v="11.607799999999999"/>
    <n v="1.01854"/>
    <n v="13111.530352"/>
    <s v="HTPB"/>
    <n v="58"/>
    <n v="624.88594560000001"/>
    <n v="282.39999999999998"/>
    <s v="4130 Steel"/>
    <s v="4130 Steel"/>
    <n v="0.31879999999999997"/>
    <n v="1.2827"/>
    <n v="1.2168000000000001"/>
    <m/>
    <n v="613"/>
    <n v="800"/>
    <s v="Fixed"/>
    <m/>
    <m/>
    <m/>
    <m/>
    <m/>
    <m/>
    <n v="0.88"/>
    <n v="0.28000000000000003"/>
    <n v="9457.9274115863955"/>
    <n v="0"/>
    <n v="0"/>
    <n v="0"/>
    <n v="0"/>
    <n v="0"/>
    <n v="0.19783055193549667"/>
    <n v="6.6070072057699034E-2"/>
    <m/>
  </r>
  <r>
    <x v="21"/>
    <x v="0"/>
    <m/>
    <m/>
    <n v="530.00541299999998"/>
    <n v="1565.345992"/>
    <n v="8.983979999999999"/>
    <n v="1.01854"/>
    <n v="9974.4880799999992"/>
    <s v="HTPB"/>
    <n v="63.6"/>
    <n v="411.4158678"/>
    <n v="267.3"/>
    <s v="4130 Steel"/>
    <s v="4130 Steel"/>
    <n v="0.30840000000000001"/>
    <n v="0.93979999999999997"/>
    <m/>
    <m/>
    <n v="451"/>
    <n v="744"/>
    <s v="Vectorable"/>
    <m/>
    <m/>
    <m/>
    <m/>
    <m/>
    <m/>
    <n v="0.86799999999999999"/>
    <m/>
    <n v="7320.0632942628181"/>
    <n v="0"/>
    <n v="0"/>
    <n v="0"/>
    <n v="0"/>
    <n v="0"/>
    <n v="0.21384323182380915"/>
    <n v="5.6203867543392939E-2"/>
    <m/>
  </r>
  <r>
    <x v="22"/>
    <x v="0"/>
    <s v="Scout"/>
    <m/>
    <n v="215.42699999999999"/>
    <n v="927.45956239999998"/>
    <m/>
    <m/>
    <n v="3320.2934399999999"/>
    <s v="PBAA"/>
    <m/>
    <m/>
    <n v="263.98907103825138"/>
    <m/>
    <m/>
    <m/>
    <m/>
    <m/>
    <n v="15.61"/>
    <n v="398.7"/>
    <m/>
    <m/>
    <m/>
    <m/>
    <m/>
    <m/>
    <m/>
    <m/>
    <n v="0.77100000000000002"/>
    <m/>
    <n v="0"/>
    <e v="#DIV/0!"/>
    <e v="#DIV/0!"/>
    <e v="#DIV/0!"/>
    <e v="#DIV/0!"/>
    <e v="#DIV/0!"/>
    <e v="#DIV/0!"/>
    <e v="#DIV/0!"/>
    <m/>
  </r>
  <r>
    <x v="23"/>
    <x v="0"/>
    <s v="Delta II"/>
    <m/>
    <n v="665.72060520000002"/>
    <n v="1201.565208"/>
    <n v="11.40714"/>
    <n v="1.02616"/>
    <n v="11766.17648"/>
    <s v="HTPB"/>
    <n v="63.3"/>
    <n v="516.21593100000007"/>
    <n v="283.39999999999998"/>
    <m/>
    <m/>
    <m/>
    <n v="0.98551999999999984"/>
    <m/>
    <m/>
    <m/>
    <m/>
    <s v="Fixed"/>
    <m/>
    <m/>
    <m/>
    <m/>
    <m/>
    <m/>
    <n v="0.9"/>
    <m/>
    <n v="9434.0205191836576"/>
    <n v="0"/>
    <n v="0"/>
    <n v="0"/>
    <n v="0"/>
    <n v="0"/>
    <n v="0.12736512556408702"/>
    <n v="5.4718550797117529E-2"/>
    <m/>
  </r>
  <r>
    <x v="24"/>
    <x v="0"/>
    <s v="Delta II"/>
    <m/>
    <n v="643.83536279999998"/>
    <n v="1101.7749679999999"/>
    <n v="11.048999999999999"/>
    <n v="1.02616"/>
    <n v="11766.17648"/>
    <s v="HTPB"/>
    <n v="63.3"/>
    <n v="499.090284"/>
    <n v="274"/>
    <m/>
    <m/>
    <m/>
    <n v="0.81711800000000001"/>
    <m/>
    <m/>
    <m/>
    <m/>
    <s v="Fixed"/>
    <m/>
    <m/>
    <m/>
    <m/>
    <m/>
    <m/>
    <n v="0.9"/>
    <m/>
    <n v="9137.8288261965972"/>
    <n v="0"/>
    <n v="0"/>
    <n v="0"/>
    <n v="0"/>
    <n v="0"/>
    <n v="0.12057294888709219"/>
    <n v="5.4618038211570921E-2"/>
    <m/>
  </r>
  <r>
    <x v="25"/>
    <x v="0"/>
    <m/>
    <m/>
    <n v="618.46271592000005"/>
    <n v="1182.5143439999999"/>
    <n v="10.79754"/>
    <n v="1.02616"/>
    <n v="11766.17648"/>
    <s v="HTPB"/>
    <n v="64.599999999999994"/>
    <n v="478.73967750000003"/>
    <n v="265.3"/>
    <m/>
    <m/>
    <m/>
    <n v="0.82041999999999993"/>
    <m/>
    <m/>
    <m/>
    <m/>
    <s v="Vectorable"/>
    <m/>
    <n v="1.3635999999999999"/>
    <m/>
    <m/>
    <m/>
    <m/>
    <n v="0.9"/>
    <m/>
    <n v="8929.8644460141913"/>
    <n v="0"/>
    <n v="0"/>
    <n v="0"/>
    <n v="0"/>
    <n v="0"/>
    <n v="0.13242242938276744"/>
    <n v="5.3611080033099889E-2"/>
    <m/>
  </r>
  <r>
    <x v="26"/>
    <x v="0"/>
    <s v="Delta II Heavy, Delta III"/>
    <m/>
    <n v="916.33332000000007"/>
    <n v="2204.0035280000002"/>
    <n v="12.91844"/>
    <n v="1.14554"/>
    <n v="16864.55056"/>
    <s v="HTPB"/>
    <n v="75.900000000000006"/>
    <n v="632.98170600000003"/>
    <n v="290.7"/>
    <m/>
    <m/>
    <m/>
    <n v="1.25095"/>
    <m/>
    <m/>
    <m/>
    <m/>
    <s v="Fixed"/>
    <m/>
    <m/>
    <m/>
    <m/>
    <m/>
    <m/>
    <n v="0.88"/>
    <m/>
    <n v="13314.365376899477"/>
    <n v="0"/>
    <n v="0"/>
    <n v="0"/>
    <n v="0"/>
    <n v="0"/>
    <n v="0.16553575522450079"/>
    <n v="4.7541259991124171E-2"/>
    <m/>
  </r>
  <r>
    <x v="27"/>
    <x v="0"/>
    <s v="Delta II Heavy, Delta III"/>
    <m/>
    <n v="884.30613600000004"/>
    <n v="1837.0475999999999"/>
    <n v="12.59332"/>
    <n v="1.14554"/>
    <n v="16864.55056"/>
    <s v="HTPB"/>
    <n v="75.900000000000006"/>
    <n v="610.74060600000007"/>
    <n v="277.8"/>
    <m/>
    <m/>
    <m/>
    <n v="1.014222"/>
    <m/>
    <m/>
    <m/>
    <m/>
    <s v="Fixed"/>
    <m/>
    <m/>
    <m/>
    <m/>
    <m/>
    <m/>
    <n v="0.89"/>
    <m/>
    <n v="12979.281073273223"/>
    <n v="0"/>
    <n v="0"/>
    <n v="0"/>
    <n v="0"/>
    <n v="0"/>
    <n v="0.14153693025284936"/>
    <n v="4.7055041227023711E-2"/>
    <m/>
  </r>
  <r>
    <x v="27"/>
    <x v="0"/>
    <s v="Delta II Heavy, Delta III"/>
    <m/>
    <n v="874.52005200000008"/>
    <n v="2111.924352"/>
    <n v="12.4841"/>
    <n v="1.14554"/>
    <n v="16864.55056"/>
    <s v="HTPB"/>
    <n v="76.900000000000006"/>
    <n v="601.39934400000004"/>
    <n v="279.8"/>
    <m/>
    <m/>
    <m/>
    <n v="0.93802199999999991"/>
    <m/>
    <m/>
    <m/>
    <m/>
    <s v="Vectorable"/>
    <m/>
    <n v="274.87675200000001"/>
    <m/>
    <m/>
    <m/>
    <m/>
    <n v="0.88"/>
    <m/>
    <n v="12866.713690023777"/>
    <n v="0"/>
    <n v="0"/>
    <n v="0"/>
    <n v="0"/>
    <n v="0"/>
    <n v="0.16413859847036802"/>
    <n v="4.6740710836388304E-2"/>
    <m/>
  </r>
  <r>
    <x v="28"/>
    <x v="0"/>
    <s v="Delta IV"/>
    <m/>
    <n v="1248.9133847400001"/>
    <n v="3485.400928"/>
    <n v="13.1572"/>
    <n v="1.524"/>
    <n v="29697.575423999999"/>
    <s v="HTPB"/>
    <n v="90.8"/>
    <n v="895.2487572"/>
    <n v="275"/>
    <m/>
    <m/>
    <m/>
    <n v="1.095248"/>
    <m/>
    <m/>
    <m/>
    <m/>
    <s v="Fixed"/>
    <m/>
    <m/>
    <m/>
    <m/>
    <m/>
    <m/>
    <n v="0.89"/>
    <m/>
    <n v="24000.665918333751"/>
    <n v="0"/>
    <n v="0"/>
    <n v="0"/>
    <n v="0"/>
    <n v="0"/>
    <n v="0.14522100927781151"/>
    <n v="3.7300996574271418E-2"/>
    <m/>
  </r>
  <r>
    <x v="28"/>
    <x v="0"/>
    <s v="Delta IV"/>
    <m/>
    <n v="1235.9468234400001"/>
    <n v="3952.1470960000001"/>
    <n v="13.1572"/>
    <n v="1.524"/>
    <n v="29697.575423999999"/>
    <s v="HTPB"/>
    <n v="90.8"/>
    <n v="886.98841265999999"/>
    <n v="274"/>
    <m/>
    <m/>
    <m/>
    <n v="1.095248"/>
    <m/>
    <m/>
    <m/>
    <m/>
    <s v="Vectorable"/>
    <m/>
    <n v="466.74616800000001"/>
    <m/>
    <m/>
    <m/>
    <m/>
    <n v="0.88"/>
    <m/>
    <n v="24000.665918333751"/>
    <n v="0"/>
    <n v="0"/>
    <n v="0"/>
    <n v="0"/>
    <n v="0"/>
    <n v="0.16466822668370271"/>
    <n v="3.6956825101358656E-2"/>
    <m/>
  </r>
  <r>
    <x v="29"/>
    <x v="0"/>
    <m/>
    <m/>
    <n v="2273.4852420000002"/>
    <n v="4295.9698319999998"/>
    <n v="9.6088199999999997"/>
    <n v="2.33934"/>
    <n v="51797.484848"/>
    <s v="HTPB"/>
    <n v="77.900000000000006"/>
    <n v="1816.6530480000001"/>
    <n v="279"/>
    <m/>
    <m/>
    <m/>
    <n v="1.5189199999999998"/>
    <m/>
    <m/>
    <m/>
    <m/>
    <s v="Vectorable"/>
    <m/>
    <m/>
    <m/>
    <m/>
    <m/>
    <m/>
    <n v="0.92"/>
    <m/>
    <n v="41299.674889789632"/>
    <n v="0"/>
    <n v="0"/>
    <n v="0"/>
    <n v="0"/>
    <n v="0"/>
    <n v="0.10401945883264269"/>
    <n v="4.3987102873033139E-2"/>
    <m/>
  </r>
  <r>
    <x v="30"/>
    <x v="2"/>
    <m/>
    <m/>
    <n v="386.28342480000003"/>
    <n v="1373.9301680000001"/>
    <n v="4.1783000000000001"/>
    <n v="2.33934"/>
    <n v="12826.674575999999"/>
    <s v="HTPB"/>
    <n v="133"/>
    <n v="283.4850606"/>
    <n v="300.3"/>
    <m/>
    <m/>
    <m/>
    <n v="1.524"/>
    <m/>
    <m/>
    <m/>
    <m/>
    <s v="Vectorable"/>
    <m/>
    <m/>
    <m/>
    <m/>
    <m/>
    <m/>
    <n v="0.91"/>
    <m/>
    <n v="17958.753685885262"/>
    <n v="0"/>
    <n v="0"/>
    <n v="0"/>
    <n v="0"/>
    <n v="0"/>
    <n v="7.650476152361535E-2"/>
    <n v="1.5785341541980497E-2"/>
    <m/>
  </r>
  <r>
    <x v="31"/>
    <x v="2"/>
    <s v="Pegasus, Taurus, Minotaur"/>
    <m/>
    <n v="36.933570660000001"/>
    <n v="102.51179200000001"/>
    <n v="1.3360399999999999"/>
    <n v="0.96519999999999995"/>
    <n v="770.19921599999998"/>
    <s v="HTPB"/>
    <n v="66.8"/>
    <n v="32.703313440000002"/>
    <n v="289.97000000000003"/>
    <m/>
    <m/>
    <m/>
    <n v="0.52577999999999991"/>
    <m/>
    <m/>
    <m/>
    <m/>
    <s v="Vectorable"/>
    <m/>
    <m/>
    <m/>
    <m/>
    <m/>
    <m/>
    <n v="0.88"/>
    <m/>
    <n v="977.56122877921973"/>
    <n v="0"/>
    <n v="0"/>
    <n v="0"/>
    <n v="0"/>
    <n v="0"/>
    <n v="0.10486482992785723"/>
    <n v="3.3453979635464842E-2"/>
    <m/>
  </r>
  <r>
    <x v="32"/>
    <x v="0"/>
    <s v="Pegasus"/>
    <m/>
    <n v="131.46269388000002"/>
    <n v="329.30779200000006"/>
    <n v="2.6212800000000001"/>
    <n v="1.27508"/>
    <n v="3025.005048"/>
    <s v="HTPB"/>
    <n v="75.099999999999994"/>
    <n v="115.38237858000001"/>
    <n v="290.23"/>
    <m/>
    <m/>
    <m/>
    <n v="0.86105999999999994"/>
    <m/>
    <m/>
    <m/>
    <m/>
    <s v="Vectorable"/>
    <m/>
    <m/>
    <m/>
    <m/>
    <m/>
    <m/>
    <n v="0.9"/>
    <m/>
    <n v="3347.1730245251283"/>
    <n v="0"/>
    <n v="0"/>
    <n v="0"/>
    <n v="0"/>
    <n v="0"/>
    <n v="9.8383856940505721E-2"/>
    <n v="3.447159072285174E-2"/>
    <m/>
  </r>
  <r>
    <x v="33"/>
    <x v="0"/>
    <s v="Pegasus, Minotaur"/>
    <m/>
    <n v="194.44504086000001"/>
    <n v="391.44989600000008"/>
    <n v="3.0708600000000001"/>
    <n v="1.27508"/>
    <n v="3914.9525519999997"/>
    <s v="HTPB"/>
    <n v="71"/>
    <n v="157.96074042000001"/>
    <n v="290.64999999999998"/>
    <m/>
    <m/>
    <m/>
    <n v="0.86105999999999994"/>
    <m/>
    <m/>
    <m/>
    <m/>
    <s v="Vectorable"/>
    <m/>
    <m/>
    <m/>
    <m/>
    <m/>
    <m/>
    <n v="0.91"/>
    <m/>
    <n v="3921.2521188477522"/>
    <n v="0"/>
    <n v="0"/>
    <n v="0"/>
    <n v="0"/>
    <n v="0"/>
    <n v="9.9827780549603229E-2"/>
    <n v="4.028324005507105E-2"/>
    <m/>
  </r>
  <r>
    <x v="34"/>
    <x v="0"/>
    <s v="Pegasus, Hyper-X"/>
    <m/>
    <n v="563.32702902000005"/>
    <n v="1237.3989759999986"/>
    <n v="8.8925400000000003"/>
    <n v="1.27508"/>
    <n v="12156.719192"/>
    <s v="HTPB"/>
    <n v="74.900000000000006"/>
    <n v="467.49457734000003"/>
    <n v="292.25"/>
    <m/>
    <m/>
    <m/>
    <n v="1.4223999999999999"/>
    <m/>
    <m/>
    <m/>
    <m/>
    <s v="Fixed"/>
    <m/>
    <m/>
    <m/>
    <m/>
    <m/>
    <m/>
    <n v="0.91"/>
    <m/>
    <n v="11355.089882618677"/>
    <n v="0"/>
    <n v="0"/>
    <n v="0"/>
    <n v="0"/>
    <n v="0"/>
    <n v="0.10897306747823235"/>
    <n v="4.1170486730853412E-2"/>
    <m/>
  </r>
  <r>
    <x v="35"/>
    <x v="0"/>
    <s v="Pegasus"/>
    <m/>
    <n v="713.51228088000005"/>
    <n v="1364.4047360000022"/>
    <n v="10.269220000000001"/>
    <n v="1.27508"/>
    <n v="15034.306839999999"/>
    <s v="HTPB"/>
    <n v="69.7"/>
    <n v="621.53198771999996"/>
    <n v="292.77999999999997"/>
    <m/>
    <m/>
    <m/>
    <n v="1.4223999999999999"/>
    <m/>
    <m/>
    <m/>
    <m/>
    <s v="Fixed"/>
    <m/>
    <m/>
    <m/>
    <m/>
    <m/>
    <m/>
    <n v="0.92"/>
    <m/>
    <n v="13113.004397437107"/>
    <n v="0"/>
    <n v="0"/>
    <n v="0"/>
    <n v="0"/>
    <n v="0"/>
    <n v="0.10404974288475573"/>
    <n v="4.7398137671750974E-2"/>
    <m/>
  </r>
  <r>
    <x v="36"/>
    <x v="0"/>
    <m/>
    <m/>
    <n v="667.27748220000001"/>
    <n v="1079.5489600000001"/>
    <n v="9.4589599999999994"/>
    <n v="1.27508"/>
    <n v="15034.306839999999"/>
    <s v="HTPB"/>
    <n v="69"/>
    <n v="583.60646399999996"/>
    <n v="272.26"/>
    <m/>
    <m/>
    <m/>
    <n v="0.91439999999999999"/>
    <m/>
    <m/>
    <m/>
    <m/>
    <s v="Vectorable"/>
    <m/>
    <m/>
    <m/>
    <m/>
    <m/>
    <m/>
    <n v="0.93"/>
    <m/>
    <n v="12078.364673770908"/>
    <n v="0"/>
    <n v="0"/>
    <n v="0"/>
    <n v="0"/>
    <n v="0"/>
    <n v="8.9378735379990901E-2"/>
    <n v="4.8318334456927438E-2"/>
    <m/>
  </r>
  <r>
    <x v="37"/>
    <x v="0"/>
    <s v="Taurus"/>
    <m/>
    <n v="693.13498505999996"/>
    <n v="1187.5038560000012"/>
    <n v="9.9263200000000005"/>
    <n v="1.27508"/>
    <n v="15034.306839999999"/>
    <s v="HTPB"/>
    <n v="69"/>
    <n v="610.26019824000002"/>
    <n v="284.61"/>
    <m/>
    <m/>
    <m/>
    <n v="1.2090399999999999"/>
    <m/>
    <m/>
    <m/>
    <m/>
    <s v="Vectorable"/>
    <m/>
    <m/>
    <m/>
    <m/>
    <m/>
    <m/>
    <n v="0.93"/>
    <m/>
    <n v="12675.147461089344"/>
    <n v="0"/>
    <n v="0"/>
    <n v="0"/>
    <n v="0"/>
    <n v="0"/>
    <n v="9.3687577177736694E-2"/>
    <n v="4.814620106893433E-2"/>
    <m/>
  </r>
  <r>
    <x v="38"/>
    <x v="0"/>
    <s v="Taurus"/>
    <m/>
    <n v="543.12321378000001"/>
    <n v="1044.1687839999995"/>
    <n v="8.5191599999999994"/>
    <n v="1.27508"/>
    <n v="12156.719192"/>
    <s v="HTPB"/>
    <n v="74.2"/>
    <n v="459.75022632000002"/>
    <n v="284.97000000000003"/>
    <m/>
    <m/>
    <m/>
    <n v="1.2090399999999999"/>
    <m/>
    <m/>
    <m/>
    <m/>
    <s v="Vectorable"/>
    <m/>
    <m/>
    <m/>
    <m/>
    <m/>
    <m/>
    <n v="0.92"/>
    <m/>
    <n v="10878.312329706667"/>
    <n v="0"/>
    <n v="0"/>
    <n v="0"/>
    <n v="0"/>
    <n v="0"/>
    <n v="9.5986284669228233E-2"/>
    <n v="4.2263010326014164E-2"/>
    <m/>
  </r>
  <r>
    <x v="39"/>
    <x v="1"/>
    <s v="Ariane 5"/>
    <m/>
    <n v="6700"/>
    <n v="31300"/>
    <n v="26.77"/>
    <n v="3.05"/>
    <n v="237700"/>
    <s v="HTPB"/>
    <n v="129"/>
    <n v="4984"/>
    <n v="275.39999999999998"/>
    <s v="D6AC Steel"/>
    <m/>
    <n v="0.9"/>
    <n v="2.99"/>
    <n v="3.78"/>
    <n v="11"/>
    <m/>
    <n v="884.73"/>
    <s v="Vectorable"/>
    <n v="4900"/>
    <m/>
    <n v="19700"/>
    <n v="6400"/>
    <m/>
    <n v="315"/>
    <m/>
    <m/>
    <n v="195586.07492967747"/>
    <n v="0.10072291704347096"/>
    <n v="3.2722165943056554E-2"/>
    <n v="2098.3606557377052"/>
    <n v="0"/>
    <n v="1.6105441050098149E-3"/>
    <n v="0.16003184281526098"/>
    <n v="2.5482386728155292E-2"/>
    <m/>
  </r>
  <r>
    <x v="40"/>
    <x v="1"/>
    <s v="Shuttle"/>
    <m/>
    <n v="14796.163116420001"/>
    <n v="67709.945800000001"/>
    <n v="38.442645999999996"/>
    <n v="3.710432"/>
    <n v="501638.73259999999"/>
    <s v="PBAN"/>
    <n v="122.2"/>
    <n v="10811.202988320001"/>
    <n v="286.39999999999998"/>
    <s v="D6AC Steel"/>
    <m/>
    <n v="1.3839999999999999"/>
    <n v="3.8010000000000002"/>
    <n v="4.54"/>
    <n v="7.72"/>
    <n v="661"/>
    <n v="917"/>
    <s v="Vectorable"/>
    <m/>
    <m/>
    <n v="44791.302816000003"/>
    <n v="10859.899664"/>
    <n v="12058.74332"/>
    <n v="200"/>
    <n v="0.88"/>
    <n v="1.165"/>
    <n v="415673.27905150817"/>
    <n v="0.10775603117478641"/>
    <n v="2.6126047093477701E-2"/>
    <n v="2926.8558658398806"/>
    <n v="2.9010147940026088E-2"/>
    <n v="4.8114711741001034E-4"/>
    <n v="0.16289222620829019"/>
    <n v="2.6008895767823292E-2"/>
    <s v="3.2m segment"/>
  </r>
  <r>
    <x v="41"/>
    <x v="1"/>
    <m/>
    <m/>
    <m/>
    <n v="31012.085039999998"/>
    <n v="12.68984"/>
    <n v="3.7109399999999999"/>
    <n v="152511.69175199998"/>
    <s v="PBAN"/>
    <n v="115.8"/>
    <n v="3571.8717295800002"/>
    <n v="276.53216984751555"/>
    <m/>
    <m/>
    <m/>
    <n v="2.38252"/>
    <m/>
    <n v="10.75"/>
    <n v="750.8"/>
    <m/>
    <s v="Vectorable"/>
    <m/>
    <m/>
    <n v="14001.024264"/>
    <n v="7257.4719999999998"/>
    <n v="9753.5887760000005"/>
    <m/>
    <n v="0.83"/>
    <m/>
    <n v="137250.486583908"/>
    <n v="0.10201074409627307"/>
    <n v="5.2877568456292129E-2"/>
    <n v="1955.6964003729513"/>
    <n v="7.1064147157228114E-2"/>
    <n v="0"/>
    <n v="0.2259524597097933"/>
    <n v="2.6024474072784715E-2"/>
    <m/>
  </r>
  <r>
    <x v="42"/>
    <x v="1"/>
    <m/>
    <m/>
    <m/>
    <n v="37419.979224000002"/>
    <n v="17.703799999999998"/>
    <n v="3.7109399999999999"/>
    <n v="216134.773632"/>
    <s v="PBAN"/>
    <n v="117"/>
    <n v="5045.0955042599999"/>
    <n v="278.49241546623688"/>
    <m/>
    <m/>
    <m/>
    <n v="2.8778199999999998"/>
    <m/>
    <n v="11.8"/>
    <n v="741.6"/>
    <m/>
    <s v="Vectorable"/>
    <m/>
    <m/>
    <n v="18899.364271999999"/>
    <n v="7257.4719999999998"/>
    <n v="11263.142952"/>
    <m/>
    <n v="0.85"/>
    <m/>
    <n v="191480.3625880382"/>
    <n v="9.8701318592451029E-2"/>
    <n v="3.7901912770105517E-2"/>
    <n v="1955.6964003729513"/>
    <n v="5.8821399749655633E-2"/>
    <n v="0"/>
    <n v="0.1954246311122122"/>
    <n v="2.6347848082543621E-2"/>
    <m/>
  </r>
  <r>
    <x v="43"/>
    <x v="1"/>
    <m/>
    <m/>
    <m/>
    <n v="43842.388352000002"/>
    <n v="21.843999999999998"/>
    <n v="3.7109399999999999"/>
    <n v="280774.80877599999"/>
    <s v="PBAN"/>
    <n v="114.1"/>
    <n v="6660.9914872200006"/>
    <n v="275.92871278491378"/>
    <m/>
    <m/>
    <m/>
    <n v="3.01498"/>
    <m/>
    <n v="10.4"/>
    <n v="798.7"/>
    <m/>
    <s v="Vectorable"/>
    <m/>
    <m/>
    <n v="23797.704279999998"/>
    <n v="7257.4719999999998"/>
    <n v="12787.212072"/>
    <m/>
    <n v="0.86"/>
    <m/>
    <n v="236259.8448001619"/>
    <n v="0.10072682600857991"/>
    <n v="3.0718178140422728E-2"/>
    <n v="1955.6964003729513"/>
    <n v="5.4123509997291076E-2"/>
    <n v="0"/>
    <n v="0.18556851414629372"/>
    <n v="2.8193498107366217E-2"/>
    <m/>
  </r>
  <r>
    <x v="44"/>
    <x v="1"/>
    <m/>
    <m/>
    <m/>
    <n v="49089.994200000001"/>
    <n v="26.3398"/>
    <n v="3.7109399999999999"/>
    <n v="344271.79207999998"/>
    <s v="PBAN"/>
    <n v="113.2"/>
    <n v="8228.7532815600007"/>
    <n v="275.76709706320241"/>
    <m/>
    <m/>
    <m/>
    <n v="3.3959799999999998"/>
    <m/>
    <n v="11.1"/>
    <n v="831.8"/>
    <m/>
    <s v="Vectorable"/>
    <m/>
    <m/>
    <n v="28447.475871999999"/>
    <n v="7711.0640000000003"/>
    <n v="12931.454328"/>
    <m/>
    <n v="0.87"/>
    <m/>
    <n v="284885.41750903241"/>
    <n v="9.9855851242712554E-2"/>
    <n v="2.7067247131929865E-2"/>
    <n v="2077.9274253962608"/>
    <n v="4.5391773440246384E-2"/>
    <n v="0"/>
    <n v="0.1723148718148888"/>
    <n v="2.8884431339133407E-2"/>
    <m/>
  </r>
  <r>
    <x v="45"/>
    <x v="1"/>
    <m/>
    <m/>
    <m/>
    <n v="62777.132799999999"/>
    <n v="29.36748"/>
    <n v="3.7109399999999999"/>
    <n v="382507.78331199999"/>
    <s v="PBAN"/>
    <n v="133.69999999999999"/>
    <n v="7433.1268594800003"/>
    <n v="264.44171965383038"/>
    <m/>
    <m/>
    <m/>
    <n v="3.7998399999999997"/>
    <m/>
    <n v="7.89"/>
    <n v="442"/>
    <m/>
    <s v="Vectorable"/>
    <m/>
    <m/>
    <n v="35217.336472000003"/>
    <n v="10995.523671999999"/>
    <n v="16564.726247999999"/>
    <m/>
    <n v="0.86"/>
    <m/>
    <n v="317632.13088133396"/>
    <n v="0.11087460319043432"/>
    <n v="3.4617164332495953E-2"/>
    <n v="2963.0022775900443"/>
    <n v="5.2150663102117058E-2"/>
    <n v="0"/>
    <n v="0.19764100258312114"/>
    <n v="2.3401684328519603E-2"/>
    <m/>
  </r>
  <r>
    <x v="46"/>
    <x v="1"/>
    <m/>
    <m/>
    <m/>
    <n v="74354.161416000003"/>
    <n v="37.498019999999997"/>
    <n v="3.7109399999999999"/>
    <n v="505371.79476000002"/>
    <s v="PBAN"/>
    <n v="132.80000000000001"/>
    <n v="9996.186775260001"/>
    <n v="267.46727340450838"/>
    <m/>
    <m/>
    <m/>
    <n v="3.7998399999999997"/>
    <m/>
    <n v="7.72"/>
    <n v="572"/>
    <m/>
    <s v="Vectorable"/>
    <m/>
    <m/>
    <n v="45053.478991999997"/>
    <n v="10949.710880000001"/>
    <n v="18350.517951999998"/>
    <m/>
    <n v="0.87"/>
    <m/>
    <n v="405570.24288195238"/>
    <n v="0.11108674707457156"/>
    <n v="2.6998309348812574E-2"/>
    <n v="2950.6569440626904"/>
    <n v="4.5246213878026562E-2"/>
    <n v="0"/>
    <n v="0.18333238870693469"/>
    <n v="2.4647239166827997E-2"/>
    <m/>
  </r>
  <r>
    <x v="47"/>
    <x v="1"/>
    <s v="Ares, SLS"/>
    <m/>
    <m/>
    <n v="85418.631072000004"/>
    <n v="47.363379999999999"/>
    <n v="3.7109399999999999"/>
    <n v="647641.83274400001"/>
    <s v="PBAN"/>
    <n v="131.9"/>
    <n v="12859.461507060001"/>
    <n v="267.10027755852155"/>
    <m/>
    <m/>
    <m/>
    <n v="3.8747700000000003"/>
    <m/>
    <n v="6.55"/>
    <n v="625.79999999999995"/>
    <m/>
    <s v="Vectorable"/>
    <m/>
    <m/>
    <n v="57988.562056000002"/>
    <n v="10899.362168"/>
    <n v="16530.706848000002"/>
    <m/>
    <n v="0.88"/>
    <m/>
    <n v="512271.78209169995"/>
    <n v="0.11319882156932796"/>
    <n v="2.1276522637057812E-2"/>
    <n v="2937.089300285103"/>
    <n v="3.2269407423735276E-2"/>
    <n v="0"/>
    <n v="0.16674475163012106"/>
    <n v="2.5102810571670478E-2"/>
    <m/>
  </r>
  <r>
    <x v="48"/>
    <x v="1"/>
    <s v="Ares"/>
    <m/>
    <n v="15794.8285404"/>
    <m/>
    <n v="47.45355"/>
    <n v="3.710432"/>
    <n v="623016.77665599994"/>
    <s v="PBAN"/>
    <m/>
    <m/>
    <m/>
    <s v="Maraging Steel"/>
    <m/>
    <n v="1.4442439999999999"/>
    <n v="3.8798499999999998"/>
    <m/>
    <n v="7.22"/>
    <m/>
    <m/>
    <s v="Vectorable"/>
    <m/>
    <m/>
    <m/>
    <m/>
    <m/>
    <m/>
    <m/>
    <m/>
    <n v="513106.53098995058"/>
    <n v="0"/>
    <n v="0"/>
    <n v="0"/>
    <n v="0"/>
    <n v="0"/>
    <n v="0"/>
    <n v="0"/>
    <m/>
  </r>
  <r>
    <x v="49"/>
    <x v="1"/>
    <s v="Titan IVB"/>
    <m/>
    <m/>
    <n v="36564.504712000002"/>
    <n v="34.264600000000002"/>
    <n v="3.2003999999999997"/>
    <n v="315440.123784"/>
    <s v="HTPB"/>
    <n v="135.69999999999999"/>
    <n v="6407.6698064399998"/>
    <n v="281.087919"/>
    <m/>
    <m/>
    <m/>
    <n v="3.2664399999999998"/>
    <m/>
    <n v="15.7"/>
    <n v="859.5"/>
    <m/>
    <s v="Vectorable"/>
    <m/>
    <m/>
    <n v="15909.7394"/>
    <n v="6670.5239519999996"/>
    <n v="13984.24136"/>
    <m/>
    <n v="0.89"/>
    <m/>
    <n v="275641.16140559869"/>
    <n v="5.7719026138441057E-2"/>
    <n v="2.4200028464487929E-2"/>
    <n v="2084.2782002249719"/>
    <n v="5.0733501806076629E-2"/>
    <n v="0"/>
    <n v="0.13265255640900561"/>
    <n v="2.3246418545636888E-2"/>
    <m/>
  </r>
  <r>
    <x v="50"/>
    <x v="2"/>
    <s v="Satellites"/>
    <n v="1995"/>
    <n v="8.8074756000000001"/>
    <n v="8.7089663999999996"/>
    <n v="0.57150000000000001"/>
    <n v="0.31089600000000001"/>
    <n v="32.930779199999996"/>
    <s v="TP-H-3340A (HTPB)"/>
    <n v="14.8"/>
    <n v="6.4721601"/>
    <n v="284.7"/>
    <s v="Graphite"/>
    <m/>
    <n v="1.7551399999999998E-2"/>
    <n v="0.133604"/>
    <m/>
    <n v="58.1"/>
    <n v="1550"/>
    <n v="1950"/>
    <s v="Vectorable"/>
    <m/>
    <m/>
    <n v="6.4863656000000001"/>
    <n v="2.0411640000000002"/>
    <n v="0.18143680000000001"/>
    <m/>
    <n v="0.79"/>
    <m/>
    <n v="43.384678647279905"/>
    <n v="0.14950820894017794"/>
    <n v="4.7048037778377676E-2"/>
    <n v="6.5654238073182034"/>
    <n v="4.1820478025224594E-3"/>
    <n v="0"/>
    <n v="0.20073829452107805"/>
    <n v="0.14918077768004365"/>
    <m/>
  </r>
  <r>
    <x v="51"/>
    <x v="2"/>
    <s v="Satellites"/>
    <n v="1984"/>
    <n v="9.6081552000000006"/>
    <n v="5.5791816000000001"/>
    <n v="0.63779399999999997"/>
    <n v="0.34467799999999998"/>
    <n v="41.231512800000004"/>
    <s v="TP-H-3062 (CTPB)"/>
    <n v="16.100000000000001"/>
    <n v="7.5975597600000002"/>
    <n v="286.60000000000002"/>
    <s v="Titanium"/>
    <m/>
    <n v="3.0479999999999997E-2"/>
    <n v="0.20370799999999997"/>
    <m/>
    <n v="49.8"/>
    <n v="823"/>
    <n v="935"/>
    <s v="Fixed"/>
    <m/>
    <m/>
    <n v="2.5401151999999998"/>
    <n v="1.6782904000000001"/>
    <n v="1.360776"/>
    <m/>
    <n v="0.88"/>
    <m/>
    <n v="59.511026201965649"/>
    <n v="4.2683101974741275E-2"/>
    <n v="2.8201335233311205E-2"/>
    <n v="4.8691543991783641"/>
    <n v="2.2865947486468544E-2"/>
    <n v="0"/>
    <n v="9.375038469452103E-2"/>
    <n v="0.12766642158405686"/>
    <m/>
  </r>
  <r>
    <x v="52"/>
    <x v="2"/>
    <s v="Satellites"/>
    <n v="1967"/>
    <n v="12.3438105"/>
    <n v="8.5275295999999994"/>
    <n v="0.68732399999999994"/>
    <n v="0.44195999999999996"/>
    <n v="69.626372000000003"/>
    <s v="TP-H-3062 (CTPB)"/>
    <n v="18.600000000000001"/>
    <n v="10.9426212"/>
    <n v="290"/>
    <s v="Titanium"/>
    <m/>
    <n v="3.4848799999999999E-2"/>
    <n v="0.27152599999999999"/>
    <m/>
    <n v="60.7"/>
    <n v="803"/>
    <n v="1000"/>
    <s v="Fixed"/>
    <m/>
    <m/>
    <n v="3.9916096000000003"/>
    <n v="3.175144"/>
    <n v="1.360776"/>
    <m/>
    <n v="0.88"/>
    <m/>
    <n v="105.44289471232499"/>
    <n v="3.7855652681862785E-2"/>
    <n v="3.01124509969363E-2"/>
    <n v="7.1842338673183095"/>
    <n v="1.2905336141544129E-2"/>
    <n v="0"/>
    <n v="8.0873439820343201E-2"/>
    <n v="0.10377770099971412"/>
    <m/>
  </r>
  <r>
    <x v="53"/>
    <x v="2"/>
    <s v="Satellites"/>
    <n v="1969"/>
    <n v="17.348058000000002"/>
    <n v="12.020187999999999"/>
    <n v="0.981456"/>
    <n v="0.44195999999999996"/>
    <n v="112.26402"/>
    <s v="TP-H-3062 (CTPB)"/>
    <n v="20.6"/>
    <n v="16.013591999999999"/>
    <n v="290.10000000000002"/>
    <s v="Titanium"/>
    <m/>
    <n v="4.7853599999999996E-2"/>
    <n v="0.34925"/>
    <m/>
    <n v="53.2"/>
    <n v="670"/>
    <n v="700"/>
    <s v="Fixed"/>
    <m/>
    <m/>
    <n v="5.9420551999999995"/>
    <n v="4.6719976000000001"/>
    <n v="1.4061352"/>
    <m/>
    <n v="0.89"/>
    <m/>
    <n v="150.56590730540421"/>
    <n v="3.9464811831188849E-2"/>
    <n v="3.1029584874904211E-2"/>
    <n v="10.571086976196941"/>
    <n v="9.3390012730294233E-3"/>
    <n v="0"/>
    <n v="7.9833397979122478E-2"/>
    <n v="0.10635602897486228"/>
    <m/>
  </r>
  <r>
    <x v="54"/>
    <x v="2"/>
    <s v="Scout"/>
    <n v="1974"/>
    <n v="29.892038400000001"/>
    <n v="26.580491200000001"/>
    <n v="1.4859"/>
    <n v="0.50037999999999994"/>
    <n v="272.88094719999998"/>
    <s v="TP-H-3062 (CTPB)"/>
    <n v="31.5"/>
    <n v="24.465209999999999"/>
    <n v="288.5"/>
    <s v="Fiber Glass"/>
    <m/>
    <n v="5.8419999999999993E-2"/>
    <n v="0.41909999999999997"/>
    <m/>
    <n v="50.2"/>
    <n v="654"/>
    <n v="807"/>
    <s v="Fixed"/>
    <m/>
    <m/>
    <n v="11.0222856"/>
    <n v="5.6699000000000002"/>
    <n v="9.8883056000000007"/>
    <m/>
    <n v="0.91"/>
    <m/>
    <n v="292.19942005598421"/>
    <n v="3.7721791500777709E-2"/>
    <n v="1.9404213734967958E-2"/>
    <n v="11.331188296894362"/>
    <n v="3.3840948753784121E-2"/>
    <n v="0"/>
    <n v="9.0966953989529781E-2"/>
    <n v="8.372778424855383E-2"/>
    <m/>
  </r>
  <r>
    <x v="55"/>
    <x v="2"/>
    <s v="Skynet II"/>
    <n v="1973"/>
    <n v="19.6611324"/>
    <n v="16.147875200000001"/>
    <n v="1.0286999999999999"/>
    <n v="0.62229999999999996"/>
    <n v="199.85263520000001"/>
    <s v="TP-H-3062 (CTPB)"/>
    <n v="31.1"/>
    <n v="18.549077400000002"/>
    <n v="286"/>
    <s v="Titanium"/>
    <m/>
    <n v="6.1467999999999995E-2"/>
    <n v="0.37795200000000001"/>
    <m/>
    <n v="37.799999999999997"/>
    <n v="486"/>
    <n v="524"/>
    <s v="Fixed"/>
    <m/>
    <m/>
    <n v="5.8966960000000004"/>
    <n v="5.9420551999999995"/>
    <n v="4.3091239999999997"/>
    <m/>
    <n v="0.92"/>
    <m/>
    <n v="312.88030274449443"/>
    <n v="1.8846491608055571E-2"/>
    <n v="1.8991464620425225E-2"/>
    <n v="9.5485380041780488"/>
    <n v="1.3772436175117531E-2"/>
    <n v="0"/>
    <n v="5.1610392403598333E-2"/>
    <n v="5.9284899807667421E-2"/>
    <m/>
  </r>
  <r>
    <x v="56"/>
    <x v="2"/>
    <s v="IUE"/>
    <n v="1976"/>
    <n v="21.351455999999999"/>
    <n v="17.554010400000003"/>
    <n v="1.0668"/>
    <n v="0.62229999999999996"/>
    <n v="219.53852799999999"/>
    <s v="TP-H-3062 (CTPB)"/>
    <n v="29.6"/>
    <n v="20.684222999999999"/>
    <n v="285.10000000000002"/>
    <s v="Titanium"/>
    <m/>
    <n v="6.2052200000000002E-2"/>
    <n v="0.37795200000000001"/>
    <m/>
    <n v="37.1"/>
    <n v="544"/>
    <n v="598"/>
    <s v="Fixed"/>
    <m/>
    <m/>
    <n v="6.3956472"/>
    <n v="5.9420551999999995"/>
    <n v="5.2163079999999997"/>
    <m/>
    <n v="0.92"/>
    <m/>
    <n v="324.46846210540167"/>
    <n v="1.9711152074688886E-2"/>
    <n v="1.8313198026838607E-2"/>
    <n v="9.5485380041780488"/>
    <n v="1.6076471550278169E-2"/>
    <n v="0"/>
    <n v="5.4100821651805672E-2"/>
    <n v="6.3748023046014415E-2"/>
    <m/>
  </r>
  <r>
    <x v="57"/>
    <x v="2"/>
    <s v="Strypi IV"/>
    <n v="1964"/>
    <n v="35.585760000000001"/>
    <n v="37.648136000000001"/>
    <n v="0.83819999999999995"/>
    <n v="0.66039999999999999"/>
    <n v="230.651532"/>
    <s v="TP-H-3114"/>
    <n v="19"/>
    <n v="33.361650000000004"/>
    <n v="272.39999999999998"/>
    <s v="D6AC Steel"/>
    <m/>
    <n v="7.7724000000000001E-2"/>
    <n v="0.3175"/>
    <m/>
    <n v="16.7"/>
    <n v="575"/>
    <n v="650"/>
    <s v="Fixed"/>
    <m/>
    <m/>
    <n v="17.9622432"/>
    <n v="10.5686936"/>
    <n v="9.1171991999999999"/>
    <m/>
    <n v="0.86"/>
    <m/>
    <n v="287.11221327015721"/>
    <n v="6.2561752408277008E-2"/>
    <n v="3.681032401800137E-2"/>
    <n v="16.003473046638401"/>
    <n v="3.1754828873898175E-2"/>
    <n v="0"/>
    <n v="0.13112690530017657"/>
    <n v="0.11619725131166217"/>
    <m/>
  </r>
  <r>
    <x v="58"/>
    <x v="2"/>
    <s v="Burner IIA"/>
    <n v="1970"/>
    <n v="38.926373220000002"/>
    <n v="22.815677599999997"/>
    <n v="0.84074000000000004"/>
    <n v="0.66293999999999997"/>
    <n v="237.682208"/>
    <s v="TP-H-3114"/>
    <n v="18.600000000000001"/>
    <n v="34.624944480000003"/>
    <n v="272.39999999999998"/>
    <s v="Titanium"/>
    <m/>
    <n v="7.5260199999999999E-2"/>
    <n v="0.3175"/>
    <m/>
    <n v="17.8"/>
    <n v="623"/>
    <n v="680"/>
    <s v="Fixed"/>
    <m/>
    <m/>
    <n v="10.659412"/>
    <n v="8.7543255999999996"/>
    <n v="3.4019399999999997"/>
    <m/>
    <n v="0.91"/>
    <m/>
    <n v="290.20175845160401"/>
    <n v="3.6731038629380444E-2"/>
    <n v="3.0166342363703941E-2"/>
    <n v="13.205306060880321"/>
    <n v="1.1722671902993758E-2"/>
    <n v="0"/>
    <n v="7.8620052896078138E-2"/>
    <n v="0.11931335173413256"/>
    <m/>
  </r>
  <r>
    <x v="59"/>
    <x v="2"/>
    <s v="Strypi IV"/>
    <m/>
    <n v="38.254691999999999"/>
    <n v="29.528839199999997"/>
    <n v="0.84074000000000004"/>
    <n v="0.66293999999999997"/>
    <n v="231.96694879999998"/>
    <s v="TP-H-3114"/>
    <n v="18.3"/>
    <n v="35.007491399999999"/>
    <n v="273.39999999999998"/>
    <s v="Titanium"/>
    <m/>
    <n v="7.5260199999999999E-2"/>
    <n v="0.3175"/>
    <m/>
    <n v="17.8"/>
    <n v="640"/>
    <n v="690"/>
    <s v="Fixed"/>
    <m/>
    <m/>
    <n v="10.7047712"/>
    <n v="8.9811215999999998"/>
    <n v="20.599475713062397"/>
    <m/>
    <n v="0.88"/>
    <m/>
    <n v="290.20175845160401"/>
    <n v="3.6887340921420361E-2"/>
    <n v="3.0947853823903523E-2"/>
    <n v="13.547412435514527"/>
    <n v="7.0983290463064869E-2"/>
    <n v="0"/>
    <n v="0.10175279211798582"/>
    <n v="0.120631561940856"/>
    <m/>
  </r>
  <r>
    <x v="60"/>
    <x v="2"/>
    <s v="Satellites"/>
    <n v="1975"/>
    <n v="28.201714800000001"/>
    <n v="24.312531199999999"/>
    <n v="1.23698"/>
    <n v="0.69342000000000004"/>
    <n v="333.66227520000001"/>
    <s v="TP-H-3135"/>
    <n v="37.299999999999997"/>
    <n v="25.443818400000001"/>
    <n v="290.7"/>
    <s v="Titanium"/>
    <s v="Carbon-Phenolic"/>
    <n v="6.9596000000000005E-2"/>
    <n v="0.48514000000000002"/>
    <m/>
    <n v="48.8"/>
    <n v="497"/>
    <n v="563"/>
    <s v="Fixed"/>
    <m/>
    <m/>
    <n v="10.7047712"/>
    <n v="9.2532768000000001"/>
    <n v="15.259720291584001"/>
    <m/>
    <n v="0.92"/>
    <m/>
    <n v="467.13809626812025"/>
    <n v="2.2915645898971704E-2"/>
    <n v="1.9808439675382324E-2"/>
    <n v="13.344404257160162"/>
    <n v="3.2666400821279792E-2"/>
    <n v="0"/>
    <n v="5.2045704245122178E-2"/>
    <n v="5.4467444644883289E-2"/>
    <m/>
  </r>
  <r>
    <x v="61"/>
    <x v="2"/>
    <s v="IBEX"/>
    <n v="2007"/>
    <n v="23.353155000000001"/>
    <n v="26.671209599999997"/>
    <n v="1.2191999999999998"/>
    <n v="0.69342000000000004"/>
    <n v="337.83532159999999"/>
    <s v="TP-H-3340A (HTPB)"/>
    <n v="47.3"/>
    <n v="20.684222999999999"/>
    <n v="294.3"/>
    <s v="Titanium"/>
    <m/>
    <n v="5.5879999999999999E-2"/>
    <n v="0.50520600000000004"/>
    <m/>
    <n v="81.7"/>
    <n v="596"/>
    <n v="633"/>
    <s v="Fixed"/>
    <m/>
    <m/>
    <n v="9.8883056000000007"/>
    <n v="13.154168"/>
    <n v="3.628736"/>
    <m/>
    <n v="0.92"/>
    <m/>
    <n v="460.42358564414315"/>
    <n v="2.1476540099843136E-2"/>
    <n v="2.8569709307130774E-2"/>
    <n v="18.969986444002192"/>
    <n v="7.8812991192084899E-3"/>
    <n v="0"/>
    <n v="5.7927548526182392E-2"/>
    <n v="4.4924334123896577E-2"/>
    <m/>
  </r>
  <r>
    <x v="62"/>
    <x v="3"/>
    <s v="MER"/>
    <n v="2003"/>
    <n v="2.0506294199999999"/>
    <n v="0.67585207999999997"/>
    <n v="0.28854399999999997"/>
    <n v="8.0771999999999997E-2"/>
    <n v="0.48080752000000004"/>
    <s v="TP-H-3498"/>
    <n v="0.66"/>
    <n v="1.9349757000000001"/>
    <n v="266"/>
    <s v="Titanium"/>
    <m/>
    <n v="1.17094E-2"/>
    <n v="5.2628799999999996E-2"/>
    <m/>
    <n v="20.2"/>
    <n v="1502"/>
    <n v="1596"/>
    <s v="Fixed"/>
    <m/>
    <m/>
    <n v="0.18143680000000001"/>
    <n v="0.26308335999999999"/>
    <n v="0.23133192"/>
    <m/>
    <n v="0.42"/>
    <m/>
    <n v="1.4785077405672782"/>
    <n v="0.12271616510467899"/>
    <n v="0.17793843940178453"/>
    <n v="3.2571108800079234"/>
    <n v="0.1564631105084657"/>
    <n v="0"/>
    <n v="0.4571177150149292"/>
    <n v="1.3087355898844215"/>
    <m/>
  </r>
  <r>
    <x v="63"/>
    <x v="2"/>
    <s v="Satellites"/>
    <n v="1984"/>
    <n v="30.892887900000002"/>
    <n v="32.840060800000003"/>
    <n v="1.5062199999999999"/>
    <n v="0.76200000000000001"/>
    <n v="505.12005119999998"/>
    <s v="TP-H-3340A (HTPB)"/>
    <n v="55"/>
    <n v="26.622596699999999"/>
    <n v="294.89999999999998"/>
    <s v="Titanium"/>
    <m/>
    <n v="6.8072000000000008E-2"/>
    <n v="0.58419999999999994"/>
    <m/>
    <n v="73.7"/>
    <n v="514"/>
    <n v="595"/>
    <s v="Fixed"/>
    <m/>
    <m/>
    <n v="13.834555999999999"/>
    <n v="15.331409599999999"/>
    <n v="3.6740952"/>
    <m/>
    <n v="0.93"/>
    <m/>
    <n v="686.89164524960972"/>
    <n v="2.0140812740519876E-2"/>
    <n v="2.2319982643592518E-2"/>
    <n v="20.119960104986873"/>
    <n v="5.3488715802692136E-3"/>
    <n v="0"/>
    <n v="4.7809666964381617E-2"/>
    <n v="3.8758073247965631E-2"/>
    <m/>
  </r>
  <r>
    <x v="64"/>
    <x v="2"/>
    <s v="Satellites"/>
    <n v="1985"/>
    <n v="37.587459000000003"/>
    <n v="33.656526400000004"/>
    <n v="1.49352"/>
    <n v="0.76200000000000001"/>
    <n v="590.80358000000001"/>
    <s v="TP-H-3340A (HTPB)"/>
    <n v="52"/>
    <n v="32.472006"/>
    <n v="288.8"/>
    <s v="Titanium"/>
    <m/>
    <n v="7.3405999999999999E-2"/>
    <n v="0.50037999999999994"/>
    <m/>
    <n v="46.4"/>
    <n v="552"/>
    <n v="604"/>
    <s v="Fixed"/>
    <m/>
    <m/>
    <n v="16.193234400000001"/>
    <n v="15.331409599999999"/>
    <n v="2.1318823999999998"/>
    <m/>
    <n v="0.94"/>
    <m/>
    <n v="681.09997876352531"/>
    <n v="2.3775120987960294E-2"/>
    <n v="2.2509778414371368E-2"/>
    <n v="20.119960104986873"/>
    <n v="3.1300579451936515E-3"/>
    <n v="0"/>
    <n v="4.9414957347525316E-2"/>
    <n v="4.7675828824646209E-2"/>
    <m/>
  </r>
  <r>
    <x v="65"/>
    <x v="2"/>
    <s v="Satellites"/>
    <m/>
    <n v="38.032280999999998"/>
    <n v="36.105923199999999"/>
    <n v="1.6332199999999999"/>
    <n v="0.76200000000000001"/>
    <n v="590.80358000000001"/>
    <s v="TP-H-3340A (HTPB)"/>
    <n v="52"/>
    <n v="32.916828000000002"/>
    <n v="294.2"/>
    <s v="Titanium"/>
    <m/>
    <n v="7.3405999999999999E-2"/>
    <n v="0.58419999999999994"/>
    <m/>
    <n v="63.2"/>
    <n v="552"/>
    <n v="604"/>
    <s v="Fixed"/>
    <m/>
    <m/>
    <n v="16.193234400000001"/>
    <n v="15.648923999999999"/>
    <n v="4.2637647999999997"/>
    <m/>
    <n v="0.93"/>
    <m/>
    <n v="744.80831011045382"/>
    <n v="2.174147922382683E-2"/>
    <n v="2.1010673199496514E-2"/>
    <n v="20.536645669291339"/>
    <n v="5.7246471905874558E-3"/>
    <n v="0"/>
    <n v="4.8476799613910798E-2"/>
    <n v="4.419503320944216E-2"/>
    <m/>
  </r>
  <r>
    <x v="66"/>
    <x v="2"/>
    <s v="Satellites"/>
    <n v="1988"/>
    <n v="39.366747000000004"/>
    <n v="37.421340000000001"/>
    <n v="1.6840199999999999"/>
    <n v="0.76200000000000001"/>
    <n v="631.40006400000004"/>
    <s v="TP-H-3340A (HTPB)"/>
    <n v="51.8"/>
    <n v="35.140937999999998"/>
    <n v="292.8"/>
    <s v="Titanium"/>
    <m/>
    <n v="7.619999999999999E-2"/>
    <n v="0.58419999999999994"/>
    <m/>
    <n v="58.6"/>
    <n v="537"/>
    <n v="590"/>
    <s v="Fixed"/>
    <n v="10.020000000000001"/>
    <m/>
    <n v="17.45"/>
    <n v="16.98"/>
    <n v="6.35"/>
    <n v="0.53"/>
    <n v="0.93"/>
    <m/>
    <n v="767.97497605479134"/>
    <n v="2.2722094526625599E-2"/>
    <n v="2.2110095419031674E-2"/>
    <n v="22.283464566929133"/>
    <n v="8.2684985813222082E-3"/>
    <n v="6.9012665324421599E-4"/>
    <n v="4.8727290819082843E-2"/>
    <n v="4.5757920629816019E-2"/>
    <m/>
  </r>
  <r>
    <x v="67"/>
    <x v="2"/>
    <s v="Scout"/>
    <n v="1978"/>
    <n v="95.63673"/>
    <n v="95.254319999999993"/>
    <n v="2.8702000000000001"/>
    <n v="0.76454"/>
    <n v="1285.9333200000001"/>
    <s v="TP-H-3340A (HTPB)"/>
    <n v="46"/>
    <n v="82.292069999999995"/>
    <n v="296.3"/>
    <s v="Kevlar"/>
    <m/>
    <n v="9.4995999999999997E-2"/>
    <n v="0.72821800000000003"/>
    <m/>
    <n v="58.1"/>
    <n v="712"/>
    <n v="865"/>
    <s v="Fixed"/>
    <m/>
    <m/>
    <n v="41.730463999999998"/>
    <n v="29.710276"/>
    <n v="23.813579999999998"/>
    <m/>
    <n v="0.93"/>
    <m/>
    <n v="1317.6572802121734"/>
    <n v="3.1670195753238976E-2"/>
    <n v="2.2547802411273406E-2"/>
    <n v="38.860329086771131"/>
    <n v="1.8072666054837462E-2"/>
    <n v="0"/>
    <n v="7.2290664219349848E-2"/>
    <n v="6.2453318655628767E-2"/>
    <m/>
  </r>
  <r>
    <x v="68"/>
    <x v="2"/>
    <s v="Satellites"/>
    <n v="1984"/>
    <n v="54.8243115"/>
    <n v="73.708699999999993"/>
    <n v="1.6890999999999998"/>
    <n v="0.93471999999999988"/>
    <n v="1065.9865591999999"/>
    <s v="TP-H-3340A (HTPB)"/>
    <n v="63.3"/>
    <n v="48.160877939999999"/>
    <n v="291.89999999999998"/>
    <s v="Titanium"/>
    <m/>
    <n v="8.9408000000000001E-2"/>
    <n v="0.62102999999999997"/>
    <m/>
    <n v="48.2"/>
    <n v="540"/>
    <n v="642"/>
    <s v="Fixed"/>
    <n v="15.42"/>
    <m/>
    <n v="32.11"/>
    <n v="33.24"/>
    <n v="8.08"/>
    <n v="0.82000000000000006"/>
    <n v="0.93"/>
    <m/>
    <n v="1159.066393490318"/>
    <n v="2.7703331043277483E-2"/>
    <n v="2.8678253624370712E-2"/>
    <n v="35.561451557685729"/>
    <n v="6.9711278364896316E-3"/>
    <n v="7.0746594380216566E-4"/>
    <n v="6.3593164648695952E-2"/>
    <n v="4.1551440202637797E-2"/>
    <m/>
  </r>
  <r>
    <x v="69"/>
    <x v="2"/>
    <s v="Satellites"/>
    <m/>
    <n v="55.60275"/>
    <n v="98.384104800000003"/>
    <n v="1.9177"/>
    <n v="0.93471999999999988"/>
    <n v="1063.8093176"/>
    <s v="TP-H-3340A (HTPB)"/>
    <n v="63.3"/>
    <n v="48.841455600000003"/>
    <n v="296.60000000000002"/>
    <s v="Titanium"/>
    <s v="Carbon-Phenolic"/>
    <n v="8.9408000000000001E-2"/>
    <n v="0.74828399999999995"/>
    <m/>
    <n v="70"/>
    <n v="540"/>
    <n v="642"/>
    <s v="Vectorable"/>
    <m/>
    <m/>
    <n v="32.250391199999996"/>
    <n v="44.905608000000001"/>
    <n v="63.386760810873604"/>
    <m/>
    <n v="0.91"/>
    <m/>
    <n v="1315.9325219326167"/>
    <n v="2.4507632923788627E-2"/>
    <n v="3.4124552172363917E-2"/>
    <n v="48.041775077028419"/>
    <n v="4.8168701475499641E-2"/>
    <n v="0"/>
    <n v="7.4763791577633673E-2"/>
    <n v="3.7115471185612182E-2"/>
    <m/>
  </r>
  <r>
    <x v="70"/>
    <x v="2"/>
    <s v="Satellites"/>
    <n v="1998"/>
    <n v="67.835355000000007"/>
    <n v="103.6911312"/>
    <n v="1.6814800000000001"/>
    <n v="0.89407999999999999"/>
    <n v="974.31561599999998"/>
    <s v="TP-H-3340A (HTPB)"/>
    <n v="50.2"/>
    <n v="56.937215999999999"/>
    <n v="295.5"/>
    <s v="Graphite"/>
    <m/>
    <n v="6.3500000000000001E-2"/>
    <n v="0.59435999999999989"/>
    <m/>
    <n v="88.2"/>
    <n v="1050"/>
    <n v="1350"/>
    <s v="Vectorable"/>
    <m/>
    <m/>
    <n v="69.626372000000003"/>
    <n v="34.291555199999998"/>
    <n v="6.3049287999999999"/>
    <m/>
    <n v="0.9"/>
    <m/>
    <n v="1055.6849922692725"/>
    <n v="6.595373857719905E-2"/>
    <n v="3.2482753331832238E-2"/>
    <n v="38.35401216893343"/>
    <n v="5.9723580861437576E-3"/>
    <n v="0"/>
    <n v="9.8221658884349861E-2"/>
    <n v="5.3933906815904688E-2"/>
    <m/>
  </r>
  <r>
    <x v="71"/>
    <x v="2"/>
    <s v="Satellites"/>
    <n v="1984"/>
    <n v="42.480501000000004"/>
    <n v="63.638957600000005"/>
    <n v="1.5036799999999999"/>
    <n v="0.93218000000000001"/>
    <n v="883.68793440000002"/>
    <s v="TP-H-3340A (HTPB)"/>
    <n v="67"/>
    <n v="38.032280999999998"/>
    <n v="292.60000000000002"/>
    <s v="Titanium"/>
    <m/>
    <n v="8.0771999999999997E-2"/>
    <n v="0.59715399999999996"/>
    <m/>
    <n v="54.8"/>
    <n v="527"/>
    <n v="576"/>
    <s v="Fixed"/>
    <n v="12.156265599999999"/>
    <m/>
    <n v="26.353695200000001"/>
    <n v="31.751439999999999"/>
    <n v="1.814368"/>
    <m/>
    <n v="0.92500000000000004"/>
    <m/>
    <n v="1026.2303783728426"/>
    <n v="2.568009655082084E-2"/>
    <n v="3.0939875362434748E-2"/>
    <n v="34.061490270119506"/>
    <n v="1.7679928778534142E-3"/>
    <n v="0"/>
    <n v="6.2012350190708505E-2"/>
    <n v="3.7060178495498003E-2"/>
    <m/>
  </r>
  <r>
    <x v="72"/>
    <x v="3"/>
    <s v="MER"/>
    <n v="2003"/>
    <n v="0.80067960000000005"/>
    <n v="0.77110639999999997"/>
    <n v="0.1905"/>
    <n v="8.0771999999999997E-2"/>
    <n v="0.12246984000000001"/>
    <s v="TP-H-3498"/>
    <n v="0.49"/>
    <n v="0.61385436000000004"/>
    <n v="241.2"/>
    <s v="Titanium"/>
    <m/>
    <n v="1.1684E-2"/>
    <n v="2.794E-2"/>
    <m/>
    <n v="5.7"/>
    <n v="520"/>
    <n v="676"/>
    <s v="Fixed"/>
    <m/>
    <m/>
    <n v="0"/>
    <n v="0"/>
    <n v="0"/>
    <m/>
    <n v="0.14000000000000001"/>
    <m/>
    <n v="0.97612746956466456"/>
    <n v="0"/>
    <n v="0"/>
    <n v="0"/>
    <n v="0"/>
    <n v="0"/>
    <n v="0.78996486016718659"/>
    <n v="0.62886700675862361"/>
    <m/>
  </r>
  <r>
    <x v="73"/>
    <x v="2"/>
    <s v="Satellites"/>
    <n v="1984"/>
    <n v="94.079853"/>
    <n v="127.00576"/>
    <n v="2.032"/>
    <n v="1.2445999999999999"/>
    <n v="2429.9830624000001"/>
    <s v="TP-H-3340A (HTPB)"/>
    <n v="88.2"/>
    <n v="77.176617000000007"/>
    <n v="285.3"/>
    <s v="Titanium"/>
    <m/>
    <n v="0.11404599999999999"/>
    <n v="0.63652399999999998"/>
    <m/>
    <n v="31.2"/>
    <n v="543"/>
    <n v="607"/>
    <s v="Fixed"/>
    <m/>
    <m/>
    <n v="69.671731199999996"/>
    <n v="38.283164800000002"/>
    <n v="19.050864000000001"/>
    <m/>
    <n v="0.94"/>
    <m/>
    <n v="2472.1406636602028"/>
    <n v="2.8182753604661558E-2"/>
    <n v="1.548583596506143E-2"/>
    <n v="30.759412502008679"/>
    <n v="7.706221688774645E-3"/>
    <n v="0"/>
    <n v="5.1374811258497632E-2"/>
    <n v="3.1218537898945374E-2"/>
    <m/>
  </r>
  <r>
    <x v="74"/>
    <x v="2"/>
    <s v="Satellites"/>
    <n v="1984"/>
    <n v="96.303962999999996"/>
    <n v="133.49212560000001"/>
    <n v="2.2351999999999999"/>
    <n v="1.2445999999999999"/>
    <n v="2429.9830624000001"/>
    <s v="TP-H-3340A (HTPB)"/>
    <n v="88.2"/>
    <n v="78.955905000000001"/>
    <n v="291.89999999999998"/>
    <s v="Titanium"/>
    <m/>
    <n v="0.11404599999999999"/>
    <n v="0.74929999999999997"/>
    <m/>
    <n v="43.1"/>
    <n v="543"/>
    <n v="607"/>
    <s v="Fixed"/>
    <m/>
    <m/>
    <n v="69.671731199999996"/>
    <n v="46.175665599999995"/>
    <n v="17.644728799999999"/>
    <m/>
    <n v="0.94"/>
    <m/>
    <n v="2719.354730026223"/>
    <n v="2.562068509514687E-2"/>
    <n v="1.6980375928944996E-2"/>
    <n v="37.100807970432264"/>
    <n v="6.4885719414141492E-3"/>
    <n v="0"/>
    <n v="4.9089632965506023E-2"/>
    <n v="2.9034794220921159E-2"/>
    <m/>
  </r>
  <r>
    <x v="75"/>
    <x v="2"/>
    <s v="Satellites"/>
    <n v="1984"/>
    <n v="76.1090442"/>
    <n v="111.31147680000001"/>
    <n v="1.8288"/>
    <n v="1.2445999999999999"/>
    <n v="2009.9568703999998"/>
    <s v="TP-H-3340A (HTPB)"/>
    <n v="85.2"/>
    <n v="67.168121999999997"/>
    <n v="287.89999999999998"/>
    <s v="Titanium"/>
    <m/>
    <n v="0.101092"/>
    <n v="0.63652399999999998"/>
    <m/>
    <n v="39.6"/>
    <n v="579"/>
    <n v="618"/>
    <s v="Fixed"/>
    <m/>
    <m/>
    <n v="58.286572"/>
    <n v="36.8316704"/>
    <n v="16.193234400000001"/>
    <m/>
    <n v="0.94"/>
    <m/>
    <n v="2224.9265972941826"/>
    <n v="2.6197076375860898E-2"/>
    <n v="1.6554105849960348E-2"/>
    <n v="29.593178852643423"/>
    <n v="7.2780982616204989E-3"/>
    <n v="0"/>
    <n v="5.0029280487441749E-2"/>
    <n v="3.0188915931737115E-2"/>
    <m/>
  </r>
  <r>
    <x v="76"/>
    <x v="2"/>
    <s v="Satellites"/>
    <n v="1984"/>
    <n v="77.799367799999999"/>
    <n v="116.9360176"/>
    <n v="2.032"/>
    <n v="1.2445999999999999"/>
    <n v="2009.9568703999998"/>
    <s v="TP-H-3340A (HTPB)"/>
    <n v="85.2"/>
    <n v="68.636034600000002"/>
    <n v="294.2"/>
    <s v="Titanium"/>
    <m/>
    <n v="0.101092"/>
    <n v="0.74929999999999997"/>
    <m/>
    <n v="54.8"/>
    <n v="579"/>
    <n v="618"/>
    <s v="Fixed"/>
    <m/>
    <m/>
    <n v="58.286572"/>
    <n v="43.8169872"/>
    <n v="14.832458400000002"/>
    <m/>
    <n v="0.94"/>
    <m/>
    <n v="2472.1406636602028"/>
    <n v="2.3577368738274807E-2"/>
    <n v="1.7724309884181683E-2"/>
    <n v="35.205678290213726"/>
    <n v="5.9998440291174028E-3"/>
    <n v="0"/>
    <n v="4.7301522651573891E-2"/>
    <n v="2.7763806327419427E-2"/>
    <m/>
  </r>
  <r>
    <x v="77"/>
    <x v="2"/>
    <s v="Satellites"/>
    <n v="1993"/>
    <n v="77.799367799999999"/>
    <n v="138.57235599999998"/>
    <n v="2.07518"/>
    <n v="1.2445999999999999"/>
    <n v="2009.9568703999998"/>
    <s v="TP-H-3340A (HTPB)"/>
    <n v="85.2"/>
    <n v="68.636034600000002"/>
    <n v="294.2"/>
    <s v="Titanium"/>
    <m/>
    <n v="0.101092"/>
    <n v="0.74929999999999997"/>
    <m/>
    <n v="54.8"/>
    <n v="579"/>
    <n v="618"/>
    <s v="Vectorable"/>
    <m/>
    <n v="21.6363384"/>
    <n v="58.286572"/>
    <n v="52.616672000000001"/>
    <n v="27.669111999999998"/>
    <m/>
    <n v="0.93"/>
    <m/>
    <n v="2524.6736527629823"/>
    <n v="2.3086774774320494E-2"/>
    <n v="2.0840979562810721E-2"/>
    <n v="42.275969789490603"/>
    <n v="1.0959480632167704E-2"/>
    <n v="0"/>
    <n v="5.4887234969298912E-2"/>
    <n v="2.7186101666995765E-2"/>
    <m/>
  </r>
  <r>
    <x v="78"/>
    <x v="3"/>
    <s v="Nanosat"/>
    <n v="2000"/>
    <n v="0.30692718000000002"/>
    <n v="0.48534344000000001"/>
    <n v="0.13792199999999999"/>
    <n v="0.11303000000000001"/>
    <n v="0.97975872000000008"/>
    <s v="TP-H-3399"/>
    <n v="10.8"/>
    <n v="0.25799675999999999"/>
    <n v="275.60000000000002"/>
    <s v="Graphite"/>
    <m/>
    <n v="3.8099999999999996E-3"/>
    <n v="2.8701999999999995E-2"/>
    <m/>
    <n v="56.8"/>
    <n v="2185"/>
    <n v="2600"/>
    <s v="Fixed"/>
    <m/>
    <m/>
    <n v="0.22226008"/>
    <n v="0.20865232"/>
    <n v="7.7110640000000008E-2"/>
    <m/>
    <n v="0.65"/>
    <m/>
    <n v="1.3839196721276148"/>
    <n v="0.16060186474428903"/>
    <n v="0.15076909751504683"/>
    <n v="1.8459906219587718"/>
    <n v="5.5719014299039055E-2"/>
    <n v="0"/>
    <n v="0.35070203117630461"/>
    <n v="0.18642466408715769"/>
    <m/>
  </r>
  <r>
    <x v="79"/>
    <x v="3"/>
    <s v="Satellites"/>
    <n v="1988"/>
    <n v="0.16903235999999999"/>
    <n v="2.3042473600000002"/>
    <n v="0.22453599999999999"/>
    <n v="0.130302"/>
    <n v="2.2906396"/>
    <s v="TP-H-3399"/>
    <n v="35.6"/>
    <n v="0.16903235999999999"/>
    <n v="255.3"/>
    <s v="Aluminum"/>
    <m/>
    <n v="6.0959999999999999E-3"/>
    <n v="3.26136E-2"/>
    <m/>
    <n v="28.6"/>
    <n v="453"/>
    <n v="516"/>
    <s v="Fixed"/>
    <m/>
    <m/>
    <n v="0.91625584000000004"/>
    <n v="0.25854743999999996"/>
    <n v="2.0696972591910399"/>
    <m/>
    <n v="0.49"/>
    <m/>
    <n v="2.9941808366424207"/>
    <n v="0.30601219164419613"/>
    <n v="8.6349974869896914E-2"/>
    <n v="1.9842169728783898"/>
    <n v="0.69123989902758598"/>
    <n v="0"/>
    <n v="0.7695752146299587"/>
    <n v="5.6453624287285037E-2"/>
    <m/>
  </r>
  <r>
    <x v="80"/>
    <x v="3"/>
    <s v="Titan II"/>
    <n v="1976"/>
    <n v="2.0239400999999999"/>
    <n v="2.34053472"/>
    <n v="0.34112199999999998"/>
    <n v="0.12115799999999999"/>
    <n v="2.0638435999999998"/>
    <s v="TP-H-3062 (CTPB)"/>
    <n v="2.94"/>
    <n v="1.9527685800000001"/>
    <n v="275.2"/>
    <s v="4130 Steel"/>
    <m/>
    <n v="1.22682E-2"/>
    <n v="5.9435999999999996E-2"/>
    <m/>
    <n v="23.51"/>
    <n v="1348"/>
    <n v="1390"/>
    <s v="Fixed"/>
    <m/>
    <m/>
    <n v="1.9232300800000002"/>
    <n v="0.18143680000000001"/>
    <n v="0.23586784"/>
    <m/>
    <n v="0.46"/>
    <m/>
    <n v="3.932817574876033"/>
    <n v="0.48902092288392568"/>
    <n v="4.6134049328672232E-2"/>
    <n v="1.4975222436818041"/>
    <n v="5.9974264127273899E-2"/>
    <n v="0"/>
    <n v="0.5951292363398718"/>
    <n v="0.4965316958698634"/>
    <m/>
  </r>
  <r>
    <x v="81"/>
    <x v="3"/>
    <s v="Titan IVB"/>
    <n v="1989"/>
    <n v="2.18852424"/>
    <n v="2.34053472"/>
    <n v="0.34112199999999998"/>
    <n v="0.12115799999999999"/>
    <n v="2.0955950400000001"/>
    <s v="TP-H-3237A"/>
    <n v="2.77"/>
    <n v="2.0417329799999999"/>
    <n v="270"/>
    <s v="4130 Steel"/>
    <m/>
    <n v="1.22682E-2"/>
    <n v="5.9435999999999996E-2"/>
    <m/>
    <n v="23.5"/>
    <n v="1388"/>
    <n v="1434"/>
    <s v="Fixed"/>
    <m/>
    <m/>
    <n v="1.9232300800000002"/>
    <n v="0.18143680000000001"/>
    <n v="0.23586784"/>
    <m/>
    <n v="0.47"/>
    <m/>
    <n v="3.932817574876033"/>
    <n v="0.48902092288392568"/>
    <n v="4.6134049328672232E-2"/>
    <n v="1.4975222436818041"/>
    <n v="5.9974264127273899E-2"/>
    <n v="0"/>
    <n v="0.5951292363398718"/>
    <n v="0.51915272985026717"/>
    <m/>
  </r>
  <r>
    <x v="82"/>
    <x v="3"/>
    <s v="Pathfinder"/>
    <n v="1996"/>
    <n v="6.2719902000000003"/>
    <n v="3.2295750399999998"/>
    <n v="0.83057999999999998"/>
    <n v="0.12395199999999999"/>
    <n v="6.9036702400000003"/>
    <s v="TP-H-3062 (CTPB)"/>
    <n v="3.28"/>
    <n v="5.5647232200000003"/>
    <n v="259.5"/>
    <s v="Titanium"/>
    <s v="Cant: 17 deg"/>
    <n v="2.2072599999999998E-2"/>
    <n v="5.9563000000000005E-2"/>
    <m/>
    <n v="7.3"/>
    <n v="1299"/>
    <n v="1406"/>
    <s v="Fixed"/>
    <m/>
    <m/>
    <n v="2.6898005599999997"/>
    <n v="0.63502879999999995"/>
    <n v="0"/>
    <m/>
    <n v="0.68"/>
    <m/>
    <n v="10.02255453194447"/>
    <n v="0.26837474931435001"/>
    <n v="6.3359974543016867E-2"/>
    <n v="5.1231831676778103"/>
    <n v="0"/>
    <n v="0"/>
    <n v="0.32223072767591437"/>
    <n v="0.55522004916648648"/>
    <m/>
  </r>
  <r>
    <x v="83"/>
    <x v="3"/>
    <s v="Atlas V"/>
    <n v="2011"/>
    <n v="6.0629238600000006"/>
    <n v="10.21942776"/>
    <n v="0.94640399999999991"/>
    <n v="0.12318999999999998"/>
    <n v="3.81924464"/>
    <s v="TP-H-3237B"/>
    <n v="1.93"/>
    <n v="5.2844853600000006"/>
    <n v="254.2"/>
    <s v="Stainless Steel"/>
    <s v="Cant: 20 deg"/>
    <n v="2.1589999999999998E-2"/>
    <n v="6.4769999999999994E-2"/>
    <m/>
    <n v="9.1"/>
    <n v="1315"/>
    <n v="1757"/>
    <s v="Fixed"/>
    <m/>
    <m/>
    <n v="0"/>
    <n v="0"/>
    <n v="0"/>
    <m/>
    <n v="0.27"/>
    <m/>
    <n v="11.280214523286595"/>
    <n v="0"/>
    <n v="0"/>
    <n v="0"/>
    <n v="0"/>
    <n v="0"/>
    <n v="0.90596040872301375"/>
    <n v="0.46847383523521119"/>
    <m/>
  </r>
  <r>
    <x v="84"/>
    <x v="2"/>
    <s v="PAM"/>
    <n v="1978"/>
    <n v="118.8119562"/>
    <n v="230.424736"/>
    <n v="1.778"/>
    <n v="1.6001999999999998"/>
    <n v="3250.6670679999997"/>
    <s v="TP-H-1202"/>
    <n v="108"/>
    <n v="84.738591"/>
    <n v="285"/>
    <s v="Kevlar"/>
    <m/>
    <n v="0.10601960000000001"/>
    <n v="0.55422799999999994"/>
    <m/>
    <n v="27.3"/>
    <n v="607"/>
    <n v="957"/>
    <s v="Fixed"/>
    <m/>
    <m/>
    <n v="105.913732"/>
    <n v="60.781328000000002"/>
    <n v="63.729675999999998"/>
    <m/>
    <n v="0.93"/>
    <m/>
    <n v="3575.7748885085075"/>
    <n v="2.9619798589775797E-2"/>
    <n v="1.6998085700342429E-2"/>
    <n v="37.983582052243477"/>
    <n v="1.7822619708194858E-2"/>
    <n v="0"/>
    <n v="6.4440503998313081E-2"/>
    <n v="2.3697965795421015E-2"/>
    <m/>
  </r>
  <r>
    <x v="85"/>
    <x v="2"/>
    <s v="Long March"/>
    <n v="1990"/>
    <n v="125.26187520000001"/>
    <n v="291.79573359999995"/>
    <n v="2.7101799999999998"/>
    <n v="1.6027400000000001"/>
    <n v="4264.4905472"/>
    <s v="TP-H-1202"/>
    <n v="120"/>
    <n v="104.62213440000001"/>
    <n v="299.60000000000002"/>
    <s v="Kevlar"/>
    <m/>
    <n v="0.11303000000000001"/>
    <n v="1.0007599999999999"/>
    <m/>
    <n v="78.400000000000006"/>
    <n v="680"/>
    <n v="874"/>
    <s v="Fixed"/>
    <m/>
    <m/>
    <n v="128.50261360000002"/>
    <n v="95.889348800000008"/>
    <n v="67.403771199999994"/>
    <m/>
    <n v="0.93"/>
    <m/>
    <n v="5467.8194955336949"/>
    <n v="2.3501619558759287E-2"/>
    <n v="1.7537036267990514E-2"/>
    <n v="59.828386887455238"/>
    <n v="1.2327358511936566E-2"/>
    <n v="0"/>
    <n v="5.3366014338686353E-2"/>
    <n v="1.9134160241657393E-2"/>
    <m/>
  </r>
  <r>
    <x v="86"/>
    <x v="3"/>
    <m/>
    <n v="1984"/>
    <n v="2.82017148"/>
    <n v="4.0460406400000002"/>
    <n v="0.40360600000000002"/>
    <n v="0.18592800000000001"/>
    <n v="6.1008123999999997"/>
    <s v="TP-H-3237A"/>
    <n v="7.2"/>
    <n v="2.5132443000000002"/>
    <n v="274"/>
    <s v="Aluminum"/>
    <m/>
    <n v="1.6814800000000001E-2"/>
    <n v="9.5503999999999992E-2"/>
    <m/>
    <n v="32.1"/>
    <n v="846"/>
    <n v="907"/>
    <s v="Fixed"/>
    <m/>
    <m/>
    <n v="2.7306238399999998"/>
    <n v="0.36287360000000002"/>
    <n v="0.95254320000000003"/>
    <m/>
    <n v="0.59"/>
    <m/>
    <n v="10.958146204995252"/>
    <n v="0.24918665884885252"/>
    <n v="3.3114506159315951E-2"/>
    <n v="1.9516888257820231"/>
    <n v="8.6925578668204384E-2"/>
    <n v="0"/>
    <n v="0.36922674367637287"/>
    <n v="0.22934940390322062"/>
    <m/>
  </r>
  <r>
    <x v="87"/>
    <x v="3"/>
    <s v="MER"/>
    <n v="2003"/>
    <n v="7.7487992400000003"/>
    <n v="5.0802303999999996"/>
    <n v="0.68757800000000002"/>
    <n v="0.20472400000000002"/>
    <n v="12.30141504"/>
    <s v="TP-H-3062 (CTPB)"/>
    <n v="4.51"/>
    <n v="7.4774578200000006"/>
    <n v="274"/>
    <s v="Titanium"/>
    <s v="Cant: 17 deg"/>
    <n v="2.2326599999999999E-2"/>
    <n v="0.10401299999999999"/>
    <m/>
    <n v="21.7"/>
    <n v="1500"/>
    <n v="1572"/>
    <s v="Fixed"/>
    <m/>
    <m/>
    <n v="2.7759830399999998"/>
    <n v="1.6737544799999999"/>
    <n v="0.63049287999999992"/>
    <m/>
    <n v="0.71"/>
    <m/>
    <n v="22.633377685780168"/>
    <n v="0.12264996760709126"/>
    <n v="7.395071576309914E-2"/>
    <n v="8.175663234403391"/>
    <n v="2.78567736885387E-2"/>
    <n v="0"/>
    <n v="0.2244574570587291"/>
    <n v="0.33037304125834693"/>
    <m/>
  </r>
  <r>
    <x v="88"/>
    <x v="1"/>
    <s v="Titan IIIC"/>
    <s v="3.35m per Segment"/>
    <n v="5666.7520000000004"/>
    <n v="37224"/>
    <n v="25.91"/>
    <n v="3.05"/>
    <n v="192466"/>
    <s v="PBAN"/>
    <n v="113.8"/>
    <n v="5338"/>
    <n v="266"/>
    <s v="D6AC Steel"/>
    <s v="Cant: 6 deg"/>
    <n v="0.95757999999999999"/>
    <n v="2.708402"/>
    <n v="3.2021779999999995"/>
    <m/>
    <n v="781"/>
    <n v="843"/>
    <s v="Vectorable"/>
    <n v="4176"/>
    <n v="7077"/>
    <n v="16253"/>
    <n v="8128"/>
    <n v="1419"/>
    <n v="171"/>
    <n v="0.85899999999999999"/>
    <m/>
    <n v="189302.77181277337"/>
    <n v="8.5857168621253727E-2"/>
    <n v="4.2936508124872347E-2"/>
    <n v="2664.9180327868853"/>
    <n v="7.4959282762295599E-3"/>
    <n v="9.0331482398538037E-4"/>
    <n v="0.19663737431597544"/>
    <n v="2.8198213628268774E-2"/>
    <s v="3.35m per segment, 5.33m nose segment, 4.26m base segment, 2562 kg Each Segment Case Mass, 33225.4 kg Each Segment Propell"/>
  </r>
  <r>
    <x v="89"/>
    <x v="1"/>
    <m/>
    <s v="3.35m per Segment"/>
    <n v="6900.1819999999998"/>
    <n v="46833"/>
    <n v="34.14"/>
    <n v="3.05"/>
    <n v="268920"/>
    <s v="PBAN"/>
    <n v="121.3"/>
    <n v="7450"/>
    <n v="269.5"/>
    <s v="D6AC Steel"/>
    <s v="Cant: 6 deg"/>
    <n v="1.056894"/>
    <n v="3.2031939999999999"/>
    <n v="4.1216071999999997"/>
    <m/>
    <n v="794"/>
    <n v="856"/>
    <s v="Vectorable"/>
    <n v="5993"/>
    <n v="7091"/>
    <n v="21915"/>
    <n v="9477"/>
    <n v="2186"/>
    <n v="171"/>
    <n v="0.871"/>
    <m/>
    <n v="249432.52140826255"/>
    <n v="8.7859433390124309E-2"/>
    <n v="3.7994243679589694E-2"/>
    <n v="3107.2131147540986"/>
    <n v="8.7638932872832198E-3"/>
    <n v="6.8555615376277696E-4"/>
    <n v="0.18775819502439844"/>
    <n v="2.9867797342296425E-2"/>
    <s v="3.35m per segment, 6.1m nose, 5.18m mount, 2513 kg each segment case mass, 38417 kg Each Segment Propell"/>
  </r>
  <r>
    <x v="90"/>
    <x v="3"/>
    <s v="Saturn V"/>
    <m/>
    <m/>
    <n v="102.511792"/>
    <n v="2.1844000000000001"/>
    <n v="0.38734999999999997"/>
    <n v="126.09857599999999"/>
    <s v="PBAN"/>
    <n v="0.63300000000000001"/>
    <n v="391.05636486000003"/>
    <n v="200.2"/>
    <s v="4130 Steel"/>
    <m/>
    <m/>
    <m/>
    <m/>
    <m/>
    <m/>
    <m/>
    <s v="Fixed"/>
    <m/>
    <m/>
    <m/>
    <m/>
    <m/>
    <m/>
    <m/>
    <m/>
    <n v="257.41222577026724"/>
    <n v="0"/>
    <n v="0"/>
    <n v="0"/>
    <n v="0"/>
    <n v="0"/>
    <n v="0.39823979491746725"/>
    <n v="1.5191833398348618"/>
    <m/>
  </r>
  <r>
    <x v="91"/>
    <x v="3"/>
    <s v="Saturn V"/>
    <m/>
    <m/>
    <m/>
    <n v="2.2605999999999997"/>
    <n v="0.3175"/>
    <n v="152.40691200000001"/>
    <s v="PBAN"/>
    <n v="3.7"/>
    <n v="100.974594"/>
    <m/>
    <s v="4130 Steel"/>
    <m/>
    <m/>
    <m/>
    <m/>
    <m/>
    <m/>
    <m/>
    <s v="Fixed"/>
    <m/>
    <m/>
    <m/>
    <m/>
    <m/>
    <m/>
    <m/>
    <m/>
    <n v="178.97858238246926"/>
    <n v="0"/>
    <n v="0"/>
    <n v="0"/>
    <n v="0"/>
    <n v="0"/>
    <n v="0"/>
    <n v="0.56417138104391618"/>
    <m/>
  </r>
  <r>
    <x v="92"/>
    <x v="3"/>
    <s v="Saturn V"/>
    <m/>
    <m/>
    <n v="49.577605600000005"/>
    <n v="2.6588720000000001"/>
    <n v="0.2286"/>
    <n v="121.65337439999999"/>
    <s v="PBAN"/>
    <n v="1.52"/>
    <n v="154.84253820000001"/>
    <m/>
    <s v="4130 Steel"/>
    <m/>
    <m/>
    <m/>
    <m/>
    <m/>
    <m/>
    <m/>
    <s v="Fixed"/>
    <m/>
    <m/>
    <m/>
    <m/>
    <m/>
    <m/>
    <m/>
    <m/>
    <n v="109.12889659739668"/>
    <n v="0"/>
    <n v="0"/>
    <n v="0"/>
    <n v="0"/>
    <n v="0"/>
    <n v="0.4543031877514897"/>
    <n v="1.4188958472772999"/>
    <m/>
  </r>
  <r>
    <x v="93"/>
    <x v="3"/>
    <s v="Saturn IB"/>
    <m/>
    <m/>
    <m/>
    <m/>
    <m/>
    <n v="26.671209599999997"/>
    <s v="PBAN"/>
    <n v="3.8"/>
    <n v="1537.67688"/>
    <m/>
    <s v="4135 Steel"/>
    <m/>
    <m/>
    <m/>
    <m/>
    <m/>
    <m/>
    <m/>
    <s v="Fixed"/>
    <m/>
    <m/>
    <m/>
    <m/>
    <m/>
    <m/>
    <m/>
    <m/>
    <n v="0"/>
    <e v="#DIV/0!"/>
    <e v="#DIV/0!"/>
    <e v="#DIV/0!"/>
    <e v="#DIV/0!"/>
    <e v="#DIV/0!"/>
    <e v="#DIV/0!"/>
    <e v="#DIV/0!"/>
    <m/>
  </r>
  <r>
    <x v="94"/>
    <x v="0"/>
    <s v="Minotaur I"/>
    <m/>
    <m/>
    <n v="2292"/>
    <n v="7.49"/>
    <n v="1.67"/>
    <n v="20785"/>
    <s v="TP-H1011"/>
    <n v="61.3"/>
    <n v="792"/>
    <s v="237/262"/>
    <m/>
    <m/>
    <m/>
    <m/>
    <m/>
    <m/>
    <m/>
    <m/>
    <s v="Vectorable"/>
    <m/>
    <m/>
    <m/>
    <m/>
    <m/>
    <m/>
    <m/>
    <m/>
    <n v="16406.073064864584"/>
    <n v="0"/>
    <n v="0"/>
    <n v="0"/>
    <n v="0"/>
    <n v="0"/>
    <n v="0.13970436380102261"/>
    <n v="4.8274806339620384E-2"/>
    <m/>
  </r>
  <r>
    <x v="95"/>
    <x v="0"/>
    <s v="Minotaur I"/>
    <m/>
    <m/>
    <n v="795"/>
    <n v="4.12"/>
    <n v="1.33"/>
    <n v="6237"/>
    <s v="ANB-3066"/>
    <n v="66"/>
    <n v="267.7"/>
    <n v="288"/>
    <m/>
    <m/>
    <m/>
    <m/>
    <m/>
    <m/>
    <m/>
    <m/>
    <s v="Vectorable"/>
    <m/>
    <m/>
    <m/>
    <m/>
    <m/>
    <m/>
    <m/>
    <m/>
    <n v="5723.8781422830352"/>
    <n v="0"/>
    <n v="0"/>
    <n v="0"/>
    <n v="0"/>
    <n v="0"/>
    <n v="0.13889184574479865"/>
    <n v="4.6768990070292574E-2"/>
    <m/>
  </r>
  <r>
    <x v="96"/>
    <x v="0"/>
    <s v="Minotaur IV"/>
    <m/>
    <m/>
    <n v="3600"/>
    <n v="8.4"/>
    <n v="2.34"/>
    <n v="45400"/>
    <m/>
    <n v="56.5"/>
    <n v="2224"/>
    <s v="229/284"/>
    <m/>
    <m/>
    <m/>
    <m/>
    <m/>
    <m/>
    <m/>
    <m/>
    <s v="Vectorable"/>
    <m/>
    <m/>
    <m/>
    <m/>
    <m/>
    <m/>
    <m/>
    <m/>
    <n v="36124.41994139216"/>
    <n v="0"/>
    <n v="0"/>
    <n v="0"/>
    <n v="0"/>
    <n v="0"/>
    <n v="9.9655579406966205E-2"/>
    <n v="6.1565002389192457E-2"/>
    <m/>
  </r>
  <r>
    <x v="97"/>
    <x v="0"/>
    <s v="Minotaur IV"/>
    <m/>
    <m/>
    <n v="3200"/>
    <n v="7.9"/>
    <n v="2.34"/>
    <n v="24500"/>
    <m/>
    <n v="61"/>
    <n v="1223"/>
    <n v="308"/>
    <m/>
    <m/>
    <m/>
    <m/>
    <m/>
    <m/>
    <m/>
    <m/>
    <s v="Vectorable"/>
    <m/>
    <m/>
    <m/>
    <m/>
    <m/>
    <m/>
    <m/>
    <m/>
    <n v="33974.156849642633"/>
    <n v="0"/>
    <n v="0"/>
    <n v="0"/>
    <n v="0"/>
    <n v="0"/>
    <n v="9.4189239608271844E-2"/>
    <n v="3.5997950012786391E-2"/>
    <m/>
  </r>
  <r>
    <x v="98"/>
    <x v="2"/>
    <s v="Minotaur IV"/>
    <m/>
    <m/>
    <n v="650"/>
    <n v="2.44"/>
    <n v="2.34"/>
    <n v="7080"/>
    <s v="NEPE"/>
    <n v="72"/>
    <n v="289"/>
    <n v="300"/>
    <m/>
    <m/>
    <m/>
    <m/>
    <m/>
    <m/>
    <m/>
    <m/>
    <s v="Vectorable"/>
    <m/>
    <m/>
    <m/>
    <m/>
    <m/>
    <m/>
    <m/>
    <m/>
    <n v="10493.283887737723"/>
    <n v="0"/>
    <n v="0"/>
    <n v="0"/>
    <n v="0"/>
    <n v="0"/>
    <n v="6.1944383374548662E-2"/>
    <n v="2.7541425838837789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7" firstHeaderRow="0" firstDataRow="1" firstDataCol="1"/>
  <pivotFields count="39">
    <pivotField axis="axisRow" showAll="0" sortType="descending">
      <items count="102">
        <item x="0"/>
        <item x="12"/>
        <item x="13"/>
        <item x="14"/>
        <item x="15"/>
        <item x="16"/>
        <item x="17"/>
        <item m="1" x="100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m="1" x="99"/>
        <item x="1"/>
        <item x="2"/>
        <item x="3"/>
        <item x="4"/>
        <item x="5"/>
        <item x="6"/>
        <item x="7"/>
        <item x="8"/>
        <item x="9"/>
        <item x="10"/>
        <item x="11"/>
        <item x="18"/>
        <item x="22"/>
        <item x="39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multipleItemSelectionAllowed="1" showAll="0" sortType="descending">
      <items count="10">
        <item m="1" x="7"/>
        <item m="1" x="8"/>
        <item x="1"/>
        <item x="3"/>
        <item x="0"/>
        <item x="2"/>
        <item m="1" x="5"/>
        <item m="1" x="6"/>
        <item m="1"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</pivotFields>
  <rowFields count="2">
    <field x="1"/>
    <field x="0"/>
  </rowFields>
  <rowItems count="104">
    <i>
      <x v="2"/>
    </i>
    <i r="1">
      <x v="91"/>
    </i>
    <i r="1">
      <x v="31"/>
    </i>
    <i r="1">
      <x v="90"/>
    </i>
    <i r="1">
      <x v="30"/>
    </i>
    <i r="1">
      <x v="29"/>
    </i>
    <i r="1">
      <x v="28"/>
    </i>
    <i r="1">
      <x v="27"/>
    </i>
    <i r="1">
      <x v="89"/>
    </i>
    <i r="1">
      <x v="34"/>
    </i>
    <i r="1">
      <x v="33"/>
    </i>
    <i r="1">
      <x v="32"/>
    </i>
    <i r="1">
      <x v="36"/>
    </i>
    <i r="1">
      <x v="76"/>
    </i>
    <i r="1">
      <x v="35"/>
    </i>
    <i>
      <x v="4"/>
    </i>
    <i r="1">
      <x v="6"/>
    </i>
    <i r="1">
      <x v="87"/>
    </i>
    <i r="1">
      <x v="9"/>
    </i>
    <i r="1">
      <x v="8"/>
    </i>
    <i r="1">
      <x v="98"/>
    </i>
    <i r="1">
      <x v="10"/>
    </i>
    <i r="1">
      <x v="11"/>
    </i>
    <i r="1">
      <x v="12"/>
    </i>
    <i r="1">
      <x v="13"/>
    </i>
    <i r="1">
      <x v="24"/>
    </i>
    <i r="1">
      <x v="96"/>
    </i>
    <i r="1">
      <x v="25"/>
    </i>
    <i r="1">
      <x v="14"/>
    </i>
    <i r="1">
      <x v="23"/>
    </i>
    <i r="1">
      <x v="15"/>
    </i>
    <i r="1">
      <x v="97"/>
    </i>
    <i r="1">
      <x v="17"/>
    </i>
    <i r="1">
      <x v="1"/>
    </i>
    <i r="1">
      <x v="26"/>
    </i>
    <i r="1">
      <x v="22"/>
    </i>
    <i r="1">
      <x v="2"/>
    </i>
    <i r="1">
      <x v="21"/>
    </i>
    <i r="1">
      <x v="16"/>
    </i>
    <i r="1">
      <x v="99"/>
    </i>
    <i r="1">
      <x v="20"/>
    </i>
    <i r="1">
      <x/>
    </i>
    <i r="1">
      <x v="80"/>
    </i>
    <i r="1">
      <x v="78"/>
    </i>
    <i r="1">
      <x v="79"/>
    </i>
    <i r="1">
      <x v="88"/>
    </i>
    <i>
      <x v="5"/>
    </i>
    <i r="1">
      <x v="86"/>
    </i>
    <i r="1">
      <x v="77"/>
    </i>
    <i r="1">
      <x v="37"/>
    </i>
    <i r="1">
      <x v="38"/>
    </i>
    <i r="1">
      <x v="46"/>
    </i>
    <i r="1">
      <x v="45"/>
    </i>
    <i r="1">
      <x v="81"/>
    </i>
    <i r="1">
      <x v="44"/>
    </i>
    <i r="1">
      <x v="40"/>
    </i>
    <i r="1">
      <x v="39"/>
    </i>
    <i r="1">
      <x v="82"/>
    </i>
    <i r="1">
      <x v="41"/>
    </i>
    <i r="1">
      <x v="84"/>
    </i>
    <i r="1">
      <x v="43"/>
    </i>
    <i r="1">
      <x v="54"/>
    </i>
    <i r="1">
      <x v="42"/>
    </i>
    <i r="1">
      <x v="83"/>
    </i>
    <i r="1">
      <x v="47"/>
    </i>
    <i r="1">
      <x v="57"/>
    </i>
    <i r="1">
      <x v="51"/>
    </i>
    <i r="1">
      <x v="85"/>
    </i>
    <i r="1">
      <x v="53"/>
    </i>
    <i r="1">
      <x v="48"/>
    </i>
    <i r="1">
      <x v="52"/>
    </i>
    <i r="1">
      <x v="55"/>
    </i>
    <i r="1">
      <x v="50"/>
    </i>
    <i r="1">
      <x v="56"/>
    </i>
    <i r="1">
      <x v="58"/>
    </i>
    <i r="1">
      <x v="19"/>
    </i>
    <i r="1">
      <x v="60"/>
    </i>
    <i r="1">
      <x v="62"/>
    </i>
    <i r="1">
      <x v="61"/>
    </i>
    <i r="1">
      <x v="63"/>
    </i>
    <i r="1">
      <x v="100"/>
    </i>
    <i r="1">
      <x v="64"/>
    </i>
    <i r="1">
      <x v="71"/>
    </i>
    <i r="1">
      <x v="72"/>
    </i>
    <i r="1">
      <x v="5"/>
    </i>
    <i r="1">
      <x v="4"/>
    </i>
    <i r="1">
      <x v="18"/>
    </i>
    <i r="1">
      <x v="3"/>
    </i>
    <i>
      <x v="3"/>
    </i>
    <i r="1">
      <x v="92"/>
    </i>
    <i r="1">
      <x v="94"/>
    </i>
    <i r="1">
      <x v="49"/>
    </i>
    <i r="1">
      <x v="59"/>
    </i>
    <i r="1">
      <x v="93"/>
    </i>
    <i r="1">
      <x v="69"/>
    </i>
    <i r="1">
      <x v="68"/>
    </i>
    <i r="1">
      <x v="67"/>
    </i>
    <i r="1">
      <x v="70"/>
    </i>
    <i r="1">
      <x v="74"/>
    </i>
    <i r="1">
      <x v="73"/>
    </i>
    <i r="1">
      <x v="65"/>
    </i>
    <i r="1">
      <x v="66"/>
    </i>
    <i r="1">
      <x v="9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Diameter" fld="7" subtotal="max" baseField="1" baseItem="0"/>
    <dataField name="Max of Length" fld="6" subtotal="max" baseField="0" baseItem="1"/>
    <dataField name="Max of Nozzle Exit" fld="16" subtotal="max" baseField="1" baseItem="2"/>
    <dataField name="Max of Thrust % Vol" fld="37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M102" totalsRowShown="0" headerRowDxfId="40" dataDxfId="39">
  <autoFilter ref="A1:AM102"/>
  <sortState ref="A2:AM102">
    <sortCondition ref="A1:A102"/>
  </sortState>
  <tableColumns count="39">
    <tableColumn id="1" name="SRB" dataDxfId="38"/>
    <tableColumn id="2" name="Type" dataDxfId="37"/>
    <tableColumn id="3" name="LV" dataDxfId="36"/>
    <tableColumn id="4" name="Year" dataDxfId="35"/>
    <tableColumn id="5" name="Max Thrust" dataDxfId="34"/>
    <tableColumn id="6" name="Dry Mass" dataDxfId="33"/>
    <tableColumn id="7" name="Length" dataDxfId="32"/>
    <tableColumn id="8" name="Diameter" dataDxfId="31"/>
    <tableColumn id="9" name="Propellant Mass" dataDxfId="30"/>
    <tableColumn id="10" name="Propellant" dataDxfId="29"/>
    <tableColumn id="20" name="Burn Time" dataDxfId="28"/>
    <tableColumn id="21" name="Avg Thrust" dataDxfId="27"/>
    <tableColumn id="22" name="ISP" dataDxfId="26"/>
    <tableColumn id="11" name="Casing" dataDxfId="25"/>
    <tableColumn id="12" name="Nozzle" dataDxfId="24"/>
    <tableColumn id="13" name="Nozzle Throat" dataDxfId="23"/>
    <tableColumn id="14" name="Nozzle Exit" dataDxfId="22"/>
    <tableColumn id="15" name="Nozzle Length" dataDxfId="21"/>
    <tableColumn id="16" name="Expansion Ratio" dataDxfId="20"/>
    <tableColumn id="23" name="Avg Pressure" dataDxfId="19"/>
    <tableColumn id="24" name="Max Pressure" dataDxfId="18"/>
    <tableColumn id="26" name="Thrust Vector" dataDxfId="17"/>
    <tableColumn id="32" name="Insulation Mass" dataDxfId="16"/>
    <tableColumn id="27" name="TVC Mass" dataDxfId="15"/>
    <tableColumn id="31" name="Case Mass" dataDxfId="14"/>
    <tableColumn id="28" name="Nozzle Mass" dataDxfId="13"/>
    <tableColumn id="29" name="Additional Mass" dataDxfId="12"/>
    <tableColumn id="34" name="Igniter Mass" dataDxfId="11"/>
    <tableColumn id="30" name="Mass Fraction" dataDxfId="10"/>
    <tableColumn id="33" name="Wall Thickness (mm)" dataDxfId="9"/>
    <tableColumn id="35" name="Volume" dataDxfId="8">
      <calculatedColumnFormula>(PI()*(Table1[[#This Row],[Diameter]]/2)^2*Table1[[#This Row],[Length]])*1000</calculatedColumnFormula>
    </tableColumn>
    <tableColumn id="36" name="Case Mass % Vol" dataDxfId="7">
      <calculatedColumnFormula>Table1[[#This Row],[Case Mass]]/Table1[[#This Row],[Volume]]</calculatedColumnFormula>
    </tableColumn>
    <tableColumn id="37" name="Nozzle Mass % Vol" dataDxfId="6">
      <calculatedColumnFormula>Table1[[#This Row],[Nozzle Mass]]/Table1[[#This Row],[Volume]]</calculatedColumnFormula>
    </tableColumn>
    <tableColumn id="38" name="Nozzle Mass &amp; Diameter" dataDxfId="5">
      <calculatedColumnFormula>Table1[[#This Row],[Nozzle Mass]]/Table1[[#This Row],[Diameter]]</calculatedColumnFormula>
    </tableColumn>
    <tableColumn id="39" name="Additional Mass % Vol" dataDxfId="4">
      <calculatedColumnFormula>Table1[[#This Row],[Additional Mass]]/Table1[[#This Row],[Volume]]</calculatedColumnFormula>
    </tableColumn>
    <tableColumn id="40" name="Igniter Mass % Vol" dataDxfId="3">
      <calculatedColumnFormula>Table1[[#This Row],[Igniter Mass]]/Table1[[#This Row],[Volume]]</calculatedColumnFormula>
    </tableColumn>
    <tableColumn id="41" name="Dry Mass % Vol" dataDxfId="2">
      <calculatedColumnFormula>Table1[[#This Row],[Dry Mass]]/Table1[[#This Row],[Volume]]</calculatedColumnFormula>
    </tableColumn>
    <tableColumn id="17" name="Thrust % Vol" dataDxfId="1">
      <calculatedColumnFormula>Table1[[#This Row],[Avg Thrust]]/Table1[[#This Row],[Volume]]</calculatedColumnFormula>
    </tableColumn>
    <tableColumn id="25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7"/>
  <sheetViews>
    <sheetView workbookViewId="0">
      <selection activeCell="E22" sqref="E22"/>
    </sheetView>
  </sheetViews>
  <sheetFormatPr defaultRowHeight="15" x14ac:dyDescent="0.25"/>
  <cols>
    <col min="1" max="1" width="24.42578125" bestFit="1" customWidth="1"/>
    <col min="2" max="2" width="16" bestFit="1" customWidth="1"/>
    <col min="3" max="3" width="13.7109375" customWidth="1"/>
    <col min="4" max="4" width="17.5703125" customWidth="1"/>
    <col min="5" max="5" width="18.85546875" bestFit="1" customWidth="1"/>
    <col min="6" max="11" width="9" bestFit="1" customWidth="1"/>
    <col min="12" max="13" width="8" bestFit="1" customWidth="1"/>
    <col min="14" max="15" width="7" bestFit="1" customWidth="1"/>
    <col min="16" max="17" width="8" bestFit="1" customWidth="1"/>
    <col min="18" max="18" width="6" bestFit="1" customWidth="1"/>
    <col min="19" max="22" width="8" bestFit="1" customWidth="1"/>
    <col min="23" max="23" width="7" bestFit="1" customWidth="1"/>
    <col min="24" max="26" width="8" bestFit="1" customWidth="1"/>
    <col min="27" max="27" width="7" bestFit="1" customWidth="1"/>
    <col min="28" max="28" width="8" bestFit="1" customWidth="1"/>
    <col min="29" max="29" width="6" bestFit="1" customWidth="1"/>
    <col min="30" max="30" width="7" bestFit="1" customWidth="1"/>
    <col min="31" max="31" width="8" bestFit="1" customWidth="1"/>
    <col min="32" max="32" width="7" bestFit="1" customWidth="1"/>
    <col min="33" max="33" width="8" bestFit="1" customWidth="1"/>
    <col min="34" max="34" width="7" bestFit="1" customWidth="1"/>
    <col min="35" max="35" width="9" bestFit="1" customWidth="1"/>
    <col min="36" max="37" width="8" bestFit="1" customWidth="1"/>
    <col min="38" max="38" width="7.28515625" bestFit="1" customWidth="1"/>
    <col min="39" max="39" width="11.28515625" bestFit="1" customWidth="1"/>
  </cols>
  <sheetData>
    <row r="3" spans="1:5" x14ac:dyDescent="0.25">
      <c r="A3" s="4" t="s">
        <v>162</v>
      </c>
      <c r="B3" t="s">
        <v>164</v>
      </c>
      <c r="C3" t="s">
        <v>219</v>
      </c>
      <c r="D3" t="s">
        <v>220</v>
      </c>
      <c r="E3" t="s">
        <v>235</v>
      </c>
    </row>
    <row r="4" spans="1:5" x14ac:dyDescent="0.25">
      <c r="A4" s="5" t="s">
        <v>72</v>
      </c>
      <c r="B4" s="2">
        <v>3.7109399999999999</v>
      </c>
      <c r="C4" s="2">
        <v>47.45355</v>
      </c>
      <c r="D4" s="2">
        <v>3.8798499999999998</v>
      </c>
      <c r="E4" s="2">
        <v>2.9867797342296425E-2</v>
      </c>
    </row>
    <row r="5" spans="1:5" x14ac:dyDescent="0.25">
      <c r="A5" s="6" t="s">
        <v>203</v>
      </c>
      <c r="B5" s="2">
        <v>3.05</v>
      </c>
      <c r="C5" s="2">
        <v>34.14</v>
      </c>
      <c r="D5" s="2">
        <v>3.2031939999999999</v>
      </c>
      <c r="E5" s="2">
        <v>2.9867797342296425E-2</v>
      </c>
    </row>
    <row r="6" spans="1:5" x14ac:dyDescent="0.25">
      <c r="A6" s="6" t="s">
        <v>68</v>
      </c>
      <c r="B6" s="2">
        <v>3.7109399999999999</v>
      </c>
      <c r="C6" s="2">
        <v>26.3398</v>
      </c>
      <c r="D6" s="2">
        <v>3.3959799999999998</v>
      </c>
      <c r="E6" s="2">
        <v>2.8884431339133407E-2</v>
      </c>
    </row>
    <row r="7" spans="1:5" x14ac:dyDescent="0.25">
      <c r="A7" s="6" t="s">
        <v>201</v>
      </c>
      <c r="B7" s="2">
        <v>3.05</v>
      </c>
      <c r="C7" s="2">
        <v>25.91</v>
      </c>
      <c r="D7" s="2">
        <v>2.708402</v>
      </c>
      <c r="E7" s="2">
        <v>2.8198213628268774E-2</v>
      </c>
    </row>
    <row r="8" spans="1:5" x14ac:dyDescent="0.25">
      <c r="A8" s="6" t="s">
        <v>67</v>
      </c>
      <c r="B8" s="2">
        <v>3.7109399999999999</v>
      </c>
      <c r="C8" s="2">
        <v>21.843999999999998</v>
      </c>
      <c r="D8" s="2">
        <v>3.01498</v>
      </c>
      <c r="E8" s="2">
        <v>2.8193498107366217E-2</v>
      </c>
    </row>
    <row r="9" spans="1:5" x14ac:dyDescent="0.25">
      <c r="A9" s="6" t="s">
        <v>66</v>
      </c>
      <c r="B9" s="2">
        <v>3.7109399999999999</v>
      </c>
      <c r="C9" s="2">
        <v>17.703799999999998</v>
      </c>
      <c r="D9" s="2">
        <v>2.8778199999999998</v>
      </c>
      <c r="E9" s="2">
        <v>2.6347848082543621E-2</v>
      </c>
    </row>
    <row r="10" spans="1:5" x14ac:dyDescent="0.25">
      <c r="A10" s="6" t="s">
        <v>65</v>
      </c>
      <c r="B10" s="2">
        <v>3.7109399999999999</v>
      </c>
      <c r="C10" s="2">
        <v>12.68984</v>
      </c>
      <c r="D10" s="2">
        <v>2.38252</v>
      </c>
      <c r="E10" s="2">
        <v>2.6024474072784715E-2</v>
      </c>
    </row>
    <row r="11" spans="1:5" x14ac:dyDescent="0.25">
      <c r="A11" s="6" t="s">
        <v>2</v>
      </c>
      <c r="B11" s="2">
        <v>3.710432</v>
      </c>
      <c r="C11" s="2">
        <v>38.442645999999996</v>
      </c>
      <c r="D11" s="2">
        <v>3.8010000000000002</v>
      </c>
      <c r="E11" s="2">
        <v>2.6008895767823292E-2</v>
      </c>
    </row>
    <row r="12" spans="1:5" x14ac:dyDescent="0.25">
      <c r="A12" s="6" t="s">
        <v>165</v>
      </c>
      <c r="B12" s="2">
        <v>3.05</v>
      </c>
      <c r="C12" s="2">
        <v>26.77</v>
      </c>
      <c r="D12" s="2">
        <v>2.99</v>
      </c>
      <c r="E12" s="2">
        <v>2.5482386728155292E-2</v>
      </c>
    </row>
    <row r="13" spans="1:5" x14ac:dyDescent="0.25">
      <c r="A13" s="6" t="s">
        <v>71</v>
      </c>
      <c r="B13" s="2">
        <v>3.7109399999999999</v>
      </c>
      <c r="C13" s="2">
        <v>47.363379999999999</v>
      </c>
      <c r="D13" s="2">
        <v>3.8747700000000003</v>
      </c>
      <c r="E13" s="2">
        <v>2.5102810571670478E-2</v>
      </c>
    </row>
    <row r="14" spans="1:5" x14ac:dyDescent="0.25">
      <c r="A14" s="6" t="s">
        <v>70</v>
      </c>
      <c r="B14" s="2">
        <v>3.7109399999999999</v>
      </c>
      <c r="C14" s="2">
        <v>37.498019999999997</v>
      </c>
      <c r="D14" s="2">
        <v>3.7998399999999997</v>
      </c>
      <c r="E14" s="2">
        <v>2.4647239166827997E-2</v>
      </c>
    </row>
    <row r="15" spans="1:5" x14ac:dyDescent="0.25">
      <c r="A15" s="6" t="s">
        <v>69</v>
      </c>
      <c r="B15" s="2">
        <v>3.7109399999999999</v>
      </c>
      <c r="C15" s="2">
        <v>29.36748</v>
      </c>
      <c r="D15" s="2">
        <v>3.7998399999999997</v>
      </c>
      <c r="E15" s="2">
        <v>2.3401684328519603E-2</v>
      </c>
    </row>
    <row r="16" spans="1:5" x14ac:dyDescent="0.25">
      <c r="A16" s="6" t="s">
        <v>64</v>
      </c>
      <c r="B16" s="2">
        <v>3.2003999999999997</v>
      </c>
      <c r="C16" s="2">
        <v>34.264600000000002</v>
      </c>
      <c r="D16" s="2">
        <v>3.2664399999999998</v>
      </c>
      <c r="E16" s="2">
        <v>2.3246418545636888E-2</v>
      </c>
    </row>
    <row r="17" spans="1:5" x14ac:dyDescent="0.25">
      <c r="A17" s="6" t="s">
        <v>200</v>
      </c>
      <c r="B17" s="2">
        <v>3.11</v>
      </c>
      <c r="C17" s="2">
        <v>27.57</v>
      </c>
      <c r="D17" s="2">
        <v>3.05</v>
      </c>
      <c r="E17" s="2">
        <v>2.2918902224802872E-2</v>
      </c>
    </row>
    <row r="18" spans="1:5" x14ac:dyDescent="0.25">
      <c r="A18" s="6" t="s">
        <v>3</v>
      </c>
      <c r="B18" s="2">
        <v>3.710432</v>
      </c>
      <c r="C18" s="2">
        <v>47.45355</v>
      </c>
      <c r="D18" s="2">
        <v>3.8798499999999998</v>
      </c>
      <c r="E18" s="2">
        <v>0</v>
      </c>
    </row>
    <row r="19" spans="1:5" x14ac:dyDescent="0.25">
      <c r="A19" s="5" t="s">
        <v>34</v>
      </c>
      <c r="B19" s="2">
        <v>6.6344799999999999</v>
      </c>
      <c r="C19" s="2">
        <v>21.6126</v>
      </c>
      <c r="D19" s="2">
        <v>4.5973999999999995</v>
      </c>
      <c r="E19" s="2" t="e">
        <v>#DIV/0!</v>
      </c>
    </row>
    <row r="20" spans="1:5" x14ac:dyDescent="0.25">
      <c r="A20" s="6" t="s">
        <v>16</v>
      </c>
      <c r="B20" s="2">
        <v>0.79</v>
      </c>
      <c r="C20" s="2">
        <v>5.92</v>
      </c>
      <c r="D20" s="2"/>
      <c r="E20" s="2">
        <v>9.8628299280220239E-2</v>
      </c>
    </row>
    <row r="21" spans="1:5" x14ac:dyDescent="0.25">
      <c r="A21" s="6" t="s">
        <v>190</v>
      </c>
      <c r="B21" s="2">
        <v>0.79</v>
      </c>
      <c r="C21" s="2">
        <v>6.2737999999999996</v>
      </c>
      <c r="D21" s="2">
        <v>1.016</v>
      </c>
      <c r="E21" s="2">
        <v>8.8813686196098501E-2</v>
      </c>
    </row>
    <row r="22" spans="1:5" x14ac:dyDescent="0.25">
      <c r="A22" s="6" t="s">
        <v>50</v>
      </c>
      <c r="B22" s="2">
        <v>1.01854</v>
      </c>
      <c r="C22" s="2">
        <v>11.607799999999999</v>
      </c>
      <c r="D22" s="2">
        <v>1.2827</v>
      </c>
      <c r="E22" s="2">
        <v>6.6070072057699034E-2</v>
      </c>
    </row>
    <row r="23" spans="1:5" x14ac:dyDescent="0.25">
      <c r="A23" s="6" t="s">
        <v>49</v>
      </c>
      <c r="B23" s="2">
        <v>1.01854</v>
      </c>
      <c r="C23" s="2">
        <v>9.2303599999999992</v>
      </c>
      <c r="D23" s="2">
        <v>0.85343999999999998</v>
      </c>
      <c r="E23" s="2">
        <v>6.3989494561702498E-2</v>
      </c>
    </row>
    <row r="24" spans="1:5" x14ac:dyDescent="0.25">
      <c r="A24" s="6" t="s">
        <v>228</v>
      </c>
      <c r="B24" s="2">
        <v>2.34</v>
      </c>
      <c r="C24" s="2">
        <v>8.4</v>
      </c>
      <c r="D24" s="2"/>
      <c r="E24" s="2">
        <v>6.1565002389192457E-2</v>
      </c>
    </row>
    <row r="25" spans="1:5" x14ac:dyDescent="0.25">
      <c r="A25" s="6" t="s">
        <v>51</v>
      </c>
      <c r="B25" s="2">
        <v>1.01854</v>
      </c>
      <c r="C25" s="2">
        <v>8.983979999999999</v>
      </c>
      <c r="D25" s="2">
        <v>0.93979999999999997</v>
      </c>
      <c r="E25" s="2">
        <v>5.6203867543392939E-2</v>
      </c>
    </row>
    <row r="26" spans="1:5" x14ac:dyDescent="0.25">
      <c r="A26" s="6" t="s">
        <v>60</v>
      </c>
      <c r="B26" s="2">
        <v>1.02616</v>
      </c>
      <c r="C26" s="2">
        <v>11.40714</v>
      </c>
      <c r="D26" s="2">
        <v>0.98551999999999984</v>
      </c>
      <c r="E26" s="2">
        <v>5.4718550797117529E-2</v>
      </c>
    </row>
    <row r="27" spans="1:5" x14ac:dyDescent="0.25">
      <c r="A27" s="6" t="s">
        <v>89</v>
      </c>
      <c r="B27" s="2">
        <v>1.02616</v>
      </c>
      <c r="C27" s="2">
        <v>11.048999999999999</v>
      </c>
      <c r="D27" s="2">
        <v>0.81711800000000001</v>
      </c>
      <c r="E27" s="2">
        <v>5.4618038211570921E-2</v>
      </c>
    </row>
    <row r="28" spans="1:5" x14ac:dyDescent="0.25">
      <c r="A28" s="6" t="s">
        <v>59</v>
      </c>
      <c r="B28" s="2">
        <v>1.02616</v>
      </c>
      <c r="C28" s="2">
        <v>10.79754</v>
      </c>
      <c r="D28" s="2">
        <v>0.82041999999999993</v>
      </c>
      <c r="E28" s="2">
        <v>5.3611080033099889E-2</v>
      </c>
    </row>
    <row r="29" spans="1:5" x14ac:dyDescent="0.25">
      <c r="A29" s="6" t="s">
        <v>46</v>
      </c>
      <c r="B29" s="2">
        <v>1.27508</v>
      </c>
      <c r="C29" s="2">
        <v>9.4589599999999994</v>
      </c>
      <c r="D29" s="2">
        <v>0.91439999999999999</v>
      </c>
      <c r="E29" s="2">
        <v>4.8318334456927438E-2</v>
      </c>
    </row>
    <row r="30" spans="1:5" x14ac:dyDescent="0.25">
      <c r="A30" s="6" t="s">
        <v>229</v>
      </c>
      <c r="B30" s="2">
        <v>1.67</v>
      </c>
      <c r="C30" s="2">
        <v>7.49</v>
      </c>
      <c r="D30" s="2"/>
      <c r="E30" s="2">
        <v>4.8274806339620384E-2</v>
      </c>
    </row>
    <row r="31" spans="1:5" x14ac:dyDescent="0.25">
      <c r="A31" s="6" t="s">
        <v>45</v>
      </c>
      <c r="B31" s="2">
        <v>1.27508</v>
      </c>
      <c r="C31" s="2">
        <v>9.9263200000000005</v>
      </c>
      <c r="D31" s="2">
        <v>1.2090399999999999</v>
      </c>
      <c r="E31" s="2">
        <v>4.814620106893433E-2</v>
      </c>
    </row>
    <row r="32" spans="1:5" x14ac:dyDescent="0.25">
      <c r="A32" s="6" t="s">
        <v>62</v>
      </c>
      <c r="B32" s="2">
        <v>1.14554</v>
      </c>
      <c r="C32" s="2">
        <v>12.91844</v>
      </c>
      <c r="D32" s="2">
        <v>1.25095</v>
      </c>
      <c r="E32" s="2">
        <v>4.7541259991124171E-2</v>
      </c>
    </row>
    <row r="33" spans="1:5" x14ac:dyDescent="0.25">
      <c r="A33" s="6" t="s">
        <v>44</v>
      </c>
      <c r="B33" s="2">
        <v>1.27508</v>
      </c>
      <c r="C33" s="2">
        <v>10.269220000000001</v>
      </c>
      <c r="D33" s="2">
        <v>1.4223999999999999</v>
      </c>
      <c r="E33" s="2">
        <v>4.7398137671750974E-2</v>
      </c>
    </row>
    <row r="34" spans="1:5" x14ac:dyDescent="0.25">
      <c r="A34" s="6" t="s">
        <v>61</v>
      </c>
      <c r="B34" s="2">
        <v>1.14554</v>
      </c>
      <c r="C34" s="2">
        <v>12.59332</v>
      </c>
      <c r="D34" s="2">
        <v>1.014222</v>
      </c>
      <c r="E34" s="2">
        <v>4.7055041227023711E-2</v>
      </c>
    </row>
    <row r="35" spans="1:5" x14ac:dyDescent="0.25">
      <c r="A35" s="6" t="s">
        <v>226</v>
      </c>
      <c r="B35" s="2">
        <v>1.33</v>
      </c>
      <c r="C35" s="2">
        <v>4.12</v>
      </c>
      <c r="D35" s="2"/>
      <c r="E35" s="2">
        <v>4.6768990070292574E-2</v>
      </c>
    </row>
    <row r="36" spans="1:5" x14ac:dyDescent="0.25">
      <c r="A36" s="6" t="s">
        <v>57</v>
      </c>
      <c r="B36" s="2">
        <v>2.33934</v>
      </c>
      <c r="C36" s="2">
        <v>9.6088199999999997</v>
      </c>
      <c r="D36" s="2">
        <v>1.5189199999999998</v>
      </c>
      <c r="E36" s="2">
        <v>4.3987102873033139E-2</v>
      </c>
    </row>
    <row r="37" spans="1:5" x14ac:dyDescent="0.25">
      <c r="A37" s="6" t="s">
        <v>55</v>
      </c>
      <c r="B37" s="2">
        <v>2.3367999999999998</v>
      </c>
      <c r="C37" s="2">
        <v>9.0169999999999995</v>
      </c>
      <c r="D37" s="2">
        <v>1.5163800000000001</v>
      </c>
      <c r="E37" s="2">
        <v>4.3594372364224823E-2</v>
      </c>
    </row>
    <row r="38" spans="1:5" x14ac:dyDescent="0.25">
      <c r="A38" s="6" t="s">
        <v>43</v>
      </c>
      <c r="B38" s="2">
        <v>1.27508</v>
      </c>
      <c r="C38" s="2">
        <v>8.5191599999999994</v>
      </c>
      <c r="D38" s="2">
        <v>1.2090399999999999</v>
      </c>
      <c r="E38" s="2">
        <v>4.2263010326014164E-2</v>
      </c>
    </row>
    <row r="39" spans="1:5" x14ac:dyDescent="0.25">
      <c r="A39" s="6" t="s">
        <v>42</v>
      </c>
      <c r="B39" s="2">
        <v>1.27508</v>
      </c>
      <c r="C39" s="2">
        <v>8.8925400000000003</v>
      </c>
      <c r="D39" s="2">
        <v>1.4223999999999999</v>
      </c>
      <c r="E39" s="2">
        <v>4.1170486730853412E-2</v>
      </c>
    </row>
    <row r="40" spans="1:5" x14ac:dyDescent="0.25">
      <c r="A40" s="6" t="s">
        <v>56</v>
      </c>
      <c r="B40" s="2">
        <v>2.33934</v>
      </c>
      <c r="C40" s="2">
        <v>9.6088199999999997</v>
      </c>
      <c r="D40" s="2">
        <v>1.5189199999999998</v>
      </c>
      <c r="E40" s="2">
        <v>4.1111462178598485E-2</v>
      </c>
    </row>
    <row r="41" spans="1:5" x14ac:dyDescent="0.25">
      <c r="A41" s="6" t="s">
        <v>41</v>
      </c>
      <c r="B41" s="2">
        <v>1.27508</v>
      </c>
      <c r="C41" s="2">
        <v>3.0708600000000001</v>
      </c>
      <c r="D41" s="2">
        <v>0.86105999999999994</v>
      </c>
      <c r="E41" s="2">
        <v>4.028324005507105E-2</v>
      </c>
    </row>
    <row r="42" spans="1:5" x14ac:dyDescent="0.25">
      <c r="A42" s="6" t="s">
        <v>63</v>
      </c>
      <c r="B42" s="2">
        <v>1.524</v>
      </c>
      <c r="C42" s="2">
        <v>13.1572</v>
      </c>
      <c r="D42" s="2">
        <v>1.095248</v>
      </c>
      <c r="E42" s="2">
        <v>3.7300996574271418E-2</v>
      </c>
    </row>
    <row r="43" spans="1:5" x14ac:dyDescent="0.25">
      <c r="A43" s="6" t="s">
        <v>232</v>
      </c>
      <c r="B43" s="2">
        <v>2.34</v>
      </c>
      <c r="C43" s="2">
        <v>7.9</v>
      </c>
      <c r="D43" s="2"/>
      <c r="E43" s="2">
        <v>3.5997950012786391E-2</v>
      </c>
    </row>
    <row r="44" spans="1:5" x14ac:dyDescent="0.25">
      <c r="A44" s="6" t="s">
        <v>40</v>
      </c>
      <c r="B44" s="2">
        <v>1.27508</v>
      </c>
      <c r="C44" s="2">
        <v>2.6212800000000001</v>
      </c>
      <c r="D44" s="2">
        <v>0.86105999999999994</v>
      </c>
      <c r="E44" s="2">
        <v>3.447159072285174E-2</v>
      </c>
    </row>
    <row r="45" spans="1:5" x14ac:dyDescent="0.25">
      <c r="A45" s="6" t="s">
        <v>26</v>
      </c>
      <c r="B45" s="2">
        <v>6.6344799999999999</v>
      </c>
      <c r="C45" s="2">
        <v>21.6126</v>
      </c>
      <c r="D45" s="2">
        <v>4.5973999999999995</v>
      </c>
      <c r="E45" s="2">
        <v>1.725932466140756E-2</v>
      </c>
    </row>
    <row r="46" spans="1:5" x14ac:dyDescent="0.25">
      <c r="A46" s="6" t="s">
        <v>184</v>
      </c>
      <c r="B46" s="2">
        <v>1.1399999999999999</v>
      </c>
      <c r="C46" s="2">
        <v>9.4</v>
      </c>
      <c r="D46" s="2"/>
      <c r="E46" s="2">
        <v>0</v>
      </c>
    </row>
    <row r="47" spans="1:5" x14ac:dyDescent="0.25">
      <c r="A47" s="6" t="s">
        <v>179</v>
      </c>
      <c r="B47" s="2">
        <v>1.02</v>
      </c>
      <c r="C47" s="2">
        <v>9.4</v>
      </c>
      <c r="D47" s="2">
        <v>0.85499999999999998</v>
      </c>
      <c r="E47" s="2">
        <v>0</v>
      </c>
    </row>
    <row r="48" spans="1:5" x14ac:dyDescent="0.25">
      <c r="A48" s="6" t="s">
        <v>192</v>
      </c>
      <c r="B48" s="2">
        <v>1.02</v>
      </c>
      <c r="C48" s="2">
        <v>9.4</v>
      </c>
      <c r="D48" s="2"/>
      <c r="E48" s="2">
        <v>0</v>
      </c>
    </row>
    <row r="49" spans="1:5" x14ac:dyDescent="0.25">
      <c r="A49" s="6" t="s">
        <v>181</v>
      </c>
      <c r="B49" s="2"/>
      <c r="C49" s="2"/>
      <c r="D49" s="2"/>
      <c r="E49" s="2" t="e">
        <v>#DIV/0!</v>
      </c>
    </row>
    <row r="50" spans="1:5" x14ac:dyDescent="0.25">
      <c r="A50" s="5" t="s">
        <v>88</v>
      </c>
      <c r="B50" s="2">
        <v>2.34</v>
      </c>
      <c r="C50" s="2">
        <v>5.9893200000000002</v>
      </c>
      <c r="D50" s="2">
        <v>1.99898</v>
      </c>
      <c r="E50" s="2">
        <v>0.43562392824398555</v>
      </c>
    </row>
    <row r="51" spans="1:5" x14ac:dyDescent="0.25">
      <c r="A51" s="6" t="s">
        <v>198</v>
      </c>
      <c r="B51" s="2">
        <v>0.15240000000000001</v>
      </c>
      <c r="C51" s="2">
        <v>1.1049</v>
      </c>
      <c r="D51" s="2">
        <v>0.15087600000000001</v>
      </c>
      <c r="E51" s="2">
        <v>0.43562392824398555</v>
      </c>
    </row>
    <row r="52" spans="1:5" x14ac:dyDescent="0.25">
      <c r="A52" s="6" t="s">
        <v>195</v>
      </c>
      <c r="B52" s="2">
        <v>0.4839</v>
      </c>
      <c r="C52" s="2">
        <v>0.81840000000000002</v>
      </c>
      <c r="D52" s="2">
        <v>0.307</v>
      </c>
      <c r="E52" s="2">
        <v>0.17436990212963729</v>
      </c>
    </row>
    <row r="53" spans="1:5" x14ac:dyDescent="0.25">
      <c r="A53" s="6" t="s">
        <v>118</v>
      </c>
      <c r="B53" s="2">
        <v>0.31089600000000001</v>
      </c>
      <c r="C53" s="2">
        <v>0.57150000000000001</v>
      </c>
      <c r="D53" s="2">
        <v>0.133604</v>
      </c>
      <c r="E53" s="2">
        <v>0.14918077768004365</v>
      </c>
    </row>
    <row r="54" spans="1:5" x14ac:dyDescent="0.25">
      <c r="A54" s="6" t="s">
        <v>119</v>
      </c>
      <c r="B54" s="2">
        <v>0.34467799999999998</v>
      </c>
      <c r="C54" s="2">
        <v>0.63779399999999997</v>
      </c>
      <c r="D54" s="2">
        <v>0.20370799999999997</v>
      </c>
      <c r="E54" s="2">
        <v>0.12766642158405686</v>
      </c>
    </row>
    <row r="55" spans="1:5" x14ac:dyDescent="0.25">
      <c r="A55" s="6" t="s">
        <v>135</v>
      </c>
      <c r="B55" s="2">
        <v>0.66293999999999997</v>
      </c>
      <c r="C55" s="2">
        <v>0.84074000000000004</v>
      </c>
      <c r="D55" s="2">
        <v>0.3175</v>
      </c>
      <c r="E55" s="2">
        <v>0.120631561940856</v>
      </c>
    </row>
    <row r="56" spans="1:5" x14ac:dyDescent="0.25">
      <c r="A56" s="6" t="s">
        <v>133</v>
      </c>
      <c r="B56" s="2">
        <v>0.66293999999999997</v>
      </c>
      <c r="C56" s="2">
        <v>0.84074000000000004</v>
      </c>
      <c r="D56" s="2">
        <v>0.3175</v>
      </c>
      <c r="E56" s="2">
        <v>0.11931335173413256</v>
      </c>
    </row>
    <row r="57" spans="1:5" x14ac:dyDescent="0.25">
      <c r="A57" s="6" t="s">
        <v>185</v>
      </c>
      <c r="B57" s="2">
        <v>0.4572</v>
      </c>
      <c r="C57" s="2">
        <v>1.50495</v>
      </c>
      <c r="D57" s="2">
        <v>0.41399999999999998</v>
      </c>
      <c r="E57" s="2">
        <v>0.11774422368761824</v>
      </c>
    </row>
    <row r="58" spans="1:5" x14ac:dyDescent="0.25">
      <c r="A58" s="6" t="s">
        <v>129</v>
      </c>
      <c r="B58" s="2">
        <v>0.66039999999999999</v>
      </c>
      <c r="C58" s="2">
        <v>0.83819999999999995</v>
      </c>
      <c r="D58" s="2">
        <v>0.3175</v>
      </c>
      <c r="E58" s="2">
        <v>0.11619725131166217</v>
      </c>
    </row>
    <row r="59" spans="1:5" x14ac:dyDescent="0.25">
      <c r="A59" s="6" t="s">
        <v>121</v>
      </c>
      <c r="B59" s="2">
        <v>0.44195999999999996</v>
      </c>
      <c r="C59" s="2">
        <v>0.981456</v>
      </c>
      <c r="D59" s="2">
        <v>0.34925</v>
      </c>
      <c r="E59" s="2">
        <v>0.10635602897486228</v>
      </c>
    </row>
    <row r="60" spans="1:5" x14ac:dyDescent="0.25">
      <c r="A60" s="6" t="s">
        <v>120</v>
      </c>
      <c r="B60" s="2">
        <v>0.44195999999999996</v>
      </c>
      <c r="C60" s="2">
        <v>0.68732399999999994</v>
      </c>
      <c r="D60" s="2">
        <v>0.27152599999999999</v>
      </c>
      <c r="E60" s="2">
        <v>0.10377770099971412</v>
      </c>
    </row>
    <row r="61" spans="1:5" x14ac:dyDescent="0.25">
      <c r="A61" s="6" t="s">
        <v>187</v>
      </c>
      <c r="B61" s="2">
        <v>0.50800000000000001</v>
      </c>
      <c r="C61" s="2">
        <v>1.4841219999999999</v>
      </c>
      <c r="D61" s="2">
        <v>0.43</v>
      </c>
      <c r="E61" s="2">
        <v>8.3864603557768758E-2</v>
      </c>
    </row>
    <row r="62" spans="1:5" x14ac:dyDescent="0.25">
      <c r="A62" s="6" t="s">
        <v>122</v>
      </c>
      <c r="B62" s="2">
        <v>0.50037999999999994</v>
      </c>
      <c r="C62" s="2">
        <v>1.4859</v>
      </c>
      <c r="D62" s="2">
        <v>0.41909999999999997</v>
      </c>
      <c r="E62" s="2">
        <v>8.372778424855383E-2</v>
      </c>
    </row>
    <row r="63" spans="1:5" x14ac:dyDescent="0.25">
      <c r="A63" s="6" t="s">
        <v>188</v>
      </c>
      <c r="B63" s="2">
        <v>0.76</v>
      </c>
      <c r="C63" s="2">
        <v>2.89</v>
      </c>
      <c r="D63" s="2">
        <v>0.74299999999999999</v>
      </c>
      <c r="E63" s="2">
        <v>7.3215331679134521E-2</v>
      </c>
    </row>
    <row r="64" spans="1:5" x14ac:dyDescent="0.25">
      <c r="A64" s="6" t="s">
        <v>127</v>
      </c>
      <c r="B64" s="2">
        <v>0.62229999999999996</v>
      </c>
      <c r="C64" s="2">
        <v>1.0668</v>
      </c>
      <c r="D64" s="2">
        <v>0.37795200000000001</v>
      </c>
      <c r="E64" s="2">
        <v>6.3748023046014415E-2</v>
      </c>
    </row>
    <row r="65" spans="1:5" x14ac:dyDescent="0.25">
      <c r="A65" s="6" t="s">
        <v>146</v>
      </c>
      <c r="B65" s="2">
        <v>0.76454</v>
      </c>
      <c r="C65" s="2">
        <v>2.8702000000000001</v>
      </c>
      <c r="D65" s="2">
        <v>0.72821800000000003</v>
      </c>
      <c r="E65" s="2">
        <v>6.2453318655628767E-2</v>
      </c>
    </row>
    <row r="66" spans="1:5" x14ac:dyDescent="0.25">
      <c r="A66" s="6" t="s">
        <v>125</v>
      </c>
      <c r="B66" s="2">
        <v>0.62229999999999996</v>
      </c>
      <c r="C66" s="2">
        <v>1.0286999999999999</v>
      </c>
      <c r="D66" s="2">
        <v>0.37795200000000001</v>
      </c>
      <c r="E66" s="2">
        <v>5.9284899807667421E-2</v>
      </c>
    </row>
    <row r="67" spans="1:5" x14ac:dyDescent="0.25">
      <c r="A67" s="6" t="s">
        <v>186</v>
      </c>
      <c r="B67" s="2">
        <v>0.4572</v>
      </c>
      <c r="C67" s="2">
        <v>1.47828</v>
      </c>
      <c r="D67" s="2"/>
      <c r="E67" s="2">
        <v>5.4985539057752303E-2</v>
      </c>
    </row>
    <row r="68" spans="1:5" x14ac:dyDescent="0.25">
      <c r="A68" s="6" t="s">
        <v>136</v>
      </c>
      <c r="B68" s="2">
        <v>0.69342000000000004</v>
      </c>
      <c r="C68" s="2">
        <v>1.23698</v>
      </c>
      <c r="D68" s="2">
        <v>0.48514000000000002</v>
      </c>
      <c r="E68" s="2">
        <v>5.4467444644883289E-2</v>
      </c>
    </row>
    <row r="69" spans="1:5" x14ac:dyDescent="0.25">
      <c r="A69" s="6" t="s">
        <v>151</v>
      </c>
      <c r="B69" s="2">
        <v>0.89407999999999999</v>
      </c>
      <c r="C69" s="2">
        <v>1.6814800000000001</v>
      </c>
      <c r="D69" s="2">
        <v>0.59435999999999989</v>
      </c>
      <c r="E69" s="2">
        <v>5.3933906815904688E-2</v>
      </c>
    </row>
    <row r="70" spans="1:5" x14ac:dyDescent="0.25">
      <c r="A70" s="6" t="s">
        <v>143</v>
      </c>
      <c r="B70" s="2">
        <v>0.76200000000000001</v>
      </c>
      <c r="C70" s="2">
        <v>1.49352</v>
      </c>
      <c r="D70" s="2">
        <v>0.50037999999999994</v>
      </c>
      <c r="E70" s="2">
        <v>4.7675828824646209E-2</v>
      </c>
    </row>
    <row r="71" spans="1:5" x14ac:dyDescent="0.25">
      <c r="A71" s="6" t="s">
        <v>189</v>
      </c>
      <c r="B71" s="2">
        <v>0.76</v>
      </c>
      <c r="C71" s="2">
        <v>2.89</v>
      </c>
      <c r="D71" s="2"/>
      <c r="E71" s="2">
        <v>4.7500631720054975E-2</v>
      </c>
    </row>
    <row r="72" spans="1:5" x14ac:dyDescent="0.25">
      <c r="A72" s="6" t="s">
        <v>145</v>
      </c>
      <c r="B72" s="2">
        <v>0.76200000000000001</v>
      </c>
      <c r="C72" s="2">
        <v>1.6840199999999999</v>
      </c>
      <c r="D72" s="2">
        <v>0.58419999999999994</v>
      </c>
      <c r="E72" s="2">
        <v>4.5757920629816019E-2</v>
      </c>
    </row>
    <row r="73" spans="1:5" x14ac:dyDescent="0.25">
      <c r="A73" s="6" t="s">
        <v>139</v>
      </c>
      <c r="B73" s="2">
        <v>0.69342000000000004</v>
      </c>
      <c r="C73" s="2">
        <v>1.2191999999999998</v>
      </c>
      <c r="D73" s="2">
        <v>0.50520600000000004</v>
      </c>
      <c r="E73" s="2">
        <v>4.4924334123896577E-2</v>
      </c>
    </row>
    <row r="74" spans="1:5" x14ac:dyDescent="0.25">
      <c r="A74" s="6" t="s">
        <v>144</v>
      </c>
      <c r="B74" s="2">
        <v>0.76200000000000001</v>
      </c>
      <c r="C74" s="2">
        <v>1.6332199999999999</v>
      </c>
      <c r="D74" s="2">
        <v>0.58419999999999994</v>
      </c>
      <c r="E74" s="2">
        <v>4.419503320944216E-2</v>
      </c>
    </row>
    <row r="75" spans="1:5" x14ac:dyDescent="0.25">
      <c r="A75" s="6" t="s">
        <v>148</v>
      </c>
      <c r="B75" s="2">
        <v>0.93471999999999988</v>
      </c>
      <c r="C75" s="2">
        <v>1.6890999999999998</v>
      </c>
      <c r="D75" s="2">
        <v>0.62102999999999997</v>
      </c>
      <c r="E75" s="2">
        <v>4.1551440202637797E-2</v>
      </c>
    </row>
    <row r="76" spans="1:5" x14ac:dyDescent="0.25">
      <c r="A76" s="6" t="s">
        <v>142</v>
      </c>
      <c r="B76" s="2">
        <v>0.76200000000000001</v>
      </c>
      <c r="C76" s="2">
        <v>1.5062199999999999</v>
      </c>
      <c r="D76" s="2">
        <v>0.58419999999999994</v>
      </c>
      <c r="E76" s="2">
        <v>3.8758073247965631E-2</v>
      </c>
    </row>
    <row r="77" spans="1:5" x14ac:dyDescent="0.25">
      <c r="A77" s="6" t="s">
        <v>149</v>
      </c>
      <c r="B77" s="2">
        <v>0.93471999999999988</v>
      </c>
      <c r="C77" s="2">
        <v>1.9177</v>
      </c>
      <c r="D77" s="2">
        <v>0.74828399999999995</v>
      </c>
      <c r="E77" s="2">
        <v>3.7115471185612182E-2</v>
      </c>
    </row>
    <row r="78" spans="1:5" x14ac:dyDescent="0.25">
      <c r="A78" s="6" t="s">
        <v>150</v>
      </c>
      <c r="B78" s="2">
        <v>0.93218000000000001</v>
      </c>
      <c r="C78" s="2">
        <v>1.5036799999999999</v>
      </c>
      <c r="D78" s="2">
        <v>0.59715399999999996</v>
      </c>
      <c r="E78" s="2">
        <v>3.7060178495498003E-2</v>
      </c>
    </row>
    <row r="79" spans="1:5" x14ac:dyDescent="0.25">
      <c r="A79" s="6" t="s">
        <v>39</v>
      </c>
      <c r="B79" s="2">
        <v>0.96519999999999995</v>
      </c>
      <c r="C79" s="2">
        <v>1.3360399999999999</v>
      </c>
      <c r="D79" s="2">
        <v>0.52577999999999991</v>
      </c>
      <c r="E79" s="2">
        <v>3.3453979635464842E-2</v>
      </c>
    </row>
    <row r="80" spans="1:5" x14ac:dyDescent="0.25">
      <c r="A80" s="6" t="s">
        <v>152</v>
      </c>
      <c r="B80" s="2">
        <v>1.2445999999999999</v>
      </c>
      <c r="C80" s="2">
        <v>2.032</v>
      </c>
      <c r="D80" s="2">
        <v>0.63652399999999998</v>
      </c>
      <c r="E80" s="2">
        <v>3.1218537898945374E-2</v>
      </c>
    </row>
    <row r="81" spans="1:5" x14ac:dyDescent="0.25">
      <c r="A81" s="6" t="s">
        <v>153</v>
      </c>
      <c r="B81" s="2">
        <v>1.2445999999999999</v>
      </c>
      <c r="C81" s="2">
        <v>1.8288</v>
      </c>
      <c r="D81" s="2">
        <v>0.63652399999999998</v>
      </c>
      <c r="E81" s="2">
        <v>3.0188915931737115E-2</v>
      </c>
    </row>
    <row r="82" spans="1:5" x14ac:dyDescent="0.25">
      <c r="A82" s="6" t="s">
        <v>154</v>
      </c>
      <c r="B82" s="2">
        <v>1.2445999999999999</v>
      </c>
      <c r="C82" s="2">
        <v>2.2351999999999999</v>
      </c>
      <c r="D82" s="2">
        <v>0.74929999999999997</v>
      </c>
      <c r="E82" s="2">
        <v>2.9034794220921159E-2</v>
      </c>
    </row>
    <row r="83" spans="1:5" x14ac:dyDescent="0.25">
      <c r="A83" s="6" t="s">
        <v>155</v>
      </c>
      <c r="B83" s="2">
        <v>1.2445999999999999</v>
      </c>
      <c r="C83" s="2">
        <v>2.032</v>
      </c>
      <c r="D83" s="2">
        <v>0.74929999999999997</v>
      </c>
      <c r="E83" s="2">
        <v>2.7763806327419427E-2</v>
      </c>
    </row>
    <row r="84" spans="1:5" x14ac:dyDescent="0.25">
      <c r="A84" s="6" t="s">
        <v>233</v>
      </c>
      <c r="B84" s="2">
        <v>2.34</v>
      </c>
      <c r="C84" s="2">
        <v>2.44</v>
      </c>
      <c r="D84" s="2"/>
      <c r="E84" s="2">
        <v>2.7541425838837789E-2</v>
      </c>
    </row>
    <row r="85" spans="1:5" x14ac:dyDescent="0.25">
      <c r="A85" s="6" t="s">
        <v>156</v>
      </c>
      <c r="B85" s="2">
        <v>1.2445999999999999</v>
      </c>
      <c r="C85" s="2">
        <v>2.07518</v>
      </c>
      <c r="D85" s="2">
        <v>0.74929999999999997</v>
      </c>
      <c r="E85" s="2">
        <v>2.7186101666995765E-2</v>
      </c>
    </row>
    <row r="86" spans="1:5" x14ac:dyDescent="0.25">
      <c r="A86" s="6" t="s">
        <v>157</v>
      </c>
      <c r="B86" s="2">
        <v>1.6001999999999998</v>
      </c>
      <c r="C86" s="2">
        <v>1.778</v>
      </c>
      <c r="D86" s="2">
        <v>0.55422799999999994</v>
      </c>
      <c r="E86" s="2">
        <v>2.3697965795421015E-2</v>
      </c>
    </row>
    <row r="87" spans="1:5" x14ac:dyDescent="0.25">
      <c r="A87" s="6" t="s">
        <v>160</v>
      </c>
      <c r="B87" s="2">
        <v>1.6027400000000001</v>
      </c>
      <c r="C87" s="2">
        <v>2.7101799999999998</v>
      </c>
      <c r="D87" s="2">
        <v>1.0007599999999999</v>
      </c>
      <c r="E87" s="2">
        <v>1.9134160241657393E-2</v>
      </c>
    </row>
    <row r="88" spans="1:5" x14ac:dyDescent="0.25">
      <c r="A88" s="6" t="s">
        <v>54</v>
      </c>
      <c r="B88" s="2">
        <v>2.3367999999999998</v>
      </c>
      <c r="C88" s="2">
        <v>5.9893200000000002</v>
      </c>
      <c r="D88" s="2">
        <v>1.99898</v>
      </c>
      <c r="E88" s="2">
        <v>1.8070419102694642E-2</v>
      </c>
    </row>
    <row r="89" spans="1:5" x14ac:dyDescent="0.25">
      <c r="A89" s="6" t="s">
        <v>53</v>
      </c>
      <c r="B89" s="2">
        <v>2.3367999999999998</v>
      </c>
      <c r="C89" s="2">
        <v>4.3103799999999994</v>
      </c>
      <c r="D89" s="2">
        <v>1.5849599999999999</v>
      </c>
      <c r="E89" s="2">
        <v>1.6210793647848654E-2</v>
      </c>
    </row>
    <row r="90" spans="1:5" x14ac:dyDescent="0.25">
      <c r="A90" s="6" t="s">
        <v>58</v>
      </c>
      <c r="B90" s="2">
        <v>2.33934</v>
      </c>
      <c r="C90" s="2">
        <v>4.1783000000000001</v>
      </c>
      <c r="D90" s="2">
        <v>1.524</v>
      </c>
      <c r="E90" s="2">
        <v>1.5785341541980497E-2</v>
      </c>
    </row>
    <row r="91" spans="1:5" x14ac:dyDescent="0.25">
      <c r="A91" s="6" t="s">
        <v>52</v>
      </c>
      <c r="B91" s="2">
        <v>2.3367999999999998</v>
      </c>
      <c r="C91" s="2">
        <v>3.6626799999999995</v>
      </c>
      <c r="D91" s="2">
        <v>1.21</v>
      </c>
      <c r="E91" s="2">
        <v>1.5206476594831276E-2</v>
      </c>
    </row>
    <row r="92" spans="1:5" x14ac:dyDescent="0.25">
      <c r="A92" s="5" t="s">
        <v>104</v>
      </c>
      <c r="B92" s="2">
        <v>0.38734999999999997</v>
      </c>
      <c r="C92" s="2">
        <v>2.6588720000000001</v>
      </c>
      <c r="D92" s="2">
        <v>0.10401299999999999</v>
      </c>
      <c r="E92" s="2" t="e">
        <v>#DIV/0!</v>
      </c>
    </row>
    <row r="93" spans="1:5" x14ac:dyDescent="0.25">
      <c r="A93" s="6" t="s">
        <v>212</v>
      </c>
      <c r="B93" s="2">
        <v>0.38734999999999997</v>
      </c>
      <c r="C93" s="2">
        <v>2.1844000000000001</v>
      </c>
      <c r="D93" s="2"/>
      <c r="E93" s="2">
        <v>1.5191833398348618</v>
      </c>
    </row>
    <row r="94" spans="1:5" x14ac:dyDescent="0.25">
      <c r="A94" s="6" t="s">
        <v>214</v>
      </c>
      <c r="B94" s="2">
        <v>0.2286</v>
      </c>
      <c r="C94" s="2">
        <v>2.6588720000000001</v>
      </c>
      <c r="D94" s="2"/>
      <c r="E94" s="2">
        <v>1.4188958472772999</v>
      </c>
    </row>
    <row r="95" spans="1:5" x14ac:dyDescent="0.25">
      <c r="A95" s="6" t="s">
        <v>91</v>
      </c>
      <c r="B95" s="2">
        <v>8.0771999999999997E-2</v>
      </c>
      <c r="C95" s="2">
        <v>0.28854399999999997</v>
      </c>
      <c r="D95" s="2">
        <v>5.2628799999999996E-2</v>
      </c>
      <c r="E95" s="2">
        <v>1.3087355898844215</v>
      </c>
    </row>
    <row r="96" spans="1:5" x14ac:dyDescent="0.25">
      <c r="A96" s="6" t="s">
        <v>95</v>
      </c>
      <c r="B96" s="2">
        <v>8.0771999999999997E-2</v>
      </c>
      <c r="C96" s="2">
        <v>0.1905</v>
      </c>
      <c r="D96" s="2">
        <v>2.794E-2</v>
      </c>
      <c r="E96" s="2">
        <v>0.62886700675862361</v>
      </c>
    </row>
    <row r="97" spans="1:5" x14ac:dyDescent="0.25">
      <c r="A97" s="6" t="s">
        <v>216</v>
      </c>
      <c r="B97" s="2">
        <v>0.3175</v>
      </c>
      <c r="C97" s="2">
        <v>2.2605999999999997</v>
      </c>
      <c r="D97" s="2"/>
      <c r="E97" s="2">
        <v>0.56417138104391618</v>
      </c>
    </row>
    <row r="98" spans="1:5" x14ac:dyDescent="0.25">
      <c r="A98" s="6" t="s">
        <v>108</v>
      </c>
      <c r="B98" s="2">
        <v>0.12395199999999999</v>
      </c>
      <c r="C98" s="2">
        <v>0.83057999999999998</v>
      </c>
      <c r="D98" s="2">
        <v>5.9563000000000005E-2</v>
      </c>
      <c r="E98" s="2">
        <v>0.55522004916648648</v>
      </c>
    </row>
    <row r="99" spans="1:5" x14ac:dyDescent="0.25">
      <c r="A99" s="6" t="s">
        <v>105</v>
      </c>
      <c r="B99" s="2">
        <v>0.12115799999999999</v>
      </c>
      <c r="C99" s="2">
        <v>0.34112199999999998</v>
      </c>
      <c r="D99" s="2">
        <v>5.9435999999999996E-2</v>
      </c>
      <c r="E99" s="2">
        <v>0.51915272985026717</v>
      </c>
    </row>
    <row r="100" spans="1:5" x14ac:dyDescent="0.25">
      <c r="A100" s="6" t="s">
        <v>103</v>
      </c>
      <c r="B100" s="2">
        <v>0.12115799999999999</v>
      </c>
      <c r="C100" s="2">
        <v>0.34112199999999998</v>
      </c>
      <c r="D100" s="2">
        <v>5.9435999999999996E-2</v>
      </c>
      <c r="E100" s="2">
        <v>0.4965316958698634</v>
      </c>
    </row>
    <row r="101" spans="1:5" x14ac:dyDescent="0.25">
      <c r="A101" s="6" t="s">
        <v>111</v>
      </c>
      <c r="B101" s="2">
        <v>0.12318999999999998</v>
      </c>
      <c r="C101" s="2">
        <v>0.94640399999999991</v>
      </c>
      <c r="D101" s="2">
        <v>6.4769999999999994E-2</v>
      </c>
      <c r="E101" s="2">
        <v>0.46847383523521119</v>
      </c>
    </row>
    <row r="102" spans="1:5" x14ac:dyDescent="0.25">
      <c r="A102" s="6" t="s">
        <v>117</v>
      </c>
      <c r="B102" s="2">
        <v>0.20472400000000002</v>
      </c>
      <c r="C102" s="2">
        <v>0.68757800000000002</v>
      </c>
      <c r="D102" s="2">
        <v>0.10401299999999999</v>
      </c>
      <c r="E102" s="2">
        <v>0.33037304125834693</v>
      </c>
    </row>
    <row r="103" spans="1:5" x14ac:dyDescent="0.25">
      <c r="A103" s="6" t="s">
        <v>115</v>
      </c>
      <c r="B103" s="2">
        <v>0.18592800000000001</v>
      </c>
      <c r="C103" s="2">
        <v>0.40360600000000002</v>
      </c>
      <c r="D103" s="2">
        <v>9.5503999999999992E-2</v>
      </c>
      <c r="E103" s="2">
        <v>0.22934940390322062</v>
      </c>
    </row>
    <row r="104" spans="1:5" x14ac:dyDescent="0.25">
      <c r="A104" s="6" t="s">
        <v>96</v>
      </c>
      <c r="B104" s="2">
        <v>0.11303000000000001</v>
      </c>
      <c r="C104" s="2">
        <v>0.13792199999999999</v>
      </c>
      <c r="D104" s="2">
        <v>2.8701999999999995E-2</v>
      </c>
      <c r="E104" s="2">
        <v>0.18642466408715769</v>
      </c>
    </row>
    <row r="105" spans="1:5" x14ac:dyDescent="0.25">
      <c r="A105" s="6" t="s">
        <v>100</v>
      </c>
      <c r="B105" s="2">
        <v>0.130302</v>
      </c>
      <c r="C105" s="2">
        <v>0.22453599999999999</v>
      </c>
      <c r="D105" s="2">
        <v>3.26136E-2</v>
      </c>
      <c r="E105" s="2">
        <v>5.6453624287285037E-2</v>
      </c>
    </row>
    <row r="106" spans="1:5" x14ac:dyDescent="0.25">
      <c r="A106" s="6" t="s">
        <v>215</v>
      </c>
      <c r="B106" s="2"/>
      <c r="C106" s="2"/>
      <c r="D106" s="2"/>
      <c r="E106" s="2" t="e">
        <v>#DIV/0!</v>
      </c>
    </row>
    <row r="107" spans="1:5" x14ac:dyDescent="0.25">
      <c r="A107" s="5" t="s">
        <v>163</v>
      </c>
      <c r="B107" s="2">
        <v>6.6344799999999999</v>
      </c>
      <c r="C107" s="2">
        <v>47.45355</v>
      </c>
      <c r="D107" s="2">
        <v>4.5973999999999995</v>
      </c>
      <c r="E107" s="2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2"/>
  <sheetViews>
    <sheetView tabSelected="1" topLeftCell="A76" workbookViewId="0">
      <selection activeCell="M74" sqref="M74"/>
    </sheetView>
  </sheetViews>
  <sheetFormatPr defaultRowHeight="15" x14ac:dyDescent="0.25"/>
  <cols>
    <col min="1" max="1" width="16.28515625" style="1" bestFit="1" customWidth="1"/>
    <col min="2" max="2" width="10.5703125" style="1" bestFit="1" customWidth="1"/>
    <col min="3" max="4" width="9.140625" style="1"/>
    <col min="5" max="5" width="13" style="1" customWidth="1"/>
    <col min="6" max="6" width="11.140625" style="1" customWidth="1"/>
    <col min="7" max="7" width="9.140625" style="1"/>
    <col min="8" max="8" width="11.42578125" style="1" customWidth="1"/>
    <col min="9" max="9" width="17.42578125" style="1" customWidth="1"/>
    <col min="10" max="10" width="12.42578125" style="1" customWidth="1"/>
    <col min="11" max="11" width="12.140625" style="1" customWidth="1"/>
    <col min="12" max="12" width="12.42578125" style="1" customWidth="1"/>
    <col min="13" max="13" width="9.140625" style="1"/>
    <col min="14" max="14" width="14.28515625" style="1" bestFit="1" customWidth="1"/>
    <col min="15" max="15" width="9.140625" style="1"/>
    <col min="16" max="16" width="15.28515625" style="1" customWidth="1"/>
    <col min="17" max="17" width="12.85546875" style="1" customWidth="1"/>
    <col min="18" max="18" width="15.5703125" style="1" customWidth="1"/>
    <col min="19" max="19" width="17.140625" style="1" customWidth="1"/>
    <col min="20" max="21" width="9.140625" style="1" customWidth="1"/>
    <col min="22" max="22" width="14.5703125" style="1" customWidth="1"/>
    <col min="23" max="23" width="18.28515625" style="1" bestFit="1" customWidth="1"/>
    <col min="24" max="24" width="15.140625" style="1" customWidth="1"/>
    <col min="25" max="25" width="14.140625" style="1" customWidth="1"/>
    <col min="26" max="26" width="17" style="1" customWidth="1"/>
    <col min="27" max="28" width="15" style="1" customWidth="1"/>
    <col min="29" max="29" width="15.5703125" style="1" bestFit="1" customWidth="1"/>
    <col min="30" max="30" width="9.140625" style="1"/>
    <col min="31" max="31" width="17.42578125" style="1" customWidth="1"/>
    <col min="32" max="32" width="18" style="1" bestFit="1" customWidth="1"/>
    <col min="33" max="16384" width="9.140625" style="1"/>
  </cols>
  <sheetData>
    <row r="1" spans="1:39" x14ac:dyDescent="0.25">
      <c r="A1" s="1" t="s">
        <v>0</v>
      </c>
      <c r="B1" s="1" t="s">
        <v>1</v>
      </c>
      <c r="C1" s="1" t="s">
        <v>4</v>
      </c>
      <c r="D1" s="1" t="s">
        <v>15</v>
      </c>
      <c r="E1" s="1" t="s">
        <v>22</v>
      </c>
      <c r="F1" s="1" t="s">
        <v>30</v>
      </c>
      <c r="G1" s="1" t="s">
        <v>7</v>
      </c>
      <c r="H1" s="1" t="s">
        <v>8</v>
      </c>
      <c r="I1" s="1" t="s">
        <v>12</v>
      </c>
      <c r="J1" s="1" t="s">
        <v>13</v>
      </c>
      <c r="K1" s="1" t="s">
        <v>20</v>
      </c>
      <c r="L1" s="1" t="s">
        <v>21</v>
      </c>
      <c r="M1" s="1" t="s">
        <v>23</v>
      </c>
      <c r="N1" s="1" t="s">
        <v>32</v>
      </c>
      <c r="O1" s="1" t="s">
        <v>19</v>
      </c>
      <c r="P1" s="1" t="s">
        <v>9</v>
      </c>
      <c r="Q1" s="1" t="s">
        <v>10</v>
      </c>
      <c r="R1" s="1" t="s">
        <v>38</v>
      </c>
      <c r="S1" s="1" t="s">
        <v>11</v>
      </c>
      <c r="T1" s="1" t="s">
        <v>24</v>
      </c>
      <c r="U1" s="1" t="s">
        <v>25</v>
      </c>
      <c r="V1" s="1" t="s">
        <v>27</v>
      </c>
      <c r="W1" s="1" t="s">
        <v>194</v>
      </c>
      <c r="X1" s="1" t="s">
        <v>28</v>
      </c>
      <c r="Y1" s="1" t="s">
        <v>90</v>
      </c>
      <c r="Z1" s="1" t="s">
        <v>35</v>
      </c>
      <c r="AA1" s="1" t="s">
        <v>36</v>
      </c>
      <c r="AB1" s="1" t="s">
        <v>168</v>
      </c>
      <c r="AC1" s="1" t="s">
        <v>37</v>
      </c>
      <c r="AD1" s="1" t="s">
        <v>167</v>
      </c>
      <c r="AE1" s="1" t="s">
        <v>171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222</v>
      </c>
      <c r="AM1" s="1" t="s">
        <v>196</v>
      </c>
    </row>
    <row r="2" spans="1:39" x14ac:dyDescent="0.25">
      <c r="A2" s="1" t="s">
        <v>26</v>
      </c>
      <c r="B2" s="1" t="s">
        <v>34</v>
      </c>
      <c r="D2" s="1">
        <v>1966</v>
      </c>
      <c r="E2" s="1">
        <v>15866.800740000001</v>
      </c>
      <c r="F2" s="1">
        <v>82524.259999999995</v>
      </c>
      <c r="G2" s="1">
        <v>21.6126</v>
      </c>
      <c r="H2" s="1">
        <v>6.6344799999999999</v>
      </c>
      <c r="I2" s="1">
        <v>760386</v>
      </c>
      <c r="J2" s="1" t="s">
        <v>14</v>
      </c>
      <c r="K2" s="1">
        <v>129</v>
      </c>
      <c r="L2" s="1">
        <v>12895.38978</v>
      </c>
      <c r="M2" s="1">
        <v>244.6</v>
      </c>
      <c r="N2" s="1" t="s">
        <v>33</v>
      </c>
      <c r="O2" s="1" t="s">
        <v>31</v>
      </c>
      <c r="P2" s="1">
        <v>1.8033999999999999</v>
      </c>
      <c r="Q2" s="1">
        <v>4.5973999999999995</v>
      </c>
      <c r="R2" s="1">
        <v>5.9080399999999997</v>
      </c>
      <c r="S2" s="1">
        <v>3.8</v>
      </c>
      <c r="T2" s="1">
        <v>533</v>
      </c>
      <c r="U2" s="1">
        <v>602</v>
      </c>
      <c r="V2" s="1" t="s">
        <v>29</v>
      </c>
      <c r="W2" s="1">
        <v>8487.6135040000008</v>
      </c>
      <c r="X2" s="1">
        <v>6650</v>
      </c>
      <c r="Z2" s="1">
        <v>12122.2462</v>
      </c>
      <c r="AA2" s="1">
        <v>3211.8849519999999</v>
      </c>
      <c r="AC2" s="1">
        <v>0.90200000000000002</v>
      </c>
      <c r="AE2" s="1">
        <f>(PI()*(Table1[[#This Row],[Diameter]]/2)^2*Table1[[#This Row],[Length]])*1000</f>
        <v>747154.94568767992</v>
      </c>
      <c r="AF2" s="1">
        <f>Table1[[#This Row],[Case Mass]]/Table1[[#This Row],[Volume]]</f>
        <v>0</v>
      </c>
      <c r="AG2" s="1">
        <f>Table1[[#This Row],[Nozzle Mass]]/Table1[[#This Row],[Volume]]</f>
        <v>1.6224541201213236E-2</v>
      </c>
      <c r="AH2" s="1">
        <f>Table1[[#This Row],[Nozzle Mass]]/Table1[[#This Row],[Diameter]]</f>
        <v>1827.158451001435</v>
      </c>
      <c r="AI2" s="3">
        <f>Table1[[#This Row],[Additional Mass]]/Table1[[#This Row],[Volume]]</f>
        <v>4.2988204395057409E-3</v>
      </c>
      <c r="AJ2" s="3">
        <f>Table1[[#This Row],[Igniter Mass]]/Table1[[#This Row],[Volume]]</f>
        <v>0</v>
      </c>
      <c r="AK2" s="3">
        <f>Table1[[#This Row],[Dry Mass]]/Table1[[#This Row],[Volume]]</f>
        <v>0.11045133338981626</v>
      </c>
      <c r="AL2" s="3">
        <f>Table1[[#This Row],[Avg Thrust]]/Table1[[#This Row],[Volume]]</f>
        <v>1.725932466140756E-2</v>
      </c>
      <c r="AM2" s="3"/>
    </row>
    <row r="3" spans="1:39" x14ac:dyDescent="0.25">
      <c r="A3" s="1" t="s">
        <v>200</v>
      </c>
      <c r="B3" s="1" t="s">
        <v>72</v>
      </c>
      <c r="C3" s="1" t="s">
        <v>169</v>
      </c>
      <c r="D3" s="1" t="s">
        <v>172</v>
      </c>
      <c r="F3" s="1">
        <v>27370</v>
      </c>
      <c r="G3" s="1">
        <v>27.57</v>
      </c>
      <c r="H3" s="1">
        <v>3.11</v>
      </c>
      <c r="I3" s="1">
        <v>210630</v>
      </c>
      <c r="J3" s="1" t="s">
        <v>14</v>
      </c>
      <c r="K3" s="1">
        <v>113.7</v>
      </c>
      <c r="L3" s="1">
        <v>4800</v>
      </c>
      <c r="M3" s="1">
        <v>265.2</v>
      </c>
      <c r="N3" s="1" t="s">
        <v>132</v>
      </c>
      <c r="O3" s="1" t="s">
        <v>170</v>
      </c>
      <c r="Q3" s="1">
        <v>3.05</v>
      </c>
      <c r="S3" s="1">
        <v>10</v>
      </c>
      <c r="U3" s="1">
        <v>841.21900000000005</v>
      </c>
      <c r="V3" s="1" t="s">
        <v>29</v>
      </c>
      <c r="Y3" s="3"/>
      <c r="AD3" s="1">
        <v>12.7</v>
      </c>
      <c r="AE3" s="1">
        <f>(PI()*(Table1[[#This Row],[Diameter]]/2)^2*Table1[[#This Row],[Length]])*1000</f>
        <v>209434.11481573636</v>
      </c>
      <c r="AF3" s="1">
        <f>Table1[[#This Row],[Case Mass]]/Table1[[#This Row],[Volume]]</f>
        <v>0</v>
      </c>
      <c r="AG3" s="1">
        <f>Table1[[#This Row],[Nozzle Mass]]/Table1[[#This Row],[Volume]]</f>
        <v>0</v>
      </c>
      <c r="AH3" s="1">
        <f>Table1[[#This Row],[Nozzle Mass]]/Table1[[#This Row],[Diameter]]</f>
        <v>0</v>
      </c>
      <c r="AI3" s="3">
        <f>Table1[[#This Row],[Additional Mass]]/Table1[[#This Row],[Volume]]</f>
        <v>0</v>
      </c>
      <c r="AJ3" s="3">
        <f>Table1[[#This Row],[Igniter Mass]]/Table1[[#This Row],[Volume]]</f>
        <v>0</v>
      </c>
      <c r="AK3" s="3">
        <f>Table1[[#This Row],[Dry Mass]]/Table1[[#This Row],[Volume]]</f>
        <v>0.13068549039434471</v>
      </c>
      <c r="AL3" s="3">
        <f>Table1[[#This Row],[Avg Thrust]]/Table1[[#This Row],[Volume]]</f>
        <v>2.2918902224802872E-2</v>
      </c>
      <c r="AM3" s="3"/>
    </row>
    <row r="4" spans="1:39" x14ac:dyDescent="0.25">
      <c r="A4" s="1" t="s">
        <v>195</v>
      </c>
      <c r="B4" s="1" t="s">
        <v>88</v>
      </c>
      <c r="C4" s="1" t="s">
        <v>18</v>
      </c>
      <c r="D4" s="1">
        <v>1974</v>
      </c>
      <c r="E4" s="1">
        <v>27.491</v>
      </c>
      <c r="F4" s="1">
        <v>9.0718399999999999</v>
      </c>
      <c r="G4" s="1">
        <v>0.81840000000000002</v>
      </c>
      <c r="H4" s="1">
        <v>0.4839</v>
      </c>
      <c r="I4" s="1">
        <v>86.636071999999999</v>
      </c>
      <c r="K4" s="1">
        <v>9.1</v>
      </c>
      <c r="L4" s="1">
        <v>26.244498</v>
      </c>
      <c r="M4" s="1">
        <v>276</v>
      </c>
      <c r="P4" s="1">
        <v>7.1999999999999995E-2</v>
      </c>
      <c r="Q4" s="1">
        <v>0.307</v>
      </c>
      <c r="S4" s="1">
        <v>18.600000000000001</v>
      </c>
      <c r="T4" s="1">
        <v>500</v>
      </c>
      <c r="U4" s="1">
        <v>550</v>
      </c>
      <c r="Y4" s="3"/>
      <c r="Z4" s="1">
        <v>3.2658624000000001</v>
      </c>
      <c r="AE4" s="3">
        <f>(PI()*(Table1[[#This Row],[Diameter]]/2)^2*Table1[[#This Row],[Length]])*1000</f>
        <v>150.51048190924732</v>
      </c>
      <c r="AF4" s="3">
        <f>Table1[[#This Row],[Case Mass]]/Table1[[#This Row],[Volume]]</f>
        <v>0</v>
      </c>
      <c r="AG4" s="3">
        <f>Table1[[#This Row],[Nozzle Mass]]/Table1[[#This Row],[Volume]]</f>
        <v>2.1698571146488013E-2</v>
      </c>
      <c r="AH4" s="3">
        <f>Table1[[#This Row],[Nozzle Mass]]/Table1[[#This Row],[Diameter]]</f>
        <v>6.7490440173589583</v>
      </c>
      <c r="AI4" s="3">
        <f>Table1[[#This Row],[Additional Mass]]/Table1[[#This Row],[Volume]]</f>
        <v>0</v>
      </c>
      <c r="AJ4" s="3">
        <f>Table1[[#This Row],[Igniter Mass]]/Table1[[#This Row],[Volume]]</f>
        <v>0</v>
      </c>
      <c r="AK4" s="3">
        <f>Table1[[#This Row],[Dry Mass]]/Table1[[#This Row],[Volume]]</f>
        <v>6.0273808740244482E-2</v>
      </c>
      <c r="AL4" s="3">
        <f>Table1[[#This Row],[Avg Thrust]]/Table1[[#This Row],[Volume]]</f>
        <v>0.17436990212963729</v>
      </c>
      <c r="AM4" s="3"/>
    </row>
    <row r="5" spans="1:39" x14ac:dyDescent="0.25">
      <c r="A5" s="1" t="s">
        <v>179</v>
      </c>
      <c r="B5" s="1" t="s">
        <v>34</v>
      </c>
      <c r="C5" s="1" t="s">
        <v>18</v>
      </c>
      <c r="E5" s="1">
        <v>493.64420000000001</v>
      </c>
      <c r="F5" s="1">
        <v>2033.9970000000001</v>
      </c>
      <c r="G5" s="1">
        <v>9.4</v>
      </c>
      <c r="H5" s="1">
        <v>1.02</v>
      </c>
      <c r="I5" s="1">
        <v>8617.3410000000003</v>
      </c>
      <c r="J5" s="1" t="s">
        <v>180</v>
      </c>
      <c r="K5" s="1">
        <v>41.29</v>
      </c>
      <c r="M5" s="1">
        <v>241.4</v>
      </c>
      <c r="Q5" s="1">
        <v>0.85499999999999998</v>
      </c>
      <c r="S5" s="1">
        <v>4.6399999999999997</v>
      </c>
      <c r="T5" s="1">
        <v>294.39999999999998</v>
      </c>
      <c r="Y5" s="3"/>
      <c r="AC5" s="1">
        <v>0.83799999999999997</v>
      </c>
      <c r="AE5" s="3">
        <f>(PI()*(Table1[[#This Row],[Diameter]]/2)^2*Table1[[#This Row],[Length]])*1000</f>
        <v>7681.0055424678285</v>
      </c>
      <c r="AF5" s="3">
        <f>Table1[[#This Row],[Case Mass]]/Table1[[#This Row],[Volume]]</f>
        <v>0</v>
      </c>
      <c r="AG5" s="3">
        <f>Table1[[#This Row],[Nozzle Mass]]/Table1[[#This Row],[Volume]]</f>
        <v>0</v>
      </c>
      <c r="AH5" s="3">
        <f>Table1[[#This Row],[Nozzle Mass]]/Table1[[#This Row],[Diameter]]</f>
        <v>0</v>
      </c>
      <c r="AI5" s="3">
        <f>Table1[[#This Row],[Additional Mass]]/Table1[[#This Row],[Volume]]</f>
        <v>0</v>
      </c>
      <c r="AJ5" s="3">
        <f>Table1[[#This Row],[Igniter Mass]]/Table1[[#This Row],[Volume]]</f>
        <v>0</v>
      </c>
      <c r="AK5" s="3">
        <f>Table1[[#This Row],[Dry Mass]]/Table1[[#This Row],[Volume]]</f>
        <v>0.26480868797114521</v>
      </c>
      <c r="AL5" s="3">
        <f>Table1[[#This Row],[Avg Thrust]]/Table1[[#This Row],[Volume]]</f>
        <v>0</v>
      </c>
      <c r="AM5" s="3"/>
    </row>
    <row r="6" spans="1:39" x14ac:dyDescent="0.25">
      <c r="A6" s="1" t="s">
        <v>192</v>
      </c>
      <c r="B6" s="1" t="s">
        <v>34</v>
      </c>
      <c r="C6" s="1" t="s">
        <v>18</v>
      </c>
      <c r="E6" s="1">
        <v>449.02112</v>
      </c>
      <c r="F6" s="1">
        <v>1065.5329999999999</v>
      </c>
      <c r="G6" s="1">
        <v>9.4</v>
      </c>
      <c r="H6" s="1">
        <v>1.02</v>
      </c>
      <c r="I6" s="1">
        <v>9588.4809999999998</v>
      </c>
      <c r="K6" s="1">
        <v>80</v>
      </c>
      <c r="M6" s="1">
        <v>258.88</v>
      </c>
      <c r="S6" s="1">
        <v>7.25</v>
      </c>
      <c r="T6" s="1">
        <v>530</v>
      </c>
      <c r="U6" s="1">
        <v>675</v>
      </c>
      <c r="Y6" s="3"/>
      <c r="Z6" s="1">
        <v>261.26899200000003</v>
      </c>
      <c r="AC6" s="1">
        <v>0.89</v>
      </c>
      <c r="AE6" s="3">
        <f>(PI()*(Table1[[#This Row],[Diameter]]/2)^2*Table1[[#This Row],[Length]])*1000</f>
        <v>7681.0055424678285</v>
      </c>
      <c r="AF6" s="3">
        <f>Table1[[#This Row],[Case Mass]]/Table1[[#This Row],[Volume]]</f>
        <v>0</v>
      </c>
      <c r="AG6" s="3">
        <f>Table1[[#This Row],[Nozzle Mass]]/Table1[[#This Row],[Volume]]</f>
        <v>3.401494642276446E-2</v>
      </c>
      <c r="AH6" s="3">
        <f>Table1[[#This Row],[Nozzle Mass]]/Table1[[#This Row],[Diameter]]</f>
        <v>256.14607058823532</v>
      </c>
      <c r="AI6" s="3">
        <f>Table1[[#This Row],[Additional Mass]]/Table1[[#This Row],[Volume]]</f>
        <v>0</v>
      </c>
      <c r="AJ6" s="3">
        <f>Table1[[#This Row],[Igniter Mass]]/Table1[[#This Row],[Volume]]</f>
        <v>0</v>
      </c>
      <c r="AK6" s="3">
        <f>Table1[[#This Row],[Dry Mass]]/Table1[[#This Row],[Volume]]</f>
        <v>0.13872311302325335</v>
      </c>
      <c r="AL6" s="3">
        <f>Table1[[#This Row],[Avg Thrust]]/Table1[[#This Row],[Volume]]</f>
        <v>0</v>
      </c>
      <c r="AM6" s="3"/>
    </row>
    <row r="7" spans="1:39" x14ac:dyDescent="0.25">
      <c r="A7" s="1" t="s">
        <v>184</v>
      </c>
      <c r="B7" s="1" t="s">
        <v>34</v>
      </c>
      <c r="C7" s="1" t="s">
        <v>18</v>
      </c>
      <c r="E7" s="1">
        <v>530.25896</v>
      </c>
      <c r="F7" s="1">
        <v>1391.1210000000001</v>
      </c>
      <c r="G7" s="1">
        <v>9.4</v>
      </c>
      <c r="H7" s="1">
        <v>1.1399999999999999</v>
      </c>
      <c r="I7" s="1">
        <v>12564.5</v>
      </c>
      <c r="J7" s="1" t="s">
        <v>14</v>
      </c>
      <c r="K7" s="1">
        <v>70</v>
      </c>
      <c r="M7" s="1">
        <v>260.28899999999999</v>
      </c>
      <c r="N7" s="1" t="s">
        <v>17</v>
      </c>
      <c r="S7" s="1">
        <v>6.49</v>
      </c>
      <c r="T7" s="1">
        <v>503</v>
      </c>
      <c r="U7" s="1">
        <v>970</v>
      </c>
      <c r="Y7" s="3"/>
      <c r="AC7" s="1">
        <v>0.89019999999999999</v>
      </c>
      <c r="AE7" s="3">
        <f>(PI()*(Table1[[#This Row],[Diameter]]/2)^2*Table1[[#This Row],[Length]])*1000</f>
        <v>9594.6124596224436</v>
      </c>
      <c r="AF7" s="3">
        <f>Table1[[#This Row],[Case Mass]]/Table1[[#This Row],[Volume]]</f>
        <v>0</v>
      </c>
      <c r="AG7" s="3">
        <f>Table1[[#This Row],[Nozzle Mass]]/Table1[[#This Row],[Volume]]</f>
        <v>0</v>
      </c>
      <c r="AH7" s="3">
        <f>Table1[[#This Row],[Nozzle Mass]]/Table1[[#This Row],[Diameter]]</f>
        <v>0</v>
      </c>
      <c r="AI7" s="3">
        <f>Table1[[#This Row],[Additional Mass]]/Table1[[#This Row],[Volume]]</f>
        <v>0</v>
      </c>
      <c r="AJ7" s="3">
        <f>Table1[[#This Row],[Igniter Mass]]/Table1[[#This Row],[Volume]]</f>
        <v>0</v>
      </c>
      <c r="AK7" s="3">
        <f>Table1[[#This Row],[Dry Mass]]/Table1[[#This Row],[Volume]]</f>
        <v>0.14498980608694037</v>
      </c>
      <c r="AL7" s="3">
        <f>Table1[[#This Row],[Avg Thrust]]/Table1[[#This Row],[Volume]]</f>
        <v>0</v>
      </c>
      <c r="AM7" s="3"/>
    </row>
    <row r="8" spans="1:39" x14ac:dyDescent="0.25">
      <c r="A8" s="1" t="s">
        <v>185</v>
      </c>
      <c r="B8" s="1" t="s">
        <v>88</v>
      </c>
      <c r="C8" s="1" t="s">
        <v>18</v>
      </c>
      <c r="D8" s="1">
        <v>1963</v>
      </c>
      <c r="E8" s="1">
        <v>35</v>
      </c>
      <c r="F8" s="1">
        <v>32.700000000000003</v>
      </c>
      <c r="G8" s="1">
        <v>1.50495</v>
      </c>
      <c r="H8" s="1">
        <v>0.4572</v>
      </c>
      <c r="I8" s="1">
        <v>239.06399999999999</v>
      </c>
      <c r="K8" s="1">
        <v>23.2</v>
      </c>
      <c r="L8" s="1">
        <v>29.091358800000002</v>
      </c>
      <c r="M8" s="1">
        <v>279</v>
      </c>
      <c r="P8" s="1">
        <v>0.08</v>
      </c>
      <c r="Q8" s="1">
        <v>0.41399999999999998</v>
      </c>
      <c r="S8" s="1">
        <v>25</v>
      </c>
      <c r="T8" s="1">
        <v>450</v>
      </c>
      <c r="U8" s="1">
        <v>485</v>
      </c>
      <c r="Y8" s="3"/>
      <c r="Z8" s="1">
        <v>10.886208</v>
      </c>
      <c r="AE8" s="3">
        <f>(PI()*(Table1[[#This Row],[Diameter]]/2)^2*Table1[[#This Row],[Length]])*1000</f>
        <v>247.07249229636048</v>
      </c>
      <c r="AF8" s="3">
        <f>Table1[[#This Row],[Case Mass]]/Table1[[#This Row],[Volume]]</f>
        <v>0</v>
      </c>
      <c r="AG8" s="3">
        <f>Table1[[#This Row],[Nozzle Mass]]/Table1[[#This Row],[Volume]]</f>
        <v>4.406078515184169E-2</v>
      </c>
      <c r="AH8" s="3">
        <f>Table1[[#This Row],[Nozzle Mass]]/Table1[[#This Row],[Diameter]]</f>
        <v>23.810603674540683</v>
      </c>
      <c r="AI8" s="3">
        <f>Table1[[#This Row],[Additional Mass]]/Table1[[#This Row],[Volume]]</f>
        <v>0</v>
      </c>
      <c r="AJ8" s="3">
        <f>Table1[[#This Row],[Igniter Mass]]/Table1[[#This Row],[Volume]]</f>
        <v>0</v>
      </c>
      <c r="AK8" s="3">
        <f>Table1[[#This Row],[Dry Mass]]/Table1[[#This Row],[Volume]]</f>
        <v>0.1323498204760761</v>
      </c>
      <c r="AL8" s="3">
        <f>Table1[[#This Row],[Avg Thrust]]/Table1[[#This Row],[Volume]]</f>
        <v>0.11774422368761824</v>
      </c>
      <c r="AM8" s="3"/>
    </row>
    <row r="9" spans="1:39" x14ac:dyDescent="0.25">
      <c r="A9" s="1" t="s">
        <v>187</v>
      </c>
      <c r="B9" s="1" t="s">
        <v>88</v>
      </c>
      <c r="C9" s="1" t="s">
        <v>18</v>
      </c>
      <c r="D9" s="1">
        <v>1965</v>
      </c>
      <c r="E9" s="1">
        <v>31</v>
      </c>
      <c r="F9" s="1">
        <v>23.165849999999999</v>
      </c>
      <c r="G9" s="1">
        <v>1.4841219999999999</v>
      </c>
      <c r="H9" s="1">
        <v>0.50800000000000001</v>
      </c>
      <c r="I9" s="1">
        <v>274.4332</v>
      </c>
      <c r="J9" s="1" t="s">
        <v>191</v>
      </c>
      <c r="K9" s="1">
        <v>31.5</v>
      </c>
      <c r="L9" s="1">
        <v>25.227</v>
      </c>
      <c r="M9" s="1">
        <v>284.5</v>
      </c>
      <c r="P9" s="1">
        <v>5.8999999999999997E-2</v>
      </c>
      <c r="Q9" s="1">
        <v>0.43</v>
      </c>
      <c r="S9" s="1">
        <v>50.37</v>
      </c>
      <c r="T9" s="1">
        <v>701</v>
      </c>
      <c r="U9" s="1">
        <v>859</v>
      </c>
      <c r="Y9" s="3"/>
      <c r="Z9" s="1">
        <v>5.4431039999999999</v>
      </c>
      <c r="AE9" s="3">
        <f>(PI()*(Table1[[#This Row],[Diameter]]/2)^2*Table1[[#This Row],[Length]])*1000</f>
        <v>300.80628691725462</v>
      </c>
      <c r="AF9" s="3">
        <f>Table1[[#This Row],[Case Mass]]/Table1[[#This Row],[Volume]]</f>
        <v>0</v>
      </c>
      <c r="AG9" s="3">
        <f>Table1[[#This Row],[Nozzle Mass]]/Table1[[#This Row],[Volume]]</f>
        <v>1.8095047333559492E-2</v>
      </c>
      <c r="AH9" s="3">
        <f>Table1[[#This Row],[Nozzle Mass]]/Table1[[#This Row],[Diameter]]</f>
        <v>10.714771653543307</v>
      </c>
      <c r="AI9" s="3">
        <f>Table1[[#This Row],[Additional Mass]]/Table1[[#This Row],[Volume]]</f>
        <v>0</v>
      </c>
      <c r="AJ9" s="3">
        <f>Table1[[#This Row],[Igniter Mass]]/Table1[[#This Row],[Volume]]</f>
        <v>0</v>
      </c>
      <c r="AK9" s="3">
        <f>Table1[[#This Row],[Dry Mass]]/Table1[[#This Row],[Volume]]</f>
        <v>7.7012519377204464E-2</v>
      </c>
      <c r="AL9" s="3">
        <f>Table1[[#This Row],[Avg Thrust]]/Table1[[#This Row],[Volume]]</f>
        <v>8.3864603557768758E-2</v>
      </c>
      <c r="AM9" s="3"/>
    </row>
    <row r="10" spans="1:39" x14ac:dyDescent="0.25">
      <c r="A10" s="1" t="s">
        <v>186</v>
      </c>
      <c r="B10" s="1" t="s">
        <v>88</v>
      </c>
      <c r="C10" s="1" t="s">
        <v>18</v>
      </c>
      <c r="D10" s="1">
        <v>1959</v>
      </c>
      <c r="E10" s="1">
        <v>16.350000000000001</v>
      </c>
      <c r="F10" s="1">
        <v>22.498159999999999</v>
      </c>
      <c r="G10" s="1">
        <v>1.47828</v>
      </c>
      <c r="H10" s="1">
        <v>0.4572</v>
      </c>
      <c r="I10" s="1">
        <v>206.2029</v>
      </c>
      <c r="J10" s="1" t="s">
        <v>183</v>
      </c>
      <c r="K10" s="1">
        <v>39</v>
      </c>
      <c r="L10" s="1">
        <v>13.344659999999999</v>
      </c>
      <c r="M10" s="1">
        <v>255.04</v>
      </c>
      <c r="S10" s="1">
        <v>25.8</v>
      </c>
      <c r="T10" s="1">
        <v>216.8</v>
      </c>
      <c r="Y10" s="3"/>
      <c r="AC10" s="1">
        <v>0.70899999999999996</v>
      </c>
      <c r="AE10" s="3">
        <f>(PI()*(Table1[[#This Row],[Diameter]]/2)^2*Table1[[#This Row],[Length]])*1000</f>
        <v>242.69399243288063</v>
      </c>
      <c r="AF10" s="3">
        <f>Table1[[#This Row],[Case Mass]]/Table1[[#This Row],[Volume]]</f>
        <v>0</v>
      </c>
      <c r="AG10" s="3">
        <f>Table1[[#This Row],[Nozzle Mass]]/Table1[[#This Row],[Volume]]</f>
        <v>0</v>
      </c>
      <c r="AH10" s="3">
        <f>Table1[[#This Row],[Nozzle Mass]]/Table1[[#This Row],[Diameter]]</f>
        <v>0</v>
      </c>
      <c r="AI10" s="3">
        <f>Table1[[#This Row],[Additional Mass]]/Table1[[#This Row],[Volume]]</f>
        <v>0</v>
      </c>
      <c r="AJ10" s="3">
        <f>Table1[[#This Row],[Igniter Mass]]/Table1[[#This Row],[Volume]]</f>
        <v>0</v>
      </c>
      <c r="AK10" s="3">
        <f>Table1[[#This Row],[Dry Mass]]/Table1[[#This Row],[Volume]]</f>
        <v>9.2701759011286952E-2</v>
      </c>
      <c r="AL10" s="3">
        <f>Table1[[#This Row],[Avg Thrust]]/Table1[[#This Row],[Volume]]</f>
        <v>5.4985539057752303E-2</v>
      </c>
      <c r="AM10" s="3"/>
    </row>
    <row r="11" spans="1:39" x14ac:dyDescent="0.25">
      <c r="A11" s="1" t="s">
        <v>188</v>
      </c>
      <c r="B11" s="1" t="s">
        <v>88</v>
      </c>
      <c r="C11" s="1" t="s">
        <v>18</v>
      </c>
      <c r="F11" s="1">
        <v>116</v>
      </c>
      <c r="G11" s="1">
        <v>2.89</v>
      </c>
      <c r="H11" s="1">
        <v>0.76</v>
      </c>
      <c r="I11" s="1">
        <v>1162</v>
      </c>
      <c r="K11" s="1">
        <v>33.700000000000003</v>
      </c>
      <c r="L11" s="1">
        <v>95.988</v>
      </c>
      <c r="M11" s="1">
        <v>281.14999999999998</v>
      </c>
      <c r="P11" s="1">
        <v>0.16900000000000001</v>
      </c>
      <c r="Q11" s="1">
        <v>0.74299999999999999</v>
      </c>
      <c r="S11" s="1">
        <v>17.91</v>
      </c>
      <c r="T11" s="1">
        <v>337</v>
      </c>
      <c r="U11" s="1">
        <v>416</v>
      </c>
      <c r="V11" s="1" t="s">
        <v>48</v>
      </c>
      <c r="Y11" s="3"/>
      <c r="Z11" s="1">
        <v>34.472991999999998</v>
      </c>
      <c r="AE11" s="3">
        <f>(PI()*(Table1[[#This Row],[Diameter]]/2)^2*Table1[[#This Row],[Length]])*1000</f>
        <v>1311.0368798254781</v>
      </c>
      <c r="AF11" s="3">
        <f>Table1[[#This Row],[Case Mass]]/Table1[[#This Row],[Volume]]</f>
        <v>0</v>
      </c>
      <c r="AG11" s="3">
        <f>Table1[[#This Row],[Nozzle Mass]]/Table1[[#This Row],[Volume]]</f>
        <v>2.6294448714965939E-2</v>
      </c>
      <c r="AH11" s="3">
        <f>Table1[[#This Row],[Nozzle Mass]]/Table1[[#This Row],[Diameter]]</f>
        <v>45.359199999999994</v>
      </c>
      <c r="AI11" s="3">
        <f>Table1[[#This Row],[Additional Mass]]/Table1[[#This Row],[Volume]]</f>
        <v>0</v>
      </c>
      <c r="AJ11" s="3">
        <f>Table1[[#This Row],[Igniter Mass]]/Table1[[#This Row],[Volume]]</f>
        <v>0</v>
      </c>
      <c r="AK11" s="3">
        <f>Table1[[#This Row],[Dry Mass]]/Table1[[#This Row],[Volume]]</f>
        <v>8.8479585727170101E-2</v>
      </c>
      <c r="AL11" s="3">
        <f>Table1[[#This Row],[Avg Thrust]]/Table1[[#This Row],[Volume]]</f>
        <v>7.3215331679134521E-2</v>
      </c>
      <c r="AM11" s="3"/>
    </row>
    <row r="12" spans="1:39" x14ac:dyDescent="0.25">
      <c r="A12" s="1" t="s">
        <v>189</v>
      </c>
      <c r="B12" s="1" t="s">
        <v>88</v>
      </c>
      <c r="C12" s="1" t="s">
        <v>18</v>
      </c>
      <c r="F12" s="1">
        <v>76.747770000000003</v>
      </c>
      <c r="G12" s="1">
        <v>2.89</v>
      </c>
      <c r="H12" s="1">
        <v>0.76</v>
      </c>
      <c r="I12" s="1">
        <v>945.73929999999996</v>
      </c>
      <c r="J12" s="1" t="s">
        <v>183</v>
      </c>
      <c r="K12" s="1">
        <v>38.1</v>
      </c>
      <c r="L12" s="1">
        <v>62.275080000000003</v>
      </c>
      <c r="M12" s="1">
        <f>534080/2084</f>
        <v>256.27639155470251</v>
      </c>
      <c r="S12" s="1">
        <v>25.15</v>
      </c>
      <c r="T12" s="1">
        <v>294.39999999999998</v>
      </c>
      <c r="Y12" s="3"/>
      <c r="AC12" s="1">
        <v>0.753</v>
      </c>
      <c r="AE12" s="3">
        <f>(PI()*(Table1[[#This Row],[Diameter]]/2)^2*Table1[[#This Row],[Length]])*1000</f>
        <v>1311.0368798254781</v>
      </c>
      <c r="AF12" s="3">
        <f>Table1[[#This Row],[Case Mass]]/Table1[[#This Row],[Volume]]</f>
        <v>0</v>
      </c>
      <c r="AG12" s="3">
        <f>Table1[[#This Row],[Nozzle Mass]]/Table1[[#This Row],[Volume]]</f>
        <v>0</v>
      </c>
      <c r="AH12" s="3">
        <f>Table1[[#This Row],[Nozzle Mass]]/Table1[[#This Row],[Diameter]]</f>
        <v>0</v>
      </c>
      <c r="AI12" s="3">
        <f>Table1[[#This Row],[Additional Mass]]/Table1[[#This Row],[Volume]]</f>
        <v>0</v>
      </c>
      <c r="AJ12" s="3">
        <f>Table1[[#This Row],[Igniter Mass]]/Table1[[#This Row],[Volume]]</f>
        <v>0</v>
      </c>
      <c r="AK12" s="3">
        <f>Table1[[#This Row],[Dry Mass]]/Table1[[#This Row],[Volume]]</f>
        <v>5.853974909555288E-2</v>
      </c>
      <c r="AL12" s="3">
        <f>Table1[[#This Row],[Avg Thrust]]/Table1[[#This Row],[Volume]]</f>
        <v>4.7500631720054975E-2</v>
      </c>
      <c r="AM12" s="3"/>
    </row>
    <row r="13" spans="1:39" x14ac:dyDescent="0.25">
      <c r="A13" s="1" t="s">
        <v>198</v>
      </c>
      <c r="B13" s="1" t="s">
        <v>88</v>
      </c>
      <c r="C13" s="1" t="s">
        <v>199</v>
      </c>
      <c r="D13" s="1">
        <v>1957</v>
      </c>
      <c r="E13" s="1">
        <v>9.3412620000000004</v>
      </c>
      <c r="F13" s="1">
        <v>5.07</v>
      </c>
      <c r="G13" s="1">
        <v>1.1049</v>
      </c>
      <c r="H13" s="1">
        <v>0.15240000000000001</v>
      </c>
      <c r="I13" s="1">
        <v>21.899421759999999</v>
      </c>
      <c r="K13" s="1">
        <v>6.7</v>
      </c>
      <c r="L13" s="1">
        <v>8.7799999999999994</v>
      </c>
      <c r="M13" s="1">
        <v>219.8</v>
      </c>
      <c r="N13" s="1" t="s">
        <v>113</v>
      </c>
      <c r="P13" s="1">
        <v>4.4043599999999995E-2</v>
      </c>
      <c r="Q13" s="1">
        <v>0.15087600000000001</v>
      </c>
      <c r="R13" s="1">
        <v>0.23723599999999997</v>
      </c>
      <c r="S13" s="1">
        <v>11.84</v>
      </c>
      <c r="T13" s="1">
        <v>496</v>
      </c>
      <c r="U13" s="1">
        <v>527</v>
      </c>
      <c r="V13" s="1" t="s">
        <v>48</v>
      </c>
      <c r="Y13" s="3"/>
      <c r="AD13" s="1">
        <v>5.842E-4</v>
      </c>
      <c r="AE13" s="3">
        <f>(PI()*(Table1[[#This Row],[Diameter]]/2)^2*Table1[[#This Row],[Length]])*1000</f>
        <v>20.154999371573709</v>
      </c>
      <c r="AF13" s="3">
        <f>Table1[[#This Row],[Case Mass]]/Table1[[#This Row],[Volume]]</f>
        <v>0</v>
      </c>
      <c r="AG13" s="3">
        <f>Table1[[#This Row],[Nozzle Mass]]/Table1[[#This Row],[Volume]]</f>
        <v>0</v>
      </c>
      <c r="AH13" s="3">
        <f>Table1[[#This Row],[Nozzle Mass]]/Table1[[#This Row],[Diameter]]</f>
        <v>0</v>
      </c>
      <c r="AI13" s="3">
        <f>Table1[[#This Row],[Additional Mass]]/Table1[[#This Row],[Volume]]</f>
        <v>0</v>
      </c>
      <c r="AJ13" s="3">
        <f>Table1[[#This Row],[Igniter Mass]]/Table1[[#This Row],[Volume]]</f>
        <v>0</v>
      </c>
      <c r="AK13" s="3">
        <f>Table1[[#This Row],[Dry Mass]]/Table1[[#This Row],[Volume]]</f>
        <v>0.25155049159419213</v>
      </c>
      <c r="AL13" s="3">
        <f>Table1[[#This Row],[Avg Thrust]]/Table1[[#This Row],[Volume]]</f>
        <v>0.43562392824398555</v>
      </c>
      <c r="AM13" s="3"/>
    </row>
    <row r="14" spans="1:39" x14ac:dyDescent="0.25">
      <c r="A14" s="1" t="s">
        <v>55</v>
      </c>
      <c r="B14" s="1" t="s">
        <v>34</v>
      </c>
      <c r="C14" s="1" t="s">
        <v>82</v>
      </c>
      <c r="E14" s="1">
        <v>1957.2168000000001</v>
      </c>
      <c r="F14" s="1">
        <v>4118.1617679999999</v>
      </c>
      <c r="G14" s="1">
        <v>9.0169999999999995</v>
      </c>
      <c r="H14" s="1">
        <v>2.3367999999999998</v>
      </c>
      <c r="I14" s="1">
        <v>48948.927087999997</v>
      </c>
      <c r="J14" s="1" t="s">
        <v>87</v>
      </c>
      <c r="K14" s="1">
        <v>79.400000000000006</v>
      </c>
      <c r="L14" s="1">
        <v>1685.87538</v>
      </c>
      <c r="M14" s="1">
        <v>280</v>
      </c>
      <c r="N14" s="1" t="s">
        <v>221</v>
      </c>
      <c r="Q14" s="1">
        <v>1.5163800000000001</v>
      </c>
      <c r="R14" s="1">
        <v>1.448</v>
      </c>
      <c r="T14" s="1">
        <v>1146</v>
      </c>
      <c r="U14" s="1">
        <v>1484</v>
      </c>
      <c r="V14" s="1" t="s">
        <v>47</v>
      </c>
      <c r="AC14" s="1">
        <v>0.92300000000000004</v>
      </c>
      <c r="AE14" s="1">
        <f>(PI()*(Table1[[#This Row],[Diameter]]/2)^2*Table1[[#This Row],[Length]])*1000</f>
        <v>38671.858053483353</v>
      </c>
      <c r="AF14" s="1">
        <f>Table1[[#This Row],[Case Mass]]/Table1[[#This Row],[Volume]]</f>
        <v>0</v>
      </c>
      <c r="AG14" s="1">
        <f>Table1[[#This Row],[Nozzle Mass]]/Table1[[#This Row],[Volume]]</f>
        <v>0</v>
      </c>
      <c r="AH14" s="1">
        <f>Table1[[#This Row],[Nozzle Mass]]/Table1[[#This Row],[Diameter]]</f>
        <v>0</v>
      </c>
      <c r="AI14" s="3">
        <f>Table1[[#This Row],[Additional Mass]]/Table1[[#This Row],[Volume]]</f>
        <v>0</v>
      </c>
      <c r="AJ14" s="3">
        <f>Table1[[#This Row],[Igniter Mass]]/Table1[[#This Row],[Volume]]</f>
        <v>0</v>
      </c>
      <c r="AK14" s="3">
        <f>Table1[[#This Row],[Dry Mass]]/Table1[[#This Row],[Volume]]</f>
        <v>0.10648988632262157</v>
      </c>
      <c r="AL14" s="3">
        <f>Table1[[#This Row],[Avg Thrust]]/Table1[[#This Row],[Volume]]</f>
        <v>4.3594372364224823E-2</v>
      </c>
      <c r="AM14" s="3"/>
    </row>
    <row r="15" spans="1:39" x14ac:dyDescent="0.25">
      <c r="A15" s="1" t="s">
        <v>56</v>
      </c>
      <c r="B15" s="1" t="s">
        <v>34</v>
      </c>
      <c r="E15" s="1">
        <v>2039.5088700000001</v>
      </c>
      <c r="F15" s="1">
        <v>4168.0568880000001</v>
      </c>
      <c r="G15" s="1">
        <v>9.6088199999999997</v>
      </c>
      <c r="H15" s="1">
        <v>2.33934</v>
      </c>
      <c r="I15" s="1">
        <v>51797.484848</v>
      </c>
      <c r="J15" s="1" t="s">
        <v>87</v>
      </c>
      <c r="K15" s="1">
        <v>83.5</v>
      </c>
      <c r="L15" s="1">
        <v>1697.89002222</v>
      </c>
      <c r="M15" s="1">
        <v>279.10000000000002</v>
      </c>
      <c r="Q15" s="1">
        <v>1.5189199999999998</v>
      </c>
      <c r="V15" s="1" t="s">
        <v>47</v>
      </c>
      <c r="AC15" s="1">
        <v>0.93</v>
      </c>
      <c r="AE15" s="1">
        <f>(PI()*(Table1[[#This Row],[Diameter]]/2)^2*Table1[[#This Row],[Length]])*1000</f>
        <v>41299.674889789632</v>
      </c>
      <c r="AF15" s="1">
        <f>Table1[[#This Row],[Case Mass]]/Table1[[#This Row],[Volume]]</f>
        <v>0</v>
      </c>
      <c r="AG15" s="1">
        <f>Table1[[#This Row],[Nozzle Mass]]/Table1[[#This Row],[Volume]]</f>
        <v>0</v>
      </c>
      <c r="AH15" s="1">
        <f>Table1[[#This Row],[Nozzle Mass]]/Table1[[#This Row],[Diameter]]</f>
        <v>0</v>
      </c>
      <c r="AI15" s="3">
        <f>Table1[[#This Row],[Additional Mass]]/Table1[[#This Row],[Volume]]</f>
        <v>0</v>
      </c>
      <c r="AJ15" s="3">
        <f>Table1[[#This Row],[Igniter Mass]]/Table1[[#This Row],[Volume]]</f>
        <v>0</v>
      </c>
      <c r="AK15" s="3">
        <f>Table1[[#This Row],[Dry Mass]]/Table1[[#This Row],[Volume]]</f>
        <v>0.10092226873753075</v>
      </c>
      <c r="AL15" s="3">
        <f>Table1[[#This Row],[Avg Thrust]]/Table1[[#This Row],[Volume]]</f>
        <v>4.1111462178598485E-2</v>
      </c>
      <c r="AM15" s="3"/>
    </row>
    <row r="16" spans="1:39" x14ac:dyDescent="0.25">
      <c r="A16" s="1" t="s">
        <v>52</v>
      </c>
      <c r="B16" s="1" t="s">
        <v>88</v>
      </c>
      <c r="C16" s="1" t="s">
        <v>80</v>
      </c>
      <c r="E16" s="1">
        <v>330.76519098</v>
      </c>
      <c r="F16" s="1">
        <v>1121.2794240000001</v>
      </c>
      <c r="G16" s="1">
        <v>3.6626799999999995</v>
      </c>
      <c r="H16" s="1">
        <v>2.3367999999999998</v>
      </c>
      <c r="I16" s="1">
        <v>12745.028016</v>
      </c>
      <c r="J16" s="1" t="s">
        <v>87</v>
      </c>
      <c r="K16" s="1">
        <v>149.80000000000001</v>
      </c>
      <c r="L16" s="1">
        <v>238.86941400000001</v>
      </c>
      <c r="M16" s="1">
        <v>301</v>
      </c>
      <c r="Q16" s="1">
        <v>1.21</v>
      </c>
      <c r="S16" s="1">
        <v>65</v>
      </c>
      <c r="V16" s="1" t="s">
        <v>47</v>
      </c>
      <c r="Y16" s="1">
        <v>408</v>
      </c>
      <c r="AC16" s="1">
        <v>0.92</v>
      </c>
      <c r="AE16" s="1">
        <f>(PI()*(Table1[[#This Row],[Diameter]]/2)^2*Table1[[#This Row],[Length]])*1000</f>
        <v>15708.39980651352</v>
      </c>
      <c r="AF16" s="1">
        <f>Table1[[#This Row],[Case Mass]]/Table1[[#This Row],[Volume]]</f>
        <v>2.5973364889199088E-2</v>
      </c>
      <c r="AG16" s="1">
        <f>Table1[[#This Row],[Nozzle Mass]]/Table1[[#This Row],[Volume]]</f>
        <v>0</v>
      </c>
      <c r="AH16" s="1">
        <f>Table1[[#This Row],[Nozzle Mass]]/Table1[[#This Row],[Diameter]]</f>
        <v>0</v>
      </c>
      <c r="AI16" s="3">
        <f>Table1[[#This Row],[Additional Mass]]/Table1[[#This Row],[Volume]]</f>
        <v>0</v>
      </c>
      <c r="AJ16" s="3">
        <f>Table1[[#This Row],[Igniter Mass]]/Table1[[#This Row],[Volume]]</f>
        <v>0</v>
      </c>
      <c r="AK16" s="3">
        <f>Table1[[#This Row],[Dry Mass]]/Table1[[#This Row],[Volume]]</f>
        <v>7.1380881427213175E-2</v>
      </c>
      <c r="AL16" s="3">
        <f>Table1[[#This Row],[Avg Thrust]]/Table1[[#This Row],[Volume]]</f>
        <v>1.5206476594831276E-2</v>
      </c>
      <c r="AM16" s="3"/>
    </row>
    <row r="17" spans="1:39" x14ac:dyDescent="0.25">
      <c r="A17" s="1" t="s">
        <v>53</v>
      </c>
      <c r="B17" s="1" t="s">
        <v>88</v>
      </c>
      <c r="C17" s="1" t="s">
        <v>81</v>
      </c>
      <c r="E17" s="1">
        <v>396.29191980000002</v>
      </c>
      <c r="F17" s="1">
        <v>1086.35284</v>
      </c>
      <c r="G17" s="1">
        <v>4.3103799999999994</v>
      </c>
      <c r="H17" s="1">
        <v>2.3367999999999998</v>
      </c>
      <c r="I17" s="1">
        <v>12884.28076</v>
      </c>
      <c r="J17" s="1" t="s">
        <v>87</v>
      </c>
      <c r="K17" s="1">
        <v>126.7</v>
      </c>
      <c r="L17" s="1">
        <v>299.67658140000003</v>
      </c>
      <c r="M17" s="1">
        <v>300.60000000000002</v>
      </c>
      <c r="Q17" s="1">
        <v>1.5849599999999999</v>
      </c>
      <c r="V17" s="1" t="s">
        <v>47</v>
      </c>
      <c r="AC17" s="1">
        <v>0.92</v>
      </c>
      <c r="AE17" s="1">
        <f>(PI()*(Table1[[#This Row],[Diameter]]/2)^2*Table1[[#This Row],[Length]])*1000</f>
        <v>18486.237497679227</v>
      </c>
      <c r="AF17" s="1">
        <f>Table1[[#This Row],[Case Mass]]/Table1[[#This Row],[Volume]]</f>
        <v>0</v>
      </c>
      <c r="AG17" s="1">
        <f>Table1[[#This Row],[Nozzle Mass]]/Table1[[#This Row],[Volume]]</f>
        <v>0</v>
      </c>
      <c r="AH17" s="1">
        <f>Table1[[#This Row],[Nozzle Mass]]/Table1[[#This Row],[Diameter]]</f>
        <v>0</v>
      </c>
      <c r="AI17" s="3">
        <f>Table1[[#This Row],[Additional Mass]]/Table1[[#This Row],[Volume]]</f>
        <v>0</v>
      </c>
      <c r="AJ17" s="3">
        <f>Table1[[#This Row],[Igniter Mass]]/Table1[[#This Row],[Volume]]</f>
        <v>0</v>
      </c>
      <c r="AK17" s="3">
        <f>Table1[[#This Row],[Dry Mass]]/Table1[[#This Row],[Volume]]</f>
        <v>5.876549190371385E-2</v>
      </c>
      <c r="AL17" s="3">
        <f>Table1[[#This Row],[Avg Thrust]]/Table1[[#This Row],[Volume]]</f>
        <v>1.6210793647848654E-2</v>
      </c>
      <c r="AM17" s="3"/>
    </row>
    <row r="18" spans="1:39" x14ac:dyDescent="0.25">
      <c r="A18" s="1" t="s">
        <v>54</v>
      </c>
      <c r="B18" s="1" t="s">
        <v>88</v>
      </c>
      <c r="C18" s="1" t="s">
        <v>81</v>
      </c>
      <c r="E18" s="1">
        <v>533.34157800000003</v>
      </c>
      <c r="F18" s="1">
        <v>1482.3386559999999</v>
      </c>
      <c r="G18" s="1">
        <v>5.9893200000000002</v>
      </c>
      <c r="H18" s="1">
        <v>2.3367999999999998</v>
      </c>
      <c r="I18" s="1">
        <v>24924.426808</v>
      </c>
      <c r="J18" s="1" t="s">
        <v>87</v>
      </c>
      <c r="K18" s="1">
        <v>155</v>
      </c>
      <c r="L18" s="1">
        <v>464.17175700000001</v>
      </c>
      <c r="M18" s="1">
        <v>294.39999999999998</v>
      </c>
      <c r="Q18" s="1">
        <v>1.99898</v>
      </c>
      <c r="V18" s="1" t="s">
        <v>47</v>
      </c>
      <c r="AC18" s="1">
        <v>0.94</v>
      </c>
      <c r="AE18" s="1">
        <f>(PI()*(Table1[[#This Row],[Diameter]]/2)^2*Table1[[#This Row],[Length]])*1000</f>
        <v>25686.828532426411</v>
      </c>
      <c r="AF18" s="1">
        <f>Table1[[#This Row],[Case Mass]]/Table1[[#This Row],[Volume]]</f>
        <v>0</v>
      </c>
      <c r="AG18" s="1">
        <f>Table1[[#This Row],[Nozzle Mass]]/Table1[[#This Row],[Volume]]</f>
        <v>0</v>
      </c>
      <c r="AH18" s="1">
        <f>Table1[[#This Row],[Nozzle Mass]]/Table1[[#This Row],[Diameter]]</f>
        <v>0</v>
      </c>
      <c r="AI18" s="3">
        <f>Table1[[#This Row],[Additional Mass]]/Table1[[#This Row],[Volume]]</f>
        <v>0</v>
      </c>
      <c r="AJ18" s="3">
        <f>Table1[[#This Row],[Igniter Mass]]/Table1[[#This Row],[Volume]]</f>
        <v>0</v>
      </c>
      <c r="AK18" s="3">
        <f>Table1[[#This Row],[Dry Mass]]/Table1[[#This Row],[Volume]]</f>
        <v>5.770812282757027E-2</v>
      </c>
      <c r="AL18" s="3">
        <f>Table1[[#This Row],[Avg Thrust]]/Table1[[#This Row],[Volume]]</f>
        <v>1.8070419102694642E-2</v>
      </c>
      <c r="AM18" s="3"/>
    </row>
    <row r="19" spans="1:39" x14ac:dyDescent="0.25">
      <c r="A19" s="1" t="s">
        <v>16</v>
      </c>
      <c r="B19" s="1" t="s">
        <v>34</v>
      </c>
      <c r="C19" s="1" t="s">
        <v>18</v>
      </c>
      <c r="E19" s="1">
        <v>304.3</v>
      </c>
      <c r="F19" s="1">
        <v>529.25296800000024</v>
      </c>
      <c r="G19" s="1">
        <v>5.92</v>
      </c>
      <c r="H19" s="1">
        <v>0.79</v>
      </c>
      <c r="I19" s="1">
        <v>3320.7470319999998</v>
      </c>
      <c r="K19" s="1">
        <v>46</v>
      </c>
      <c r="L19" s="1">
        <v>286.19847479999999</v>
      </c>
      <c r="M19" s="1">
        <v>273.2</v>
      </c>
      <c r="N19" s="1" t="s">
        <v>33</v>
      </c>
      <c r="O19" s="1" t="s">
        <v>17</v>
      </c>
      <c r="AC19" s="1">
        <v>0.82499999999999996</v>
      </c>
      <c r="AE19" s="1">
        <f>(PI()*(Table1[[#This Row],[Diameter]]/2)^2*Table1[[#This Row],[Length]])*1000</f>
        <v>2901.7886031559774</v>
      </c>
      <c r="AF19" s="1">
        <f>Table1[[#This Row],[Case Mass]]/Table1[[#This Row],[Volume]]</f>
        <v>0</v>
      </c>
      <c r="AG19" s="1">
        <f>Table1[[#This Row],[Nozzle Mass]]/Table1[[#This Row],[Volume]]</f>
        <v>0</v>
      </c>
      <c r="AH19" s="1">
        <f>Table1[[#This Row],[Nozzle Mass]]/Table1[[#This Row],[Diameter]]</f>
        <v>0</v>
      </c>
      <c r="AI19" s="3">
        <f>Table1[[#This Row],[Additional Mass]]/Table1[[#This Row],[Volume]]</f>
        <v>0</v>
      </c>
      <c r="AJ19" s="3">
        <f>Table1[[#This Row],[Igniter Mass]]/Table1[[#This Row],[Volume]]</f>
        <v>0</v>
      </c>
      <c r="AK19" s="3">
        <f>Table1[[#This Row],[Dry Mass]]/Table1[[#This Row],[Volume]]</f>
        <v>0.18238853354940679</v>
      </c>
      <c r="AL19" s="3">
        <f>Table1[[#This Row],[Avg Thrust]]/Table1[[#This Row],[Volume]]</f>
        <v>9.8628299280220239E-2</v>
      </c>
      <c r="AM19" s="3" t="s">
        <v>197</v>
      </c>
    </row>
    <row r="20" spans="1:39" x14ac:dyDescent="0.25">
      <c r="A20" s="1" t="s">
        <v>190</v>
      </c>
      <c r="B20" s="1" t="s">
        <v>34</v>
      </c>
      <c r="C20" s="1" t="s">
        <v>18</v>
      </c>
      <c r="E20" s="3">
        <v>324.60000000000002</v>
      </c>
      <c r="F20" s="3">
        <v>677.21289999999999</v>
      </c>
      <c r="G20" s="1">
        <v>6.2737999999999996</v>
      </c>
      <c r="H20" s="1">
        <v>0.79</v>
      </c>
      <c r="I20" s="1">
        <v>3722.0308025600002</v>
      </c>
      <c r="J20" s="1" t="s">
        <v>193</v>
      </c>
      <c r="K20" s="1">
        <v>39.118000000000002</v>
      </c>
      <c r="L20" s="1">
        <v>273.12070800000004</v>
      </c>
      <c r="M20" s="1">
        <v>282.2</v>
      </c>
      <c r="N20" s="1" t="s">
        <v>17</v>
      </c>
      <c r="O20" s="1" t="s">
        <v>17</v>
      </c>
      <c r="P20" s="1">
        <v>0.21099999999999999</v>
      </c>
      <c r="Q20" s="1">
        <v>1.016</v>
      </c>
      <c r="R20" s="1">
        <v>1.097534</v>
      </c>
      <c r="S20" s="1">
        <v>21.212</v>
      </c>
      <c r="W20" s="1">
        <v>53.070259999999998</v>
      </c>
      <c r="Z20" s="1">
        <v>244.486088</v>
      </c>
      <c r="AE20" s="1">
        <f>(PI()*(Table1[[#This Row],[Diameter]]/2)^2*Table1[[#This Row],[Length]])*1000</f>
        <v>3075.209685554049</v>
      </c>
      <c r="AF20" s="1">
        <f>Table1[[#This Row],[Case Mass]]/Table1[[#This Row],[Volume]]</f>
        <v>0</v>
      </c>
      <c r="AG20" s="1">
        <f>Table1[[#This Row],[Nozzle Mass]]/Table1[[#This Row],[Volume]]</f>
        <v>7.9502249602193181E-2</v>
      </c>
      <c r="AH20" s="1">
        <f>Table1[[#This Row],[Nozzle Mass]]/Table1[[#This Row],[Diameter]]</f>
        <v>309.47606075949363</v>
      </c>
      <c r="AI20" s="3">
        <f>Table1[[#This Row],[Additional Mass]]/Table1[[#This Row],[Volume]]</f>
        <v>0</v>
      </c>
      <c r="AJ20" s="3">
        <f>Table1[[#This Row],[Igniter Mass]]/Table1[[#This Row],[Volume]]</f>
        <v>0</v>
      </c>
      <c r="AK20" s="3">
        <f>Table1[[#This Row],[Dry Mass]]/Table1[[#This Row],[Volume]]</f>
        <v>0.22021682071997933</v>
      </c>
      <c r="AL20" s="3">
        <f>Table1[[#This Row],[Avg Thrust]]/Table1[[#This Row],[Volume]]</f>
        <v>8.8813686196098501E-2</v>
      </c>
      <c r="AM20" s="3"/>
    </row>
    <row r="21" spans="1:39" x14ac:dyDescent="0.25">
      <c r="A21" s="1" t="s">
        <v>49</v>
      </c>
      <c r="B21" s="1" t="s">
        <v>34</v>
      </c>
      <c r="C21" s="1" t="s">
        <v>78</v>
      </c>
      <c r="E21" s="1">
        <v>537.70083360000001</v>
      </c>
      <c r="F21" s="1">
        <v>1565.345992</v>
      </c>
      <c r="G21" s="1">
        <v>9.2303599999999992</v>
      </c>
      <c r="H21" s="1">
        <v>1.01854</v>
      </c>
      <c r="I21" s="1">
        <v>10108.751312</v>
      </c>
      <c r="J21" s="1" t="s">
        <v>87</v>
      </c>
      <c r="K21" s="1">
        <v>55.2</v>
      </c>
      <c r="L21" s="1">
        <v>481.25292180000002</v>
      </c>
      <c r="M21" s="1">
        <v>265.3</v>
      </c>
      <c r="P21" s="1">
        <v>0.27860000000000001</v>
      </c>
      <c r="Q21" s="1">
        <v>0.85343999999999998</v>
      </c>
      <c r="R21" s="1">
        <v>1.1120000000000001</v>
      </c>
      <c r="T21" s="1">
        <v>685</v>
      </c>
      <c r="U21" s="1">
        <v>733</v>
      </c>
      <c r="V21" s="1" t="s">
        <v>48</v>
      </c>
      <c r="AC21" s="1">
        <v>0.874</v>
      </c>
      <c r="AE21" s="1">
        <f>(PI()*(Table1[[#This Row],[Diameter]]/2)^2*Table1[[#This Row],[Length]])*1000</f>
        <v>7520.8114253183721</v>
      </c>
      <c r="AF21" s="1">
        <f>Table1[[#This Row],[Case Mass]]/Table1[[#This Row],[Volume]]</f>
        <v>0</v>
      </c>
      <c r="AG21" s="1">
        <f>Table1[[#This Row],[Nozzle Mass]]/Table1[[#This Row],[Volume]]</f>
        <v>0</v>
      </c>
      <c r="AH21" s="1">
        <f>Table1[[#This Row],[Nozzle Mass]]/Table1[[#This Row],[Diameter]]</f>
        <v>0</v>
      </c>
      <c r="AI21" s="3">
        <f>Table1[[#This Row],[Additional Mass]]/Table1[[#This Row],[Volume]]</f>
        <v>0</v>
      </c>
      <c r="AJ21" s="3">
        <f>Table1[[#This Row],[Igniter Mass]]/Table1[[#This Row],[Volume]]</f>
        <v>0</v>
      </c>
      <c r="AK21" s="3">
        <f>Table1[[#This Row],[Dry Mass]]/Table1[[#This Row],[Volume]]</f>
        <v>0.20813525342895239</v>
      </c>
      <c r="AL21" s="3">
        <f>Table1[[#This Row],[Avg Thrust]]/Table1[[#This Row],[Volume]]</f>
        <v>6.3989494561702498E-2</v>
      </c>
      <c r="AM21" s="3"/>
    </row>
    <row r="22" spans="1:39" x14ac:dyDescent="0.25">
      <c r="A22" s="1" t="s">
        <v>50</v>
      </c>
      <c r="B22" s="1" t="s">
        <v>34</v>
      </c>
      <c r="C22" s="1" t="s">
        <v>79</v>
      </c>
      <c r="E22" s="1">
        <v>765.36073320000003</v>
      </c>
      <c r="F22" s="1">
        <v>1871.067</v>
      </c>
      <c r="G22" s="1">
        <v>11.607799999999999</v>
      </c>
      <c r="H22" s="1">
        <v>1.01854</v>
      </c>
      <c r="I22" s="1">
        <v>13111.530352</v>
      </c>
      <c r="J22" s="1" t="s">
        <v>87</v>
      </c>
      <c r="K22" s="1">
        <v>58</v>
      </c>
      <c r="L22" s="1">
        <v>624.88594560000001</v>
      </c>
      <c r="M22" s="1">
        <v>282.39999999999998</v>
      </c>
      <c r="N22" s="1" t="s">
        <v>17</v>
      </c>
      <c r="O22" s="1" t="s">
        <v>17</v>
      </c>
      <c r="P22" s="1">
        <v>0.31879999999999997</v>
      </c>
      <c r="Q22" s="1">
        <v>1.2827</v>
      </c>
      <c r="R22" s="1">
        <v>1.2168000000000001</v>
      </c>
      <c r="T22" s="1">
        <v>613</v>
      </c>
      <c r="U22" s="1">
        <v>800</v>
      </c>
      <c r="V22" s="1" t="s">
        <v>48</v>
      </c>
      <c r="AC22" s="1">
        <v>0.88</v>
      </c>
      <c r="AD22" s="1">
        <v>0.28000000000000003</v>
      </c>
      <c r="AE22" s="1">
        <f>(PI()*(Table1[[#This Row],[Diameter]]/2)^2*Table1[[#This Row],[Length]])*1000</f>
        <v>9457.9274115863955</v>
      </c>
      <c r="AF22" s="1">
        <f>Table1[[#This Row],[Case Mass]]/Table1[[#This Row],[Volume]]</f>
        <v>0</v>
      </c>
      <c r="AG22" s="1">
        <f>Table1[[#This Row],[Nozzle Mass]]/Table1[[#This Row],[Volume]]</f>
        <v>0</v>
      </c>
      <c r="AH22" s="1">
        <f>Table1[[#This Row],[Nozzle Mass]]/Table1[[#This Row],[Diameter]]</f>
        <v>0</v>
      </c>
      <c r="AI22" s="3">
        <f>Table1[[#This Row],[Additional Mass]]/Table1[[#This Row],[Volume]]</f>
        <v>0</v>
      </c>
      <c r="AJ22" s="3">
        <f>Table1[[#This Row],[Igniter Mass]]/Table1[[#This Row],[Volume]]</f>
        <v>0</v>
      </c>
      <c r="AK22" s="3">
        <f>Table1[[#This Row],[Dry Mass]]/Table1[[#This Row],[Volume]]</f>
        <v>0.19783055193549667</v>
      </c>
      <c r="AL22" s="3">
        <f>Table1[[#This Row],[Avg Thrust]]/Table1[[#This Row],[Volume]]</f>
        <v>6.6070072057699034E-2</v>
      </c>
      <c r="AM22" s="3"/>
    </row>
    <row r="23" spans="1:39" x14ac:dyDescent="0.25">
      <c r="A23" s="1" t="s">
        <v>51</v>
      </c>
      <c r="B23" s="1" t="s">
        <v>34</v>
      </c>
      <c r="E23" s="1">
        <v>530.00541299999998</v>
      </c>
      <c r="F23" s="1">
        <v>1565.345992</v>
      </c>
      <c r="G23" s="1">
        <v>8.983979999999999</v>
      </c>
      <c r="H23" s="1">
        <v>1.01854</v>
      </c>
      <c r="I23" s="1">
        <v>9974.4880799999992</v>
      </c>
      <c r="J23" s="1" t="s">
        <v>87</v>
      </c>
      <c r="K23" s="1">
        <v>63.6</v>
      </c>
      <c r="L23" s="1">
        <v>411.4158678</v>
      </c>
      <c r="M23" s="1">
        <v>267.3</v>
      </c>
      <c r="N23" s="1" t="s">
        <v>17</v>
      </c>
      <c r="O23" s="1" t="s">
        <v>17</v>
      </c>
      <c r="P23" s="1">
        <v>0.30840000000000001</v>
      </c>
      <c r="Q23" s="1">
        <v>0.93979999999999997</v>
      </c>
      <c r="T23" s="1">
        <v>451</v>
      </c>
      <c r="U23" s="1">
        <v>744</v>
      </c>
      <c r="V23" s="1" t="s">
        <v>47</v>
      </c>
      <c r="AC23" s="1">
        <v>0.86799999999999999</v>
      </c>
      <c r="AE23" s="1">
        <f>(PI()*(Table1[[#This Row],[Diameter]]/2)^2*Table1[[#This Row],[Length]])*1000</f>
        <v>7320.0632942628181</v>
      </c>
      <c r="AF23" s="1">
        <f>Table1[[#This Row],[Case Mass]]/Table1[[#This Row],[Volume]]</f>
        <v>0</v>
      </c>
      <c r="AG23" s="1">
        <f>Table1[[#This Row],[Nozzle Mass]]/Table1[[#This Row],[Volume]]</f>
        <v>0</v>
      </c>
      <c r="AH23" s="1">
        <f>Table1[[#This Row],[Nozzle Mass]]/Table1[[#This Row],[Diameter]]</f>
        <v>0</v>
      </c>
      <c r="AI23" s="3">
        <f>Table1[[#This Row],[Additional Mass]]/Table1[[#This Row],[Volume]]</f>
        <v>0</v>
      </c>
      <c r="AJ23" s="3">
        <f>Table1[[#This Row],[Igniter Mass]]/Table1[[#This Row],[Volume]]</f>
        <v>0</v>
      </c>
      <c r="AK23" s="3">
        <f>Table1[[#This Row],[Dry Mass]]/Table1[[#This Row],[Volume]]</f>
        <v>0.21384323182380915</v>
      </c>
      <c r="AL23" s="3">
        <f>Table1[[#This Row],[Avg Thrust]]/Table1[[#This Row],[Volume]]</f>
        <v>5.6203867543392939E-2</v>
      </c>
      <c r="AM23" s="3"/>
    </row>
    <row r="24" spans="1:39" x14ac:dyDescent="0.25">
      <c r="A24" s="1" t="s">
        <v>181</v>
      </c>
      <c r="B24" s="1" t="s">
        <v>34</v>
      </c>
      <c r="C24" s="1" t="s">
        <v>18</v>
      </c>
      <c r="E24" s="1">
        <v>215.42699999999999</v>
      </c>
      <c r="F24" s="1">
        <v>927.45956239999998</v>
      </c>
      <c r="I24" s="1">
        <v>3320.2934399999999</v>
      </c>
      <c r="J24" s="1" t="s">
        <v>182</v>
      </c>
      <c r="M24" s="1">
        <v>263.98907103825138</v>
      </c>
      <c r="S24" s="1">
        <v>15.61</v>
      </c>
      <c r="T24" s="1">
        <v>398.7</v>
      </c>
      <c r="Y24" s="3"/>
      <c r="AC24" s="1">
        <v>0.77100000000000002</v>
      </c>
      <c r="AE24" s="3">
        <f>(PI()*(Table1[[#This Row],[Diameter]]/2)^2*Table1[[#This Row],[Length]])*1000</f>
        <v>0</v>
      </c>
      <c r="AF24" s="3" t="e">
        <f>Table1[[#This Row],[Case Mass]]/Table1[[#This Row],[Volume]]</f>
        <v>#DIV/0!</v>
      </c>
      <c r="AG24" s="3" t="e">
        <f>Table1[[#This Row],[Nozzle Mass]]/Table1[[#This Row],[Volume]]</f>
        <v>#DIV/0!</v>
      </c>
      <c r="AH24" s="3" t="e">
        <f>Table1[[#This Row],[Nozzle Mass]]/Table1[[#This Row],[Diameter]]</f>
        <v>#DIV/0!</v>
      </c>
      <c r="AI24" s="3" t="e">
        <f>Table1[[#This Row],[Additional Mass]]/Table1[[#This Row],[Volume]]</f>
        <v>#DIV/0!</v>
      </c>
      <c r="AJ24" s="3" t="e">
        <f>Table1[[#This Row],[Igniter Mass]]/Table1[[#This Row],[Volume]]</f>
        <v>#DIV/0!</v>
      </c>
      <c r="AK24" s="3" t="e">
        <f>Table1[[#This Row],[Dry Mass]]/Table1[[#This Row],[Volume]]</f>
        <v>#DIV/0!</v>
      </c>
      <c r="AL24" s="3" t="e">
        <f>Table1[[#This Row],[Avg Thrust]]/Table1[[#This Row],[Volume]]</f>
        <v>#DIV/0!</v>
      </c>
      <c r="AM24" s="3"/>
    </row>
    <row r="25" spans="1:39" x14ac:dyDescent="0.25">
      <c r="A25" s="1" t="s">
        <v>60</v>
      </c>
      <c r="B25" s="1" t="s">
        <v>34</v>
      </c>
      <c r="C25" s="1" t="s">
        <v>78</v>
      </c>
      <c r="E25" s="1">
        <v>665.72060520000002</v>
      </c>
      <c r="F25" s="1">
        <v>1201.565208</v>
      </c>
      <c r="G25" s="1">
        <v>11.40714</v>
      </c>
      <c r="H25" s="1">
        <v>1.02616</v>
      </c>
      <c r="I25" s="1">
        <v>11766.17648</v>
      </c>
      <c r="J25" s="1" t="s">
        <v>87</v>
      </c>
      <c r="K25" s="1">
        <v>63.3</v>
      </c>
      <c r="L25" s="1">
        <v>516.21593100000007</v>
      </c>
      <c r="M25" s="1">
        <v>283.39999999999998</v>
      </c>
      <c r="Q25" s="1">
        <v>0.98551999999999984</v>
      </c>
      <c r="V25" s="1" t="s">
        <v>48</v>
      </c>
      <c r="AC25" s="1">
        <v>0.9</v>
      </c>
      <c r="AE25" s="1">
        <f>(PI()*(Table1[[#This Row],[Diameter]]/2)^2*Table1[[#This Row],[Length]])*1000</f>
        <v>9434.0205191836576</v>
      </c>
      <c r="AF25" s="1">
        <f>Table1[[#This Row],[Case Mass]]/Table1[[#This Row],[Volume]]</f>
        <v>0</v>
      </c>
      <c r="AG25" s="1">
        <f>Table1[[#This Row],[Nozzle Mass]]/Table1[[#This Row],[Volume]]</f>
        <v>0</v>
      </c>
      <c r="AH25" s="1">
        <f>Table1[[#This Row],[Nozzle Mass]]/Table1[[#This Row],[Diameter]]</f>
        <v>0</v>
      </c>
      <c r="AI25" s="3">
        <f>Table1[[#This Row],[Additional Mass]]/Table1[[#This Row],[Volume]]</f>
        <v>0</v>
      </c>
      <c r="AJ25" s="3">
        <f>Table1[[#This Row],[Igniter Mass]]/Table1[[#This Row],[Volume]]</f>
        <v>0</v>
      </c>
      <c r="AK25" s="3">
        <f>Table1[[#This Row],[Dry Mass]]/Table1[[#This Row],[Volume]]</f>
        <v>0.12736512556408702</v>
      </c>
      <c r="AL25" s="3">
        <f>Table1[[#This Row],[Avg Thrust]]/Table1[[#This Row],[Volume]]</f>
        <v>5.4718550797117529E-2</v>
      </c>
      <c r="AM25" s="3"/>
    </row>
    <row r="26" spans="1:39" x14ac:dyDescent="0.25">
      <c r="A26" s="1" t="s">
        <v>89</v>
      </c>
      <c r="B26" s="1" t="s">
        <v>34</v>
      </c>
      <c r="C26" s="1" t="s">
        <v>78</v>
      </c>
      <c r="E26" s="1">
        <v>643.83536279999998</v>
      </c>
      <c r="F26" s="1">
        <v>1101.7749679999999</v>
      </c>
      <c r="G26" s="1">
        <v>11.048999999999999</v>
      </c>
      <c r="H26" s="1">
        <v>1.02616</v>
      </c>
      <c r="I26" s="1">
        <v>11766.17648</v>
      </c>
      <c r="J26" s="1" t="s">
        <v>87</v>
      </c>
      <c r="K26" s="1">
        <v>63.3</v>
      </c>
      <c r="L26" s="1">
        <v>499.090284</v>
      </c>
      <c r="M26" s="1">
        <v>274</v>
      </c>
      <c r="Q26" s="1">
        <v>0.81711800000000001</v>
      </c>
      <c r="V26" s="1" t="s">
        <v>48</v>
      </c>
      <c r="AC26" s="1">
        <v>0.9</v>
      </c>
      <c r="AE26" s="1">
        <f>(PI()*(Table1[[#This Row],[Diameter]]/2)^2*Table1[[#This Row],[Length]])*1000</f>
        <v>9137.8288261965972</v>
      </c>
      <c r="AF26" s="1">
        <f>Table1[[#This Row],[Case Mass]]/Table1[[#This Row],[Volume]]</f>
        <v>0</v>
      </c>
      <c r="AG26" s="1">
        <f>Table1[[#This Row],[Nozzle Mass]]/Table1[[#This Row],[Volume]]</f>
        <v>0</v>
      </c>
      <c r="AH26" s="1">
        <f>Table1[[#This Row],[Nozzle Mass]]/Table1[[#This Row],[Diameter]]</f>
        <v>0</v>
      </c>
      <c r="AI26" s="3">
        <f>Table1[[#This Row],[Additional Mass]]/Table1[[#This Row],[Volume]]</f>
        <v>0</v>
      </c>
      <c r="AJ26" s="3">
        <f>Table1[[#This Row],[Igniter Mass]]/Table1[[#This Row],[Volume]]</f>
        <v>0</v>
      </c>
      <c r="AK26" s="3">
        <f>Table1[[#This Row],[Dry Mass]]/Table1[[#This Row],[Volume]]</f>
        <v>0.12057294888709219</v>
      </c>
      <c r="AL26" s="3">
        <f>Table1[[#This Row],[Avg Thrust]]/Table1[[#This Row],[Volume]]</f>
        <v>5.4618038211570921E-2</v>
      </c>
      <c r="AM26" s="3"/>
    </row>
    <row r="27" spans="1:39" x14ac:dyDescent="0.25">
      <c r="A27" s="1" t="s">
        <v>59</v>
      </c>
      <c r="B27" s="1" t="s">
        <v>34</v>
      </c>
      <c r="E27" s="1">
        <v>618.46271592000005</v>
      </c>
      <c r="F27" s="1">
        <v>1182.5143439999999</v>
      </c>
      <c r="G27" s="1">
        <v>10.79754</v>
      </c>
      <c r="H27" s="1">
        <v>1.02616</v>
      </c>
      <c r="I27" s="1">
        <v>11766.17648</v>
      </c>
      <c r="J27" s="1" t="s">
        <v>87</v>
      </c>
      <c r="K27" s="1">
        <v>64.599999999999994</v>
      </c>
      <c r="L27" s="1">
        <v>478.73967750000003</v>
      </c>
      <c r="M27" s="1">
        <v>265.3</v>
      </c>
      <c r="Q27" s="1">
        <v>0.82041999999999993</v>
      </c>
      <c r="V27" s="1" t="s">
        <v>47</v>
      </c>
      <c r="X27" s="1">
        <v>1.3635999999999999</v>
      </c>
      <c r="AC27" s="1">
        <v>0.9</v>
      </c>
      <c r="AE27" s="1">
        <f>(PI()*(Table1[[#This Row],[Diameter]]/2)^2*Table1[[#This Row],[Length]])*1000</f>
        <v>8929.8644460141913</v>
      </c>
      <c r="AF27" s="1">
        <f>Table1[[#This Row],[Case Mass]]/Table1[[#This Row],[Volume]]</f>
        <v>0</v>
      </c>
      <c r="AG27" s="1">
        <f>Table1[[#This Row],[Nozzle Mass]]/Table1[[#This Row],[Volume]]</f>
        <v>0</v>
      </c>
      <c r="AH27" s="1">
        <f>Table1[[#This Row],[Nozzle Mass]]/Table1[[#This Row],[Diameter]]</f>
        <v>0</v>
      </c>
      <c r="AI27" s="3">
        <f>Table1[[#This Row],[Additional Mass]]/Table1[[#This Row],[Volume]]</f>
        <v>0</v>
      </c>
      <c r="AJ27" s="3">
        <f>Table1[[#This Row],[Igniter Mass]]/Table1[[#This Row],[Volume]]</f>
        <v>0</v>
      </c>
      <c r="AK27" s="3">
        <f>Table1[[#This Row],[Dry Mass]]/Table1[[#This Row],[Volume]]</f>
        <v>0.13242242938276744</v>
      </c>
      <c r="AL27" s="3">
        <f>Table1[[#This Row],[Avg Thrust]]/Table1[[#This Row],[Volume]]</f>
        <v>5.3611080033099889E-2</v>
      </c>
      <c r="AM27" s="3"/>
    </row>
    <row r="28" spans="1:39" x14ac:dyDescent="0.25">
      <c r="A28" s="1" t="s">
        <v>62</v>
      </c>
      <c r="B28" s="1" t="s">
        <v>34</v>
      </c>
      <c r="C28" s="1" t="s">
        <v>83</v>
      </c>
      <c r="E28" s="1">
        <v>916.33332000000007</v>
      </c>
      <c r="F28" s="1">
        <v>2204.0035280000002</v>
      </c>
      <c r="G28" s="1">
        <v>12.91844</v>
      </c>
      <c r="H28" s="1">
        <v>1.14554</v>
      </c>
      <c r="I28" s="1">
        <v>16864.55056</v>
      </c>
      <c r="J28" s="1" t="s">
        <v>87</v>
      </c>
      <c r="K28" s="1">
        <v>75.900000000000006</v>
      </c>
      <c r="L28" s="1">
        <v>632.98170600000003</v>
      </c>
      <c r="M28" s="1">
        <v>290.7</v>
      </c>
      <c r="Q28" s="1">
        <v>1.25095</v>
      </c>
      <c r="V28" s="1" t="s">
        <v>48</v>
      </c>
      <c r="AC28" s="1">
        <v>0.88</v>
      </c>
      <c r="AE28" s="1">
        <f>(PI()*(Table1[[#This Row],[Diameter]]/2)^2*Table1[[#This Row],[Length]])*1000</f>
        <v>13314.365376899477</v>
      </c>
      <c r="AF28" s="1">
        <f>Table1[[#This Row],[Case Mass]]/Table1[[#This Row],[Volume]]</f>
        <v>0</v>
      </c>
      <c r="AG28" s="1">
        <f>Table1[[#This Row],[Nozzle Mass]]/Table1[[#This Row],[Volume]]</f>
        <v>0</v>
      </c>
      <c r="AH28" s="1">
        <f>Table1[[#This Row],[Nozzle Mass]]/Table1[[#This Row],[Diameter]]</f>
        <v>0</v>
      </c>
      <c r="AI28" s="3">
        <f>Table1[[#This Row],[Additional Mass]]/Table1[[#This Row],[Volume]]</f>
        <v>0</v>
      </c>
      <c r="AJ28" s="3">
        <f>Table1[[#This Row],[Igniter Mass]]/Table1[[#This Row],[Volume]]</f>
        <v>0</v>
      </c>
      <c r="AK28" s="3">
        <f>Table1[[#This Row],[Dry Mass]]/Table1[[#This Row],[Volume]]</f>
        <v>0.16553575522450079</v>
      </c>
      <c r="AL28" s="3">
        <f>Table1[[#This Row],[Avg Thrust]]/Table1[[#This Row],[Volume]]</f>
        <v>4.7541259991124171E-2</v>
      </c>
      <c r="AM28" s="3"/>
    </row>
    <row r="29" spans="1:39" x14ac:dyDescent="0.25">
      <c r="A29" s="1" t="s">
        <v>61</v>
      </c>
      <c r="B29" s="1" t="s">
        <v>34</v>
      </c>
      <c r="C29" s="1" t="s">
        <v>83</v>
      </c>
      <c r="E29" s="1">
        <v>884.30613600000004</v>
      </c>
      <c r="F29" s="1">
        <v>1837.0475999999999</v>
      </c>
      <c r="G29" s="1">
        <v>12.59332</v>
      </c>
      <c r="H29" s="1">
        <v>1.14554</v>
      </c>
      <c r="I29" s="1">
        <v>16864.55056</v>
      </c>
      <c r="J29" s="1" t="s">
        <v>87</v>
      </c>
      <c r="K29" s="1">
        <v>75.900000000000006</v>
      </c>
      <c r="L29" s="1">
        <v>610.74060600000007</v>
      </c>
      <c r="M29" s="1">
        <v>277.8</v>
      </c>
      <c r="Q29" s="1">
        <v>1.014222</v>
      </c>
      <c r="V29" s="1" t="s">
        <v>48</v>
      </c>
      <c r="AC29" s="1">
        <v>0.89</v>
      </c>
      <c r="AE29" s="1">
        <f>(PI()*(Table1[[#This Row],[Diameter]]/2)^2*Table1[[#This Row],[Length]])*1000</f>
        <v>12979.281073273223</v>
      </c>
      <c r="AF29" s="1">
        <f>Table1[[#This Row],[Case Mass]]/Table1[[#This Row],[Volume]]</f>
        <v>0</v>
      </c>
      <c r="AG29" s="1">
        <f>Table1[[#This Row],[Nozzle Mass]]/Table1[[#This Row],[Volume]]</f>
        <v>0</v>
      </c>
      <c r="AH29" s="1">
        <f>Table1[[#This Row],[Nozzle Mass]]/Table1[[#This Row],[Diameter]]</f>
        <v>0</v>
      </c>
      <c r="AI29" s="3">
        <f>Table1[[#This Row],[Additional Mass]]/Table1[[#This Row],[Volume]]</f>
        <v>0</v>
      </c>
      <c r="AJ29" s="3">
        <f>Table1[[#This Row],[Igniter Mass]]/Table1[[#This Row],[Volume]]</f>
        <v>0</v>
      </c>
      <c r="AK29" s="3">
        <f>Table1[[#This Row],[Dry Mass]]/Table1[[#This Row],[Volume]]</f>
        <v>0.14153693025284936</v>
      </c>
      <c r="AL29" s="3">
        <f>Table1[[#This Row],[Avg Thrust]]/Table1[[#This Row],[Volume]]</f>
        <v>4.7055041227023711E-2</v>
      </c>
      <c r="AM29" s="3"/>
    </row>
    <row r="30" spans="1:39" x14ac:dyDescent="0.25">
      <c r="A30" s="1" t="s">
        <v>61</v>
      </c>
      <c r="B30" s="1" t="s">
        <v>34</v>
      </c>
      <c r="C30" s="1" t="s">
        <v>83</v>
      </c>
      <c r="E30" s="1">
        <v>874.52005200000008</v>
      </c>
      <c r="F30" s="1">
        <v>2111.924352</v>
      </c>
      <c r="G30" s="1">
        <v>12.4841</v>
      </c>
      <c r="H30" s="1">
        <v>1.14554</v>
      </c>
      <c r="I30" s="1">
        <v>16864.55056</v>
      </c>
      <c r="J30" s="1" t="s">
        <v>87</v>
      </c>
      <c r="K30" s="1">
        <v>76.900000000000006</v>
      </c>
      <c r="L30" s="1">
        <v>601.39934400000004</v>
      </c>
      <c r="M30" s="1">
        <v>279.8</v>
      </c>
      <c r="Q30" s="1">
        <v>0.93802199999999991</v>
      </c>
      <c r="V30" s="1" t="s">
        <v>47</v>
      </c>
      <c r="X30" s="1">
        <v>274.87675200000001</v>
      </c>
      <c r="AC30" s="1">
        <v>0.88</v>
      </c>
      <c r="AE30" s="1">
        <f>(PI()*(Table1[[#This Row],[Diameter]]/2)^2*Table1[[#This Row],[Length]])*1000</f>
        <v>12866.713690023777</v>
      </c>
      <c r="AF30" s="1">
        <f>Table1[[#This Row],[Case Mass]]/Table1[[#This Row],[Volume]]</f>
        <v>0</v>
      </c>
      <c r="AG30" s="1">
        <f>Table1[[#This Row],[Nozzle Mass]]/Table1[[#This Row],[Volume]]</f>
        <v>0</v>
      </c>
      <c r="AH30" s="1">
        <f>Table1[[#This Row],[Nozzle Mass]]/Table1[[#This Row],[Diameter]]</f>
        <v>0</v>
      </c>
      <c r="AI30" s="3">
        <f>Table1[[#This Row],[Additional Mass]]/Table1[[#This Row],[Volume]]</f>
        <v>0</v>
      </c>
      <c r="AJ30" s="3">
        <f>Table1[[#This Row],[Igniter Mass]]/Table1[[#This Row],[Volume]]</f>
        <v>0</v>
      </c>
      <c r="AK30" s="3">
        <f>Table1[[#This Row],[Dry Mass]]/Table1[[#This Row],[Volume]]</f>
        <v>0.16413859847036802</v>
      </c>
      <c r="AL30" s="3">
        <f>Table1[[#This Row],[Avg Thrust]]/Table1[[#This Row],[Volume]]</f>
        <v>4.6740710836388304E-2</v>
      </c>
      <c r="AM30" s="3"/>
    </row>
    <row r="31" spans="1:39" x14ac:dyDescent="0.25">
      <c r="A31" s="1" t="s">
        <v>63</v>
      </c>
      <c r="B31" s="1" t="s">
        <v>34</v>
      </c>
      <c r="C31" s="1" t="s">
        <v>84</v>
      </c>
      <c r="E31" s="1">
        <v>1248.9133847400001</v>
      </c>
      <c r="F31" s="1">
        <v>3485.400928</v>
      </c>
      <c r="G31" s="1">
        <v>13.1572</v>
      </c>
      <c r="H31" s="1">
        <v>1.524</v>
      </c>
      <c r="I31" s="1">
        <v>29697.575423999999</v>
      </c>
      <c r="J31" s="1" t="s">
        <v>87</v>
      </c>
      <c r="K31" s="1">
        <v>90.8</v>
      </c>
      <c r="L31" s="1">
        <v>895.2487572</v>
      </c>
      <c r="M31" s="1">
        <v>275</v>
      </c>
      <c r="Q31" s="1">
        <v>1.095248</v>
      </c>
      <c r="V31" s="1" t="s">
        <v>48</v>
      </c>
      <c r="AC31" s="1">
        <v>0.89</v>
      </c>
      <c r="AE31" s="1">
        <f>(PI()*(Table1[[#This Row],[Diameter]]/2)^2*Table1[[#This Row],[Length]])*1000</f>
        <v>24000.665918333751</v>
      </c>
      <c r="AF31" s="1">
        <f>Table1[[#This Row],[Case Mass]]/Table1[[#This Row],[Volume]]</f>
        <v>0</v>
      </c>
      <c r="AG31" s="1">
        <f>Table1[[#This Row],[Nozzle Mass]]/Table1[[#This Row],[Volume]]</f>
        <v>0</v>
      </c>
      <c r="AH31" s="1">
        <f>Table1[[#This Row],[Nozzle Mass]]/Table1[[#This Row],[Diameter]]</f>
        <v>0</v>
      </c>
      <c r="AI31" s="3">
        <f>Table1[[#This Row],[Additional Mass]]/Table1[[#This Row],[Volume]]</f>
        <v>0</v>
      </c>
      <c r="AJ31" s="3">
        <f>Table1[[#This Row],[Igniter Mass]]/Table1[[#This Row],[Volume]]</f>
        <v>0</v>
      </c>
      <c r="AK31" s="3">
        <f>Table1[[#This Row],[Dry Mass]]/Table1[[#This Row],[Volume]]</f>
        <v>0.14522100927781151</v>
      </c>
      <c r="AL31" s="3">
        <f>Table1[[#This Row],[Avg Thrust]]/Table1[[#This Row],[Volume]]</f>
        <v>3.7300996574271418E-2</v>
      </c>
      <c r="AM31" s="3"/>
    </row>
    <row r="32" spans="1:39" x14ac:dyDescent="0.25">
      <c r="A32" s="1" t="s">
        <v>63</v>
      </c>
      <c r="B32" s="1" t="s">
        <v>34</v>
      </c>
      <c r="C32" s="1" t="s">
        <v>84</v>
      </c>
      <c r="E32" s="1">
        <v>1235.9468234400001</v>
      </c>
      <c r="F32" s="1">
        <v>3952.1470960000001</v>
      </c>
      <c r="G32" s="1">
        <v>13.1572</v>
      </c>
      <c r="H32" s="1">
        <v>1.524</v>
      </c>
      <c r="I32" s="1">
        <v>29697.575423999999</v>
      </c>
      <c r="J32" s="1" t="s">
        <v>87</v>
      </c>
      <c r="K32" s="1">
        <v>90.8</v>
      </c>
      <c r="L32" s="1">
        <v>886.98841265999999</v>
      </c>
      <c r="M32" s="1">
        <v>274</v>
      </c>
      <c r="Q32" s="1">
        <v>1.095248</v>
      </c>
      <c r="V32" s="1" t="s">
        <v>47</v>
      </c>
      <c r="X32" s="1">
        <v>466.74616800000001</v>
      </c>
      <c r="AC32" s="1">
        <v>0.88</v>
      </c>
      <c r="AE32" s="1">
        <f>(PI()*(Table1[[#This Row],[Diameter]]/2)^2*Table1[[#This Row],[Length]])*1000</f>
        <v>24000.665918333751</v>
      </c>
      <c r="AF32" s="1">
        <f>Table1[[#This Row],[Case Mass]]/Table1[[#This Row],[Volume]]</f>
        <v>0</v>
      </c>
      <c r="AG32" s="1">
        <f>Table1[[#This Row],[Nozzle Mass]]/Table1[[#This Row],[Volume]]</f>
        <v>0</v>
      </c>
      <c r="AH32" s="1">
        <f>Table1[[#This Row],[Nozzle Mass]]/Table1[[#This Row],[Diameter]]</f>
        <v>0</v>
      </c>
      <c r="AI32" s="3">
        <f>Table1[[#This Row],[Additional Mass]]/Table1[[#This Row],[Volume]]</f>
        <v>0</v>
      </c>
      <c r="AJ32" s="3">
        <f>Table1[[#This Row],[Igniter Mass]]/Table1[[#This Row],[Volume]]</f>
        <v>0</v>
      </c>
      <c r="AK32" s="3">
        <f>Table1[[#This Row],[Dry Mass]]/Table1[[#This Row],[Volume]]</f>
        <v>0.16466822668370271</v>
      </c>
      <c r="AL32" s="3">
        <f>Table1[[#This Row],[Avg Thrust]]/Table1[[#This Row],[Volume]]</f>
        <v>3.6956825101358656E-2</v>
      </c>
      <c r="AM32" s="3"/>
    </row>
    <row r="33" spans="1:39" x14ac:dyDescent="0.25">
      <c r="A33" s="1" t="s">
        <v>57</v>
      </c>
      <c r="B33" s="1" t="s">
        <v>34</v>
      </c>
      <c r="E33" s="1">
        <v>2273.4852420000002</v>
      </c>
      <c r="F33" s="1">
        <v>4295.9698319999998</v>
      </c>
      <c r="G33" s="1">
        <v>9.6088199999999997</v>
      </c>
      <c r="H33" s="1">
        <v>2.33934</v>
      </c>
      <c r="I33" s="1">
        <v>51797.484848</v>
      </c>
      <c r="J33" s="1" t="s">
        <v>87</v>
      </c>
      <c r="K33" s="1">
        <v>77.900000000000006</v>
      </c>
      <c r="L33" s="1">
        <v>1816.6530480000001</v>
      </c>
      <c r="M33" s="1">
        <v>279</v>
      </c>
      <c r="Q33" s="1">
        <v>1.5189199999999998</v>
      </c>
      <c r="V33" s="1" t="s">
        <v>47</v>
      </c>
      <c r="AC33" s="1">
        <v>0.92</v>
      </c>
      <c r="AE33" s="1">
        <f>(PI()*(Table1[[#This Row],[Diameter]]/2)^2*Table1[[#This Row],[Length]])*1000</f>
        <v>41299.674889789632</v>
      </c>
      <c r="AF33" s="1">
        <f>Table1[[#This Row],[Case Mass]]/Table1[[#This Row],[Volume]]</f>
        <v>0</v>
      </c>
      <c r="AG33" s="1">
        <f>Table1[[#This Row],[Nozzle Mass]]/Table1[[#This Row],[Volume]]</f>
        <v>0</v>
      </c>
      <c r="AH33" s="1">
        <f>Table1[[#This Row],[Nozzle Mass]]/Table1[[#This Row],[Diameter]]</f>
        <v>0</v>
      </c>
      <c r="AI33" s="3">
        <f>Table1[[#This Row],[Additional Mass]]/Table1[[#This Row],[Volume]]</f>
        <v>0</v>
      </c>
      <c r="AJ33" s="3">
        <f>Table1[[#This Row],[Igniter Mass]]/Table1[[#This Row],[Volume]]</f>
        <v>0</v>
      </c>
      <c r="AK33" s="3">
        <f>Table1[[#This Row],[Dry Mass]]/Table1[[#This Row],[Volume]]</f>
        <v>0.10401945883264269</v>
      </c>
      <c r="AL33" s="3">
        <f>Table1[[#This Row],[Avg Thrust]]/Table1[[#This Row],[Volume]]</f>
        <v>4.3987102873033139E-2</v>
      </c>
      <c r="AM33" s="3"/>
    </row>
    <row r="34" spans="1:39" x14ac:dyDescent="0.25">
      <c r="A34" s="1" t="s">
        <v>58</v>
      </c>
      <c r="B34" s="1" t="s">
        <v>88</v>
      </c>
      <c r="E34" s="1">
        <v>386.28342480000003</v>
      </c>
      <c r="F34" s="1">
        <v>1373.9301680000001</v>
      </c>
      <c r="G34" s="1">
        <v>4.1783000000000001</v>
      </c>
      <c r="H34" s="1">
        <v>2.33934</v>
      </c>
      <c r="I34" s="1">
        <v>12826.674575999999</v>
      </c>
      <c r="J34" s="1" t="s">
        <v>87</v>
      </c>
      <c r="K34" s="1">
        <v>133</v>
      </c>
      <c r="L34" s="1">
        <v>283.4850606</v>
      </c>
      <c r="M34" s="1">
        <v>300.3</v>
      </c>
      <c r="Q34" s="1">
        <v>1.524</v>
      </c>
      <c r="V34" s="1" t="s">
        <v>47</v>
      </c>
      <c r="AC34" s="1">
        <v>0.91</v>
      </c>
      <c r="AE34" s="1">
        <f>(PI()*(Table1[[#This Row],[Diameter]]/2)^2*Table1[[#This Row],[Length]])*1000</f>
        <v>17958.753685885262</v>
      </c>
      <c r="AF34" s="1">
        <f>Table1[[#This Row],[Case Mass]]/Table1[[#This Row],[Volume]]</f>
        <v>0</v>
      </c>
      <c r="AG34" s="1">
        <f>Table1[[#This Row],[Nozzle Mass]]/Table1[[#This Row],[Volume]]</f>
        <v>0</v>
      </c>
      <c r="AH34" s="1">
        <f>Table1[[#This Row],[Nozzle Mass]]/Table1[[#This Row],[Diameter]]</f>
        <v>0</v>
      </c>
      <c r="AI34" s="3">
        <f>Table1[[#This Row],[Additional Mass]]/Table1[[#This Row],[Volume]]</f>
        <v>0</v>
      </c>
      <c r="AJ34" s="3">
        <f>Table1[[#This Row],[Igniter Mass]]/Table1[[#This Row],[Volume]]</f>
        <v>0</v>
      </c>
      <c r="AK34" s="3">
        <f>Table1[[#This Row],[Dry Mass]]/Table1[[#This Row],[Volume]]</f>
        <v>7.650476152361535E-2</v>
      </c>
      <c r="AL34" s="3">
        <f>Table1[[#This Row],[Avg Thrust]]/Table1[[#This Row],[Volume]]</f>
        <v>1.5785341541980497E-2</v>
      </c>
      <c r="AM34" s="3"/>
    </row>
    <row r="35" spans="1:39" x14ac:dyDescent="0.25">
      <c r="A35" s="1" t="s">
        <v>229</v>
      </c>
      <c r="B35" s="1" t="s">
        <v>34</v>
      </c>
      <c r="C35" s="1" t="s">
        <v>223</v>
      </c>
      <c r="F35" s="1">
        <v>2292</v>
      </c>
      <c r="G35" s="1">
        <v>7.49</v>
      </c>
      <c r="H35" s="1">
        <v>1.67</v>
      </c>
      <c r="I35" s="1">
        <v>20785</v>
      </c>
      <c r="J35" s="1" t="s">
        <v>224</v>
      </c>
      <c r="K35" s="1">
        <v>61.3</v>
      </c>
      <c r="L35" s="1">
        <v>792</v>
      </c>
      <c r="M35" s="1" t="s">
        <v>225</v>
      </c>
      <c r="V35" s="1" t="s">
        <v>47</v>
      </c>
      <c r="Y35" s="3"/>
      <c r="AE35" s="3">
        <f>(PI()*(Table1[[#This Row],[Diameter]]/2)^2*Table1[[#This Row],[Length]])*1000</f>
        <v>16406.073064864584</v>
      </c>
      <c r="AF35" s="3">
        <f>Table1[[#This Row],[Case Mass]]/Table1[[#This Row],[Volume]]</f>
        <v>0</v>
      </c>
      <c r="AG35" s="3">
        <f>Table1[[#This Row],[Nozzle Mass]]/Table1[[#This Row],[Volume]]</f>
        <v>0</v>
      </c>
      <c r="AH35" s="3">
        <f>Table1[[#This Row],[Nozzle Mass]]/Table1[[#This Row],[Diameter]]</f>
        <v>0</v>
      </c>
      <c r="AI35" s="3">
        <f>Table1[[#This Row],[Additional Mass]]/Table1[[#This Row],[Volume]]</f>
        <v>0</v>
      </c>
      <c r="AJ35" s="3">
        <f>Table1[[#This Row],[Igniter Mass]]/Table1[[#This Row],[Volume]]</f>
        <v>0</v>
      </c>
      <c r="AK35" s="3">
        <f>Table1[[#This Row],[Dry Mass]]/Table1[[#This Row],[Volume]]</f>
        <v>0.13970436380102261</v>
      </c>
      <c r="AL35" s="3">
        <f>Table1[[#This Row],[Avg Thrust]]/Table1[[#This Row],[Volume]]</f>
        <v>4.8274806339620384E-2</v>
      </c>
      <c r="AM35" s="3"/>
    </row>
    <row r="36" spans="1:39" x14ac:dyDescent="0.25">
      <c r="A36" s="1" t="s">
        <v>39</v>
      </c>
      <c r="B36" s="1" t="s">
        <v>88</v>
      </c>
      <c r="C36" s="1" t="s">
        <v>73</v>
      </c>
      <c r="E36" s="1">
        <v>36.933570660000001</v>
      </c>
      <c r="F36" s="1">
        <v>102.51179200000001</v>
      </c>
      <c r="G36" s="1">
        <v>1.3360399999999999</v>
      </c>
      <c r="H36" s="1">
        <v>0.96519999999999995</v>
      </c>
      <c r="I36" s="1">
        <v>770.19921599999998</v>
      </c>
      <c r="J36" s="1" t="s">
        <v>87</v>
      </c>
      <c r="K36" s="1">
        <v>66.8</v>
      </c>
      <c r="L36" s="1">
        <v>32.703313440000002</v>
      </c>
      <c r="M36" s="1">
        <v>289.97000000000003</v>
      </c>
      <c r="Q36" s="1">
        <v>0.52577999999999991</v>
      </c>
      <c r="V36" s="1" t="s">
        <v>47</v>
      </c>
      <c r="AC36" s="1">
        <v>0.88</v>
      </c>
      <c r="AE36" s="1">
        <f>(PI()*(Table1[[#This Row],[Diameter]]/2)^2*Table1[[#This Row],[Length]])*1000</f>
        <v>977.56122877921973</v>
      </c>
      <c r="AF36" s="1">
        <f>Table1[[#This Row],[Case Mass]]/Table1[[#This Row],[Volume]]</f>
        <v>0</v>
      </c>
      <c r="AG36" s="1">
        <f>Table1[[#This Row],[Nozzle Mass]]/Table1[[#This Row],[Volume]]</f>
        <v>0</v>
      </c>
      <c r="AH36" s="1">
        <f>Table1[[#This Row],[Nozzle Mass]]/Table1[[#This Row],[Diameter]]</f>
        <v>0</v>
      </c>
      <c r="AI36" s="3">
        <f>Table1[[#This Row],[Additional Mass]]/Table1[[#This Row],[Volume]]</f>
        <v>0</v>
      </c>
      <c r="AJ36" s="3">
        <f>Table1[[#This Row],[Igniter Mass]]/Table1[[#This Row],[Volume]]</f>
        <v>0</v>
      </c>
      <c r="AK36" s="3">
        <f>Table1[[#This Row],[Dry Mass]]/Table1[[#This Row],[Volume]]</f>
        <v>0.10486482992785723</v>
      </c>
      <c r="AL36" s="3">
        <f>Table1[[#This Row],[Avg Thrust]]/Table1[[#This Row],[Volume]]</f>
        <v>3.3453979635464842E-2</v>
      </c>
      <c r="AM36" s="3"/>
    </row>
    <row r="37" spans="1:39" x14ac:dyDescent="0.25">
      <c r="A37" s="1" t="s">
        <v>40</v>
      </c>
      <c r="B37" s="1" t="s">
        <v>34</v>
      </c>
      <c r="C37" s="1" t="s">
        <v>74</v>
      </c>
      <c r="E37" s="1">
        <v>131.46269388000002</v>
      </c>
      <c r="F37" s="1">
        <v>329.30779200000006</v>
      </c>
      <c r="G37" s="1">
        <v>2.6212800000000001</v>
      </c>
      <c r="H37" s="1">
        <v>1.27508</v>
      </c>
      <c r="I37" s="1">
        <v>3025.005048</v>
      </c>
      <c r="J37" s="1" t="s">
        <v>87</v>
      </c>
      <c r="K37" s="1">
        <v>75.099999999999994</v>
      </c>
      <c r="L37" s="1">
        <v>115.38237858000001</v>
      </c>
      <c r="M37" s="1">
        <v>290.23</v>
      </c>
      <c r="Q37" s="1">
        <v>0.86105999999999994</v>
      </c>
      <c r="V37" s="1" t="s">
        <v>47</v>
      </c>
      <c r="AC37" s="1">
        <v>0.9</v>
      </c>
      <c r="AE37" s="1">
        <f>(PI()*(Table1[[#This Row],[Diameter]]/2)^2*Table1[[#This Row],[Length]])*1000</f>
        <v>3347.1730245251283</v>
      </c>
      <c r="AF37" s="1">
        <f>Table1[[#This Row],[Case Mass]]/Table1[[#This Row],[Volume]]</f>
        <v>0</v>
      </c>
      <c r="AG37" s="1">
        <f>Table1[[#This Row],[Nozzle Mass]]/Table1[[#This Row],[Volume]]</f>
        <v>0</v>
      </c>
      <c r="AH37" s="1">
        <f>Table1[[#This Row],[Nozzle Mass]]/Table1[[#This Row],[Diameter]]</f>
        <v>0</v>
      </c>
      <c r="AI37" s="3">
        <f>Table1[[#This Row],[Additional Mass]]/Table1[[#This Row],[Volume]]</f>
        <v>0</v>
      </c>
      <c r="AJ37" s="3">
        <f>Table1[[#This Row],[Igniter Mass]]/Table1[[#This Row],[Volume]]</f>
        <v>0</v>
      </c>
      <c r="AK37" s="3">
        <f>Table1[[#This Row],[Dry Mass]]/Table1[[#This Row],[Volume]]</f>
        <v>9.8383856940505721E-2</v>
      </c>
      <c r="AL37" s="3">
        <f>Table1[[#This Row],[Avg Thrust]]/Table1[[#This Row],[Volume]]</f>
        <v>3.447159072285174E-2</v>
      </c>
      <c r="AM37" s="3"/>
    </row>
    <row r="38" spans="1:39" x14ac:dyDescent="0.25">
      <c r="A38" s="1" t="s">
        <v>41</v>
      </c>
      <c r="B38" s="1" t="s">
        <v>34</v>
      </c>
      <c r="C38" s="1" t="s">
        <v>75</v>
      </c>
      <c r="E38" s="1">
        <v>194.44504086000001</v>
      </c>
      <c r="F38" s="1">
        <v>391.44989600000008</v>
      </c>
      <c r="G38" s="1">
        <v>3.0708600000000001</v>
      </c>
      <c r="H38" s="1">
        <v>1.27508</v>
      </c>
      <c r="I38" s="1">
        <v>3914.9525519999997</v>
      </c>
      <c r="J38" s="1" t="s">
        <v>87</v>
      </c>
      <c r="K38" s="1">
        <v>71</v>
      </c>
      <c r="L38" s="1">
        <v>157.96074042000001</v>
      </c>
      <c r="M38" s="1">
        <v>290.64999999999998</v>
      </c>
      <c r="Q38" s="1">
        <v>0.86105999999999994</v>
      </c>
      <c r="V38" s="1" t="s">
        <v>47</v>
      </c>
      <c r="AC38" s="1">
        <v>0.91</v>
      </c>
      <c r="AE38" s="1">
        <f>(PI()*(Table1[[#This Row],[Diameter]]/2)^2*Table1[[#This Row],[Length]])*1000</f>
        <v>3921.2521188477522</v>
      </c>
      <c r="AF38" s="1">
        <f>Table1[[#This Row],[Case Mass]]/Table1[[#This Row],[Volume]]</f>
        <v>0</v>
      </c>
      <c r="AG38" s="1">
        <f>Table1[[#This Row],[Nozzle Mass]]/Table1[[#This Row],[Volume]]</f>
        <v>0</v>
      </c>
      <c r="AH38" s="1">
        <f>Table1[[#This Row],[Nozzle Mass]]/Table1[[#This Row],[Diameter]]</f>
        <v>0</v>
      </c>
      <c r="AI38" s="3">
        <f>Table1[[#This Row],[Additional Mass]]/Table1[[#This Row],[Volume]]</f>
        <v>0</v>
      </c>
      <c r="AJ38" s="3">
        <f>Table1[[#This Row],[Igniter Mass]]/Table1[[#This Row],[Volume]]</f>
        <v>0</v>
      </c>
      <c r="AK38" s="3">
        <f>Table1[[#This Row],[Dry Mass]]/Table1[[#This Row],[Volume]]</f>
        <v>9.9827780549603229E-2</v>
      </c>
      <c r="AL38" s="3">
        <f>Table1[[#This Row],[Avg Thrust]]/Table1[[#This Row],[Volume]]</f>
        <v>4.028324005507105E-2</v>
      </c>
      <c r="AM38" s="3"/>
    </row>
    <row r="39" spans="1:39" x14ac:dyDescent="0.25">
      <c r="A39" s="1" t="s">
        <v>42</v>
      </c>
      <c r="B39" s="1" t="s">
        <v>34</v>
      </c>
      <c r="C39" s="1" t="s">
        <v>76</v>
      </c>
      <c r="E39" s="1">
        <v>563.32702902000005</v>
      </c>
      <c r="F39" s="1">
        <v>1237.3989759999986</v>
      </c>
      <c r="G39" s="1">
        <v>8.8925400000000003</v>
      </c>
      <c r="H39" s="1">
        <v>1.27508</v>
      </c>
      <c r="I39" s="1">
        <v>12156.719192</v>
      </c>
      <c r="J39" s="1" t="s">
        <v>87</v>
      </c>
      <c r="K39" s="1">
        <v>74.900000000000006</v>
      </c>
      <c r="L39" s="1">
        <v>467.49457734000003</v>
      </c>
      <c r="M39" s="1">
        <v>292.25</v>
      </c>
      <c r="Q39" s="1">
        <v>1.4223999999999999</v>
      </c>
      <c r="V39" s="1" t="s">
        <v>48</v>
      </c>
      <c r="AC39" s="1">
        <v>0.91</v>
      </c>
      <c r="AE39" s="1">
        <f>(PI()*(Table1[[#This Row],[Diameter]]/2)^2*Table1[[#This Row],[Length]])*1000</f>
        <v>11355.089882618677</v>
      </c>
      <c r="AF39" s="1">
        <f>Table1[[#This Row],[Case Mass]]/Table1[[#This Row],[Volume]]</f>
        <v>0</v>
      </c>
      <c r="AG39" s="1">
        <f>Table1[[#This Row],[Nozzle Mass]]/Table1[[#This Row],[Volume]]</f>
        <v>0</v>
      </c>
      <c r="AH39" s="1">
        <f>Table1[[#This Row],[Nozzle Mass]]/Table1[[#This Row],[Diameter]]</f>
        <v>0</v>
      </c>
      <c r="AI39" s="3">
        <f>Table1[[#This Row],[Additional Mass]]/Table1[[#This Row],[Volume]]</f>
        <v>0</v>
      </c>
      <c r="AJ39" s="3">
        <f>Table1[[#This Row],[Igniter Mass]]/Table1[[#This Row],[Volume]]</f>
        <v>0</v>
      </c>
      <c r="AK39" s="3">
        <f>Table1[[#This Row],[Dry Mass]]/Table1[[#This Row],[Volume]]</f>
        <v>0.10897306747823235</v>
      </c>
      <c r="AL39" s="3">
        <f>Table1[[#This Row],[Avg Thrust]]/Table1[[#This Row],[Volume]]</f>
        <v>4.1170486730853412E-2</v>
      </c>
      <c r="AM39" s="3"/>
    </row>
    <row r="40" spans="1:39" x14ac:dyDescent="0.25">
      <c r="A40" s="1" t="s">
        <v>44</v>
      </c>
      <c r="B40" s="1" t="s">
        <v>34</v>
      </c>
      <c r="C40" s="1" t="s">
        <v>74</v>
      </c>
      <c r="E40" s="1">
        <v>713.51228088000005</v>
      </c>
      <c r="F40" s="1">
        <v>1364.4047360000022</v>
      </c>
      <c r="G40" s="1">
        <v>10.269220000000001</v>
      </c>
      <c r="H40" s="1">
        <v>1.27508</v>
      </c>
      <c r="I40" s="1">
        <v>15034.306839999999</v>
      </c>
      <c r="J40" s="1" t="s">
        <v>87</v>
      </c>
      <c r="K40" s="1">
        <v>69.7</v>
      </c>
      <c r="L40" s="1">
        <v>621.53198771999996</v>
      </c>
      <c r="M40" s="1">
        <v>292.77999999999997</v>
      </c>
      <c r="Q40" s="1">
        <v>1.4223999999999999</v>
      </c>
      <c r="V40" s="1" t="s">
        <v>48</v>
      </c>
      <c r="AC40" s="1">
        <v>0.92</v>
      </c>
      <c r="AE40" s="1">
        <f>(PI()*(Table1[[#This Row],[Diameter]]/2)^2*Table1[[#This Row],[Length]])*1000</f>
        <v>13113.004397437107</v>
      </c>
      <c r="AF40" s="1">
        <f>Table1[[#This Row],[Case Mass]]/Table1[[#This Row],[Volume]]</f>
        <v>0</v>
      </c>
      <c r="AG40" s="1">
        <f>Table1[[#This Row],[Nozzle Mass]]/Table1[[#This Row],[Volume]]</f>
        <v>0</v>
      </c>
      <c r="AH40" s="1">
        <f>Table1[[#This Row],[Nozzle Mass]]/Table1[[#This Row],[Diameter]]</f>
        <v>0</v>
      </c>
      <c r="AI40" s="3">
        <f>Table1[[#This Row],[Additional Mass]]/Table1[[#This Row],[Volume]]</f>
        <v>0</v>
      </c>
      <c r="AJ40" s="3">
        <f>Table1[[#This Row],[Igniter Mass]]/Table1[[#This Row],[Volume]]</f>
        <v>0</v>
      </c>
      <c r="AK40" s="3">
        <f>Table1[[#This Row],[Dry Mass]]/Table1[[#This Row],[Volume]]</f>
        <v>0.10404974288475573</v>
      </c>
      <c r="AL40" s="3">
        <f>Table1[[#This Row],[Avg Thrust]]/Table1[[#This Row],[Volume]]</f>
        <v>4.7398137671750974E-2</v>
      </c>
      <c r="AM40" s="3"/>
    </row>
    <row r="41" spans="1:39" x14ac:dyDescent="0.25">
      <c r="A41" s="1" t="s">
        <v>46</v>
      </c>
      <c r="B41" s="1" t="s">
        <v>34</v>
      </c>
      <c r="E41" s="1">
        <v>667.27748220000001</v>
      </c>
      <c r="F41" s="1">
        <v>1079.5489600000001</v>
      </c>
      <c r="G41" s="1">
        <v>9.4589599999999994</v>
      </c>
      <c r="H41" s="1">
        <v>1.27508</v>
      </c>
      <c r="I41" s="1">
        <v>15034.306839999999</v>
      </c>
      <c r="J41" s="1" t="s">
        <v>87</v>
      </c>
      <c r="K41" s="1">
        <v>69</v>
      </c>
      <c r="L41" s="1">
        <v>583.60646399999996</v>
      </c>
      <c r="M41" s="1">
        <v>272.26</v>
      </c>
      <c r="Q41" s="1">
        <v>0.91439999999999999</v>
      </c>
      <c r="V41" s="1" t="s">
        <v>47</v>
      </c>
      <c r="AC41" s="1">
        <v>0.93</v>
      </c>
      <c r="AE41" s="1">
        <f>(PI()*(Table1[[#This Row],[Diameter]]/2)^2*Table1[[#This Row],[Length]])*1000</f>
        <v>12078.364673770908</v>
      </c>
      <c r="AF41" s="1">
        <f>Table1[[#This Row],[Case Mass]]/Table1[[#This Row],[Volume]]</f>
        <v>0</v>
      </c>
      <c r="AG41" s="1">
        <f>Table1[[#This Row],[Nozzle Mass]]/Table1[[#This Row],[Volume]]</f>
        <v>0</v>
      </c>
      <c r="AH41" s="1">
        <f>Table1[[#This Row],[Nozzle Mass]]/Table1[[#This Row],[Diameter]]</f>
        <v>0</v>
      </c>
      <c r="AI41" s="3">
        <f>Table1[[#This Row],[Additional Mass]]/Table1[[#This Row],[Volume]]</f>
        <v>0</v>
      </c>
      <c r="AJ41" s="3">
        <f>Table1[[#This Row],[Igniter Mass]]/Table1[[#This Row],[Volume]]</f>
        <v>0</v>
      </c>
      <c r="AK41" s="3">
        <f>Table1[[#This Row],[Dry Mass]]/Table1[[#This Row],[Volume]]</f>
        <v>8.9378735379990901E-2</v>
      </c>
      <c r="AL41" s="3">
        <f>Table1[[#This Row],[Avg Thrust]]/Table1[[#This Row],[Volume]]</f>
        <v>4.8318334456927438E-2</v>
      </c>
      <c r="AM41" s="3"/>
    </row>
    <row r="42" spans="1:39" x14ac:dyDescent="0.25">
      <c r="A42" s="1" t="s">
        <v>45</v>
      </c>
      <c r="B42" s="1" t="s">
        <v>34</v>
      </c>
      <c r="C42" s="1" t="s">
        <v>77</v>
      </c>
      <c r="E42" s="1">
        <v>693.13498505999996</v>
      </c>
      <c r="F42" s="1">
        <v>1187.5038560000012</v>
      </c>
      <c r="G42" s="1">
        <v>9.9263200000000005</v>
      </c>
      <c r="H42" s="1">
        <v>1.27508</v>
      </c>
      <c r="I42" s="1">
        <v>15034.306839999999</v>
      </c>
      <c r="J42" s="1" t="s">
        <v>87</v>
      </c>
      <c r="K42" s="1">
        <v>69</v>
      </c>
      <c r="L42" s="1">
        <v>610.26019824000002</v>
      </c>
      <c r="M42" s="1">
        <v>284.61</v>
      </c>
      <c r="Q42" s="1">
        <v>1.2090399999999999</v>
      </c>
      <c r="V42" s="1" t="s">
        <v>47</v>
      </c>
      <c r="AC42" s="1">
        <v>0.93</v>
      </c>
      <c r="AE42" s="1">
        <f>(PI()*(Table1[[#This Row],[Diameter]]/2)^2*Table1[[#This Row],[Length]])*1000</f>
        <v>12675.147461089344</v>
      </c>
      <c r="AF42" s="1">
        <f>Table1[[#This Row],[Case Mass]]/Table1[[#This Row],[Volume]]</f>
        <v>0</v>
      </c>
      <c r="AG42" s="1">
        <f>Table1[[#This Row],[Nozzle Mass]]/Table1[[#This Row],[Volume]]</f>
        <v>0</v>
      </c>
      <c r="AH42" s="1">
        <f>Table1[[#This Row],[Nozzle Mass]]/Table1[[#This Row],[Diameter]]</f>
        <v>0</v>
      </c>
      <c r="AI42" s="3">
        <f>Table1[[#This Row],[Additional Mass]]/Table1[[#This Row],[Volume]]</f>
        <v>0</v>
      </c>
      <c r="AJ42" s="3">
        <f>Table1[[#This Row],[Igniter Mass]]/Table1[[#This Row],[Volume]]</f>
        <v>0</v>
      </c>
      <c r="AK42" s="3">
        <f>Table1[[#This Row],[Dry Mass]]/Table1[[#This Row],[Volume]]</f>
        <v>9.3687577177736694E-2</v>
      </c>
      <c r="AL42" s="3">
        <f>Table1[[#This Row],[Avg Thrust]]/Table1[[#This Row],[Volume]]</f>
        <v>4.814620106893433E-2</v>
      </c>
      <c r="AM42" s="3"/>
    </row>
    <row r="43" spans="1:39" x14ac:dyDescent="0.25">
      <c r="A43" s="1" t="s">
        <v>43</v>
      </c>
      <c r="B43" s="1" t="s">
        <v>34</v>
      </c>
      <c r="C43" s="1" t="s">
        <v>77</v>
      </c>
      <c r="E43" s="1">
        <v>543.12321378000001</v>
      </c>
      <c r="F43" s="1">
        <v>1044.1687839999995</v>
      </c>
      <c r="G43" s="1">
        <v>8.5191599999999994</v>
      </c>
      <c r="H43" s="1">
        <v>1.27508</v>
      </c>
      <c r="I43" s="1">
        <v>12156.719192</v>
      </c>
      <c r="J43" s="1" t="s">
        <v>87</v>
      </c>
      <c r="K43" s="1">
        <v>74.2</v>
      </c>
      <c r="L43" s="1">
        <v>459.75022632000002</v>
      </c>
      <c r="M43" s="1">
        <v>284.97000000000003</v>
      </c>
      <c r="Q43" s="1">
        <v>1.2090399999999999</v>
      </c>
      <c r="V43" s="1" t="s">
        <v>47</v>
      </c>
      <c r="AC43" s="1">
        <v>0.92</v>
      </c>
      <c r="AE43" s="1">
        <f>(PI()*(Table1[[#This Row],[Diameter]]/2)^2*Table1[[#This Row],[Length]])*1000</f>
        <v>10878.312329706667</v>
      </c>
      <c r="AF43" s="1">
        <f>Table1[[#This Row],[Case Mass]]/Table1[[#This Row],[Volume]]</f>
        <v>0</v>
      </c>
      <c r="AG43" s="1">
        <f>Table1[[#This Row],[Nozzle Mass]]/Table1[[#This Row],[Volume]]</f>
        <v>0</v>
      </c>
      <c r="AH43" s="1">
        <f>Table1[[#This Row],[Nozzle Mass]]/Table1[[#This Row],[Diameter]]</f>
        <v>0</v>
      </c>
      <c r="AI43" s="3">
        <f>Table1[[#This Row],[Additional Mass]]/Table1[[#This Row],[Volume]]</f>
        <v>0</v>
      </c>
      <c r="AJ43" s="3">
        <f>Table1[[#This Row],[Igniter Mass]]/Table1[[#This Row],[Volume]]</f>
        <v>0</v>
      </c>
      <c r="AK43" s="3">
        <f>Table1[[#This Row],[Dry Mass]]/Table1[[#This Row],[Volume]]</f>
        <v>9.5986284669228233E-2</v>
      </c>
      <c r="AL43" s="3">
        <f>Table1[[#This Row],[Avg Thrust]]/Table1[[#This Row],[Volume]]</f>
        <v>4.2263010326014164E-2</v>
      </c>
      <c r="AM43" s="3"/>
    </row>
    <row r="44" spans="1:39" x14ac:dyDescent="0.25">
      <c r="A44" s="1" t="s">
        <v>165</v>
      </c>
      <c r="B44" s="1" t="s">
        <v>72</v>
      </c>
      <c r="C44" s="1" t="s">
        <v>166</v>
      </c>
      <c r="E44" s="1">
        <v>6700</v>
      </c>
      <c r="F44" s="1">
        <v>31300</v>
      </c>
      <c r="G44" s="1">
        <v>26.77</v>
      </c>
      <c r="H44" s="1">
        <v>3.05</v>
      </c>
      <c r="I44" s="1">
        <v>237700</v>
      </c>
      <c r="J44" s="1" t="s">
        <v>87</v>
      </c>
      <c r="K44" s="1">
        <v>129</v>
      </c>
      <c r="L44" s="1">
        <v>4984</v>
      </c>
      <c r="M44" s="1">
        <v>275.39999999999998</v>
      </c>
      <c r="N44" s="1" t="s">
        <v>132</v>
      </c>
      <c r="P44" s="1">
        <v>0.9</v>
      </c>
      <c r="Q44" s="1">
        <v>2.99</v>
      </c>
      <c r="R44" s="1">
        <v>3.78</v>
      </c>
      <c r="S44" s="1">
        <v>11</v>
      </c>
      <c r="U44" s="1">
        <v>884.73</v>
      </c>
      <c r="V44" s="1" t="s">
        <v>47</v>
      </c>
      <c r="W44" s="1">
        <v>4900</v>
      </c>
      <c r="Y44" s="3">
        <v>19700</v>
      </c>
      <c r="Z44" s="1">
        <v>6400</v>
      </c>
      <c r="AB44" s="1">
        <v>315</v>
      </c>
      <c r="AE44" s="1">
        <f>(PI()*(Table1[[#This Row],[Diameter]]/2)^2*Table1[[#This Row],[Length]])*1000</f>
        <v>195586.07492967747</v>
      </c>
      <c r="AF44" s="1">
        <f>Table1[[#This Row],[Case Mass]]/Table1[[#This Row],[Volume]]</f>
        <v>0.10072291704347096</v>
      </c>
      <c r="AG44" s="1">
        <f>Table1[[#This Row],[Nozzle Mass]]/Table1[[#This Row],[Volume]]</f>
        <v>3.2722165943056554E-2</v>
      </c>
      <c r="AH44" s="1">
        <f>Table1[[#This Row],[Nozzle Mass]]/Table1[[#This Row],[Diameter]]</f>
        <v>2098.3606557377052</v>
      </c>
      <c r="AI44" s="3">
        <f>Table1[[#This Row],[Additional Mass]]/Table1[[#This Row],[Volume]]</f>
        <v>0</v>
      </c>
      <c r="AJ44" s="3">
        <f>Table1[[#This Row],[Igniter Mass]]/Table1[[#This Row],[Volume]]</f>
        <v>1.6105441050098149E-3</v>
      </c>
      <c r="AK44" s="3">
        <f>Table1[[#This Row],[Dry Mass]]/Table1[[#This Row],[Volume]]</f>
        <v>0.16003184281526098</v>
      </c>
      <c r="AL44" s="3">
        <f>Table1[[#This Row],[Avg Thrust]]/Table1[[#This Row],[Volume]]</f>
        <v>2.5482386728155292E-2</v>
      </c>
      <c r="AM44" s="3"/>
    </row>
    <row r="45" spans="1:39" x14ac:dyDescent="0.25">
      <c r="A45" s="1" t="s">
        <v>2</v>
      </c>
      <c r="B45" s="1" t="s">
        <v>72</v>
      </c>
      <c r="C45" s="1" t="s">
        <v>5</v>
      </c>
      <c r="E45" s="1">
        <v>14796.163116420001</v>
      </c>
      <c r="F45" s="1">
        <v>67709.945800000001</v>
      </c>
      <c r="G45" s="1">
        <v>38.442645999999996</v>
      </c>
      <c r="H45" s="1">
        <v>3.710432</v>
      </c>
      <c r="I45" s="1">
        <v>501638.73259999999</v>
      </c>
      <c r="J45" s="1" t="s">
        <v>14</v>
      </c>
      <c r="K45" s="1">
        <v>122.2</v>
      </c>
      <c r="L45" s="1">
        <v>10811.202988320001</v>
      </c>
      <c r="M45" s="1">
        <v>286.39999999999998</v>
      </c>
      <c r="N45" s="1" t="s">
        <v>132</v>
      </c>
      <c r="P45" s="1">
        <v>1.3839999999999999</v>
      </c>
      <c r="Q45" s="1">
        <v>3.8010000000000002</v>
      </c>
      <c r="R45" s="1">
        <v>4.54</v>
      </c>
      <c r="S45" s="1">
        <v>7.72</v>
      </c>
      <c r="T45" s="1">
        <v>661</v>
      </c>
      <c r="U45" s="1">
        <v>917</v>
      </c>
      <c r="V45" s="1" t="s">
        <v>47</v>
      </c>
      <c r="Y45" s="1">
        <v>44791.302816000003</v>
      </c>
      <c r="Z45" s="1">
        <v>10859.899664</v>
      </c>
      <c r="AA45" s="1">
        <v>12058.74332</v>
      </c>
      <c r="AB45" s="1">
        <v>200</v>
      </c>
      <c r="AC45" s="1">
        <v>0.88</v>
      </c>
      <c r="AD45" s="1">
        <v>1.165</v>
      </c>
      <c r="AE45" s="1">
        <f>(PI()*(Table1[[#This Row],[Diameter]]/2)^2*Table1[[#This Row],[Length]])*1000</f>
        <v>415673.27905150817</v>
      </c>
      <c r="AF45" s="1">
        <f>Table1[[#This Row],[Case Mass]]/Table1[[#This Row],[Volume]]</f>
        <v>0.10775603117478641</v>
      </c>
      <c r="AG45" s="1">
        <f>Table1[[#This Row],[Nozzle Mass]]/Table1[[#This Row],[Volume]]</f>
        <v>2.6126047093477701E-2</v>
      </c>
      <c r="AH45" s="1">
        <f>Table1[[#This Row],[Nozzle Mass]]/Table1[[#This Row],[Diameter]]</f>
        <v>2926.8558658398806</v>
      </c>
      <c r="AI45" s="3">
        <f>Table1[[#This Row],[Additional Mass]]/Table1[[#This Row],[Volume]]</f>
        <v>2.9010147940026088E-2</v>
      </c>
      <c r="AJ45" s="3">
        <f>Table1[[#This Row],[Igniter Mass]]/Table1[[#This Row],[Volume]]</f>
        <v>4.8114711741001034E-4</v>
      </c>
      <c r="AK45" s="3">
        <f>Table1[[#This Row],[Dry Mass]]/Table1[[#This Row],[Volume]]</f>
        <v>0.16289222620829019</v>
      </c>
      <c r="AL45" s="3">
        <f>Table1[[#This Row],[Avg Thrust]]/Table1[[#This Row],[Volume]]</f>
        <v>2.6008895767823292E-2</v>
      </c>
      <c r="AM45" s="3" t="s">
        <v>172</v>
      </c>
    </row>
    <row r="46" spans="1:39" x14ac:dyDescent="0.25">
      <c r="A46" s="1" t="s">
        <v>65</v>
      </c>
      <c r="B46" s="1" t="s">
        <v>72</v>
      </c>
      <c r="F46" s="1">
        <v>31012.085039999998</v>
      </c>
      <c r="G46" s="1">
        <v>12.68984</v>
      </c>
      <c r="H46" s="1">
        <v>3.7109399999999999</v>
      </c>
      <c r="I46" s="1">
        <v>152511.69175199998</v>
      </c>
      <c r="J46" s="1" t="s">
        <v>14</v>
      </c>
      <c r="K46" s="1">
        <v>115.8</v>
      </c>
      <c r="L46" s="1">
        <v>3571.8717295800002</v>
      </c>
      <c r="M46" s="1">
        <v>276.53216984751555</v>
      </c>
      <c r="Q46" s="1">
        <v>2.38252</v>
      </c>
      <c r="S46" s="1">
        <v>10.75</v>
      </c>
      <c r="T46" s="1">
        <v>750.8</v>
      </c>
      <c r="V46" s="1" t="s">
        <v>47</v>
      </c>
      <c r="Y46" s="1">
        <v>14001.024264</v>
      </c>
      <c r="Z46" s="1">
        <v>7257.4719999999998</v>
      </c>
      <c r="AA46" s="1">
        <v>9753.5887760000005</v>
      </c>
      <c r="AC46" s="1">
        <v>0.83</v>
      </c>
      <c r="AE46" s="1">
        <f>(PI()*(Table1[[#This Row],[Diameter]]/2)^2*Table1[[#This Row],[Length]])*1000</f>
        <v>137250.486583908</v>
      </c>
      <c r="AF46" s="1">
        <f>Table1[[#This Row],[Case Mass]]/Table1[[#This Row],[Volume]]</f>
        <v>0.10201074409627307</v>
      </c>
      <c r="AG46" s="1">
        <f>Table1[[#This Row],[Nozzle Mass]]/Table1[[#This Row],[Volume]]</f>
        <v>5.2877568456292129E-2</v>
      </c>
      <c r="AH46" s="1">
        <f>Table1[[#This Row],[Nozzle Mass]]/Table1[[#This Row],[Diameter]]</f>
        <v>1955.6964003729513</v>
      </c>
      <c r="AI46" s="3">
        <f>Table1[[#This Row],[Additional Mass]]/Table1[[#This Row],[Volume]]</f>
        <v>7.1064147157228114E-2</v>
      </c>
      <c r="AJ46" s="3">
        <f>Table1[[#This Row],[Igniter Mass]]/Table1[[#This Row],[Volume]]</f>
        <v>0</v>
      </c>
      <c r="AK46" s="3">
        <f>Table1[[#This Row],[Dry Mass]]/Table1[[#This Row],[Volume]]</f>
        <v>0.2259524597097933</v>
      </c>
      <c r="AL46" s="3">
        <f>Table1[[#This Row],[Avg Thrust]]/Table1[[#This Row],[Volume]]</f>
        <v>2.6024474072784715E-2</v>
      </c>
      <c r="AM46" s="3"/>
    </row>
    <row r="47" spans="1:39" x14ac:dyDescent="0.25">
      <c r="A47" s="1" t="s">
        <v>66</v>
      </c>
      <c r="B47" s="1" t="s">
        <v>72</v>
      </c>
      <c r="F47" s="1">
        <v>37419.979224000002</v>
      </c>
      <c r="G47" s="1">
        <v>17.703799999999998</v>
      </c>
      <c r="H47" s="1">
        <v>3.7109399999999999</v>
      </c>
      <c r="I47" s="1">
        <v>216134.773632</v>
      </c>
      <c r="J47" s="1" t="s">
        <v>14</v>
      </c>
      <c r="K47" s="1">
        <v>117</v>
      </c>
      <c r="L47" s="1">
        <v>5045.0955042599999</v>
      </c>
      <c r="M47" s="1">
        <v>278.49241546623688</v>
      </c>
      <c r="Q47" s="1">
        <v>2.8778199999999998</v>
      </c>
      <c r="S47" s="1">
        <v>11.8</v>
      </c>
      <c r="T47" s="1">
        <v>741.6</v>
      </c>
      <c r="V47" s="1" t="s">
        <v>47</v>
      </c>
      <c r="Y47" s="1">
        <v>18899.364271999999</v>
      </c>
      <c r="Z47" s="1">
        <v>7257.4719999999998</v>
      </c>
      <c r="AA47" s="1">
        <v>11263.142952</v>
      </c>
      <c r="AC47" s="1">
        <v>0.85</v>
      </c>
      <c r="AE47" s="1">
        <f>(PI()*(Table1[[#This Row],[Diameter]]/2)^2*Table1[[#This Row],[Length]])*1000</f>
        <v>191480.3625880382</v>
      </c>
      <c r="AF47" s="1">
        <f>Table1[[#This Row],[Case Mass]]/Table1[[#This Row],[Volume]]</f>
        <v>9.8701318592451029E-2</v>
      </c>
      <c r="AG47" s="1">
        <f>Table1[[#This Row],[Nozzle Mass]]/Table1[[#This Row],[Volume]]</f>
        <v>3.7901912770105517E-2</v>
      </c>
      <c r="AH47" s="1">
        <f>Table1[[#This Row],[Nozzle Mass]]/Table1[[#This Row],[Diameter]]</f>
        <v>1955.6964003729513</v>
      </c>
      <c r="AI47" s="3">
        <f>Table1[[#This Row],[Additional Mass]]/Table1[[#This Row],[Volume]]</f>
        <v>5.8821399749655633E-2</v>
      </c>
      <c r="AJ47" s="3">
        <f>Table1[[#This Row],[Igniter Mass]]/Table1[[#This Row],[Volume]]</f>
        <v>0</v>
      </c>
      <c r="AK47" s="3">
        <f>Table1[[#This Row],[Dry Mass]]/Table1[[#This Row],[Volume]]</f>
        <v>0.1954246311122122</v>
      </c>
      <c r="AL47" s="3">
        <f>Table1[[#This Row],[Avg Thrust]]/Table1[[#This Row],[Volume]]</f>
        <v>2.6347848082543621E-2</v>
      </c>
      <c r="AM47" s="3"/>
    </row>
    <row r="48" spans="1:39" x14ac:dyDescent="0.25">
      <c r="A48" s="1" t="s">
        <v>67</v>
      </c>
      <c r="B48" s="1" t="s">
        <v>72</v>
      </c>
      <c r="F48" s="1">
        <v>43842.388352000002</v>
      </c>
      <c r="G48" s="1">
        <v>21.843999999999998</v>
      </c>
      <c r="H48" s="1">
        <v>3.7109399999999999</v>
      </c>
      <c r="I48" s="1">
        <v>280774.80877599999</v>
      </c>
      <c r="J48" s="1" t="s">
        <v>14</v>
      </c>
      <c r="K48" s="1">
        <v>114.1</v>
      </c>
      <c r="L48" s="1">
        <v>6660.9914872200006</v>
      </c>
      <c r="M48" s="1">
        <v>275.92871278491378</v>
      </c>
      <c r="Q48" s="1">
        <v>3.01498</v>
      </c>
      <c r="S48" s="1">
        <v>10.4</v>
      </c>
      <c r="T48" s="1">
        <v>798.7</v>
      </c>
      <c r="V48" s="1" t="s">
        <v>47</v>
      </c>
      <c r="Y48" s="1">
        <v>23797.704279999998</v>
      </c>
      <c r="Z48" s="1">
        <v>7257.4719999999998</v>
      </c>
      <c r="AA48" s="1">
        <v>12787.212072</v>
      </c>
      <c r="AC48" s="1">
        <v>0.86</v>
      </c>
      <c r="AE48" s="1">
        <f>(PI()*(Table1[[#This Row],[Diameter]]/2)^2*Table1[[#This Row],[Length]])*1000</f>
        <v>236259.8448001619</v>
      </c>
      <c r="AF48" s="1">
        <f>Table1[[#This Row],[Case Mass]]/Table1[[#This Row],[Volume]]</f>
        <v>0.10072682600857991</v>
      </c>
      <c r="AG48" s="1">
        <f>Table1[[#This Row],[Nozzle Mass]]/Table1[[#This Row],[Volume]]</f>
        <v>3.0718178140422728E-2</v>
      </c>
      <c r="AH48" s="1">
        <f>Table1[[#This Row],[Nozzle Mass]]/Table1[[#This Row],[Diameter]]</f>
        <v>1955.6964003729513</v>
      </c>
      <c r="AI48" s="3">
        <f>Table1[[#This Row],[Additional Mass]]/Table1[[#This Row],[Volume]]</f>
        <v>5.4123509997291076E-2</v>
      </c>
      <c r="AJ48" s="3">
        <f>Table1[[#This Row],[Igniter Mass]]/Table1[[#This Row],[Volume]]</f>
        <v>0</v>
      </c>
      <c r="AK48" s="3">
        <f>Table1[[#This Row],[Dry Mass]]/Table1[[#This Row],[Volume]]</f>
        <v>0.18556851414629372</v>
      </c>
      <c r="AL48" s="3">
        <f>Table1[[#This Row],[Avg Thrust]]/Table1[[#This Row],[Volume]]</f>
        <v>2.8193498107366217E-2</v>
      </c>
      <c r="AM48" s="3"/>
    </row>
    <row r="49" spans="1:39" x14ac:dyDescent="0.25">
      <c r="A49" s="1" t="s">
        <v>68</v>
      </c>
      <c r="B49" s="1" t="s">
        <v>72</v>
      </c>
      <c r="F49" s="1">
        <v>49089.994200000001</v>
      </c>
      <c r="G49" s="1">
        <v>26.3398</v>
      </c>
      <c r="H49" s="1">
        <v>3.7109399999999999</v>
      </c>
      <c r="I49" s="1">
        <v>344271.79207999998</v>
      </c>
      <c r="J49" s="1" t="s">
        <v>14</v>
      </c>
      <c r="K49" s="1">
        <v>113.2</v>
      </c>
      <c r="L49" s="1">
        <v>8228.7532815600007</v>
      </c>
      <c r="M49" s="1">
        <v>275.76709706320241</v>
      </c>
      <c r="Q49" s="1">
        <v>3.3959799999999998</v>
      </c>
      <c r="S49" s="1">
        <v>11.1</v>
      </c>
      <c r="T49" s="1">
        <v>831.8</v>
      </c>
      <c r="V49" s="1" t="s">
        <v>47</v>
      </c>
      <c r="Y49" s="1">
        <v>28447.475871999999</v>
      </c>
      <c r="Z49" s="1">
        <v>7711.0640000000003</v>
      </c>
      <c r="AA49" s="1">
        <v>12931.454328</v>
      </c>
      <c r="AC49" s="1">
        <v>0.87</v>
      </c>
      <c r="AE49" s="1">
        <f>(PI()*(Table1[[#This Row],[Diameter]]/2)^2*Table1[[#This Row],[Length]])*1000</f>
        <v>284885.41750903241</v>
      </c>
      <c r="AF49" s="1">
        <f>Table1[[#This Row],[Case Mass]]/Table1[[#This Row],[Volume]]</f>
        <v>9.9855851242712554E-2</v>
      </c>
      <c r="AG49" s="1">
        <f>Table1[[#This Row],[Nozzle Mass]]/Table1[[#This Row],[Volume]]</f>
        <v>2.7067247131929865E-2</v>
      </c>
      <c r="AH49" s="1">
        <f>Table1[[#This Row],[Nozzle Mass]]/Table1[[#This Row],[Diameter]]</f>
        <v>2077.9274253962608</v>
      </c>
      <c r="AI49" s="3">
        <f>Table1[[#This Row],[Additional Mass]]/Table1[[#This Row],[Volume]]</f>
        <v>4.5391773440246384E-2</v>
      </c>
      <c r="AJ49" s="3">
        <f>Table1[[#This Row],[Igniter Mass]]/Table1[[#This Row],[Volume]]</f>
        <v>0</v>
      </c>
      <c r="AK49" s="3">
        <f>Table1[[#This Row],[Dry Mass]]/Table1[[#This Row],[Volume]]</f>
        <v>0.1723148718148888</v>
      </c>
      <c r="AL49" s="3">
        <f>Table1[[#This Row],[Avg Thrust]]/Table1[[#This Row],[Volume]]</f>
        <v>2.8884431339133407E-2</v>
      </c>
      <c r="AM49" s="3"/>
    </row>
    <row r="50" spans="1:39" x14ac:dyDescent="0.25">
      <c r="A50" s="1" t="s">
        <v>69</v>
      </c>
      <c r="B50" s="1" t="s">
        <v>72</v>
      </c>
      <c r="F50" s="1">
        <v>62777.132799999999</v>
      </c>
      <c r="G50" s="1">
        <v>29.36748</v>
      </c>
      <c r="H50" s="1">
        <v>3.7109399999999999</v>
      </c>
      <c r="I50" s="1">
        <v>382507.78331199999</v>
      </c>
      <c r="J50" s="1" t="s">
        <v>14</v>
      </c>
      <c r="K50" s="1">
        <v>133.69999999999999</v>
      </c>
      <c r="L50" s="1">
        <v>7433.1268594800003</v>
      </c>
      <c r="M50" s="1">
        <v>264.44171965383038</v>
      </c>
      <c r="Q50" s="1">
        <v>3.7998399999999997</v>
      </c>
      <c r="S50" s="1">
        <v>7.89</v>
      </c>
      <c r="T50" s="1">
        <v>442</v>
      </c>
      <c r="V50" s="1" t="s">
        <v>47</v>
      </c>
      <c r="Y50" s="1">
        <v>35217.336472000003</v>
      </c>
      <c r="Z50" s="1">
        <v>10995.523671999999</v>
      </c>
      <c r="AA50" s="1">
        <v>16564.726247999999</v>
      </c>
      <c r="AC50" s="1">
        <v>0.86</v>
      </c>
      <c r="AE50" s="1">
        <f>(PI()*(Table1[[#This Row],[Diameter]]/2)^2*Table1[[#This Row],[Length]])*1000</f>
        <v>317632.13088133396</v>
      </c>
      <c r="AF50" s="1">
        <f>Table1[[#This Row],[Case Mass]]/Table1[[#This Row],[Volume]]</f>
        <v>0.11087460319043432</v>
      </c>
      <c r="AG50" s="1">
        <f>Table1[[#This Row],[Nozzle Mass]]/Table1[[#This Row],[Volume]]</f>
        <v>3.4617164332495953E-2</v>
      </c>
      <c r="AH50" s="1">
        <f>Table1[[#This Row],[Nozzle Mass]]/Table1[[#This Row],[Diameter]]</f>
        <v>2963.0022775900443</v>
      </c>
      <c r="AI50" s="3">
        <f>Table1[[#This Row],[Additional Mass]]/Table1[[#This Row],[Volume]]</f>
        <v>5.2150663102117058E-2</v>
      </c>
      <c r="AJ50" s="3">
        <f>Table1[[#This Row],[Igniter Mass]]/Table1[[#This Row],[Volume]]</f>
        <v>0</v>
      </c>
      <c r="AK50" s="3">
        <f>Table1[[#This Row],[Dry Mass]]/Table1[[#This Row],[Volume]]</f>
        <v>0.19764100258312114</v>
      </c>
      <c r="AL50" s="3">
        <f>Table1[[#This Row],[Avg Thrust]]/Table1[[#This Row],[Volume]]</f>
        <v>2.3401684328519603E-2</v>
      </c>
      <c r="AM50" s="3"/>
    </row>
    <row r="51" spans="1:39" x14ac:dyDescent="0.25">
      <c r="A51" s="1" t="s">
        <v>70</v>
      </c>
      <c r="B51" s="1" t="s">
        <v>72</v>
      </c>
      <c r="F51" s="1">
        <v>74354.161416000003</v>
      </c>
      <c r="G51" s="1">
        <v>37.498019999999997</v>
      </c>
      <c r="H51" s="1">
        <v>3.7109399999999999</v>
      </c>
      <c r="I51" s="1">
        <v>505371.79476000002</v>
      </c>
      <c r="J51" s="1" t="s">
        <v>14</v>
      </c>
      <c r="K51" s="1">
        <v>132.80000000000001</v>
      </c>
      <c r="L51" s="1">
        <v>9996.186775260001</v>
      </c>
      <c r="M51" s="1">
        <v>267.46727340450838</v>
      </c>
      <c r="Q51" s="1">
        <v>3.7998399999999997</v>
      </c>
      <c r="S51" s="1">
        <v>7.72</v>
      </c>
      <c r="T51" s="1">
        <v>572</v>
      </c>
      <c r="V51" s="1" t="s">
        <v>47</v>
      </c>
      <c r="Y51" s="1">
        <v>45053.478991999997</v>
      </c>
      <c r="Z51" s="1">
        <v>10949.710880000001</v>
      </c>
      <c r="AA51" s="1">
        <v>18350.517951999998</v>
      </c>
      <c r="AC51" s="1">
        <v>0.87</v>
      </c>
      <c r="AE51" s="1">
        <f>(PI()*(Table1[[#This Row],[Diameter]]/2)^2*Table1[[#This Row],[Length]])*1000</f>
        <v>405570.24288195238</v>
      </c>
      <c r="AF51" s="1">
        <f>Table1[[#This Row],[Case Mass]]/Table1[[#This Row],[Volume]]</f>
        <v>0.11108674707457156</v>
      </c>
      <c r="AG51" s="1">
        <f>Table1[[#This Row],[Nozzle Mass]]/Table1[[#This Row],[Volume]]</f>
        <v>2.6998309348812574E-2</v>
      </c>
      <c r="AH51" s="1">
        <f>Table1[[#This Row],[Nozzle Mass]]/Table1[[#This Row],[Diameter]]</f>
        <v>2950.6569440626904</v>
      </c>
      <c r="AI51" s="3">
        <f>Table1[[#This Row],[Additional Mass]]/Table1[[#This Row],[Volume]]</f>
        <v>4.5246213878026562E-2</v>
      </c>
      <c r="AJ51" s="3">
        <f>Table1[[#This Row],[Igniter Mass]]/Table1[[#This Row],[Volume]]</f>
        <v>0</v>
      </c>
      <c r="AK51" s="3">
        <f>Table1[[#This Row],[Dry Mass]]/Table1[[#This Row],[Volume]]</f>
        <v>0.18333238870693469</v>
      </c>
      <c r="AL51" s="3">
        <f>Table1[[#This Row],[Avg Thrust]]/Table1[[#This Row],[Volume]]</f>
        <v>2.4647239166827997E-2</v>
      </c>
      <c r="AM51" s="3"/>
    </row>
    <row r="52" spans="1:39" x14ac:dyDescent="0.25">
      <c r="A52" s="1" t="s">
        <v>71</v>
      </c>
      <c r="B52" s="1" t="s">
        <v>72</v>
      </c>
      <c r="C52" s="1" t="s">
        <v>86</v>
      </c>
      <c r="F52" s="1">
        <v>85418.631072000004</v>
      </c>
      <c r="G52" s="1">
        <v>47.363379999999999</v>
      </c>
      <c r="H52" s="1">
        <v>3.7109399999999999</v>
      </c>
      <c r="I52" s="1">
        <v>647641.83274400001</v>
      </c>
      <c r="J52" s="1" t="s">
        <v>14</v>
      </c>
      <c r="K52" s="1">
        <v>131.9</v>
      </c>
      <c r="L52" s="1">
        <v>12859.461507060001</v>
      </c>
      <c r="M52" s="1">
        <v>267.10027755852155</v>
      </c>
      <c r="Q52" s="1">
        <v>3.8747700000000003</v>
      </c>
      <c r="S52" s="1">
        <v>6.55</v>
      </c>
      <c r="T52" s="1">
        <v>625.79999999999995</v>
      </c>
      <c r="V52" s="1" t="s">
        <v>47</v>
      </c>
      <c r="Y52" s="1">
        <v>57988.562056000002</v>
      </c>
      <c r="Z52" s="1">
        <v>10899.362168</v>
      </c>
      <c r="AA52" s="1">
        <v>16530.706848000002</v>
      </c>
      <c r="AC52" s="1">
        <v>0.88</v>
      </c>
      <c r="AE52" s="1">
        <f>(PI()*(Table1[[#This Row],[Diameter]]/2)^2*Table1[[#This Row],[Length]])*1000</f>
        <v>512271.78209169995</v>
      </c>
      <c r="AF52" s="1">
        <f>Table1[[#This Row],[Case Mass]]/Table1[[#This Row],[Volume]]</f>
        <v>0.11319882156932796</v>
      </c>
      <c r="AG52" s="1">
        <f>Table1[[#This Row],[Nozzle Mass]]/Table1[[#This Row],[Volume]]</f>
        <v>2.1276522637057812E-2</v>
      </c>
      <c r="AH52" s="1">
        <f>Table1[[#This Row],[Nozzle Mass]]/Table1[[#This Row],[Diameter]]</f>
        <v>2937.089300285103</v>
      </c>
      <c r="AI52" s="3">
        <f>Table1[[#This Row],[Additional Mass]]/Table1[[#This Row],[Volume]]</f>
        <v>3.2269407423735276E-2</v>
      </c>
      <c r="AJ52" s="3">
        <f>Table1[[#This Row],[Igniter Mass]]/Table1[[#This Row],[Volume]]</f>
        <v>0</v>
      </c>
      <c r="AK52" s="3">
        <f>Table1[[#This Row],[Dry Mass]]/Table1[[#This Row],[Volume]]</f>
        <v>0.16674475163012106</v>
      </c>
      <c r="AL52" s="3">
        <f>Table1[[#This Row],[Avg Thrust]]/Table1[[#This Row],[Volume]]</f>
        <v>2.5102810571670478E-2</v>
      </c>
      <c r="AM52" s="3"/>
    </row>
    <row r="53" spans="1:39" x14ac:dyDescent="0.25">
      <c r="A53" s="1" t="s">
        <v>3</v>
      </c>
      <c r="B53" s="1" t="s">
        <v>72</v>
      </c>
      <c r="C53" s="1" t="s">
        <v>6</v>
      </c>
      <c r="E53" s="1">
        <v>15794.8285404</v>
      </c>
      <c r="G53" s="1">
        <v>47.45355</v>
      </c>
      <c r="H53" s="1">
        <v>3.710432</v>
      </c>
      <c r="I53" s="1">
        <v>623016.77665599994</v>
      </c>
      <c r="J53" s="1" t="s">
        <v>14</v>
      </c>
      <c r="N53" s="1" t="s">
        <v>33</v>
      </c>
      <c r="P53" s="1">
        <v>1.4442439999999999</v>
      </c>
      <c r="Q53" s="1">
        <v>3.8798499999999998</v>
      </c>
      <c r="S53" s="1">
        <v>7.22</v>
      </c>
      <c r="V53" s="1" t="s">
        <v>47</v>
      </c>
      <c r="AE53" s="1">
        <f>(PI()*(Table1[[#This Row],[Diameter]]/2)^2*Table1[[#This Row],[Length]])*1000</f>
        <v>513106.53098995058</v>
      </c>
      <c r="AF53" s="1">
        <f>Table1[[#This Row],[Case Mass]]/Table1[[#This Row],[Volume]]</f>
        <v>0</v>
      </c>
      <c r="AG53" s="1">
        <f>Table1[[#This Row],[Nozzle Mass]]/Table1[[#This Row],[Volume]]</f>
        <v>0</v>
      </c>
      <c r="AH53" s="1">
        <f>Table1[[#This Row],[Nozzle Mass]]/Table1[[#This Row],[Diameter]]</f>
        <v>0</v>
      </c>
      <c r="AI53" s="3">
        <f>Table1[[#This Row],[Additional Mass]]/Table1[[#This Row],[Volume]]</f>
        <v>0</v>
      </c>
      <c r="AJ53" s="3">
        <f>Table1[[#This Row],[Igniter Mass]]/Table1[[#This Row],[Volume]]</f>
        <v>0</v>
      </c>
      <c r="AK53" s="3">
        <f>Table1[[#This Row],[Dry Mass]]/Table1[[#This Row],[Volume]]</f>
        <v>0</v>
      </c>
      <c r="AL53" s="3">
        <f>Table1[[#This Row],[Avg Thrust]]/Table1[[#This Row],[Volume]]</f>
        <v>0</v>
      </c>
      <c r="AM53" s="3"/>
    </row>
    <row r="54" spans="1:39" x14ac:dyDescent="0.25">
      <c r="A54" s="1" t="s">
        <v>212</v>
      </c>
      <c r="B54" s="1" t="s">
        <v>104</v>
      </c>
      <c r="C54" s="1" t="s">
        <v>213</v>
      </c>
      <c r="F54" s="1">
        <v>102.511792</v>
      </c>
      <c r="G54" s="1">
        <v>2.1844000000000001</v>
      </c>
      <c r="H54" s="1">
        <v>0.38734999999999997</v>
      </c>
      <c r="I54" s="1">
        <v>126.09857599999999</v>
      </c>
      <c r="J54" s="1" t="s">
        <v>14</v>
      </c>
      <c r="K54" s="1">
        <v>0.63300000000000001</v>
      </c>
      <c r="L54" s="1">
        <v>391.05636486000003</v>
      </c>
      <c r="M54" s="1">
        <v>200.2</v>
      </c>
      <c r="N54" s="1" t="s">
        <v>17</v>
      </c>
      <c r="V54" s="1" t="s">
        <v>48</v>
      </c>
      <c r="Y54" s="3"/>
      <c r="AE54" s="3">
        <f>(PI()*(Table1[[#This Row],[Diameter]]/2)^2*Table1[[#This Row],[Length]])*1000</f>
        <v>257.41222577026724</v>
      </c>
      <c r="AF54" s="3">
        <f>Table1[[#This Row],[Case Mass]]/Table1[[#This Row],[Volume]]</f>
        <v>0</v>
      </c>
      <c r="AG54" s="3">
        <f>Table1[[#This Row],[Nozzle Mass]]/Table1[[#This Row],[Volume]]</f>
        <v>0</v>
      </c>
      <c r="AH54" s="3">
        <f>Table1[[#This Row],[Nozzle Mass]]/Table1[[#This Row],[Diameter]]</f>
        <v>0</v>
      </c>
      <c r="AI54" s="3">
        <f>Table1[[#This Row],[Additional Mass]]/Table1[[#This Row],[Volume]]</f>
        <v>0</v>
      </c>
      <c r="AJ54" s="3">
        <f>Table1[[#This Row],[Igniter Mass]]/Table1[[#This Row],[Volume]]</f>
        <v>0</v>
      </c>
      <c r="AK54" s="3">
        <f>Table1[[#This Row],[Dry Mass]]/Table1[[#This Row],[Volume]]</f>
        <v>0.39823979491746725</v>
      </c>
      <c r="AL54" s="3">
        <f>Table1[[#This Row],[Avg Thrust]]/Table1[[#This Row],[Volume]]</f>
        <v>1.5191833398348618</v>
      </c>
      <c r="AM54" s="3"/>
    </row>
    <row r="55" spans="1:39" x14ac:dyDescent="0.25">
      <c r="A55" s="1" t="s">
        <v>214</v>
      </c>
      <c r="B55" s="1" t="s">
        <v>104</v>
      </c>
      <c r="C55" s="1" t="s">
        <v>213</v>
      </c>
      <c r="F55" s="1">
        <v>49.577605600000005</v>
      </c>
      <c r="G55" s="1">
        <v>2.6588720000000001</v>
      </c>
      <c r="H55" s="1">
        <v>0.2286</v>
      </c>
      <c r="I55" s="1">
        <v>121.65337439999999</v>
      </c>
      <c r="J55" s="1" t="s">
        <v>14</v>
      </c>
      <c r="K55" s="1">
        <v>1.52</v>
      </c>
      <c r="L55" s="1">
        <v>154.84253820000001</v>
      </c>
      <c r="N55" s="1" t="s">
        <v>17</v>
      </c>
      <c r="V55" s="1" t="s">
        <v>48</v>
      </c>
      <c r="Y55" s="3"/>
      <c r="AE55" s="3">
        <f>(PI()*(Table1[[#This Row],[Diameter]]/2)^2*Table1[[#This Row],[Length]])*1000</f>
        <v>109.12889659739668</v>
      </c>
      <c r="AF55" s="3">
        <f>Table1[[#This Row],[Case Mass]]/Table1[[#This Row],[Volume]]</f>
        <v>0</v>
      </c>
      <c r="AG55" s="3">
        <f>Table1[[#This Row],[Nozzle Mass]]/Table1[[#This Row],[Volume]]</f>
        <v>0</v>
      </c>
      <c r="AH55" s="3">
        <f>Table1[[#This Row],[Nozzle Mass]]/Table1[[#This Row],[Diameter]]</f>
        <v>0</v>
      </c>
      <c r="AI55" s="3">
        <f>Table1[[#This Row],[Additional Mass]]/Table1[[#This Row],[Volume]]</f>
        <v>0</v>
      </c>
      <c r="AJ55" s="3">
        <f>Table1[[#This Row],[Igniter Mass]]/Table1[[#This Row],[Volume]]</f>
        <v>0</v>
      </c>
      <c r="AK55" s="3">
        <f>Table1[[#This Row],[Dry Mass]]/Table1[[#This Row],[Volume]]</f>
        <v>0.4543031877514897</v>
      </c>
      <c r="AL55" s="3">
        <f>Table1[[#This Row],[Avg Thrust]]/Table1[[#This Row],[Volume]]</f>
        <v>1.4188958472772999</v>
      </c>
      <c r="AM55" s="3"/>
    </row>
    <row r="56" spans="1:39" x14ac:dyDescent="0.25">
      <c r="A56" s="1" t="s">
        <v>216</v>
      </c>
      <c r="B56" s="1" t="s">
        <v>104</v>
      </c>
      <c r="C56" s="1" t="s">
        <v>213</v>
      </c>
      <c r="G56" s="1">
        <v>2.2605999999999997</v>
      </c>
      <c r="H56" s="1">
        <v>0.3175</v>
      </c>
      <c r="I56" s="1">
        <v>152.40691200000001</v>
      </c>
      <c r="J56" s="1" t="s">
        <v>14</v>
      </c>
      <c r="K56" s="1">
        <v>3.7</v>
      </c>
      <c r="L56" s="1">
        <v>100.974594</v>
      </c>
      <c r="N56" s="1" t="s">
        <v>17</v>
      </c>
      <c r="V56" s="1" t="s">
        <v>48</v>
      </c>
      <c r="Y56" s="3"/>
      <c r="AE56" s="3">
        <f>(PI()*(Table1[[#This Row],[Diameter]]/2)^2*Table1[[#This Row],[Length]])*1000</f>
        <v>178.97858238246926</v>
      </c>
      <c r="AF56" s="3">
        <f>Table1[[#This Row],[Case Mass]]/Table1[[#This Row],[Volume]]</f>
        <v>0</v>
      </c>
      <c r="AG56" s="3">
        <f>Table1[[#This Row],[Nozzle Mass]]/Table1[[#This Row],[Volume]]</f>
        <v>0</v>
      </c>
      <c r="AH56" s="3">
        <f>Table1[[#This Row],[Nozzle Mass]]/Table1[[#This Row],[Diameter]]</f>
        <v>0</v>
      </c>
      <c r="AI56" s="3">
        <f>Table1[[#This Row],[Additional Mass]]/Table1[[#This Row],[Volume]]</f>
        <v>0</v>
      </c>
      <c r="AJ56" s="3">
        <f>Table1[[#This Row],[Igniter Mass]]/Table1[[#This Row],[Volume]]</f>
        <v>0</v>
      </c>
      <c r="AK56" s="3">
        <f>Table1[[#This Row],[Dry Mass]]/Table1[[#This Row],[Volume]]</f>
        <v>0</v>
      </c>
      <c r="AL56" s="3">
        <f>Table1[[#This Row],[Avg Thrust]]/Table1[[#This Row],[Volume]]</f>
        <v>0.56417138104391618</v>
      </c>
      <c r="AM56" s="3"/>
    </row>
    <row r="57" spans="1:39" x14ac:dyDescent="0.25">
      <c r="A57" s="1" t="s">
        <v>215</v>
      </c>
      <c r="B57" s="1" t="s">
        <v>104</v>
      </c>
      <c r="C57" s="1" t="s">
        <v>217</v>
      </c>
      <c r="I57" s="1">
        <v>26.671209599999997</v>
      </c>
      <c r="J57" s="1" t="s">
        <v>14</v>
      </c>
      <c r="K57" s="1">
        <v>3.8</v>
      </c>
      <c r="L57" s="1">
        <v>1537.67688</v>
      </c>
      <c r="N57" s="1" t="s">
        <v>218</v>
      </c>
      <c r="V57" s="1" t="s">
        <v>48</v>
      </c>
      <c r="Y57" s="3"/>
      <c r="AE57" s="3">
        <f>(PI()*(Table1[[#This Row],[Diameter]]/2)^2*Table1[[#This Row],[Length]])*1000</f>
        <v>0</v>
      </c>
      <c r="AF57" s="3" t="e">
        <f>Table1[[#This Row],[Case Mass]]/Table1[[#This Row],[Volume]]</f>
        <v>#DIV/0!</v>
      </c>
      <c r="AG57" s="3" t="e">
        <f>Table1[[#This Row],[Nozzle Mass]]/Table1[[#This Row],[Volume]]</f>
        <v>#DIV/0!</v>
      </c>
      <c r="AH57" s="3" t="e">
        <f>Table1[[#This Row],[Nozzle Mass]]/Table1[[#This Row],[Diameter]]</f>
        <v>#DIV/0!</v>
      </c>
      <c r="AI57" s="3" t="e">
        <f>Table1[[#This Row],[Additional Mass]]/Table1[[#This Row],[Volume]]</f>
        <v>#DIV/0!</v>
      </c>
      <c r="AJ57" s="3" t="e">
        <f>Table1[[#This Row],[Igniter Mass]]/Table1[[#This Row],[Volume]]</f>
        <v>#DIV/0!</v>
      </c>
      <c r="AK57" s="3" t="e">
        <f>Table1[[#This Row],[Dry Mass]]/Table1[[#This Row],[Volume]]</f>
        <v>#DIV/0!</v>
      </c>
      <c r="AL57" s="3" t="e">
        <f>Table1[[#This Row],[Avg Thrust]]/Table1[[#This Row],[Volume]]</f>
        <v>#DIV/0!</v>
      </c>
      <c r="AM57" s="3"/>
    </row>
    <row r="58" spans="1:39" x14ac:dyDescent="0.25">
      <c r="A58" s="1" t="s">
        <v>228</v>
      </c>
      <c r="B58" s="1" t="s">
        <v>34</v>
      </c>
      <c r="C58" s="1" t="s">
        <v>230</v>
      </c>
      <c r="F58" s="1">
        <v>3600</v>
      </c>
      <c r="G58" s="1">
        <v>8.4</v>
      </c>
      <c r="H58" s="1">
        <v>2.34</v>
      </c>
      <c r="I58" s="1">
        <v>45400</v>
      </c>
      <c r="K58" s="1">
        <v>56.5</v>
      </c>
      <c r="L58" s="1">
        <v>2224</v>
      </c>
      <c r="M58" s="1" t="s">
        <v>231</v>
      </c>
      <c r="V58" s="1" t="s">
        <v>47</v>
      </c>
      <c r="Y58" s="3"/>
      <c r="AE58" s="3">
        <f>(PI()*(Table1[[#This Row],[Diameter]]/2)^2*Table1[[#This Row],[Length]])*1000</f>
        <v>36124.41994139216</v>
      </c>
      <c r="AF58" s="3">
        <f>Table1[[#This Row],[Case Mass]]/Table1[[#This Row],[Volume]]</f>
        <v>0</v>
      </c>
      <c r="AG58" s="3">
        <f>Table1[[#This Row],[Nozzle Mass]]/Table1[[#This Row],[Volume]]</f>
        <v>0</v>
      </c>
      <c r="AH58" s="3">
        <f>Table1[[#This Row],[Nozzle Mass]]/Table1[[#This Row],[Diameter]]</f>
        <v>0</v>
      </c>
      <c r="AI58" s="3">
        <f>Table1[[#This Row],[Additional Mass]]/Table1[[#This Row],[Volume]]</f>
        <v>0</v>
      </c>
      <c r="AJ58" s="3">
        <f>Table1[[#This Row],[Igniter Mass]]/Table1[[#This Row],[Volume]]</f>
        <v>0</v>
      </c>
      <c r="AK58" s="3">
        <f>Table1[[#This Row],[Dry Mass]]/Table1[[#This Row],[Volume]]</f>
        <v>9.9655579406966205E-2</v>
      </c>
      <c r="AL58" s="3">
        <f>Table1[[#This Row],[Avg Thrust]]/Table1[[#This Row],[Volume]]</f>
        <v>6.1565002389192457E-2</v>
      </c>
      <c r="AM58" s="3"/>
    </row>
    <row r="59" spans="1:39" x14ac:dyDescent="0.25">
      <c r="A59" s="1" t="s">
        <v>232</v>
      </c>
      <c r="B59" s="1" t="s">
        <v>34</v>
      </c>
      <c r="C59" s="1" t="s">
        <v>230</v>
      </c>
      <c r="F59" s="1">
        <v>3200</v>
      </c>
      <c r="G59" s="1">
        <v>7.9</v>
      </c>
      <c r="H59" s="1">
        <v>2.34</v>
      </c>
      <c r="I59" s="1">
        <v>24500</v>
      </c>
      <c r="K59" s="1">
        <v>61</v>
      </c>
      <c r="L59" s="1">
        <v>1223</v>
      </c>
      <c r="M59" s="1">
        <v>308</v>
      </c>
      <c r="V59" s="1" t="s">
        <v>47</v>
      </c>
      <c r="Y59" s="3"/>
      <c r="AE59" s="3">
        <f>(PI()*(Table1[[#This Row],[Diameter]]/2)^2*Table1[[#This Row],[Length]])*1000</f>
        <v>33974.156849642633</v>
      </c>
      <c r="AF59" s="3">
        <f>Table1[[#This Row],[Case Mass]]/Table1[[#This Row],[Volume]]</f>
        <v>0</v>
      </c>
      <c r="AG59" s="3">
        <f>Table1[[#This Row],[Nozzle Mass]]/Table1[[#This Row],[Volume]]</f>
        <v>0</v>
      </c>
      <c r="AH59" s="3">
        <f>Table1[[#This Row],[Nozzle Mass]]/Table1[[#This Row],[Diameter]]</f>
        <v>0</v>
      </c>
      <c r="AI59" s="3">
        <f>Table1[[#This Row],[Additional Mass]]/Table1[[#This Row],[Volume]]</f>
        <v>0</v>
      </c>
      <c r="AJ59" s="3">
        <f>Table1[[#This Row],[Igniter Mass]]/Table1[[#This Row],[Volume]]</f>
        <v>0</v>
      </c>
      <c r="AK59" s="3">
        <f>Table1[[#This Row],[Dry Mass]]/Table1[[#This Row],[Volume]]</f>
        <v>9.4189239608271844E-2</v>
      </c>
      <c r="AL59" s="3">
        <f>Table1[[#This Row],[Avg Thrust]]/Table1[[#This Row],[Volume]]</f>
        <v>3.5997950012786391E-2</v>
      </c>
      <c r="AM59" s="3"/>
    </row>
    <row r="60" spans="1:39" x14ac:dyDescent="0.25">
      <c r="A60" s="1" t="s">
        <v>233</v>
      </c>
      <c r="B60" s="1" t="s">
        <v>88</v>
      </c>
      <c r="C60" s="1" t="s">
        <v>230</v>
      </c>
      <c r="F60" s="1">
        <v>650</v>
      </c>
      <c r="G60" s="1">
        <v>2.44</v>
      </c>
      <c r="H60" s="1">
        <v>2.34</v>
      </c>
      <c r="I60" s="1">
        <v>7080</v>
      </c>
      <c r="J60" s="1" t="s">
        <v>234</v>
      </c>
      <c r="K60" s="1">
        <v>72</v>
      </c>
      <c r="L60" s="1">
        <v>289</v>
      </c>
      <c r="M60" s="1">
        <v>300</v>
      </c>
      <c r="V60" s="1" t="s">
        <v>47</v>
      </c>
      <c r="Y60" s="3"/>
      <c r="AE60" s="3">
        <f>(PI()*(Table1[[#This Row],[Diameter]]/2)^2*Table1[[#This Row],[Length]])*1000</f>
        <v>10493.283887737723</v>
      </c>
      <c r="AF60" s="3">
        <f>Table1[[#This Row],[Case Mass]]/Table1[[#This Row],[Volume]]</f>
        <v>0</v>
      </c>
      <c r="AG60" s="3">
        <f>Table1[[#This Row],[Nozzle Mass]]/Table1[[#This Row],[Volume]]</f>
        <v>0</v>
      </c>
      <c r="AH60" s="3">
        <f>Table1[[#This Row],[Nozzle Mass]]/Table1[[#This Row],[Diameter]]</f>
        <v>0</v>
      </c>
      <c r="AI60" s="3">
        <f>Table1[[#This Row],[Additional Mass]]/Table1[[#This Row],[Volume]]</f>
        <v>0</v>
      </c>
      <c r="AJ60" s="3">
        <f>Table1[[#This Row],[Igniter Mass]]/Table1[[#This Row],[Volume]]</f>
        <v>0</v>
      </c>
      <c r="AK60" s="3">
        <f>Table1[[#This Row],[Dry Mass]]/Table1[[#This Row],[Volume]]</f>
        <v>6.1944383374548662E-2</v>
      </c>
      <c r="AL60" s="3">
        <f>Table1[[#This Row],[Avg Thrust]]/Table1[[#This Row],[Volume]]</f>
        <v>2.7541425838837789E-2</v>
      </c>
      <c r="AM60" s="3"/>
    </row>
    <row r="61" spans="1:39" x14ac:dyDescent="0.25">
      <c r="A61" s="1" t="s">
        <v>226</v>
      </c>
      <c r="B61" s="1" t="s">
        <v>34</v>
      </c>
      <c r="C61" s="1" t="s">
        <v>223</v>
      </c>
      <c r="F61" s="1">
        <v>795</v>
      </c>
      <c r="G61" s="1">
        <v>4.12</v>
      </c>
      <c r="H61" s="1">
        <v>1.33</v>
      </c>
      <c r="I61" s="1">
        <v>6237</v>
      </c>
      <c r="J61" s="1" t="s">
        <v>227</v>
      </c>
      <c r="K61" s="1">
        <v>66</v>
      </c>
      <c r="L61" s="1">
        <v>267.7</v>
      </c>
      <c r="M61" s="1">
        <v>288</v>
      </c>
      <c r="V61" s="1" t="s">
        <v>47</v>
      </c>
      <c r="Y61" s="3"/>
      <c r="AE61" s="3">
        <f>(PI()*(Table1[[#This Row],[Diameter]]/2)^2*Table1[[#This Row],[Length]])*1000</f>
        <v>5723.8781422830352</v>
      </c>
      <c r="AF61" s="3">
        <f>Table1[[#This Row],[Case Mass]]/Table1[[#This Row],[Volume]]</f>
        <v>0</v>
      </c>
      <c r="AG61" s="3">
        <f>Table1[[#This Row],[Nozzle Mass]]/Table1[[#This Row],[Volume]]</f>
        <v>0</v>
      </c>
      <c r="AH61" s="3">
        <f>Table1[[#This Row],[Nozzle Mass]]/Table1[[#This Row],[Diameter]]</f>
        <v>0</v>
      </c>
      <c r="AI61" s="3">
        <f>Table1[[#This Row],[Additional Mass]]/Table1[[#This Row],[Volume]]</f>
        <v>0</v>
      </c>
      <c r="AJ61" s="3">
        <f>Table1[[#This Row],[Igniter Mass]]/Table1[[#This Row],[Volume]]</f>
        <v>0</v>
      </c>
      <c r="AK61" s="3">
        <f>Table1[[#This Row],[Dry Mass]]/Table1[[#This Row],[Volume]]</f>
        <v>0.13889184574479865</v>
      </c>
      <c r="AL61" s="3">
        <f>Table1[[#This Row],[Avg Thrust]]/Table1[[#This Row],[Volume]]</f>
        <v>4.6768990070292574E-2</v>
      </c>
      <c r="AM61" s="3"/>
    </row>
    <row r="62" spans="1:39" x14ac:dyDescent="0.25">
      <c r="A62" s="1" t="s">
        <v>64</v>
      </c>
      <c r="B62" s="1" t="s">
        <v>72</v>
      </c>
      <c r="C62" s="1" t="s">
        <v>85</v>
      </c>
      <c r="F62" s="1">
        <v>36564.504712000002</v>
      </c>
      <c r="G62" s="1">
        <v>34.264600000000002</v>
      </c>
      <c r="H62" s="1">
        <v>3.2003999999999997</v>
      </c>
      <c r="I62" s="1">
        <v>315440.123784</v>
      </c>
      <c r="J62" s="1" t="s">
        <v>87</v>
      </c>
      <c r="K62" s="1">
        <v>135.69999999999999</v>
      </c>
      <c r="L62" s="1">
        <v>6407.6698064399998</v>
      </c>
      <c r="M62" s="1">
        <v>281.087919</v>
      </c>
      <c r="Q62" s="1">
        <v>3.2664399999999998</v>
      </c>
      <c r="S62" s="1">
        <v>15.7</v>
      </c>
      <c r="T62" s="1">
        <v>859.5</v>
      </c>
      <c r="V62" s="1" t="s">
        <v>47</v>
      </c>
      <c r="Y62" s="1">
        <v>15909.7394</v>
      </c>
      <c r="Z62" s="1">
        <v>6670.5239519999996</v>
      </c>
      <c r="AA62" s="1">
        <v>13984.24136</v>
      </c>
      <c r="AC62" s="1">
        <v>0.89</v>
      </c>
      <c r="AE62" s="1">
        <f>(PI()*(Table1[[#This Row],[Diameter]]/2)^2*Table1[[#This Row],[Length]])*1000</f>
        <v>275641.16140559869</v>
      </c>
      <c r="AF62" s="1">
        <f>Table1[[#This Row],[Case Mass]]/Table1[[#This Row],[Volume]]</f>
        <v>5.7719026138441057E-2</v>
      </c>
      <c r="AG62" s="1">
        <f>Table1[[#This Row],[Nozzle Mass]]/Table1[[#This Row],[Volume]]</f>
        <v>2.4200028464487929E-2</v>
      </c>
      <c r="AH62" s="1">
        <f>Table1[[#This Row],[Nozzle Mass]]/Table1[[#This Row],[Diameter]]</f>
        <v>2084.2782002249719</v>
      </c>
      <c r="AI62" s="3">
        <f>Table1[[#This Row],[Additional Mass]]/Table1[[#This Row],[Volume]]</f>
        <v>5.0733501806076629E-2</v>
      </c>
      <c r="AJ62" s="3">
        <f>Table1[[#This Row],[Igniter Mass]]/Table1[[#This Row],[Volume]]</f>
        <v>0</v>
      </c>
      <c r="AK62" s="3">
        <f>Table1[[#This Row],[Dry Mass]]/Table1[[#This Row],[Volume]]</f>
        <v>0.13265255640900561</v>
      </c>
      <c r="AL62" s="3">
        <f>Table1[[#This Row],[Avg Thrust]]/Table1[[#This Row],[Volume]]</f>
        <v>2.3246418545636888E-2</v>
      </c>
      <c r="AM62" s="3"/>
    </row>
    <row r="63" spans="1:39" x14ac:dyDescent="0.25">
      <c r="A63" s="1" t="s">
        <v>118</v>
      </c>
      <c r="B63" s="1" t="s">
        <v>88</v>
      </c>
      <c r="C63" s="1" t="s">
        <v>101</v>
      </c>
      <c r="D63" s="1">
        <v>1995</v>
      </c>
      <c r="E63" s="1">
        <v>8.8074756000000001</v>
      </c>
      <c r="F63" s="1">
        <v>8.7089663999999996</v>
      </c>
      <c r="G63" s="1">
        <v>0.57150000000000001</v>
      </c>
      <c r="H63" s="1">
        <v>0.31089600000000001</v>
      </c>
      <c r="I63" s="1">
        <v>32.930779199999996</v>
      </c>
      <c r="J63" s="1" t="s">
        <v>141</v>
      </c>
      <c r="K63" s="1">
        <v>14.8</v>
      </c>
      <c r="L63" s="1">
        <v>6.4721601</v>
      </c>
      <c r="M63" s="1">
        <v>284.7</v>
      </c>
      <c r="N63" s="1" t="s">
        <v>99</v>
      </c>
      <c r="P63" s="1">
        <v>1.7551399999999998E-2</v>
      </c>
      <c r="Q63" s="1">
        <v>0.133604</v>
      </c>
      <c r="S63" s="1">
        <v>58.1</v>
      </c>
      <c r="T63" s="1">
        <v>1550</v>
      </c>
      <c r="U63" s="1">
        <v>1950</v>
      </c>
      <c r="V63" s="1" t="s">
        <v>47</v>
      </c>
      <c r="Y63" s="1">
        <v>6.4863656000000001</v>
      </c>
      <c r="Z63" s="1">
        <v>2.0411640000000002</v>
      </c>
      <c r="AA63" s="1">
        <v>0.18143680000000001</v>
      </c>
      <c r="AC63" s="1">
        <v>0.79</v>
      </c>
      <c r="AE63" s="1">
        <f>(PI()*(Table1[[#This Row],[Diameter]]/2)^2*Table1[[#This Row],[Length]])*1000</f>
        <v>43.384678647279905</v>
      </c>
      <c r="AF63" s="1">
        <f>Table1[[#This Row],[Case Mass]]/Table1[[#This Row],[Volume]]</f>
        <v>0.14950820894017794</v>
      </c>
      <c r="AG63" s="1">
        <f>Table1[[#This Row],[Nozzle Mass]]/Table1[[#This Row],[Volume]]</f>
        <v>4.7048037778377676E-2</v>
      </c>
      <c r="AH63" s="1">
        <f>Table1[[#This Row],[Nozzle Mass]]/Table1[[#This Row],[Diameter]]</f>
        <v>6.5654238073182034</v>
      </c>
      <c r="AI63" s="3">
        <f>Table1[[#This Row],[Additional Mass]]/Table1[[#This Row],[Volume]]</f>
        <v>4.1820478025224594E-3</v>
      </c>
      <c r="AJ63" s="3">
        <f>Table1[[#This Row],[Igniter Mass]]/Table1[[#This Row],[Volume]]</f>
        <v>0</v>
      </c>
      <c r="AK63" s="3">
        <f>Table1[[#This Row],[Dry Mass]]/Table1[[#This Row],[Volume]]</f>
        <v>0.20073829452107805</v>
      </c>
      <c r="AL63" s="3">
        <f>Table1[[#This Row],[Avg Thrust]]/Table1[[#This Row],[Volume]]</f>
        <v>0.14918077768004365</v>
      </c>
      <c r="AM63" s="3"/>
    </row>
    <row r="64" spans="1:39" x14ac:dyDescent="0.25">
      <c r="A64" s="1" t="s">
        <v>119</v>
      </c>
      <c r="B64" s="1" t="s">
        <v>88</v>
      </c>
      <c r="C64" s="1" t="s">
        <v>101</v>
      </c>
      <c r="D64" s="1">
        <v>1984</v>
      </c>
      <c r="E64" s="1">
        <v>9.6081552000000006</v>
      </c>
      <c r="F64" s="1">
        <v>5.5791816000000001</v>
      </c>
      <c r="G64" s="1">
        <v>0.63779399999999997</v>
      </c>
      <c r="H64" s="1">
        <v>0.34467799999999998</v>
      </c>
      <c r="I64" s="1">
        <v>41.231512800000004</v>
      </c>
      <c r="J64" s="1" t="s">
        <v>123</v>
      </c>
      <c r="K64" s="1">
        <v>16.100000000000001</v>
      </c>
      <c r="L64" s="1">
        <v>7.5975597600000002</v>
      </c>
      <c r="M64" s="1">
        <v>286.60000000000002</v>
      </c>
      <c r="N64" s="1" t="s">
        <v>93</v>
      </c>
      <c r="P64" s="1">
        <v>3.0479999999999997E-2</v>
      </c>
      <c r="Q64" s="1">
        <v>0.20370799999999997</v>
      </c>
      <c r="S64" s="1">
        <v>49.8</v>
      </c>
      <c r="T64" s="1">
        <v>823</v>
      </c>
      <c r="U64" s="1">
        <v>935</v>
      </c>
      <c r="V64" s="1" t="s">
        <v>48</v>
      </c>
      <c r="Y64" s="1">
        <v>2.5401151999999998</v>
      </c>
      <c r="Z64" s="1">
        <v>1.6782904000000001</v>
      </c>
      <c r="AA64" s="1">
        <v>1.360776</v>
      </c>
      <c r="AC64" s="1">
        <v>0.88</v>
      </c>
      <c r="AE64" s="1">
        <f>(PI()*(Table1[[#This Row],[Diameter]]/2)^2*Table1[[#This Row],[Length]])*1000</f>
        <v>59.511026201965649</v>
      </c>
      <c r="AF64" s="1">
        <f>Table1[[#This Row],[Case Mass]]/Table1[[#This Row],[Volume]]</f>
        <v>4.2683101974741275E-2</v>
      </c>
      <c r="AG64" s="1">
        <f>Table1[[#This Row],[Nozzle Mass]]/Table1[[#This Row],[Volume]]</f>
        <v>2.8201335233311205E-2</v>
      </c>
      <c r="AH64" s="1">
        <f>Table1[[#This Row],[Nozzle Mass]]/Table1[[#This Row],[Diameter]]</f>
        <v>4.8691543991783641</v>
      </c>
      <c r="AI64" s="3">
        <f>Table1[[#This Row],[Additional Mass]]/Table1[[#This Row],[Volume]]</f>
        <v>2.2865947486468544E-2</v>
      </c>
      <c r="AJ64" s="3">
        <f>Table1[[#This Row],[Igniter Mass]]/Table1[[#This Row],[Volume]]</f>
        <v>0</v>
      </c>
      <c r="AK64" s="3">
        <f>Table1[[#This Row],[Dry Mass]]/Table1[[#This Row],[Volume]]</f>
        <v>9.375038469452103E-2</v>
      </c>
      <c r="AL64" s="3">
        <f>Table1[[#This Row],[Avg Thrust]]/Table1[[#This Row],[Volume]]</f>
        <v>0.12766642158405686</v>
      </c>
      <c r="AM64" s="3"/>
    </row>
    <row r="65" spans="1:39" x14ac:dyDescent="0.25">
      <c r="A65" s="1" t="s">
        <v>120</v>
      </c>
      <c r="B65" s="1" t="s">
        <v>88</v>
      </c>
      <c r="C65" s="1" t="s">
        <v>101</v>
      </c>
      <c r="D65" s="1">
        <v>1967</v>
      </c>
      <c r="E65" s="1">
        <v>12.3438105</v>
      </c>
      <c r="F65" s="1">
        <v>8.5275295999999994</v>
      </c>
      <c r="G65" s="1">
        <v>0.68732399999999994</v>
      </c>
      <c r="H65" s="1">
        <v>0.44195999999999996</v>
      </c>
      <c r="I65" s="1">
        <v>69.626372000000003</v>
      </c>
      <c r="J65" s="1" t="s">
        <v>123</v>
      </c>
      <c r="K65" s="1">
        <v>18.600000000000001</v>
      </c>
      <c r="L65" s="1">
        <v>10.9426212</v>
      </c>
      <c r="M65" s="1">
        <v>290</v>
      </c>
      <c r="N65" s="1" t="s">
        <v>93</v>
      </c>
      <c r="P65" s="1">
        <v>3.4848799999999999E-2</v>
      </c>
      <c r="Q65" s="1">
        <v>0.27152599999999999</v>
      </c>
      <c r="S65" s="1">
        <v>60.7</v>
      </c>
      <c r="T65" s="1">
        <v>803</v>
      </c>
      <c r="U65" s="1">
        <v>1000</v>
      </c>
      <c r="V65" s="1" t="s">
        <v>48</v>
      </c>
      <c r="Y65" s="1">
        <v>3.9916096000000003</v>
      </c>
      <c r="Z65" s="1">
        <v>3.175144</v>
      </c>
      <c r="AA65" s="1">
        <v>1.360776</v>
      </c>
      <c r="AC65" s="1">
        <v>0.88</v>
      </c>
      <c r="AE65" s="1">
        <f>(PI()*(Table1[[#This Row],[Diameter]]/2)^2*Table1[[#This Row],[Length]])*1000</f>
        <v>105.44289471232499</v>
      </c>
      <c r="AF65" s="1">
        <f>Table1[[#This Row],[Case Mass]]/Table1[[#This Row],[Volume]]</f>
        <v>3.7855652681862785E-2</v>
      </c>
      <c r="AG65" s="1">
        <f>Table1[[#This Row],[Nozzle Mass]]/Table1[[#This Row],[Volume]]</f>
        <v>3.01124509969363E-2</v>
      </c>
      <c r="AH65" s="1">
        <f>Table1[[#This Row],[Nozzle Mass]]/Table1[[#This Row],[Diameter]]</f>
        <v>7.1842338673183095</v>
      </c>
      <c r="AI65" s="3">
        <f>Table1[[#This Row],[Additional Mass]]/Table1[[#This Row],[Volume]]</f>
        <v>1.2905336141544129E-2</v>
      </c>
      <c r="AJ65" s="3">
        <f>Table1[[#This Row],[Igniter Mass]]/Table1[[#This Row],[Volume]]</f>
        <v>0</v>
      </c>
      <c r="AK65" s="3">
        <f>Table1[[#This Row],[Dry Mass]]/Table1[[#This Row],[Volume]]</f>
        <v>8.0873439820343201E-2</v>
      </c>
      <c r="AL65" s="3">
        <f>Table1[[#This Row],[Avg Thrust]]/Table1[[#This Row],[Volume]]</f>
        <v>0.10377770099971412</v>
      </c>
      <c r="AM65" s="3"/>
    </row>
    <row r="66" spans="1:39" x14ac:dyDescent="0.25">
      <c r="A66" s="1" t="s">
        <v>121</v>
      </c>
      <c r="B66" s="1" t="s">
        <v>88</v>
      </c>
      <c r="C66" s="1" t="s">
        <v>101</v>
      </c>
      <c r="D66" s="1">
        <v>1969</v>
      </c>
      <c r="E66" s="1">
        <v>17.348058000000002</v>
      </c>
      <c r="F66" s="1">
        <v>12.020187999999999</v>
      </c>
      <c r="G66" s="1">
        <v>0.981456</v>
      </c>
      <c r="H66" s="1">
        <v>0.44195999999999996</v>
      </c>
      <c r="I66" s="1">
        <v>112.26402</v>
      </c>
      <c r="J66" s="1" t="s">
        <v>123</v>
      </c>
      <c r="K66" s="1">
        <v>20.6</v>
      </c>
      <c r="L66" s="1">
        <v>16.013591999999999</v>
      </c>
      <c r="M66" s="1">
        <v>290.10000000000002</v>
      </c>
      <c r="N66" s="1" t="s">
        <v>93</v>
      </c>
      <c r="P66" s="1">
        <v>4.7853599999999996E-2</v>
      </c>
      <c r="Q66" s="1">
        <v>0.34925</v>
      </c>
      <c r="S66" s="1">
        <v>53.2</v>
      </c>
      <c r="T66" s="1">
        <v>670</v>
      </c>
      <c r="U66" s="1">
        <v>700</v>
      </c>
      <c r="V66" s="1" t="s">
        <v>48</v>
      </c>
      <c r="Y66" s="1">
        <v>5.9420551999999995</v>
      </c>
      <c r="Z66" s="1">
        <v>4.6719976000000001</v>
      </c>
      <c r="AA66" s="1">
        <v>1.4061352</v>
      </c>
      <c r="AC66" s="1">
        <v>0.89</v>
      </c>
      <c r="AE66" s="1">
        <f>(PI()*(Table1[[#This Row],[Diameter]]/2)^2*Table1[[#This Row],[Length]])*1000</f>
        <v>150.56590730540421</v>
      </c>
      <c r="AF66" s="1">
        <f>Table1[[#This Row],[Case Mass]]/Table1[[#This Row],[Volume]]</f>
        <v>3.9464811831188849E-2</v>
      </c>
      <c r="AG66" s="1">
        <f>Table1[[#This Row],[Nozzle Mass]]/Table1[[#This Row],[Volume]]</f>
        <v>3.1029584874904211E-2</v>
      </c>
      <c r="AH66" s="1">
        <f>Table1[[#This Row],[Nozzle Mass]]/Table1[[#This Row],[Diameter]]</f>
        <v>10.571086976196941</v>
      </c>
      <c r="AI66" s="3">
        <f>Table1[[#This Row],[Additional Mass]]/Table1[[#This Row],[Volume]]</f>
        <v>9.3390012730294233E-3</v>
      </c>
      <c r="AJ66" s="3">
        <f>Table1[[#This Row],[Igniter Mass]]/Table1[[#This Row],[Volume]]</f>
        <v>0</v>
      </c>
      <c r="AK66" s="3">
        <f>Table1[[#This Row],[Dry Mass]]/Table1[[#This Row],[Volume]]</f>
        <v>7.9833397979122478E-2</v>
      </c>
      <c r="AL66" s="3">
        <f>Table1[[#This Row],[Avg Thrust]]/Table1[[#This Row],[Volume]]</f>
        <v>0.10635602897486228</v>
      </c>
      <c r="AM66" s="3"/>
    </row>
    <row r="67" spans="1:39" x14ac:dyDescent="0.25">
      <c r="A67" s="1" t="s">
        <v>122</v>
      </c>
      <c r="B67" s="1" t="s">
        <v>88</v>
      </c>
      <c r="C67" s="1" t="s">
        <v>18</v>
      </c>
      <c r="D67" s="1">
        <v>1974</v>
      </c>
      <c r="E67" s="1">
        <v>29.892038400000001</v>
      </c>
      <c r="F67" s="1">
        <v>26.580491200000001</v>
      </c>
      <c r="G67" s="1">
        <v>1.4859</v>
      </c>
      <c r="H67" s="1">
        <v>0.50037999999999994</v>
      </c>
      <c r="I67" s="1">
        <v>272.88094719999998</v>
      </c>
      <c r="J67" s="1" t="s">
        <v>123</v>
      </c>
      <c r="K67" s="1">
        <v>31.5</v>
      </c>
      <c r="L67" s="1">
        <v>24.465209999999999</v>
      </c>
      <c r="M67" s="1">
        <v>288.5</v>
      </c>
      <c r="N67" s="1" t="s">
        <v>124</v>
      </c>
      <c r="P67" s="1">
        <v>5.8419999999999993E-2</v>
      </c>
      <c r="Q67" s="1">
        <v>0.41909999999999997</v>
      </c>
      <c r="S67" s="1">
        <v>50.2</v>
      </c>
      <c r="T67" s="1">
        <v>654</v>
      </c>
      <c r="U67" s="1">
        <v>807</v>
      </c>
      <c r="V67" s="1" t="s">
        <v>48</v>
      </c>
      <c r="Y67" s="1">
        <v>11.0222856</v>
      </c>
      <c r="Z67" s="1">
        <v>5.6699000000000002</v>
      </c>
      <c r="AA67" s="1">
        <v>9.8883056000000007</v>
      </c>
      <c r="AC67" s="1">
        <v>0.91</v>
      </c>
      <c r="AE67" s="1">
        <f>(PI()*(Table1[[#This Row],[Diameter]]/2)^2*Table1[[#This Row],[Length]])*1000</f>
        <v>292.19942005598421</v>
      </c>
      <c r="AF67" s="1">
        <f>Table1[[#This Row],[Case Mass]]/Table1[[#This Row],[Volume]]</f>
        <v>3.7721791500777709E-2</v>
      </c>
      <c r="AG67" s="1">
        <f>Table1[[#This Row],[Nozzle Mass]]/Table1[[#This Row],[Volume]]</f>
        <v>1.9404213734967958E-2</v>
      </c>
      <c r="AH67" s="1">
        <f>Table1[[#This Row],[Nozzle Mass]]/Table1[[#This Row],[Diameter]]</f>
        <v>11.331188296894362</v>
      </c>
      <c r="AI67" s="3">
        <f>Table1[[#This Row],[Additional Mass]]/Table1[[#This Row],[Volume]]</f>
        <v>3.3840948753784121E-2</v>
      </c>
      <c r="AJ67" s="3">
        <f>Table1[[#This Row],[Igniter Mass]]/Table1[[#This Row],[Volume]]</f>
        <v>0</v>
      </c>
      <c r="AK67" s="3">
        <f>Table1[[#This Row],[Dry Mass]]/Table1[[#This Row],[Volume]]</f>
        <v>9.0966953989529781E-2</v>
      </c>
      <c r="AL67" s="3">
        <f>Table1[[#This Row],[Avg Thrust]]/Table1[[#This Row],[Volume]]</f>
        <v>8.372778424855383E-2</v>
      </c>
      <c r="AM67" s="3"/>
    </row>
    <row r="68" spans="1:39" x14ac:dyDescent="0.25">
      <c r="A68" s="1" t="s">
        <v>125</v>
      </c>
      <c r="B68" s="1" t="s">
        <v>88</v>
      </c>
      <c r="C68" s="1" t="s">
        <v>126</v>
      </c>
      <c r="D68" s="1">
        <v>1973</v>
      </c>
      <c r="E68" s="1">
        <v>19.6611324</v>
      </c>
      <c r="F68" s="1">
        <v>16.147875200000001</v>
      </c>
      <c r="G68" s="1">
        <v>1.0286999999999999</v>
      </c>
      <c r="H68" s="1">
        <v>0.62229999999999996</v>
      </c>
      <c r="I68" s="1">
        <v>199.85263520000001</v>
      </c>
      <c r="J68" s="1" t="s">
        <v>123</v>
      </c>
      <c r="K68" s="1">
        <v>31.1</v>
      </c>
      <c r="L68" s="1">
        <v>18.549077400000002</v>
      </c>
      <c r="M68" s="1">
        <v>286</v>
      </c>
      <c r="N68" s="1" t="s">
        <v>93</v>
      </c>
      <c r="P68" s="1">
        <v>6.1467999999999995E-2</v>
      </c>
      <c r="Q68" s="1">
        <v>0.37795200000000001</v>
      </c>
      <c r="S68" s="1">
        <v>37.799999999999997</v>
      </c>
      <c r="T68" s="1">
        <v>486</v>
      </c>
      <c r="U68" s="1">
        <v>524</v>
      </c>
      <c r="V68" s="1" t="s">
        <v>48</v>
      </c>
      <c r="Y68" s="1">
        <v>5.8966960000000004</v>
      </c>
      <c r="Z68" s="1">
        <v>5.9420551999999995</v>
      </c>
      <c r="AA68" s="1">
        <v>4.3091239999999997</v>
      </c>
      <c r="AC68" s="1">
        <v>0.92</v>
      </c>
      <c r="AE68" s="1">
        <f>(PI()*(Table1[[#This Row],[Diameter]]/2)^2*Table1[[#This Row],[Length]])*1000</f>
        <v>312.88030274449443</v>
      </c>
      <c r="AF68" s="1">
        <f>Table1[[#This Row],[Case Mass]]/Table1[[#This Row],[Volume]]</f>
        <v>1.8846491608055571E-2</v>
      </c>
      <c r="AG68" s="1">
        <f>Table1[[#This Row],[Nozzle Mass]]/Table1[[#This Row],[Volume]]</f>
        <v>1.8991464620425225E-2</v>
      </c>
      <c r="AH68" s="1">
        <f>Table1[[#This Row],[Nozzle Mass]]/Table1[[#This Row],[Diameter]]</f>
        <v>9.5485380041780488</v>
      </c>
      <c r="AI68" s="3">
        <f>Table1[[#This Row],[Additional Mass]]/Table1[[#This Row],[Volume]]</f>
        <v>1.3772436175117531E-2</v>
      </c>
      <c r="AJ68" s="3">
        <f>Table1[[#This Row],[Igniter Mass]]/Table1[[#This Row],[Volume]]</f>
        <v>0</v>
      </c>
      <c r="AK68" s="3">
        <f>Table1[[#This Row],[Dry Mass]]/Table1[[#This Row],[Volume]]</f>
        <v>5.1610392403598333E-2</v>
      </c>
      <c r="AL68" s="3">
        <f>Table1[[#This Row],[Avg Thrust]]/Table1[[#This Row],[Volume]]</f>
        <v>5.9284899807667421E-2</v>
      </c>
      <c r="AM68" s="3"/>
    </row>
    <row r="69" spans="1:39" x14ac:dyDescent="0.25">
      <c r="A69" s="1" t="s">
        <v>127</v>
      </c>
      <c r="B69" s="1" t="s">
        <v>88</v>
      </c>
      <c r="C69" s="1" t="s">
        <v>128</v>
      </c>
      <c r="D69" s="1">
        <v>1976</v>
      </c>
      <c r="E69" s="1">
        <v>21.351455999999999</v>
      </c>
      <c r="F69" s="1">
        <v>17.554010400000003</v>
      </c>
      <c r="G69" s="1">
        <v>1.0668</v>
      </c>
      <c r="H69" s="1">
        <v>0.62229999999999996</v>
      </c>
      <c r="I69" s="1">
        <v>219.53852799999999</v>
      </c>
      <c r="J69" s="1" t="s">
        <v>123</v>
      </c>
      <c r="K69" s="1">
        <v>29.6</v>
      </c>
      <c r="L69" s="1">
        <v>20.684222999999999</v>
      </c>
      <c r="M69" s="1">
        <v>285.10000000000002</v>
      </c>
      <c r="N69" s="1" t="s">
        <v>93</v>
      </c>
      <c r="P69" s="1">
        <v>6.2052200000000002E-2</v>
      </c>
      <c r="Q69" s="1">
        <v>0.37795200000000001</v>
      </c>
      <c r="S69" s="1">
        <v>37.1</v>
      </c>
      <c r="T69" s="1">
        <v>544</v>
      </c>
      <c r="U69" s="1">
        <v>598</v>
      </c>
      <c r="V69" s="1" t="s">
        <v>48</v>
      </c>
      <c r="Y69" s="1">
        <v>6.3956472</v>
      </c>
      <c r="Z69" s="1">
        <v>5.9420551999999995</v>
      </c>
      <c r="AA69" s="1">
        <v>5.2163079999999997</v>
      </c>
      <c r="AC69" s="1">
        <v>0.92</v>
      </c>
      <c r="AE69" s="1">
        <f>(PI()*(Table1[[#This Row],[Diameter]]/2)^2*Table1[[#This Row],[Length]])*1000</f>
        <v>324.46846210540167</v>
      </c>
      <c r="AF69" s="1">
        <f>Table1[[#This Row],[Case Mass]]/Table1[[#This Row],[Volume]]</f>
        <v>1.9711152074688886E-2</v>
      </c>
      <c r="AG69" s="1">
        <f>Table1[[#This Row],[Nozzle Mass]]/Table1[[#This Row],[Volume]]</f>
        <v>1.8313198026838607E-2</v>
      </c>
      <c r="AH69" s="1">
        <f>Table1[[#This Row],[Nozzle Mass]]/Table1[[#This Row],[Diameter]]</f>
        <v>9.5485380041780488</v>
      </c>
      <c r="AI69" s="3">
        <f>Table1[[#This Row],[Additional Mass]]/Table1[[#This Row],[Volume]]</f>
        <v>1.6076471550278169E-2</v>
      </c>
      <c r="AJ69" s="3">
        <f>Table1[[#This Row],[Igniter Mass]]/Table1[[#This Row],[Volume]]</f>
        <v>0</v>
      </c>
      <c r="AK69" s="3">
        <f>Table1[[#This Row],[Dry Mass]]/Table1[[#This Row],[Volume]]</f>
        <v>5.4100821651805672E-2</v>
      </c>
      <c r="AL69" s="3">
        <f>Table1[[#This Row],[Avg Thrust]]/Table1[[#This Row],[Volume]]</f>
        <v>6.3748023046014415E-2</v>
      </c>
      <c r="AM69" s="3"/>
    </row>
    <row r="70" spans="1:39" x14ac:dyDescent="0.25">
      <c r="A70" s="1" t="s">
        <v>129</v>
      </c>
      <c r="B70" s="1" t="s">
        <v>88</v>
      </c>
      <c r="C70" s="1" t="s">
        <v>130</v>
      </c>
      <c r="D70" s="1">
        <v>1964</v>
      </c>
      <c r="E70" s="1">
        <v>35.585760000000001</v>
      </c>
      <c r="F70" s="1">
        <v>37.648136000000001</v>
      </c>
      <c r="G70" s="1">
        <v>0.83819999999999995</v>
      </c>
      <c r="H70" s="1">
        <v>0.66039999999999999</v>
      </c>
      <c r="I70" s="1">
        <v>230.651532</v>
      </c>
      <c r="J70" s="1" t="s">
        <v>131</v>
      </c>
      <c r="K70" s="1">
        <v>19</v>
      </c>
      <c r="L70" s="1">
        <v>33.361650000000004</v>
      </c>
      <c r="M70" s="1">
        <v>272.39999999999998</v>
      </c>
      <c r="N70" s="1" t="s">
        <v>132</v>
      </c>
      <c r="P70" s="1">
        <v>7.7724000000000001E-2</v>
      </c>
      <c r="Q70" s="1">
        <v>0.3175</v>
      </c>
      <c r="S70" s="1">
        <v>16.7</v>
      </c>
      <c r="T70" s="1">
        <v>575</v>
      </c>
      <c r="U70" s="1">
        <v>650</v>
      </c>
      <c r="V70" s="1" t="s">
        <v>48</v>
      </c>
      <c r="Y70" s="1">
        <v>17.9622432</v>
      </c>
      <c r="Z70" s="1">
        <v>10.5686936</v>
      </c>
      <c r="AA70" s="1">
        <v>9.1171991999999999</v>
      </c>
      <c r="AC70" s="1">
        <v>0.86</v>
      </c>
      <c r="AE70" s="1">
        <f>(PI()*(Table1[[#This Row],[Diameter]]/2)^2*Table1[[#This Row],[Length]])*1000</f>
        <v>287.11221327015721</v>
      </c>
      <c r="AF70" s="1">
        <f>Table1[[#This Row],[Case Mass]]/Table1[[#This Row],[Volume]]</f>
        <v>6.2561752408277008E-2</v>
      </c>
      <c r="AG70" s="1">
        <f>Table1[[#This Row],[Nozzle Mass]]/Table1[[#This Row],[Volume]]</f>
        <v>3.681032401800137E-2</v>
      </c>
      <c r="AH70" s="1">
        <f>Table1[[#This Row],[Nozzle Mass]]/Table1[[#This Row],[Diameter]]</f>
        <v>16.003473046638401</v>
      </c>
      <c r="AI70" s="3">
        <f>Table1[[#This Row],[Additional Mass]]/Table1[[#This Row],[Volume]]</f>
        <v>3.1754828873898175E-2</v>
      </c>
      <c r="AJ70" s="3">
        <f>Table1[[#This Row],[Igniter Mass]]/Table1[[#This Row],[Volume]]</f>
        <v>0</v>
      </c>
      <c r="AK70" s="3">
        <f>Table1[[#This Row],[Dry Mass]]/Table1[[#This Row],[Volume]]</f>
        <v>0.13112690530017657</v>
      </c>
      <c r="AL70" s="3">
        <f>Table1[[#This Row],[Avg Thrust]]/Table1[[#This Row],[Volume]]</f>
        <v>0.11619725131166217</v>
      </c>
      <c r="AM70" s="3"/>
    </row>
    <row r="71" spans="1:39" x14ac:dyDescent="0.25">
      <c r="A71" s="1" t="s">
        <v>133</v>
      </c>
      <c r="B71" s="1" t="s">
        <v>88</v>
      </c>
      <c r="C71" s="1" t="s">
        <v>134</v>
      </c>
      <c r="D71" s="1">
        <v>1970</v>
      </c>
      <c r="E71" s="1">
        <v>38.926373220000002</v>
      </c>
      <c r="F71" s="1">
        <v>22.815677599999997</v>
      </c>
      <c r="G71" s="1">
        <v>0.84074000000000004</v>
      </c>
      <c r="H71" s="1">
        <v>0.66293999999999997</v>
      </c>
      <c r="I71" s="1">
        <v>237.682208</v>
      </c>
      <c r="J71" s="1" t="s">
        <v>131</v>
      </c>
      <c r="K71" s="1">
        <v>18.600000000000001</v>
      </c>
      <c r="L71" s="1">
        <v>34.624944480000003</v>
      </c>
      <c r="M71" s="1">
        <v>272.39999999999998</v>
      </c>
      <c r="N71" s="1" t="s">
        <v>93</v>
      </c>
      <c r="P71" s="1">
        <v>7.5260199999999999E-2</v>
      </c>
      <c r="Q71" s="1">
        <v>0.3175</v>
      </c>
      <c r="S71" s="1">
        <v>17.8</v>
      </c>
      <c r="T71" s="1">
        <v>623</v>
      </c>
      <c r="U71" s="1">
        <v>680</v>
      </c>
      <c r="V71" s="1" t="s">
        <v>48</v>
      </c>
      <c r="Y71" s="1">
        <v>10.659412</v>
      </c>
      <c r="Z71" s="1">
        <v>8.7543255999999996</v>
      </c>
      <c r="AA71" s="1">
        <v>3.4019399999999997</v>
      </c>
      <c r="AC71" s="1">
        <v>0.91</v>
      </c>
      <c r="AE71" s="1">
        <f>(PI()*(Table1[[#This Row],[Diameter]]/2)^2*Table1[[#This Row],[Length]])*1000</f>
        <v>290.20175845160401</v>
      </c>
      <c r="AF71" s="1">
        <f>Table1[[#This Row],[Case Mass]]/Table1[[#This Row],[Volume]]</f>
        <v>3.6731038629380444E-2</v>
      </c>
      <c r="AG71" s="1">
        <f>Table1[[#This Row],[Nozzle Mass]]/Table1[[#This Row],[Volume]]</f>
        <v>3.0166342363703941E-2</v>
      </c>
      <c r="AH71" s="1">
        <f>Table1[[#This Row],[Nozzle Mass]]/Table1[[#This Row],[Diameter]]</f>
        <v>13.205306060880321</v>
      </c>
      <c r="AI71" s="3">
        <f>Table1[[#This Row],[Additional Mass]]/Table1[[#This Row],[Volume]]</f>
        <v>1.1722671902993758E-2</v>
      </c>
      <c r="AJ71" s="3">
        <f>Table1[[#This Row],[Igniter Mass]]/Table1[[#This Row],[Volume]]</f>
        <v>0</v>
      </c>
      <c r="AK71" s="3">
        <f>Table1[[#This Row],[Dry Mass]]/Table1[[#This Row],[Volume]]</f>
        <v>7.8620052896078138E-2</v>
      </c>
      <c r="AL71" s="3">
        <f>Table1[[#This Row],[Avg Thrust]]/Table1[[#This Row],[Volume]]</f>
        <v>0.11931335173413256</v>
      </c>
      <c r="AM71" s="3"/>
    </row>
    <row r="72" spans="1:39" x14ac:dyDescent="0.25">
      <c r="A72" s="1" t="s">
        <v>135</v>
      </c>
      <c r="B72" s="1" t="s">
        <v>88</v>
      </c>
      <c r="C72" s="1" t="s">
        <v>130</v>
      </c>
      <c r="E72" s="1">
        <v>38.254691999999999</v>
      </c>
      <c r="F72" s="1">
        <v>29.528839199999997</v>
      </c>
      <c r="G72" s="1">
        <v>0.84074000000000004</v>
      </c>
      <c r="H72" s="1">
        <v>0.66293999999999997</v>
      </c>
      <c r="I72" s="1">
        <v>231.96694879999998</v>
      </c>
      <c r="J72" s="1" t="s">
        <v>131</v>
      </c>
      <c r="K72" s="1">
        <v>18.3</v>
      </c>
      <c r="L72" s="1">
        <v>35.007491399999999</v>
      </c>
      <c r="M72" s="1">
        <v>273.39999999999998</v>
      </c>
      <c r="N72" s="1" t="s">
        <v>93</v>
      </c>
      <c r="P72" s="1">
        <v>7.5260199999999999E-2</v>
      </c>
      <c r="Q72" s="1">
        <v>0.3175</v>
      </c>
      <c r="S72" s="1">
        <v>17.8</v>
      </c>
      <c r="T72" s="1">
        <v>640</v>
      </c>
      <c r="U72" s="1">
        <v>690</v>
      </c>
      <c r="V72" s="1" t="s">
        <v>48</v>
      </c>
      <c r="Y72" s="1">
        <v>10.7047712</v>
      </c>
      <c r="Z72" s="1">
        <v>8.9811215999999998</v>
      </c>
      <c r="AA72" s="1">
        <f>(65.1-Table1[[#This Row],[Nozzle Mass]]-Table1[[#This Row],[Case Mass]])*0.453592</f>
        <v>20.599475713062397</v>
      </c>
      <c r="AC72" s="1">
        <v>0.88</v>
      </c>
      <c r="AE72" s="1">
        <f>(PI()*(Table1[[#This Row],[Diameter]]/2)^2*Table1[[#This Row],[Length]])*1000</f>
        <v>290.20175845160401</v>
      </c>
      <c r="AF72" s="1">
        <f>Table1[[#This Row],[Case Mass]]/Table1[[#This Row],[Volume]]</f>
        <v>3.6887340921420361E-2</v>
      </c>
      <c r="AG72" s="1">
        <f>Table1[[#This Row],[Nozzle Mass]]/Table1[[#This Row],[Volume]]</f>
        <v>3.0947853823903523E-2</v>
      </c>
      <c r="AH72" s="1">
        <f>Table1[[#This Row],[Nozzle Mass]]/Table1[[#This Row],[Diameter]]</f>
        <v>13.547412435514527</v>
      </c>
      <c r="AI72" s="3">
        <f>Table1[[#This Row],[Additional Mass]]/Table1[[#This Row],[Volume]]</f>
        <v>7.0983290463064869E-2</v>
      </c>
      <c r="AJ72" s="3">
        <f>Table1[[#This Row],[Igniter Mass]]/Table1[[#This Row],[Volume]]</f>
        <v>0</v>
      </c>
      <c r="AK72" s="3">
        <f>Table1[[#This Row],[Dry Mass]]/Table1[[#This Row],[Volume]]</f>
        <v>0.10175279211798582</v>
      </c>
      <c r="AL72" s="3">
        <f>Table1[[#This Row],[Avg Thrust]]/Table1[[#This Row],[Volume]]</f>
        <v>0.120631561940856</v>
      </c>
      <c r="AM72" s="3"/>
    </row>
    <row r="73" spans="1:39" x14ac:dyDescent="0.25">
      <c r="A73" s="1" t="s">
        <v>136</v>
      </c>
      <c r="B73" s="1" t="s">
        <v>88</v>
      </c>
      <c r="C73" s="1" t="s">
        <v>101</v>
      </c>
      <c r="D73" s="1">
        <v>1975</v>
      </c>
      <c r="E73" s="1">
        <v>28.201714800000001</v>
      </c>
      <c r="F73" s="1">
        <v>24.312531199999999</v>
      </c>
      <c r="G73" s="1">
        <v>1.23698</v>
      </c>
      <c r="H73" s="1">
        <v>0.69342000000000004</v>
      </c>
      <c r="I73" s="1">
        <v>333.66227520000001</v>
      </c>
      <c r="J73" s="1" t="s">
        <v>137</v>
      </c>
      <c r="K73" s="1">
        <v>37.299999999999997</v>
      </c>
      <c r="L73" s="1">
        <v>25.443818400000001</v>
      </c>
      <c r="M73" s="1">
        <v>290.7</v>
      </c>
      <c r="N73" s="1" t="s">
        <v>93</v>
      </c>
      <c r="O73" s="1" t="s">
        <v>138</v>
      </c>
      <c r="P73" s="1">
        <v>6.9596000000000005E-2</v>
      </c>
      <c r="Q73" s="1">
        <v>0.48514000000000002</v>
      </c>
      <c r="S73" s="1">
        <v>48.8</v>
      </c>
      <c r="T73" s="1">
        <v>497</v>
      </c>
      <c r="U73" s="1">
        <v>563</v>
      </c>
      <c r="V73" s="1" t="s">
        <v>48</v>
      </c>
      <c r="Y73" s="1">
        <v>10.7047712</v>
      </c>
      <c r="Z73" s="1">
        <v>9.2532768000000001</v>
      </c>
      <c r="AA73" s="1">
        <f>(53.6-Table1[[#This Row],[Nozzle Mass]]-Table1[[#This Row],[Case Mass]])*0.453592</f>
        <v>15.259720291584001</v>
      </c>
      <c r="AC73" s="1">
        <v>0.92</v>
      </c>
      <c r="AE73" s="1">
        <f>(PI()*(Table1[[#This Row],[Diameter]]/2)^2*Table1[[#This Row],[Length]])*1000</f>
        <v>467.13809626812025</v>
      </c>
      <c r="AF73" s="1">
        <f>Table1[[#This Row],[Case Mass]]/Table1[[#This Row],[Volume]]</f>
        <v>2.2915645898971704E-2</v>
      </c>
      <c r="AG73" s="1">
        <f>Table1[[#This Row],[Nozzle Mass]]/Table1[[#This Row],[Volume]]</f>
        <v>1.9808439675382324E-2</v>
      </c>
      <c r="AH73" s="1">
        <f>Table1[[#This Row],[Nozzle Mass]]/Table1[[#This Row],[Diameter]]</f>
        <v>13.344404257160162</v>
      </c>
      <c r="AI73" s="3">
        <f>Table1[[#This Row],[Additional Mass]]/Table1[[#This Row],[Volume]]</f>
        <v>3.2666400821279792E-2</v>
      </c>
      <c r="AJ73" s="3">
        <f>Table1[[#This Row],[Igniter Mass]]/Table1[[#This Row],[Volume]]</f>
        <v>0</v>
      </c>
      <c r="AK73" s="3">
        <f>Table1[[#This Row],[Dry Mass]]/Table1[[#This Row],[Volume]]</f>
        <v>5.2045704245122178E-2</v>
      </c>
      <c r="AL73" s="3">
        <f>Table1[[#This Row],[Avg Thrust]]/Table1[[#This Row],[Volume]]</f>
        <v>5.4467444644883289E-2</v>
      </c>
      <c r="AM73" s="3"/>
    </row>
    <row r="74" spans="1:39" x14ac:dyDescent="0.25">
      <c r="A74" s="1" t="s">
        <v>139</v>
      </c>
      <c r="B74" s="1" t="s">
        <v>88</v>
      </c>
      <c r="C74" s="1" t="s">
        <v>140</v>
      </c>
      <c r="D74" s="1">
        <v>2007</v>
      </c>
      <c r="E74" s="1">
        <v>23.353155000000001</v>
      </c>
      <c r="F74" s="1">
        <v>26.671209599999997</v>
      </c>
      <c r="G74" s="1">
        <v>1.2191999999999998</v>
      </c>
      <c r="H74" s="1">
        <v>0.69342000000000004</v>
      </c>
      <c r="I74" s="1">
        <v>337.83532159999999</v>
      </c>
      <c r="J74" s="1" t="s">
        <v>141</v>
      </c>
      <c r="K74" s="1">
        <v>47.3</v>
      </c>
      <c r="L74" s="1">
        <v>20.684222999999999</v>
      </c>
      <c r="M74" s="1">
        <v>294.3</v>
      </c>
      <c r="N74" s="1" t="s">
        <v>93</v>
      </c>
      <c r="P74" s="1">
        <v>5.5879999999999999E-2</v>
      </c>
      <c r="Q74" s="1">
        <v>0.50520600000000004</v>
      </c>
      <c r="S74" s="1">
        <v>81.7</v>
      </c>
      <c r="T74" s="1">
        <v>596</v>
      </c>
      <c r="U74" s="1">
        <v>633</v>
      </c>
      <c r="V74" s="1" t="s">
        <v>48</v>
      </c>
      <c r="Y74" s="1">
        <v>9.8883056000000007</v>
      </c>
      <c r="Z74" s="1">
        <v>13.154168</v>
      </c>
      <c r="AA74" s="1">
        <v>3.628736</v>
      </c>
      <c r="AC74" s="1">
        <v>0.92</v>
      </c>
      <c r="AE74" s="1">
        <f>(PI()*(Table1[[#This Row],[Diameter]]/2)^2*Table1[[#This Row],[Length]])*1000</f>
        <v>460.42358564414315</v>
      </c>
      <c r="AF74" s="1">
        <f>Table1[[#This Row],[Case Mass]]/Table1[[#This Row],[Volume]]</f>
        <v>2.1476540099843136E-2</v>
      </c>
      <c r="AG74" s="1">
        <f>Table1[[#This Row],[Nozzle Mass]]/Table1[[#This Row],[Volume]]</f>
        <v>2.8569709307130774E-2</v>
      </c>
      <c r="AH74" s="1">
        <f>Table1[[#This Row],[Nozzle Mass]]/Table1[[#This Row],[Diameter]]</f>
        <v>18.969986444002192</v>
      </c>
      <c r="AI74" s="3">
        <f>Table1[[#This Row],[Additional Mass]]/Table1[[#This Row],[Volume]]</f>
        <v>7.8812991192084899E-3</v>
      </c>
      <c r="AJ74" s="3">
        <f>Table1[[#This Row],[Igniter Mass]]/Table1[[#This Row],[Volume]]</f>
        <v>0</v>
      </c>
      <c r="AK74" s="3">
        <f>Table1[[#This Row],[Dry Mass]]/Table1[[#This Row],[Volume]]</f>
        <v>5.7927548526182392E-2</v>
      </c>
      <c r="AL74" s="3">
        <f>Table1[[#This Row],[Avg Thrust]]/Table1[[#This Row],[Volume]]</f>
        <v>4.4924334123896577E-2</v>
      </c>
      <c r="AM74" s="3"/>
    </row>
    <row r="75" spans="1:39" x14ac:dyDescent="0.25">
      <c r="A75" s="1" t="s">
        <v>91</v>
      </c>
      <c r="B75" s="1" t="s">
        <v>104</v>
      </c>
      <c r="C75" s="1" t="s">
        <v>92</v>
      </c>
      <c r="D75" s="1">
        <v>2003</v>
      </c>
      <c r="E75" s="1">
        <v>2.0506294199999999</v>
      </c>
      <c r="F75" s="1">
        <v>0.67585207999999997</v>
      </c>
      <c r="G75" s="1">
        <v>0.28854399999999997</v>
      </c>
      <c r="H75" s="1">
        <v>8.0771999999999997E-2</v>
      </c>
      <c r="I75" s="1">
        <v>0.48080752000000004</v>
      </c>
      <c r="J75" s="1" t="s">
        <v>94</v>
      </c>
      <c r="K75" s="1">
        <v>0.66</v>
      </c>
      <c r="L75" s="1">
        <v>1.9349757000000001</v>
      </c>
      <c r="M75" s="1">
        <v>266</v>
      </c>
      <c r="N75" s="1" t="s">
        <v>93</v>
      </c>
      <c r="P75" s="1">
        <v>1.17094E-2</v>
      </c>
      <c r="Q75" s="1">
        <v>5.2628799999999996E-2</v>
      </c>
      <c r="S75" s="1">
        <v>20.2</v>
      </c>
      <c r="T75" s="1">
        <v>1502</v>
      </c>
      <c r="U75" s="1">
        <v>1596</v>
      </c>
      <c r="V75" s="1" t="s">
        <v>48</v>
      </c>
      <c r="Y75" s="1">
        <v>0.18143680000000001</v>
      </c>
      <c r="Z75" s="1">
        <v>0.26308335999999999</v>
      </c>
      <c r="AA75" s="1">
        <v>0.23133192</v>
      </c>
      <c r="AC75" s="1">
        <v>0.42</v>
      </c>
      <c r="AE75" s="1">
        <f>(PI()*(Table1[[#This Row],[Diameter]]/2)^2*Table1[[#This Row],[Length]])*1000</f>
        <v>1.4785077405672782</v>
      </c>
      <c r="AF75" s="1">
        <f>Table1[[#This Row],[Case Mass]]/Table1[[#This Row],[Volume]]</f>
        <v>0.12271616510467899</v>
      </c>
      <c r="AG75" s="1">
        <f>Table1[[#This Row],[Nozzle Mass]]/Table1[[#This Row],[Volume]]</f>
        <v>0.17793843940178453</v>
      </c>
      <c r="AH75" s="1">
        <f>Table1[[#This Row],[Nozzle Mass]]/Table1[[#This Row],[Diameter]]</f>
        <v>3.2571108800079234</v>
      </c>
      <c r="AI75" s="3">
        <f>Table1[[#This Row],[Additional Mass]]/Table1[[#This Row],[Volume]]</f>
        <v>0.1564631105084657</v>
      </c>
      <c r="AJ75" s="3">
        <f>Table1[[#This Row],[Igniter Mass]]/Table1[[#This Row],[Volume]]</f>
        <v>0</v>
      </c>
      <c r="AK75" s="3">
        <f>Table1[[#This Row],[Dry Mass]]/Table1[[#This Row],[Volume]]</f>
        <v>0.4571177150149292</v>
      </c>
      <c r="AL75" s="3">
        <f>Table1[[#This Row],[Avg Thrust]]/Table1[[#This Row],[Volume]]</f>
        <v>1.3087355898844215</v>
      </c>
      <c r="AM75" s="3"/>
    </row>
    <row r="76" spans="1:39" x14ac:dyDescent="0.25">
      <c r="A76" s="1" t="s">
        <v>142</v>
      </c>
      <c r="B76" s="1" t="s">
        <v>88</v>
      </c>
      <c r="C76" s="1" t="s">
        <v>101</v>
      </c>
      <c r="D76" s="1">
        <v>1984</v>
      </c>
      <c r="E76" s="1">
        <v>30.892887900000002</v>
      </c>
      <c r="F76" s="1">
        <v>32.840060800000003</v>
      </c>
      <c r="G76" s="1">
        <v>1.5062199999999999</v>
      </c>
      <c r="H76" s="1">
        <v>0.76200000000000001</v>
      </c>
      <c r="I76" s="1">
        <v>505.12005119999998</v>
      </c>
      <c r="J76" s="1" t="s">
        <v>141</v>
      </c>
      <c r="K76" s="1">
        <v>55</v>
      </c>
      <c r="L76" s="1">
        <v>26.622596699999999</v>
      </c>
      <c r="M76" s="1">
        <v>294.89999999999998</v>
      </c>
      <c r="N76" s="1" t="s">
        <v>93</v>
      </c>
      <c r="P76" s="1">
        <v>6.8072000000000008E-2</v>
      </c>
      <c r="Q76" s="1">
        <v>0.58419999999999994</v>
      </c>
      <c r="S76" s="1">
        <v>73.7</v>
      </c>
      <c r="T76" s="1">
        <v>514</v>
      </c>
      <c r="U76" s="1">
        <v>595</v>
      </c>
      <c r="V76" s="1" t="s">
        <v>48</v>
      </c>
      <c r="Y76" s="1">
        <v>13.834555999999999</v>
      </c>
      <c r="Z76" s="1">
        <v>15.331409599999999</v>
      </c>
      <c r="AA76" s="1">
        <v>3.6740952</v>
      </c>
      <c r="AC76" s="1">
        <v>0.93</v>
      </c>
      <c r="AE76" s="1">
        <f>(PI()*(Table1[[#This Row],[Diameter]]/2)^2*Table1[[#This Row],[Length]])*1000</f>
        <v>686.89164524960972</v>
      </c>
      <c r="AF76" s="1">
        <f>Table1[[#This Row],[Case Mass]]/Table1[[#This Row],[Volume]]</f>
        <v>2.0140812740519876E-2</v>
      </c>
      <c r="AG76" s="1">
        <f>Table1[[#This Row],[Nozzle Mass]]/Table1[[#This Row],[Volume]]</f>
        <v>2.2319982643592518E-2</v>
      </c>
      <c r="AH76" s="1">
        <f>Table1[[#This Row],[Nozzle Mass]]/Table1[[#This Row],[Diameter]]</f>
        <v>20.119960104986873</v>
      </c>
      <c r="AI76" s="3">
        <f>Table1[[#This Row],[Additional Mass]]/Table1[[#This Row],[Volume]]</f>
        <v>5.3488715802692136E-3</v>
      </c>
      <c r="AJ76" s="3">
        <f>Table1[[#This Row],[Igniter Mass]]/Table1[[#This Row],[Volume]]</f>
        <v>0</v>
      </c>
      <c r="AK76" s="3">
        <f>Table1[[#This Row],[Dry Mass]]/Table1[[#This Row],[Volume]]</f>
        <v>4.7809666964381617E-2</v>
      </c>
      <c r="AL76" s="3">
        <f>Table1[[#This Row],[Avg Thrust]]/Table1[[#This Row],[Volume]]</f>
        <v>3.8758073247965631E-2</v>
      </c>
      <c r="AM76" s="3"/>
    </row>
    <row r="77" spans="1:39" x14ac:dyDescent="0.25">
      <c r="A77" s="1" t="s">
        <v>143</v>
      </c>
      <c r="B77" s="1" t="s">
        <v>88</v>
      </c>
      <c r="C77" s="1" t="s">
        <v>101</v>
      </c>
      <c r="D77" s="1">
        <v>1985</v>
      </c>
      <c r="E77" s="1">
        <v>37.587459000000003</v>
      </c>
      <c r="F77" s="1">
        <v>33.656526400000004</v>
      </c>
      <c r="G77" s="1">
        <v>1.49352</v>
      </c>
      <c r="H77" s="1">
        <v>0.76200000000000001</v>
      </c>
      <c r="I77" s="1">
        <v>590.80358000000001</v>
      </c>
      <c r="J77" s="1" t="s">
        <v>141</v>
      </c>
      <c r="K77" s="1">
        <v>52</v>
      </c>
      <c r="L77" s="1">
        <v>32.472006</v>
      </c>
      <c r="M77" s="1">
        <v>288.8</v>
      </c>
      <c r="N77" s="1" t="s">
        <v>93</v>
      </c>
      <c r="P77" s="1">
        <v>7.3405999999999999E-2</v>
      </c>
      <c r="Q77" s="1">
        <v>0.50037999999999994</v>
      </c>
      <c r="S77" s="1">
        <v>46.4</v>
      </c>
      <c r="T77" s="1">
        <v>552</v>
      </c>
      <c r="U77" s="1">
        <v>604</v>
      </c>
      <c r="V77" s="1" t="s">
        <v>48</v>
      </c>
      <c r="Y77" s="1">
        <v>16.193234400000001</v>
      </c>
      <c r="Z77" s="1">
        <v>15.331409599999999</v>
      </c>
      <c r="AA77" s="1">
        <v>2.1318823999999998</v>
      </c>
      <c r="AC77" s="1">
        <v>0.94</v>
      </c>
      <c r="AE77" s="1">
        <f>(PI()*(Table1[[#This Row],[Diameter]]/2)^2*Table1[[#This Row],[Length]])*1000</f>
        <v>681.09997876352531</v>
      </c>
      <c r="AF77" s="1">
        <f>Table1[[#This Row],[Case Mass]]/Table1[[#This Row],[Volume]]</f>
        <v>2.3775120987960294E-2</v>
      </c>
      <c r="AG77" s="1">
        <f>Table1[[#This Row],[Nozzle Mass]]/Table1[[#This Row],[Volume]]</f>
        <v>2.2509778414371368E-2</v>
      </c>
      <c r="AH77" s="1">
        <f>Table1[[#This Row],[Nozzle Mass]]/Table1[[#This Row],[Diameter]]</f>
        <v>20.119960104986873</v>
      </c>
      <c r="AI77" s="3">
        <f>Table1[[#This Row],[Additional Mass]]/Table1[[#This Row],[Volume]]</f>
        <v>3.1300579451936515E-3</v>
      </c>
      <c r="AJ77" s="3">
        <f>Table1[[#This Row],[Igniter Mass]]/Table1[[#This Row],[Volume]]</f>
        <v>0</v>
      </c>
      <c r="AK77" s="3">
        <f>Table1[[#This Row],[Dry Mass]]/Table1[[#This Row],[Volume]]</f>
        <v>4.9414957347525316E-2</v>
      </c>
      <c r="AL77" s="3">
        <f>Table1[[#This Row],[Avg Thrust]]/Table1[[#This Row],[Volume]]</f>
        <v>4.7675828824646209E-2</v>
      </c>
      <c r="AM77" s="3"/>
    </row>
    <row r="78" spans="1:39" x14ac:dyDescent="0.25">
      <c r="A78" s="1" t="s">
        <v>144</v>
      </c>
      <c r="B78" s="1" t="s">
        <v>88</v>
      </c>
      <c r="C78" s="1" t="s">
        <v>101</v>
      </c>
      <c r="E78" s="1">
        <v>38.032280999999998</v>
      </c>
      <c r="F78" s="1">
        <v>36.105923199999999</v>
      </c>
      <c r="G78" s="1">
        <v>1.6332199999999999</v>
      </c>
      <c r="H78" s="1">
        <v>0.76200000000000001</v>
      </c>
      <c r="I78" s="1">
        <v>590.80358000000001</v>
      </c>
      <c r="J78" s="1" t="s">
        <v>141</v>
      </c>
      <c r="K78" s="1">
        <v>52</v>
      </c>
      <c r="L78" s="1">
        <v>32.916828000000002</v>
      </c>
      <c r="M78" s="1">
        <v>294.2</v>
      </c>
      <c r="N78" s="1" t="s">
        <v>93</v>
      </c>
      <c r="P78" s="1">
        <v>7.3405999999999999E-2</v>
      </c>
      <c r="Q78" s="1">
        <v>0.58419999999999994</v>
      </c>
      <c r="S78" s="1">
        <v>63.2</v>
      </c>
      <c r="T78" s="1">
        <v>552</v>
      </c>
      <c r="U78" s="1">
        <v>604</v>
      </c>
      <c r="V78" s="1" t="s">
        <v>48</v>
      </c>
      <c r="Y78" s="1">
        <v>16.193234400000001</v>
      </c>
      <c r="Z78" s="1">
        <v>15.648923999999999</v>
      </c>
      <c r="AA78" s="1">
        <v>4.2637647999999997</v>
      </c>
      <c r="AC78" s="1">
        <v>0.93</v>
      </c>
      <c r="AE78" s="1">
        <f>(PI()*(Table1[[#This Row],[Diameter]]/2)^2*Table1[[#This Row],[Length]])*1000</f>
        <v>744.80831011045382</v>
      </c>
      <c r="AF78" s="1">
        <f>Table1[[#This Row],[Case Mass]]/Table1[[#This Row],[Volume]]</f>
        <v>2.174147922382683E-2</v>
      </c>
      <c r="AG78" s="1">
        <f>Table1[[#This Row],[Nozzle Mass]]/Table1[[#This Row],[Volume]]</f>
        <v>2.1010673199496514E-2</v>
      </c>
      <c r="AH78" s="1">
        <f>Table1[[#This Row],[Nozzle Mass]]/Table1[[#This Row],[Diameter]]</f>
        <v>20.536645669291339</v>
      </c>
      <c r="AI78" s="3">
        <f>Table1[[#This Row],[Additional Mass]]/Table1[[#This Row],[Volume]]</f>
        <v>5.7246471905874558E-3</v>
      </c>
      <c r="AJ78" s="3">
        <f>Table1[[#This Row],[Igniter Mass]]/Table1[[#This Row],[Volume]]</f>
        <v>0</v>
      </c>
      <c r="AK78" s="3">
        <f>Table1[[#This Row],[Dry Mass]]/Table1[[#This Row],[Volume]]</f>
        <v>4.8476799613910798E-2</v>
      </c>
      <c r="AL78" s="3">
        <f>Table1[[#This Row],[Avg Thrust]]/Table1[[#This Row],[Volume]]</f>
        <v>4.419503320944216E-2</v>
      </c>
      <c r="AM78" s="3"/>
    </row>
    <row r="79" spans="1:39" x14ac:dyDescent="0.25">
      <c r="A79" s="1" t="s">
        <v>145</v>
      </c>
      <c r="B79" s="1" t="s">
        <v>88</v>
      </c>
      <c r="C79" s="1" t="s">
        <v>101</v>
      </c>
      <c r="D79" s="1">
        <v>1988</v>
      </c>
      <c r="E79" s="1">
        <v>39.366747000000004</v>
      </c>
      <c r="F79" s="1">
        <v>37.421340000000001</v>
      </c>
      <c r="G79" s="1">
        <v>1.6840199999999999</v>
      </c>
      <c r="H79" s="1">
        <v>0.76200000000000001</v>
      </c>
      <c r="I79" s="1">
        <v>631.40006400000004</v>
      </c>
      <c r="J79" s="1" t="s">
        <v>141</v>
      </c>
      <c r="K79" s="1">
        <v>51.8</v>
      </c>
      <c r="L79" s="1">
        <v>35.140937999999998</v>
      </c>
      <c r="M79" s="1">
        <v>292.8</v>
      </c>
      <c r="N79" s="1" t="s">
        <v>93</v>
      </c>
      <c r="P79" s="1">
        <v>7.619999999999999E-2</v>
      </c>
      <c r="Q79" s="1">
        <v>0.58419999999999994</v>
      </c>
      <c r="S79" s="1">
        <v>58.6</v>
      </c>
      <c r="T79" s="1">
        <v>537</v>
      </c>
      <c r="U79" s="1">
        <v>590</v>
      </c>
      <c r="V79" s="1" t="s">
        <v>48</v>
      </c>
      <c r="W79" s="1">
        <f>9.3+0.72</f>
        <v>10.020000000000001</v>
      </c>
      <c r="Y79" s="1">
        <v>17.45</v>
      </c>
      <c r="Z79" s="1">
        <v>16.98</v>
      </c>
      <c r="AA79" s="1">
        <f>0.21+0.1+0.19+5.85</f>
        <v>6.35</v>
      </c>
      <c r="AB79" s="1">
        <f>0.25+0.28</f>
        <v>0.53</v>
      </c>
      <c r="AC79" s="1">
        <v>0.93</v>
      </c>
      <c r="AE79" s="1">
        <f>(PI()*(Table1[[#This Row],[Diameter]]/2)^2*Table1[[#This Row],[Length]])*1000</f>
        <v>767.97497605479134</v>
      </c>
      <c r="AF79" s="1">
        <f>Table1[[#This Row],[Case Mass]]/Table1[[#This Row],[Volume]]</f>
        <v>2.2722094526625599E-2</v>
      </c>
      <c r="AG79" s="1">
        <f>Table1[[#This Row],[Nozzle Mass]]/Table1[[#This Row],[Volume]]</f>
        <v>2.2110095419031674E-2</v>
      </c>
      <c r="AH79" s="1">
        <f>Table1[[#This Row],[Nozzle Mass]]/Table1[[#This Row],[Diameter]]</f>
        <v>22.283464566929133</v>
      </c>
      <c r="AI79" s="3">
        <f>Table1[[#This Row],[Additional Mass]]/Table1[[#This Row],[Volume]]</f>
        <v>8.2684985813222082E-3</v>
      </c>
      <c r="AJ79" s="3">
        <f>Table1[[#This Row],[Igniter Mass]]/Table1[[#This Row],[Volume]]</f>
        <v>6.9012665324421599E-4</v>
      </c>
      <c r="AK79" s="3">
        <f>Table1[[#This Row],[Dry Mass]]/Table1[[#This Row],[Volume]]</f>
        <v>4.8727290819082843E-2</v>
      </c>
      <c r="AL79" s="3">
        <f>Table1[[#This Row],[Avg Thrust]]/Table1[[#This Row],[Volume]]</f>
        <v>4.5757920629816019E-2</v>
      </c>
      <c r="AM79" s="3"/>
    </row>
    <row r="80" spans="1:39" x14ac:dyDescent="0.25">
      <c r="A80" s="1" t="s">
        <v>146</v>
      </c>
      <c r="B80" s="1" t="s">
        <v>88</v>
      </c>
      <c r="C80" s="1" t="s">
        <v>18</v>
      </c>
      <c r="D80" s="1">
        <v>1978</v>
      </c>
      <c r="E80" s="1">
        <v>95.63673</v>
      </c>
      <c r="F80" s="1">
        <v>95.254319999999993</v>
      </c>
      <c r="G80" s="1">
        <v>2.8702000000000001</v>
      </c>
      <c r="H80" s="1">
        <v>0.76454</v>
      </c>
      <c r="I80" s="1">
        <v>1285.9333200000001</v>
      </c>
      <c r="J80" s="1" t="s">
        <v>141</v>
      </c>
      <c r="K80" s="1">
        <v>46</v>
      </c>
      <c r="L80" s="1">
        <v>82.292069999999995</v>
      </c>
      <c r="M80" s="1">
        <v>296.3</v>
      </c>
      <c r="N80" s="1" t="s">
        <v>147</v>
      </c>
      <c r="P80" s="1">
        <v>9.4995999999999997E-2</v>
      </c>
      <c r="Q80" s="1">
        <v>0.72821800000000003</v>
      </c>
      <c r="S80" s="1">
        <v>58.1</v>
      </c>
      <c r="T80" s="1">
        <v>712</v>
      </c>
      <c r="U80" s="1">
        <v>865</v>
      </c>
      <c r="V80" s="1" t="s">
        <v>48</v>
      </c>
      <c r="Y80" s="1">
        <v>41.730463999999998</v>
      </c>
      <c r="Z80" s="1">
        <v>29.710276</v>
      </c>
      <c r="AA80" s="1">
        <v>23.813579999999998</v>
      </c>
      <c r="AC80" s="1">
        <v>0.93</v>
      </c>
      <c r="AE80" s="1">
        <f>(PI()*(Table1[[#This Row],[Diameter]]/2)^2*Table1[[#This Row],[Length]])*1000</f>
        <v>1317.6572802121734</v>
      </c>
      <c r="AF80" s="1">
        <f>Table1[[#This Row],[Case Mass]]/Table1[[#This Row],[Volume]]</f>
        <v>3.1670195753238976E-2</v>
      </c>
      <c r="AG80" s="1">
        <f>Table1[[#This Row],[Nozzle Mass]]/Table1[[#This Row],[Volume]]</f>
        <v>2.2547802411273406E-2</v>
      </c>
      <c r="AH80" s="1">
        <f>Table1[[#This Row],[Nozzle Mass]]/Table1[[#This Row],[Diameter]]</f>
        <v>38.860329086771131</v>
      </c>
      <c r="AI80" s="3">
        <f>Table1[[#This Row],[Additional Mass]]/Table1[[#This Row],[Volume]]</f>
        <v>1.8072666054837462E-2</v>
      </c>
      <c r="AJ80" s="3">
        <f>Table1[[#This Row],[Igniter Mass]]/Table1[[#This Row],[Volume]]</f>
        <v>0</v>
      </c>
      <c r="AK80" s="3">
        <f>Table1[[#This Row],[Dry Mass]]/Table1[[#This Row],[Volume]]</f>
        <v>7.2290664219349848E-2</v>
      </c>
      <c r="AL80" s="3">
        <f>Table1[[#This Row],[Avg Thrust]]/Table1[[#This Row],[Volume]]</f>
        <v>6.2453318655628767E-2</v>
      </c>
      <c r="AM80" s="3"/>
    </row>
    <row r="81" spans="1:39" x14ac:dyDescent="0.25">
      <c r="A81" s="1" t="s">
        <v>148</v>
      </c>
      <c r="B81" s="1" t="s">
        <v>88</v>
      </c>
      <c r="C81" s="1" t="s">
        <v>101</v>
      </c>
      <c r="D81" s="1">
        <v>1984</v>
      </c>
      <c r="E81" s="1">
        <v>54.8243115</v>
      </c>
      <c r="F81" s="1">
        <v>73.708699999999993</v>
      </c>
      <c r="G81" s="1">
        <v>1.6890999999999998</v>
      </c>
      <c r="H81" s="1">
        <v>0.93471999999999988</v>
      </c>
      <c r="I81" s="1">
        <v>1065.9865591999999</v>
      </c>
      <c r="J81" s="1" t="s">
        <v>141</v>
      </c>
      <c r="K81" s="1">
        <v>63.3</v>
      </c>
      <c r="L81" s="1">
        <v>48.160877939999999</v>
      </c>
      <c r="M81" s="1">
        <v>291.89999999999998</v>
      </c>
      <c r="N81" s="1" t="s">
        <v>93</v>
      </c>
      <c r="P81" s="1">
        <v>8.9408000000000001E-2</v>
      </c>
      <c r="Q81" s="1">
        <v>0.62102999999999997</v>
      </c>
      <c r="S81" s="1">
        <v>48.2</v>
      </c>
      <c r="T81" s="1">
        <v>540</v>
      </c>
      <c r="U81" s="1">
        <v>642</v>
      </c>
      <c r="V81" s="1" t="s">
        <v>48</v>
      </c>
      <c r="W81" s="1">
        <f>14.74+0.68</f>
        <v>15.42</v>
      </c>
      <c r="Y81" s="1">
        <v>32.11</v>
      </c>
      <c r="Z81" s="1">
        <v>33.24</v>
      </c>
      <c r="AA81" s="1">
        <f>0.73+7.35</f>
        <v>8.08</v>
      </c>
      <c r="AB81" s="1">
        <f>0.54+0.28</f>
        <v>0.82000000000000006</v>
      </c>
      <c r="AC81" s="1">
        <v>0.93</v>
      </c>
      <c r="AE81" s="1">
        <f>(PI()*(Table1[[#This Row],[Diameter]]/2)^2*Table1[[#This Row],[Length]])*1000</f>
        <v>1159.066393490318</v>
      </c>
      <c r="AF81" s="1">
        <f>Table1[[#This Row],[Case Mass]]/Table1[[#This Row],[Volume]]</f>
        <v>2.7703331043277483E-2</v>
      </c>
      <c r="AG81" s="1">
        <f>Table1[[#This Row],[Nozzle Mass]]/Table1[[#This Row],[Volume]]</f>
        <v>2.8678253624370712E-2</v>
      </c>
      <c r="AH81" s="1">
        <f>Table1[[#This Row],[Nozzle Mass]]/Table1[[#This Row],[Diameter]]</f>
        <v>35.561451557685729</v>
      </c>
      <c r="AI81" s="3">
        <f>Table1[[#This Row],[Additional Mass]]/Table1[[#This Row],[Volume]]</f>
        <v>6.9711278364896316E-3</v>
      </c>
      <c r="AJ81" s="3">
        <f>Table1[[#This Row],[Igniter Mass]]/Table1[[#This Row],[Volume]]</f>
        <v>7.0746594380216566E-4</v>
      </c>
      <c r="AK81" s="3">
        <f>Table1[[#This Row],[Dry Mass]]/Table1[[#This Row],[Volume]]</f>
        <v>6.3593164648695952E-2</v>
      </c>
      <c r="AL81" s="3">
        <f>Table1[[#This Row],[Avg Thrust]]/Table1[[#This Row],[Volume]]</f>
        <v>4.1551440202637797E-2</v>
      </c>
      <c r="AM81" s="3"/>
    </row>
    <row r="82" spans="1:39" x14ac:dyDescent="0.25">
      <c r="A82" s="1" t="s">
        <v>149</v>
      </c>
      <c r="B82" s="1" t="s">
        <v>88</v>
      </c>
      <c r="C82" s="1" t="s">
        <v>101</v>
      </c>
      <c r="E82" s="1">
        <v>55.60275</v>
      </c>
      <c r="F82" s="1">
        <v>98.384104800000003</v>
      </c>
      <c r="G82" s="1">
        <v>1.9177</v>
      </c>
      <c r="H82" s="1">
        <v>0.93471999999999988</v>
      </c>
      <c r="I82" s="1">
        <v>1063.8093176</v>
      </c>
      <c r="J82" s="1" t="s">
        <v>141</v>
      </c>
      <c r="K82" s="1">
        <v>63.3</v>
      </c>
      <c r="L82" s="1">
        <v>48.841455600000003</v>
      </c>
      <c r="M82" s="1">
        <v>296.60000000000002</v>
      </c>
      <c r="N82" s="1" t="s">
        <v>93</v>
      </c>
      <c r="O82" s="1" t="s">
        <v>138</v>
      </c>
      <c r="P82" s="1">
        <v>8.9408000000000001E-2</v>
      </c>
      <c r="Q82" s="1">
        <v>0.74828399999999995</v>
      </c>
      <c r="S82" s="1">
        <v>70</v>
      </c>
      <c r="T82" s="1">
        <v>540</v>
      </c>
      <c r="U82" s="1">
        <v>642</v>
      </c>
      <c r="V82" s="1" t="s">
        <v>47</v>
      </c>
      <c r="Y82" s="1">
        <v>32.250391199999996</v>
      </c>
      <c r="Z82" s="1">
        <v>44.905608000000001</v>
      </c>
      <c r="AA82" s="1">
        <f>(216.9-Table1[[#This Row],[Nozzle Mass]]-Table1[[#This Row],[Case Mass]])*0.453592</f>
        <v>63.386760810873604</v>
      </c>
      <c r="AC82" s="1">
        <v>0.91</v>
      </c>
      <c r="AE82" s="1">
        <f>(PI()*(Table1[[#This Row],[Diameter]]/2)^2*Table1[[#This Row],[Length]])*1000</f>
        <v>1315.9325219326167</v>
      </c>
      <c r="AF82" s="1">
        <f>Table1[[#This Row],[Case Mass]]/Table1[[#This Row],[Volume]]</f>
        <v>2.4507632923788627E-2</v>
      </c>
      <c r="AG82" s="1">
        <f>Table1[[#This Row],[Nozzle Mass]]/Table1[[#This Row],[Volume]]</f>
        <v>3.4124552172363917E-2</v>
      </c>
      <c r="AH82" s="1">
        <f>Table1[[#This Row],[Nozzle Mass]]/Table1[[#This Row],[Diameter]]</f>
        <v>48.041775077028419</v>
      </c>
      <c r="AI82" s="3">
        <f>Table1[[#This Row],[Additional Mass]]/Table1[[#This Row],[Volume]]</f>
        <v>4.8168701475499641E-2</v>
      </c>
      <c r="AJ82" s="3">
        <f>Table1[[#This Row],[Igniter Mass]]/Table1[[#This Row],[Volume]]</f>
        <v>0</v>
      </c>
      <c r="AK82" s="3">
        <f>Table1[[#This Row],[Dry Mass]]/Table1[[#This Row],[Volume]]</f>
        <v>7.4763791577633673E-2</v>
      </c>
      <c r="AL82" s="3">
        <f>Table1[[#This Row],[Avg Thrust]]/Table1[[#This Row],[Volume]]</f>
        <v>3.7115471185612182E-2</v>
      </c>
      <c r="AM82" s="3"/>
    </row>
    <row r="83" spans="1:39" x14ac:dyDescent="0.25">
      <c r="A83" s="1" t="s">
        <v>151</v>
      </c>
      <c r="B83" s="1" t="s">
        <v>88</v>
      </c>
      <c r="C83" s="1" t="s">
        <v>101</v>
      </c>
      <c r="D83" s="1">
        <v>1998</v>
      </c>
      <c r="E83" s="1">
        <v>67.835355000000007</v>
      </c>
      <c r="F83" s="1">
        <v>103.6911312</v>
      </c>
      <c r="G83" s="1">
        <v>1.6814800000000001</v>
      </c>
      <c r="H83" s="1">
        <v>0.89407999999999999</v>
      </c>
      <c r="I83" s="1">
        <v>974.31561599999998</v>
      </c>
      <c r="J83" s="1" t="s">
        <v>141</v>
      </c>
      <c r="K83" s="1">
        <v>50.2</v>
      </c>
      <c r="L83" s="1">
        <v>56.937215999999999</v>
      </c>
      <c r="M83" s="1">
        <v>295.5</v>
      </c>
      <c r="N83" s="1" t="s">
        <v>99</v>
      </c>
      <c r="P83" s="1">
        <v>6.3500000000000001E-2</v>
      </c>
      <c r="Q83" s="1">
        <v>0.59435999999999989</v>
      </c>
      <c r="S83" s="1">
        <v>88.2</v>
      </c>
      <c r="T83" s="1">
        <v>1050</v>
      </c>
      <c r="U83" s="1">
        <v>1350</v>
      </c>
      <c r="V83" s="1" t="s">
        <v>47</v>
      </c>
      <c r="Y83" s="1">
        <v>69.626372000000003</v>
      </c>
      <c r="Z83" s="1">
        <v>34.291555199999998</v>
      </c>
      <c r="AA83" s="1">
        <v>6.3049287999999999</v>
      </c>
      <c r="AC83" s="1">
        <v>0.9</v>
      </c>
      <c r="AE83" s="1">
        <f>(PI()*(Table1[[#This Row],[Diameter]]/2)^2*Table1[[#This Row],[Length]])*1000</f>
        <v>1055.6849922692725</v>
      </c>
      <c r="AF83" s="1">
        <f>Table1[[#This Row],[Case Mass]]/Table1[[#This Row],[Volume]]</f>
        <v>6.595373857719905E-2</v>
      </c>
      <c r="AG83" s="1">
        <f>Table1[[#This Row],[Nozzle Mass]]/Table1[[#This Row],[Volume]]</f>
        <v>3.2482753331832238E-2</v>
      </c>
      <c r="AH83" s="1">
        <f>Table1[[#This Row],[Nozzle Mass]]/Table1[[#This Row],[Diameter]]</f>
        <v>38.35401216893343</v>
      </c>
      <c r="AI83" s="3">
        <f>Table1[[#This Row],[Additional Mass]]/Table1[[#This Row],[Volume]]</f>
        <v>5.9723580861437576E-3</v>
      </c>
      <c r="AJ83" s="3">
        <f>Table1[[#This Row],[Igniter Mass]]/Table1[[#This Row],[Volume]]</f>
        <v>0</v>
      </c>
      <c r="AK83" s="3">
        <f>Table1[[#This Row],[Dry Mass]]/Table1[[#This Row],[Volume]]</f>
        <v>9.8221658884349861E-2</v>
      </c>
      <c r="AL83" s="3">
        <f>Table1[[#This Row],[Avg Thrust]]/Table1[[#This Row],[Volume]]</f>
        <v>5.3933906815904688E-2</v>
      </c>
      <c r="AM83" s="3"/>
    </row>
    <row r="84" spans="1:39" x14ac:dyDescent="0.25">
      <c r="A84" s="1" t="s">
        <v>150</v>
      </c>
      <c r="B84" s="1" t="s">
        <v>88</v>
      </c>
      <c r="C84" s="1" t="s">
        <v>101</v>
      </c>
      <c r="D84" s="1">
        <v>1984</v>
      </c>
      <c r="E84" s="1">
        <v>42.480501000000004</v>
      </c>
      <c r="F84" s="1">
        <v>63.638957600000005</v>
      </c>
      <c r="G84" s="1">
        <v>1.5036799999999999</v>
      </c>
      <c r="H84" s="1">
        <v>0.93218000000000001</v>
      </c>
      <c r="I84" s="1">
        <v>883.68793440000002</v>
      </c>
      <c r="J84" s="1" t="s">
        <v>141</v>
      </c>
      <c r="K84" s="1">
        <v>67</v>
      </c>
      <c r="L84" s="1">
        <v>38.032280999999998</v>
      </c>
      <c r="M84" s="1">
        <v>292.60000000000002</v>
      </c>
      <c r="N84" s="1" t="s">
        <v>93</v>
      </c>
      <c r="P84" s="1">
        <v>8.0771999999999997E-2</v>
      </c>
      <c r="Q84" s="1">
        <v>0.59715399999999996</v>
      </c>
      <c r="S84" s="1">
        <v>54.8</v>
      </c>
      <c r="T84" s="1">
        <v>527</v>
      </c>
      <c r="U84" s="1">
        <v>576</v>
      </c>
      <c r="V84" s="1" t="s">
        <v>48</v>
      </c>
      <c r="W84" s="1">
        <v>12.156265599999999</v>
      </c>
      <c r="Y84" s="1">
        <v>26.353695200000001</v>
      </c>
      <c r="Z84" s="1">
        <v>31.751439999999999</v>
      </c>
      <c r="AA84" s="1">
        <f>(2.8+1.2)*0.453592</f>
        <v>1.814368</v>
      </c>
      <c r="AC84" s="1">
        <v>0.92500000000000004</v>
      </c>
      <c r="AE84" s="1">
        <f>(PI()*(Table1[[#This Row],[Diameter]]/2)^2*Table1[[#This Row],[Length]])*1000</f>
        <v>1026.2303783728426</v>
      </c>
      <c r="AF84" s="1">
        <f>Table1[[#This Row],[Case Mass]]/Table1[[#This Row],[Volume]]</f>
        <v>2.568009655082084E-2</v>
      </c>
      <c r="AG84" s="1">
        <f>Table1[[#This Row],[Nozzle Mass]]/Table1[[#This Row],[Volume]]</f>
        <v>3.0939875362434748E-2</v>
      </c>
      <c r="AH84" s="1">
        <f>Table1[[#This Row],[Nozzle Mass]]/Table1[[#This Row],[Diameter]]</f>
        <v>34.061490270119506</v>
      </c>
      <c r="AI84" s="3">
        <f>Table1[[#This Row],[Additional Mass]]/Table1[[#This Row],[Volume]]</f>
        <v>1.7679928778534142E-3</v>
      </c>
      <c r="AJ84" s="3">
        <f>Table1[[#This Row],[Igniter Mass]]/Table1[[#This Row],[Volume]]</f>
        <v>0</v>
      </c>
      <c r="AK84" s="3">
        <f>Table1[[#This Row],[Dry Mass]]/Table1[[#This Row],[Volume]]</f>
        <v>6.2012350190708505E-2</v>
      </c>
      <c r="AL84" s="3">
        <f>Table1[[#This Row],[Avg Thrust]]/Table1[[#This Row],[Volume]]</f>
        <v>3.7060178495498003E-2</v>
      </c>
      <c r="AM84" s="3"/>
    </row>
    <row r="85" spans="1:39" x14ac:dyDescent="0.25">
      <c r="A85" s="1" t="s">
        <v>95</v>
      </c>
      <c r="B85" s="1" t="s">
        <v>104</v>
      </c>
      <c r="C85" s="1" t="s">
        <v>92</v>
      </c>
      <c r="D85" s="1">
        <v>2003</v>
      </c>
      <c r="E85" s="1">
        <v>0.80067960000000005</v>
      </c>
      <c r="F85" s="1">
        <v>0.77110639999999997</v>
      </c>
      <c r="G85" s="1">
        <v>0.1905</v>
      </c>
      <c r="H85" s="1">
        <v>8.0771999999999997E-2</v>
      </c>
      <c r="I85" s="1">
        <v>0.12246984000000001</v>
      </c>
      <c r="J85" s="1" t="s">
        <v>94</v>
      </c>
      <c r="K85" s="1">
        <v>0.49</v>
      </c>
      <c r="L85" s="1">
        <v>0.61385436000000004</v>
      </c>
      <c r="M85" s="1">
        <v>241.2</v>
      </c>
      <c r="N85" s="1" t="s">
        <v>93</v>
      </c>
      <c r="P85" s="1">
        <v>1.1684E-2</v>
      </c>
      <c r="Q85" s="1">
        <v>2.794E-2</v>
      </c>
      <c r="S85" s="1">
        <v>5.7</v>
      </c>
      <c r="T85" s="1">
        <v>520</v>
      </c>
      <c r="U85" s="1">
        <v>676</v>
      </c>
      <c r="V85" s="1" t="s">
        <v>48</v>
      </c>
      <c r="Y85" s="1">
        <v>0</v>
      </c>
      <c r="Z85" s="1">
        <v>0</v>
      </c>
      <c r="AA85" s="1">
        <v>0</v>
      </c>
      <c r="AC85" s="1">
        <v>0.14000000000000001</v>
      </c>
      <c r="AE85" s="1">
        <f>(PI()*(Table1[[#This Row],[Diameter]]/2)^2*Table1[[#This Row],[Length]])*1000</f>
        <v>0.97612746956466456</v>
      </c>
      <c r="AF85" s="1">
        <f>Table1[[#This Row],[Case Mass]]/Table1[[#This Row],[Volume]]</f>
        <v>0</v>
      </c>
      <c r="AG85" s="1">
        <f>Table1[[#This Row],[Nozzle Mass]]/Table1[[#This Row],[Volume]]</f>
        <v>0</v>
      </c>
      <c r="AH85" s="1">
        <f>Table1[[#This Row],[Nozzle Mass]]/Table1[[#This Row],[Diameter]]</f>
        <v>0</v>
      </c>
      <c r="AI85" s="3">
        <f>Table1[[#This Row],[Additional Mass]]/Table1[[#This Row],[Volume]]</f>
        <v>0</v>
      </c>
      <c r="AJ85" s="3">
        <f>Table1[[#This Row],[Igniter Mass]]/Table1[[#This Row],[Volume]]</f>
        <v>0</v>
      </c>
      <c r="AK85" s="3">
        <f>Table1[[#This Row],[Dry Mass]]/Table1[[#This Row],[Volume]]</f>
        <v>0.78996486016718659</v>
      </c>
      <c r="AL85" s="3">
        <f>Table1[[#This Row],[Avg Thrust]]/Table1[[#This Row],[Volume]]</f>
        <v>0.62886700675862361</v>
      </c>
      <c r="AM85" s="3"/>
    </row>
    <row r="86" spans="1:39" x14ac:dyDescent="0.25">
      <c r="A86" s="1" t="s">
        <v>152</v>
      </c>
      <c r="B86" s="1" t="s">
        <v>88</v>
      </c>
      <c r="C86" s="1" t="s">
        <v>101</v>
      </c>
      <c r="D86" s="1">
        <v>1984</v>
      </c>
      <c r="E86" s="1">
        <v>94.079853</v>
      </c>
      <c r="F86" s="1">
        <v>127.00576</v>
      </c>
      <c r="G86" s="1">
        <v>2.032</v>
      </c>
      <c r="H86" s="1">
        <v>1.2445999999999999</v>
      </c>
      <c r="I86" s="1">
        <v>2429.9830624000001</v>
      </c>
      <c r="J86" s="1" t="s">
        <v>141</v>
      </c>
      <c r="K86" s="1">
        <v>88.2</v>
      </c>
      <c r="L86" s="1">
        <v>77.176617000000007</v>
      </c>
      <c r="M86" s="1">
        <v>285.3</v>
      </c>
      <c r="N86" s="1" t="s">
        <v>93</v>
      </c>
      <c r="P86" s="1">
        <v>0.11404599999999999</v>
      </c>
      <c r="Q86" s="1">
        <v>0.63652399999999998</v>
      </c>
      <c r="S86" s="1">
        <v>31.2</v>
      </c>
      <c r="T86" s="1">
        <v>543</v>
      </c>
      <c r="U86" s="1">
        <v>607</v>
      </c>
      <c r="V86" s="1" t="s">
        <v>48</v>
      </c>
      <c r="Y86" s="1">
        <v>69.671731199999996</v>
      </c>
      <c r="Z86" s="1">
        <v>38.283164800000002</v>
      </c>
      <c r="AA86" s="1">
        <v>19.050864000000001</v>
      </c>
      <c r="AC86" s="1">
        <v>0.94</v>
      </c>
      <c r="AE86" s="1">
        <f>(PI()*(Table1[[#This Row],[Diameter]]/2)^2*Table1[[#This Row],[Length]])*1000</f>
        <v>2472.1406636602028</v>
      </c>
      <c r="AF86" s="1">
        <f>Table1[[#This Row],[Case Mass]]/Table1[[#This Row],[Volume]]</f>
        <v>2.8182753604661558E-2</v>
      </c>
      <c r="AG86" s="1">
        <f>Table1[[#This Row],[Nozzle Mass]]/Table1[[#This Row],[Volume]]</f>
        <v>1.548583596506143E-2</v>
      </c>
      <c r="AH86" s="1">
        <f>Table1[[#This Row],[Nozzle Mass]]/Table1[[#This Row],[Diameter]]</f>
        <v>30.759412502008679</v>
      </c>
      <c r="AI86" s="3">
        <f>Table1[[#This Row],[Additional Mass]]/Table1[[#This Row],[Volume]]</f>
        <v>7.706221688774645E-3</v>
      </c>
      <c r="AJ86" s="3">
        <f>Table1[[#This Row],[Igniter Mass]]/Table1[[#This Row],[Volume]]</f>
        <v>0</v>
      </c>
      <c r="AK86" s="3">
        <f>Table1[[#This Row],[Dry Mass]]/Table1[[#This Row],[Volume]]</f>
        <v>5.1374811258497632E-2</v>
      </c>
      <c r="AL86" s="3">
        <f>Table1[[#This Row],[Avg Thrust]]/Table1[[#This Row],[Volume]]</f>
        <v>3.1218537898945374E-2</v>
      </c>
      <c r="AM86" s="3"/>
    </row>
    <row r="87" spans="1:39" x14ac:dyDescent="0.25">
      <c r="A87" s="1" t="s">
        <v>154</v>
      </c>
      <c r="B87" s="1" t="s">
        <v>88</v>
      </c>
      <c r="C87" s="1" t="s">
        <v>101</v>
      </c>
      <c r="D87" s="1">
        <v>1984</v>
      </c>
      <c r="E87" s="1">
        <v>96.303962999999996</v>
      </c>
      <c r="F87" s="1">
        <v>133.49212560000001</v>
      </c>
      <c r="G87" s="1">
        <v>2.2351999999999999</v>
      </c>
      <c r="H87" s="1">
        <v>1.2445999999999999</v>
      </c>
      <c r="I87" s="1">
        <v>2429.9830624000001</v>
      </c>
      <c r="J87" s="1" t="s">
        <v>141</v>
      </c>
      <c r="K87" s="1">
        <v>88.2</v>
      </c>
      <c r="L87" s="1">
        <v>78.955905000000001</v>
      </c>
      <c r="M87" s="1">
        <v>291.89999999999998</v>
      </c>
      <c r="N87" s="1" t="s">
        <v>93</v>
      </c>
      <c r="P87" s="1">
        <v>0.11404599999999999</v>
      </c>
      <c r="Q87" s="1">
        <v>0.74929999999999997</v>
      </c>
      <c r="S87" s="1">
        <v>43.1</v>
      </c>
      <c r="T87" s="1">
        <v>543</v>
      </c>
      <c r="U87" s="1">
        <v>607</v>
      </c>
      <c r="V87" s="1" t="s">
        <v>48</v>
      </c>
      <c r="Y87" s="1">
        <v>69.671731199999996</v>
      </c>
      <c r="Z87" s="1">
        <v>46.175665599999995</v>
      </c>
      <c r="AA87" s="1">
        <v>17.644728799999999</v>
      </c>
      <c r="AC87" s="1">
        <v>0.94</v>
      </c>
      <c r="AE87" s="1">
        <f>(PI()*(Table1[[#This Row],[Diameter]]/2)^2*Table1[[#This Row],[Length]])*1000</f>
        <v>2719.354730026223</v>
      </c>
      <c r="AF87" s="1">
        <f>Table1[[#This Row],[Case Mass]]/Table1[[#This Row],[Volume]]</f>
        <v>2.562068509514687E-2</v>
      </c>
      <c r="AG87" s="1">
        <f>Table1[[#This Row],[Nozzle Mass]]/Table1[[#This Row],[Volume]]</f>
        <v>1.6980375928944996E-2</v>
      </c>
      <c r="AH87" s="1">
        <f>Table1[[#This Row],[Nozzle Mass]]/Table1[[#This Row],[Diameter]]</f>
        <v>37.100807970432264</v>
      </c>
      <c r="AI87" s="3">
        <f>Table1[[#This Row],[Additional Mass]]/Table1[[#This Row],[Volume]]</f>
        <v>6.4885719414141492E-3</v>
      </c>
      <c r="AJ87" s="3">
        <f>Table1[[#This Row],[Igniter Mass]]/Table1[[#This Row],[Volume]]</f>
        <v>0</v>
      </c>
      <c r="AK87" s="3">
        <f>Table1[[#This Row],[Dry Mass]]/Table1[[#This Row],[Volume]]</f>
        <v>4.9089632965506023E-2</v>
      </c>
      <c r="AL87" s="3">
        <f>Table1[[#This Row],[Avg Thrust]]/Table1[[#This Row],[Volume]]</f>
        <v>2.9034794220921159E-2</v>
      </c>
      <c r="AM87" s="3"/>
    </row>
    <row r="88" spans="1:39" x14ac:dyDescent="0.25">
      <c r="A88" s="1" t="s">
        <v>153</v>
      </c>
      <c r="B88" s="1" t="s">
        <v>88</v>
      </c>
      <c r="C88" s="1" t="s">
        <v>101</v>
      </c>
      <c r="D88" s="1">
        <v>1984</v>
      </c>
      <c r="E88" s="1">
        <v>76.1090442</v>
      </c>
      <c r="F88" s="1">
        <v>111.31147680000001</v>
      </c>
      <c r="G88" s="1">
        <v>1.8288</v>
      </c>
      <c r="H88" s="1">
        <v>1.2445999999999999</v>
      </c>
      <c r="I88" s="1">
        <v>2009.9568703999998</v>
      </c>
      <c r="J88" s="1" t="s">
        <v>141</v>
      </c>
      <c r="K88" s="1">
        <v>85.2</v>
      </c>
      <c r="L88" s="1">
        <v>67.168121999999997</v>
      </c>
      <c r="M88" s="1">
        <v>287.89999999999998</v>
      </c>
      <c r="N88" s="1" t="s">
        <v>93</v>
      </c>
      <c r="P88" s="1">
        <v>0.101092</v>
      </c>
      <c r="Q88" s="1">
        <v>0.63652399999999998</v>
      </c>
      <c r="S88" s="1">
        <v>39.6</v>
      </c>
      <c r="T88" s="1">
        <v>579</v>
      </c>
      <c r="U88" s="1">
        <v>618</v>
      </c>
      <c r="V88" s="1" t="s">
        <v>48</v>
      </c>
      <c r="Y88" s="1">
        <v>58.286572</v>
      </c>
      <c r="Z88" s="1">
        <v>36.8316704</v>
      </c>
      <c r="AA88" s="1">
        <v>16.193234400000001</v>
      </c>
      <c r="AC88" s="1">
        <v>0.94</v>
      </c>
      <c r="AE88" s="1">
        <f>(PI()*(Table1[[#This Row],[Diameter]]/2)^2*Table1[[#This Row],[Length]])*1000</f>
        <v>2224.9265972941826</v>
      </c>
      <c r="AF88" s="1">
        <f>Table1[[#This Row],[Case Mass]]/Table1[[#This Row],[Volume]]</f>
        <v>2.6197076375860898E-2</v>
      </c>
      <c r="AG88" s="1">
        <f>Table1[[#This Row],[Nozzle Mass]]/Table1[[#This Row],[Volume]]</f>
        <v>1.6554105849960348E-2</v>
      </c>
      <c r="AH88" s="1">
        <f>Table1[[#This Row],[Nozzle Mass]]/Table1[[#This Row],[Diameter]]</f>
        <v>29.593178852643423</v>
      </c>
      <c r="AI88" s="3">
        <f>Table1[[#This Row],[Additional Mass]]/Table1[[#This Row],[Volume]]</f>
        <v>7.2780982616204989E-3</v>
      </c>
      <c r="AJ88" s="3">
        <f>Table1[[#This Row],[Igniter Mass]]/Table1[[#This Row],[Volume]]</f>
        <v>0</v>
      </c>
      <c r="AK88" s="3">
        <f>Table1[[#This Row],[Dry Mass]]/Table1[[#This Row],[Volume]]</f>
        <v>5.0029280487441749E-2</v>
      </c>
      <c r="AL88" s="3">
        <f>Table1[[#This Row],[Avg Thrust]]/Table1[[#This Row],[Volume]]</f>
        <v>3.0188915931737115E-2</v>
      </c>
      <c r="AM88" s="3"/>
    </row>
    <row r="89" spans="1:39" x14ac:dyDescent="0.25">
      <c r="A89" s="1" t="s">
        <v>155</v>
      </c>
      <c r="B89" s="1" t="s">
        <v>88</v>
      </c>
      <c r="C89" s="1" t="s">
        <v>101</v>
      </c>
      <c r="D89" s="1">
        <v>1984</v>
      </c>
      <c r="E89" s="1">
        <v>77.799367799999999</v>
      </c>
      <c r="F89" s="1">
        <v>116.9360176</v>
      </c>
      <c r="G89" s="1">
        <v>2.032</v>
      </c>
      <c r="H89" s="1">
        <v>1.2445999999999999</v>
      </c>
      <c r="I89" s="1">
        <v>2009.9568703999998</v>
      </c>
      <c r="J89" s="1" t="s">
        <v>141</v>
      </c>
      <c r="K89" s="1">
        <v>85.2</v>
      </c>
      <c r="L89" s="1">
        <v>68.636034600000002</v>
      </c>
      <c r="M89" s="1">
        <v>294.2</v>
      </c>
      <c r="N89" s="1" t="s">
        <v>93</v>
      </c>
      <c r="P89" s="1">
        <v>0.101092</v>
      </c>
      <c r="Q89" s="1">
        <v>0.74929999999999997</v>
      </c>
      <c r="S89" s="1">
        <v>54.8</v>
      </c>
      <c r="T89" s="1">
        <v>579</v>
      </c>
      <c r="U89" s="1">
        <v>618</v>
      </c>
      <c r="V89" s="1" t="s">
        <v>48</v>
      </c>
      <c r="Y89" s="1">
        <v>58.286572</v>
      </c>
      <c r="Z89" s="1">
        <v>43.8169872</v>
      </c>
      <c r="AA89" s="1">
        <v>14.832458400000002</v>
      </c>
      <c r="AC89" s="1">
        <v>0.94</v>
      </c>
      <c r="AE89" s="1">
        <f>(PI()*(Table1[[#This Row],[Diameter]]/2)^2*Table1[[#This Row],[Length]])*1000</f>
        <v>2472.1406636602028</v>
      </c>
      <c r="AF89" s="1">
        <f>Table1[[#This Row],[Case Mass]]/Table1[[#This Row],[Volume]]</f>
        <v>2.3577368738274807E-2</v>
      </c>
      <c r="AG89" s="1">
        <f>Table1[[#This Row],[Nozzle Mass]]/Table1[[#This Row],[Volume]]</f>
        <v>1.7724309884181683E-2</v>
      </c>
      <c r="AH89" s="1">
        <f>Table1[[#This Row],[Nozzle Mass]]/Table1[[#This Row],[Diameter]]</f>
        <v>35.205678290213726</v>
      </c>
      <c r="AI89" s="3">
        <f>Table1[[#This Row],[Additional Mass]]/Table1[[#This Row],[Volume]]</f>
        <v>5.9998440291174028E-3</v>
      </c>
      <c r="AJ89" s="3">
        <f>Table1[[#This Row],[Igniter Mass]]/Table1[[#This Row],[Volume]]</f>
        <v>0</v>
      </c>
      <c r="AK89" s="3">
        <f>Table1[[#This Row],[Dry Mass]]/Table1[[#This Row],[Volume]]</f>
        <v>4.7301522651573891E-2</v>
      </c>
      <c r="AL89" s="3">
        <f>Table1[[#This Row],[Avg Thrust]]/Table1[[#This Row],[Volume]]</f>
        <v>2.7763806327419427E-2</v>
      </c>
      <c r="AM89" s="3"/>
    </row>
    <row r="90" spans="1:39" x14ac:dyDescent="0.25">
      <c r="A90" s="1" t="s">
        <v>156</v>
      </c>
      <c r="B90" s="1" t="s">
        <v>88</v>
      </c>
      <c r="C90" s="1" t="s">
        <v>101</v>
      </c>
      <c r="D90" s="1">
        <v>1993</v>
      </c>
      <c r="E90" s="1">
        <v>77.799367799999999</v>
      </c>
      <c r="F90" s="1">
        <v>138.57235599999998</v>
      </c>
      <c r="G90" s="1">
        <v>2.07518</v>
      </c>
      <c r="H90" s="1">
        <v>1.2445999999999999</v>
      </c>
      <c r="I90" s="1">
        <v>2009.9568703999998</v>
      </c>
      <c r="J90" s="1" t="s">
        <v>141</v>
      </c>
      <c r="K90" s="1">
        <v>85.2</v>
      </c>
      <c r="L90" s="1">
        <v>68.636034600000002</v>
      </c>
      <c r="M90" s="1">
        <v>294.2</v>
      </c>
      <c r="N90" s="1" t="s">
        <v>93</v>
      </c>
      <c r="P90" s="1">
        <v>0.101092</v>
      </c>
      <c r="Q90" s="1">
        <v>0.74929999999999997</v>
      </c>
      <c r="S90" s="1">
        <v>54.8</v>
      </c>
      <c r="T90" s="1">
        <v>579</v>
      </c>
      <c r="U90" s="1">
        <v>618</v>
      </c>
      <c r="V90" s="1" t="s">
        <v>47</v>
      </c>
      <c r="X90" s="1">
        <v>21.6363384</v>
      </c>
      <c r="Y90" s="1">
        <v>58.286572</v>
      </c>
      <c r="Z90" s="1">
        <v>52.616672000000001</v>
      </c>
      <c r="AA90" s="1">
        <v>27.669111999999998</v>
      </c>
      <c r="AC90" s="1">
        <v>0.93</v>
      </c>
      <c r="AE90" s="1">
        <f>(PI()*(Table1[[#This Row],[Diameter]]/2)^2*Table1[[#This Row],[Length]])*1000</f>
        <v>2524.6736527629823</v>
      </c>
      <c r="AF90" s="1">
        <f>Table1[[#This Row],[Case Mass]]/Table1[[#This Row],[Volume]]</f>
        <v>2.3086774774320494E-2</v>
      </c>
      <c r="AG90" s="1">
        <f>Table1[[#This Row],[Nozzle Mass]]/Table1[[#This Row],[Volume]]</f>
        <v>2.0840979562810721E-2</v>
      </c>
      <c r="AH90" s="1">
        <f>Table1[[#This Row],[Nozzle Mass]]/Table1[[#This Row],[Diameter]]</f>
        <v>42.275969789490603</v>
      </c>
      <c r="AI90" s="3">
        <f>Table1[[#This Row],[Additional Mass]]/Table1[[#This Row],[Volume]]</f>
        <v>1.0959480632167704E-2</v>
      </c>
      <c r="AJ90" s="3">
        <f>Table1[[#This Row],[Igniter Mass]]/Table1[[#This Row],[Volume]]</f>
        <v>0</v>
      </c>
      <c r="AK90" s="3">
        <f>Table1[[#This Row],[Dry Mass]]/Table1[[#This Row],[Volume]]</f>
        <v>5.4887234969298912E-2</v>
      </c>
      <c r="AL90" s="3">
        <f>Table1[[#This Row],[Avg Thrust]]/Table1[[#This Row],[Volume]]</f>
        <v>2.7186101666995765E-2</v>
      </c>
      <c r="AM90" s="3"/>
    </row>
    <row r="91" spans="1:39" x14ac:dyDescent="0.25">
      <c r="A91" s="1" t="s">
        <v>96</v>
      </c>
      <c r="B91" s="1" t="s">
        <v>104</v>
      </c>
      <c r="C91" s="1" t="s">
        <v>97</v>
      </c>
      <c r="D91" s="1">
        <v>2000</v>
      </c>
      <c r="E91" s="1">
        <v>0.30692718000000002</v>
      </c>
      <c r="F91" s="1">
        <v>0.48534344000000001</v>
      </c>
      <c r="G91" s="1">
        <v>0.13792199999999999</v>
      </c>
      <c r="H91" s="1">
        <v>0.11303000000000001</v>
      </c>
      <c r="I91" s="1">
        <v>0.97975872000000008</v>
      </c>
      <c r="J91" s="1" t="s">
        <v>98</v>
      </c>
      <c r="K91" s="1">
        <v>10.8</v>
      </c>
      <c r="L91" s="1">
        <v>0.25799675999999999</v>
      </c>
      <c r="M91" s="1">
        <v>275.60000000000002</v>
      </c>
      <c r="N91" s="1" t="s">
        <v>99</v>
      </c>
      <c r="P91" s="1">
        <v>3.8099999999999996E-3</v>
      </c>
      <c r="Q91" s="1">
        <v>2.8701999999999995E-2</v>
      </c>
      <c r="S91" s="1">
        <v>56.8</v>
      </c>
      <c r="T91" s="1">
        <v>2185</v>
      </c>
      <c r="U91" s="1">
        <v>2600</v>
      </c>
      <c r="V91" s="1" t="s">
        <v>48</v>
      </c>
      <c r="Y91" s="1">
        <v>0.22226008</v>
      </c>
      <c r="Z91" s="1">
        <v>0.20865232</v>
      </c>
      <c r="AA91" s="1">
        <v>7.7110640000000008E-2</v>
      </c>
      <c r="AC91" s="1">
        <v>0.65</v>
      </c>
      <c r="AE91" s="1">
        <f>(PI()*(Table1[[#This Row],[Diameter]]/2)^2*Table1[[#This Row],[Length]])*1000</f>
        <v>1.3839196721276148</v>
      </c>
      <c r="AF91" s="1">
        <f>Table1[[#This Row],[Case Mass]]/Table1[[#This Row],[Volume]]</f>
        <v>0.16060186474428903</v>
      </c>
      <c r="AG91" s="1">
        <f>Table1[[#This Row],[Nozzle Mass]]/Table1[[#This Row],[Volume]]</f>
        <v>0.15076909751504683</v>
      </c>
      <c r="AH91" s="1">
        <f>Table1[[#This Row],[Nozzle Mass]]/Table1[[#This Row],[Diameter]]</f>
        <v>1.8459906219587718</v>
      </c>
      <c r="AI91" s="3">
        <f>Table1[[#This Row],[Additional Mass]]/Table1[[#This Row],[Volume]]</f>
        <v>5.5719014299039055E-2</v>
      </c>
      <c r="AJ91" s="3">
        <f>Table1[[#This Row],[Igniter Mass]]/Table1[[#This Row],[Volume]]</f>
        <v>0</v>
      </c>
      <c r="AK91" s="3">
        <f>Table1[[#This Row],[Dry Mass]]/Table1[[#This Row],[Volume]]</f>
        <v>0.35070203117630461</v>
      </c>
      <c r="AL91" s="3">
        <f>Table1[[#This Row],[Avg Thrust]]/Table1[[#This Row],[Volume]]</f>
        <v>0.18642466408715769</v>
      </c>
      <c r="AM91" s="3"/>
    </row>
    <row r="92" spans="1:39" x14ac:dyDescent="0.25">
      <c r="A92" s="1" t="s">
        <v>100</v>
      </c>
      <c r="B92" s="1" t="s">
        <v>104</v>
      </c>
      <c r="C92" s="1" t="s">
        <v>101</v>
      </c>
      <c r="D92" s="1">
        <v>1988</v>
      </c>
      <c r="E92" s="1">
        <v>0.16903235999999999</v>
      </c>
      <c r="F92" s="1">
        <v>2.3042473600000002</v>
      </c>
      <c r="G92" s="1">
        <v>0.22453599999999999</v>
      </c>
      <c r="H92" s="1">
        <v>0.130302</v>
      </c>
      <c r="I92" s="1">
        <v>2.2906396</v>
      </c>
      <c r="J92" s="1" t="s">
        <v>98</v>
      </c>
      <c r="K92" s="1">
        <v>35.6</v>
      </c>
      <c r="L92" s="1">
        <v>0.16903235999999999</v>
      </c>
      <c r="M92" s="1">
        <v>255.3</v>
      </c>
      <c r="N92" s="1" t="s">
        <v>102</v>
      </c>
      <c r="P92" s="1">
        <v>6.0959999999999999E-3</v>
      </c>
      <c r="Q92" s="1">
        <v>3.26136E-2</v>
      </c>
      <c r="S92" s="1">
        <v>28.6</v>
      </c>
      <c r="T92" s="1">
        <v>453</v>
      </c>
      <c r="U92" s="1">
        <v>516</v>
      </c>
      <c r="V92" s="1" t="s">
        <v>48</v>
      </c>
      <c r="Y92" s="1">
        <v>0.91625584000000004</v>
      </c>
      <c r="Z92" s="1">
        <v>0.25854743999999996</v>
      </c>
      <c r="AA92" s="1">
        <f>(5.08-Table1[[#This Row],[Nozzle Mass]]-Table1[[#This Row],[Nozzle Mass]])*0.453592</f>
        <v>2.0696972591910399</v>
      </c>
      <c r="AC92" s="1">
        <v>0.49</v>
      </c>
      <c r="AE92" s="1">
        <f>(PI()*(Table1[[#This Row],[Diameter]]/2)^2*Table1[[#This Row],[Length]])*1000</f>
        <v>2.9941808366424207</v>
      </c>
      <c r="AF92" s="1">
        <f>Table1[[#This Row],[Case Mass]]/Table1[[#This Row],[Volume]]</f>
        <v>0.30601219164419613</v>
      </c>
      <c r="AG92" s="1">
        <f>Table1[[#This Row],[Nozzle Mass]]/Table1[[#This Row],[Volume]]</f>
        <v>8.6349974869896914E-2</v>
      </c>
      <c r="AH92" s="1">
        <f>Table1[[#This Row],[Nozzle Mass]]/Table1[[#This Row],[Diameter]]</f>
        <v>1.9842169728783898</v>
      </c>
      <c r="AI92" s="3">
        <f>Table1[[#This Row],[Additional Mass]]/Table1[[#This Row],[Volume]]</f>
        <v>0.69123989902758598</v>
      </c>
      <c r="AJ92" s="3">
        <f>Table1[[#This Row],[Igniter Mass]]/Table1[[#This Row],[Volume]]</f>
        <v>0</v>
      </c>
      <c r="AK92" s="3">
        <f>Table1[[#This Row],[Dry Mass]]/Table1[[#This Row],[Volume]]</f>
        <v>0.7695752146299587</v>
      </c>
      <c r="AL92" s="3">
        <f>Table1[[#This Row],[Avg Thrust]]/Table1[[#This Row],[Volume]]</f>
        <v>5.6453624287285037E-2</v>
      </c>
      <c r="AM92" s="3"/>
    </row>
    <row r="93" spans="1:39" x14ac:dyDescent="0.25">
      <c r="A93" s="1" t="s">
        <v>103</v>
      </c>
      <c r="B93" s="1" t="s">
        <v>104</v>
      </c>
      <c r="C93" s="1" t="s">
        <v>106</v>
      </c>
      <c r="D93" s="1">
        <v>1976</v>
      </c>
      <c r="E93" s="1">
        <v>2.0239400999999999</v>
      </c>
      <c r="F93" s="1">
        <v>2.34053472</v>
      </c>
      <c r="G93" s="1">
        <v>0.34112199999999998</v>
      </c>
      <c r="H93" s="1">
        <v>0.12115799999999999</v>
      </c>
      <c r="I93" s="1">
        <v>2.0638435999999998</v>
      </c>
      <c r="J93" s="1" t="s">
        <v>123</v>
      </c>
      <c r="K93" s="1">
        <v>2.94</v>
      </c>
      <c r="L93" s="1">
        <v>1.9527685800000001</v>
      </c>
      <c r="M93" s="1">
        <v>275.2</v>
      </c>
      <c r="N93" s="1" t="s">
        <v>17</v>
      </c>
      <c r="P93" s="1">
        <v>1.22682E-2</v>
      </c>
      <c r="Q93" s="1">
        <v>5.9435999999999996E-2</v>
      </c>
      <c r="S93" s="1">
        <v>23.51</v>
      </c>
      <c r="T93" s="1">
        <v>1348</v>
      </c>
      <c r="U93" s="1">
        <v>1390</v>
      </c>
      <c r="V93" s="1" t="s">
        <v>48</v>
      </c>
      <c r="Y93" s="1">
        <v>1.9232300800000002</v>
      </c>
      <c r="Z93" s="1">
        <v>0.18143680000000001</v>
      </c>
      <c r="AA93" s="1">
        <v>0.23586784</v>
      </c>
      <c r="AC93" s="1">
        <v>0.46</v>
      </c>
      <c r="AE93" s="1">
        <f>(PI()*(Table1[[#This Row],[Diameter]]/2)^2*Table1[[#This Row],[Length]])*1000</f>
        <v>3.932817574876033</v>
      </c>
      <c r="AF93" s="1">
        <f>Table1[[#This Row],[Case Mass]]/Table1[[#This Row],[Volume]]</f>
        <v>0.48902092288392568</v>
      </c>
      <c r="AG93" s="1">
        <f>Table1[[#This Row],[Nozzle Mass]]/Table1[[#This Row],[Volume]]</f>
        <v>4.6134049328672232E-2</v>
      </c>
      <c r="AH93" s="1">
        <f>Table1[[#This Row],[Nozzle Mass]]/Table1[[#This Row],[Diameter]]</f>
        <v>1.4975222436818041</v>
      </c>
      <c r="AI93" s="3">
        <f>Table1[[#This Row],[Additional Mass]]/Table1[[#This Row],[Volume]]</f>
        <v>5.9974264127273899E-2</v>
      </c>
      <c r="AJ93" s="3">
        <f>Table1[[#This Row],[Igniter Mass]]/Table1[[#This Row],[Volume]]</f>
        <v>0</v>
      </c>
      <c r="AK93" s="3">
        <f>Table1[[#This Row],[Dry Mass]]/Table1[[#This Row],[Volume]]</f>
        <v>0.5951292363398718</v>
      </c>
      <c r="AL93" s="3">
        <f>Table1[[#This Row],[Avg Thrust]]/Table1[[#This Row],[Volume]]</f>
        <v>0.4965316958698634</v>
      </c>
      <c r="AM93" s="3"/>
    </row>
    <row r="94" spans="1:39" x14ac:dyDescent="0.25">
      <c r="A94" s="1" t="s">
        <v>105</v>
      </c>
      <c r="B94" s="1" t="s">
        <v>104</v>
      </c>
      <c r="C94" s="1" t="s">
        <v>85</v>
      </c>
      <c r="D94" s="1">
        <v>1989</v>
      </c>
      <c r="E94" s="1">
        <v>2.18852424</v>
      </c>
      <c r="F94" s="1">
        <v>2.34053472</v>
      </c>
      <c r="G94" s="1">
        <v>0.34112199999999998</v>
      </c>
      <c r="H94" s="1">
        <v>0.12115799999999999</v>
      </c>
      <c r="I94" s="1">
        <v>2.0955950400000001</v>
      </c>
      <c r="J94" s="1" t="s">
        <v>107</v>
      </c>
      <c r="K94" s="1">
        <v>2.77</v>
      </c>
      <c r="L94" s="1">
        <v>2.0417329799999999</v>
      </c>
      <c r="M94" s="1">
        <v>270</v>
      </c>
      <c r="N94" s="1" t="s">
        <v>17</v>
      </c>
      <c r="P94" s="1">
        <v>1.22682E-2</v>
      </c>
      <c r="Q94" s="1">
        <v>5.9435999999999996E-2</v>
      </c>
      <c r="S94" s="1">
        <v>23.5</v>
      </c>
      <c r="T94" s="1">
        <v>1388</v>
      </c>
      <c r="U94" s="1">
        <v>1434</v>
      </c>
      <c r="V94" s="1" t="s">
        <v>48</v>
      </c>
      <c r="Y94" s="1">
        <v>1.9232300800000002</v>
      </c>
      <c r="Z94" s="1">
        <v>0.18143680000000001</v>
      </c>
      <c r="AA94" s="1">
        <v>0.23586784</v>
      </c>
      <c r="AC94" s="1">
        <v>0.47</v>
      </c>
      <c r="AE94" s="1">
        <f>(PI()*(Table1[[#This Row],[Diameter]]/2)^2*Table1[[#This Row],[Length]])*1000</f>
        <v>3.932817574876033</v>
      </c>
      <c r="AF94" s="1">
        <f>Table1[[#This Row],[Case Mass]]/Table1[[#This Row],[Volume]]</f>
        <v>0.48902092288392568</v>
      </c>
      <c r="AG94" s="1">
        <f>Table1[[#This Row],[Nozzle Mass]]/Table1[[#This Row],[Volume]]</f>
        <v>4.6134049328672232E-2</v>
      </c>
      <c r="AH94" s="1">
        <f>Table1[[#This Row],[Nozzle Mass]]/Table1[[#This Row],[Diameter]]</f>
        <v>1.4975222436818041</v>
      </c>
      <c r="AI94" s="3">
        <f>Table1[[#This Row],[Additional Mass]]/Table1[[#This Row],[Volume]]</f>
        <v>5.9974264127273899E-2</v>
      </c>
      <c r="AJ94" s="3">
        <f>Table1[[#This Row],[Igniter Mass]]/Table1[[#This Row],[Volume]]</f>
        <v>0</v>
      </c>
      <c r="AK94" s="3">
        <f>Table1[[#This Row],[Dry Mass]]/Table1[[#This Row],[Volume]]</f>
        <v>0.5951292363398718</v>
      </c>
      <c r="AL94" s="3">
        <f>Table1[[#This Row],[Avg Thrust]]/Table1[[#This Row],[Volume]]</f>
        <v>0.51915272985026717</v>
      </c>
      <c r="AM94" s="3"/>
    </row>
    <row r="95" spans="1:39" x14ac:dyDescent="0.25">
      <c r="A95" s="1" t="s">
        <v>108</v>
      </c>
      <c r="B95" s="1" t="s">
        <v>104</v>
      </c>
      <c r="C95" s="1" t="s">
        <v>109</v>
      </c>
      <c r="D95" s="1">
        <v>1996</v>
      </c>
      <c r="E95" s="1">
        <v>6.2719902000000003</v>
      </c>
      <c r="F95" s="1">
        <v>3.2295750399999998</v>
      </c>
      <c r="G95" s="1">
        <v>0.83057999999999998</v>
      </c>
      <c r="H95" s="1">
        <v>0.12395199999999999</v>
      </c>
      <c r="I95" s="1">
        <v>6.9036702400000003</v>
      </c>
      <c r="J95" s="1" t="s">
        <v>123</v>
      </c>
      <c r="K95" s="1">
        <v>3.28</v>
      </c>
      <c r="L95" s="1">
        <v>5.5647232200000003</v>
      </c>
      <c r="M95" s="1">
        <v>259.5</v>
      </c>
      <c r="N95" s="1" t="s">
        <v>93</v>
      </c>
      <c r="O95" s="1" t="s">
        <v>110</v>
      </c>
      <c r="P95" s="1">
        <v>2.2072599999999998E-2</v>
      </c>
      <c r="Q95" s="1">
        <v>5.9563000000000005E-2</v>
      </c>
      <c r="S95" s="1">
        <v>7.3</v>
      </c>
      <c r="T95" s="1">
        <v>1299</v>
      </c>
      <c r="U95" s="1">
        <v>1406</v>
      </c>
      <c r="V95" s="1" t="s">
        <v>48</v>
      </c>
      <c r="Y95" s="1">
        <v>2.6898005599999997</v>
      </c>
      <c r="Z95" s="1">
        <v>0.63502879999999995</v>
      </c>
      <c r="AA95" s="1">
        <v>0</v>
      </c>
      <c r="AC95" s="1">
        <v>0.68</v>
      </c>
      <c r="AE95" s="1">
        <f>(PI()*(Table1[[#This Row],[Diameter]]/2)^2*Table1[[#This Row],[Length]])*1000</f>
        <v>10.02255453194447</v>
      </c>
      <c r="AF95" s="1">
        <f>Table1[[#This Row],[Case Mass]]/Table1[[#This Row],[Volume]]</f>
        <v>0.26837474931435001</v>
      </c>
      <c r="AG95" s="1">
        <f>Table1[[#This Row],[Nozzle Mass]]/Table1[[#This Row],[Volume]]</f>
        <v>6.3359974543016867E-2</v>
      </c>
      <c r="AH95" s="1">
        <f>Table1[[#This Row],[Nozzle Mass]]/Table1[[#This Row],[Diameter]]</f>
        <v>5.1231831676778103</v>
      </c>
      <c r="AI95" s="3">
        <f>Table1[[#This Row],[Additional Mass]]/Table1[[#This Row],[Volume]]</f>
        <v>0</v>
      </c>
      <c r="AJ95" s="3">
        <f>Table1[[#This Row],[Igniter Mass]]/Table1[[#This Row],[Volume]]</f>
        <v>0</v>
      </c>
      <c r="AK95" s="3">
        <f>Table1[[#This Row],[Dry Mass]]/Table1[[#This Row],[Volume]]</f>
        <v>0.32223072767591437</v>
      </c>
      <c r="AL95" s="3">
        <f>Table1[[#This Row],[Avg Thrust]]/Table1[[#This Row],[Volume]]</f>
        <v>0.55522004916648648</v>
      </c>
      <c r="AM95" s="3"/>
    </row>
    <row r="96" spans="1:39" x14ac:dyDescent="0.25">
      <c r="A96" s="1" t="s">
        <v>111</v>
      </c>
      <c r="B96" s="1" t="s">
        <v>104</v>
      </c>
      <c r="C96" s="1" t="s">
        <v>112</v>
      </c>
      <c r="D96" s="1">
        <v>2011</v>
      </c>
      <c r="E96" s="1">
        <v>6.0629238600000006</v>
      </c>
      <c r="F96" s="1">
        <v>10.21942776</v>
      </c>
      <c r="G96" s="1">
        <v>0.94640399999999991</v>
      </c>
      <c r="H96" s="1">
        <v>0.12318999999999998</v>
      </c>
      <c r="I96" s="1">
        <v>3.81924464</v>
      </c>
      <c r="J96" s="1" t="s">
        <v>116</v>
      </c>
      <c r="K96" s="1">
        <v>1.93</v>
      </c>
      <c r="L96" s="1">
        <v>5.2844853600000006</v>
      </c>
      <c r="M96" s="1">
        <v>254.2</v>
      </c>
      <c r="N96" s="1" t="s">
        <v>113</v>
      </c>
      <c r="O96" s="1" t="s">
        <v>114</v>
      </c>
      <c r="P96" s="1">
        <v>2.1589999999999998E-2</v>
      </c>
      <c r="Q96" s="1">
        <v>6.4769999999999994E-2</v>
      </c>
      <c r="S96" s="1">
        <v>9.1</v>
      </c>
      <c r="T96" s="1">
        <v>1315</v>
      </c>
      <c r="U96" s="1">
        <v>1757</v>
      </c>
      <c r="V96" s="1" t="s">
        <v>48</v>
      </c>
      <c r="Y96" s="1">
        <v>0</v>
      </c>
      <c r="Z96" s="1">
        <v>0</v>
      </c>
      <c r="AA96" s="1">
        <v>0</v>
      </c>
      <c r="AC96" s="1">
        <v>0.27</v>
      </c>
      <c r="AE96" s="1">
        <f>(PI()*(Table1[[#This Row],[Diameter]]/2)^2*Table1[[#This Row],[Length]])*1000</f>
        <v>11.280214523286595</v>
      </c>
      <c r="AF96" s="1">
        <f>Table1[[#This Row],[Case Mass]]/Table1[[#This Row],[Volume]]</f>
        <v>0</v>
      </c>
      <c r="AG96" s="1">
        <f>Table1[[#This Row],[Nozzle Mass]]/Table1[[#This Row],[Volume]]</f>
        <v>0</v>
      </c>
      <c r="AH96" s="1">
        <f>Table1[[#This Row],[Nozzle Mass]]/Table1[[#This Row],[Diameter]]</f>
        <v>0</v>
      </c>
      <c r="AI96" s="3">
        <f>Table1[[#This Row],[Additional Mass]]/Table1[[#This Row],[Volume]]</f>
        <v>0</v>
      </c>
      <c r="AJ96" s="3">
        <f>Table1[[#This Row],[Igniter Mass]]/Table1[[#This Row],[Volume]]</f>
        <v>0</v>
      </c>
      <c r="AK96" s="3">
        <f>Table1[[#This Row],[Dry Mass]]/Table1[[#This Row],[Volume]]</f>
        <v>0.90596040872301375</v>
      </c>
      <c r="AL96" s="3">
        <f>Table1[[#This Row],[Avg Thrust]]/Table1[[#This Row],[Volume]]</f>
        <v>0.46847383523521119</v>
      </c>
      <c r="AM96" s="3"/>
    </row>
    <row r="97" spans="1:39" x14ac:dyDescent="0.25">
      <c r="A97" s="1" t="s">
        <v>157</v>
      </c>
      <c r="B97" s="1" t="s">
        <v>88</v>
      </c>
      <c r="C97" s="1" t="s">
        <v>158</v>
      </c>
      <c r="D97" s="1">
        <v>1978</v>
      </c>
      <c r="E97" s="1">
        <v>118.8119562</v>
      </c>
      <c r="F97" s="1">
        <v>230.424736</v>
      </c>
      <c r="G97" s="1">
        <v>1.778</v>
      </c>
      <c r="H97" s="1">
        <v>1.6001999999999998</v>
      </c>
      <c r="I97" s="1">
        <v>3250.6670679999997</v>
      </c>
      <c r="J97" s="1" t="s">
        <v>159</v>
      </c>
      <c r="K97" s="1">
        <v>108</v>
      </c>
      <c r="L97" s="1">
        <v>84.738591</v>
      </c>
      <c r="M97" s="1">
        <v>285</v>
      </c>
      <c r="N97" s="1" t="s">
        <v>147</v>
      </c>
      <c r="P97" s="1">
        <v>0.10601960000000001</v>
      </c>
      <c r="Q97" s="1">
        <v>0.55422799999999994</v>
      </c>
      <c r="S97" s="1">
        <v>27.3</v>
      </c>
      <c r="T97" s="1">
        <v>607</v>
      </c>
      <c r="U97" s="1">
        <v>957</v>
      </c>
      <c r="V97" s="1" t="s">
        <v>48</v>
      </c>
      <c r="Y97" s="1">
        <v>105.913732</v>
      </c>
      <c r="Z97" s="1">
        <v>60.781328000000002</v>
      </c>
      <c r="AA97" s="1">
        <v>63.729675999999998</v>
      </c>
      <c r="AC97" s="1">
        <v>0.93</v>
      </c>
      <c r="AE97" s="1">
        <f>(PI()*(Table1[[#This Row],[Diameter]]/2)^2*Table1[[#This Row],[Length]])*1000</f>
        <v>3575.7748885085075</v>
      </c>
      <c r="AF97" s="1">
        <f>Table1[[#This Row],[Case Mass]]/Table1[[#This Row],[Volume]]</f>
        <v>2.9619798589775797E-2</v>
      </c>
      <c r="AG97" s="1">
        <f>Table1[[#This Row],[Nozzle Mass]]/Table1[[#This Row],[Volume]]</f>
        <v>1.6998085700342429E-2</v>
      </c>
      <c r="AH97" s="1">
        <f>Table1[[#This Row],[Nozzle Mass]]/Table1[[#This Row],[Diameter]]</f>
        <v>37.983582052243477</v>
      </c>
      <c r="AI97" s="3">
        <f>Table1[[#This Row],[Additional Mass]]/Table1[[#This Row],[Volume]]</f>
        <v>1.7822619708194858E-2</v>
      </c>
      <c r="AJ97" s="3">
        <f>Table1[[#This Row],[Igniter Mass]]/Table1[[#This Row],[Volume]]</f>
        <v>0</v>
      </c>
      <c r="AK97" s="3">
        <f>Table1[[#This Row],[Dry Mass]]/Table1[[#This Row],[Volume]]</f>
        <v>6.4440503998313081E-2</v>
      </c>
      <c r="AL97" s="3">
        <f>Table1[[#This Row],[Avg Thrust]]/Table1[[#This Row],[Volume]]</f>
        <v>2.3697965795421015E-2</v>
      </c>
      <c r="AM97" s="3"/>
    </row>
    <row r="98" spans="1:39" x14ac:dyDescent="0.25">
      <c r="A98" s="1" t="s">
        <v>160</v>
      </c>
      <c r="B98" s="1" t="s">
        <v>88</v>
      </c>
      <c r="C98" s="1" t="s">
        <v>161</v>
      </c>
      <c r="D98" s="1">
        <v>1990</v>
      </c>
      <c r="E98" s="1">
        <v>125.26187520000001</v>
      </c>
      <c r="F98" s="1">
        <v>291.79573359999995</v>
      </c>
      <c r="G98" s="1">
        <v>2.7101799999999998</v>
      </c>
      <c r="H98" s="1">
        <v>1.6027400000000001</v>
      </c>
      <c r="I98" s="1">
        <v>4264.4905472</v>
      </c>
      <c r="J98" s="1" t="s">
        <v>159</v>
      </c>
      <c r="K98" s="1">
        <v>120</v>
      </c>
      <c r="L98" s="1">
        <v>104.62213440000001</v>
      </c>
      <c r="M98" s="1">
        <v>299.60000000000002</v>
      </c>
      <c r="N98" s="1" t="s">
        <v>147</v>
      </c>
      <c r="P98" s="1">
        <v>0.11303000000000001</v>
      </c>
      <c r="Q98" s="1">
        <v>1.0007599999999999</v>
      </c>
      <c r="S98" s="1">
        <v>78.400000000000006</v>
      </c>
      <c r="T98" s="1">
        <v>680</v>
      </c>
      <c r="U98" s="1">
        <v>874</v>
      </c>
      <c r="V98" s="1" t="s">
        <v>48</v>
      </c>
      <c r="Y98" s="1">
        <v>128.50261360000002</v>
      </c>
      <c r="Z98" s="1">
        <v>95.889348800000008</v>
      </c>
      <c r="AA98" s="1">
        <v>67.403771199999994</v>
      </c>
      <c r="AC98" s="1">
        <v>0.93</v>
      </c>
      <c r="AE98" s="1">
        <f>(PI()*(Table1[[#This Row],[Diameter]]/2)^2*Table1[[#This Row],[Length]])*1000</f>
        <v>5467.8194955336949</v>
      </c>
      <c r="AF98" s="1">
        <f>Table1[[#This Row],[Case Mass]]/Table1[[#This Row],[Volume]]</f>
        <v>2.3501619558759287E-2</v>
      </c>
      <c r="AG98" s="1">
        <f>Table1[[#This Row],[Nozzle Mass]]/Table1[[#This Row],[Volume]]</f>
        <v>1.7537036267990514E-2</v>
      </c>
      <c r="AH98" s="1">
        <f>Table1[[#This Row],[Nozzle Mass]]/Table1[[#This Row],[Diameter]]</f>
        <v>59.828386887455238</v>
      </c>
      <c r="AI98" s="3">
        <f>Table1[[#This Row],[Additional Mass]]/Table1[[#This Row],[Volume]]</f>
        <v>1.2327358511936566E-2</v>
      </c>
      <c r="AJ98" s="3">
        <f>Table1[[#This Row],[Igniter Mass]]/Table1[[#This Row],[Volume]]</f>
        <v>0</v>
      </c>
      <c r="AK98" s="3">
        <f>Table1[[#This Row],[Dry Mass]]/Table1[[#This Row],[Volume]]</f>
        <v>5.3366014338686353E-2</v>
      </c>
      <c r="AL98" s="3">
        <f>Table1[[#This Row],[Avg Thrust]]/Table1[[#This Row],[Volume]]</f>
        <v>1.9134160241657393E-2</v>
      </c>
      <c r="AM98" s="3"/>
    </row>
    <row r="99" spans="1:39" x14ac:dyDescent="0.25">
      <c r="A99" s="1" t="s">
        <v>115</v>
      </c>
      <c r="B99" s="1" t="s">
        <v>104</v>
      </c>
      <c r="D99" s="1">
        <v>1984</v>
      </c>
      <c r="E99" s="1">
        <v>2.82017148</v>
      </c>
      <c r="F99" s="1">
        <v>4.0460406400000002</v>
      </c>
      <c r="G99" s="1">
        <v>0.40360600000000002</v>
      </c>
      <c r="H99" s="1">
        <v>0.18592800000000001</v>
      </c>
      <c r="I99" s="1">
        <v>6.1008123999999997</v>
      </c>
      <c r="J99" s="1" t="s">
        <v>107</v>
      </c>
      <c r="K99" s="1">
        <v>7.2</v>
      </c>
      <c r="L99" s="1">
        <v>2.5132443000000002</v>
      </c>
      <c r="M99" s="1">
        <v>274</v>
      </c>
      <c r="N99" s="1" t="s">
        <v>102</v>
      </c>
      <c r="P99" s="1">
        <v>1.6814800000000001E-2</v>
      </c>
      <c r="Q99" s="1">
        <v>9.5503999999999992E-2</v>
      </c>
      <c r="S99" s="1">
        <v>32.1</v>
      </c>
      <c r="T99" s="1">
        <v>846</v>
      </c>
      <c r="U99" s="1">
        <v>907</v>
      </c>
      <c r="V99" s="1" t="s">
        <v>48</v>
      </c>
      <c r="Y99" s="1">
        <v>2.7306238399999998</v>
      </c>
      <c r="Z99" s="1">
        <v>0.36287360000000002</v>
      </c>
      <c r="AA99" s="1">
        <v>0.95254320000000003</v>
      </c>
      <c r="AC99" s="1">
        <v>0.59</v>
      </c>
      <c r="AE99" s="1">
        <f>(PI()*(Table1[[#This Row],[Diameter]]/2)^2*Table1[[#This Row],[Length]])*1000</f>
        <v>10.958146204995252</v>
      </c>
      <c r="AF99" s="1">
        <f>Table1[[#This Row],[Case Mass]]/Table1[[#This Row],[Volume]]</f>
        <v>0.24918665884885252</v>
      </c>
      <c r="AG99" s="1">
        <f>Table1[[#This Row],[Nozzle Mass]]/Table1[[#This Row],[Volume]]</f>
        <v>3.3114506159315951E-2</v>
      </c>
      <c r="AH99" s="1">
        <f>Table1[[#This Row],[Nozzle Mass]]/Table1[[#This Row],[Diameter]]</f>
        <v>1.9516888257820231</v>
      </c>
      <c r="AI99" s="3">
        <f>Table1[[#This Row],[Additional Mass]]/Table1[[#This Row],[Volume]]</f>
        <v>8.6925578668204384E-2</v>
      </c>
      <c r="AJ99" s="3">
        <f>Table1[[#This Row],[Igniter Mass]]/Table1[[#This Row],[Volume]]</f>
        <v>0</v>
      </c>
      <c r="AK99" s="3">
        <f>Table1[[#This Row],[Dry Mass]]/Table1[[#This Row],[Volume]]</f>
        <v>0.36922674367637287</v>
      </c>
      <c r="AL99" s="3">
        <f>Table1[[#This Row],[Avg Thrust]]/Table1[[#This Row],[Volume]]</f>
        <v>0.22934940390322062</v>
      </c>
      <c r="AM99" s="3"/>
    </row>
    <row r="100" spans="1:39" x14ac:dyDescent="0.25">
      <c r="A100" s="1" t="s">
        <v>117</v>
      </c>
      <c r="B100" s="1" t="s">
        <v>104</v>
      </c>
      <c r="C100" s="1" t="s">
        <v>92</v>
      </c>
      <c r="D100" s="1">
        <v>2003</v>
      </c>
      <c r="E100" s="1">
        <v>7.7487992400000003</v>
      </c>
      <c r="F100" s="1">
        <v>5.0802303999999996</v>
      </c>
      <c r="G100" s="1">
        <v>0.68757800000000002</v>
      </c>
      <c r="H100" s="1">
        <v>0.20472400000000002</v>
      </c>
      <c r="I100" s="1">
        <v>12.30141504</v>
      </c>
      <c r="J100" s="1" t="s">
        <v>123</v>
      </c>
      <c r="K100" s="1">
        <v>4.51</v>
      </c>
      <c r="L100" s="1">
        <v>7.4774578200000006</v>
      </c>
      <c r="M100" s="1">
        <v>274</v>
      </c>
      <c r="N100" s="1" t="s">
        <v>93</v>
      </c>
      <c r="O100" s="1" t="s">
        <v>110</v>
      </c>
      <c r="P100" s="1">
        <v>2.2326599999999999E-2</v>
      </c>
      <c r="Q100" s="1">
        <v>0.10401299999999999</v>
      </c>
      <c r="S100" s="1">
        <v>21.7</v>
      </c>
      <c r="T100" s="1">
        <v>1500</v>
      </c>
      <c r="U100" s="1">
        <v>1572</v>
      </c>
      <c r="V100" s="1" t="s">
        <v>48</v>
      </c>
      <c r="Y100" s="1">
        <v>2.7759830399999998</v>
      </c>
      <c r="Z100" s="1">
        <v>1.6737544799999999</v>
      </c>
      <c r="AA100" s="1">
        <v>0.63049287999999992</v>
      </c>
      <c r="AC100" s="1">
        <v>0.71</v>
      </c>
      <c r="AE100" s="1">
        <f>(PI()*(Table1[[#This Row],[Diameter]]/2)^2*Table1[[#This Row],[Length]])*1000</f>
        <v>22.633377685780168</v>
      </c>
      <c r="AF100" s="1">
        <f>Table1[[#This Row],[Case Mass]]/Table1[[#This Row],[Volume]]</f>
        <v>0.12264996760709126</v>
      </c>
      <c r="AG100" s="1">
        <f>Table1[[#This Row],[Nozzle Mass]]/Table1[[#This Row],[Volume]]</f>
        <v>7.395071576309914E-2</v>
      </c>
      <c r="AH100" s="1">
        <f>Table1[[#This Row],[Nozzle Mass]]/Table1[[#This Row],[Diameter]]</f>
        <v>8.175663234403391</v>
      </c>
      <c r="AI100" s="3">
        <f>Table1[[#This Row],[Additional Mass]]/Table1[[#This Row],[Volume]]</f>
        <v>2.78567736885387E-2</v>
      </c>
      <c r="AJ100" s="3">
        <f>Table1[[#This Row],[Igniter Mass]]/Table1[[#This Row],[Volume]]</f>
        <v>0</v>
      </c>
      <c r="AK100" s="3">
        <f>Table1[[#This Row],[Dry Mass]]/Table1[[#This Row],[Volume]]</f>
        <v>0.2244574570587291</v>
      </c>
      <c r="AL100" s="3">
        <f>Table1[[#This Row],[Avg Thrust]]/Table1[[#This Row],[Volume]]</f>
        <v>0.33037304125834693</v>
      </c>
      <c r="AM100" s="3"/>
    </row>
    <row r="101" spans="1:39" x14ac:dyDescent="0.25">
      <c r="A101" s="1" t="s">
        <v>201</v>
      </c>
      <c r="B101" s="1" t="s">
        <v>72</v>
      </c>
      <c r="C101" s="1" t="s">
        <v>202</v>
      </c>
      <c r="D101" s="1" t="s">
        <v>204</v>
      </c>
      <c r="E101" s="1">
        <f>5666752/1000</f>
        <v>5666.7520000000004</v>
      </c>
      <c r="F101" s="1">
        <v>37224</v>
      </c>
      <c r="G101" s="1">
        <v>25.91</v>
      </c>
      <c r="H101" s="1">
        <v>3.05</v>
      </c>
      <c r="I101" s="1">
        <v>192466</v>
      </c>
      <c r="J101" s="1" t="s">
        <v>14</v>
      </c>
      <c r="K101" s="1">
        <v>113.8</v>
      </c>
      <c r="L101" s="1">
        <v>5338</v>
      </c>
      <c r="M101" s="1">
        <v>266</v>
      </c>
      <c r="N101" s="1" t="s">
        <v>132</v>
      </c>
      <c r="O101" s="1" t="s">
        <v>205</v>
      </c>
      <c r="P101" s="1">
        <v>0.95757999999999999</v>
      </c>
      <c r="Q101" s="1">
        <v>2.708402</v>
      </c>
      <c r="R101" s="1">
        <v>3.2021779999999995</v>
      </c>
      <c r="T101" s="1">
        <v>781</v>
      </c>
      <c r="U101" s="1">
        <v>843</v>
      </c>
      <c r="V101" s="1" t="s">
        <v>47</v>
      </c>
      <c r="W101" s="1">
        <v>4176</v>
      </c>
      <c r="X101" s="1">
        <v>7077</v>
      </c>
      <c r="Y101" s="3">
        <v>16253</v>
      </c>
      <c r="Z101" s="1">
        <f>3534+4594</f>
        <v>8128</v>
      </c>
      <c r="AA101" s="1">
        <f>220+379+281+539</f>
        <v>1419</v>
      </c>
      <c r="AB101" s="1">
        <v>171</v>
      </c>
      <c r="AC101" s="1">
        <v>0.85899999999999999</v>
      </c>
      <c r="AE101" s="3">
        <f>(PI()*(Table1[[#This Row],[Diameter]]/2)^2*Table1[[#This Row],[Length]])*1000</f>
        <v>189302.77181277337</v>
      </c>
      <c r="AF101" s="3">
        <f>Table1[[#This Row],[Case Mass]]/Table1[[#This Row],[Volume]]</f>
        <v>8.5857168621253727E-2</v>
      </c>
      <c r="AG101" s="3">
        <f>Table1[[#This Row],[Nozzle Mass]]/Table1[[#This Row],[Volume]]</f>
        <v>4.2936508124872347E-2</v>
      </c>
      <c r="AH101" s="3">
        <f>Table1[[#This Row],[Nozzle Mass]]/Table1[[#This Row],[Diameter]]</f>
        <v>2664.9180327868853</v>
      </c>
      <c r="AI101" s="3">
        <f>Table1[[#This Row],[Additional Mass]]/Table1[[#This Row],[Volume]]</f>
        <v>7.4959282762295599E-3</v>
      </c>
      <c r="AJ101" s="3">
        <f>Table1[[#This Row],[Igniter Mass]]/Table1[[#This Row],[Volume]]</f>
        <v>9.0331482398538037E-4</v>
      </c>
      <c r="AK101" s="3">
        <f>Table1[[#This Row],[Dry Mass]]/Table1[[#This Row],[Volume]]</f>
        <v>0.19663737431597544</v>
      </c>
      <c r="AL101" s="3">
        <f>Table1[[#This Row],[Avg Thrust]]/Table1[[#This Row],[Volume]]</f>
        <v>2.8198213628268774E-2</v>
      </c>
      <c r="AM101" s="3" t="s">
        <v>206</v>
      </c>
    </row>
    <row r="102" spans="1:39" x14ac:dyDescent="0.25">
      <c r="A102" s="1" t="s">
        <v>203</v>
      </c>
      <c r="B102" s="1" t="s">
        <v>72</v>
      </c>
      <c r="D102" s="1" t="s">
        <v>204</v>
      </c>
      <c r="E102" s="1">
        <v>6900.1819999999998</v>
      </c>
      <c r="F102" s="1">
        <v>46833</v>
      </c>
      <c r="G102" s="1">
        <v>34.14</v>
      </c>
      <c r="H102" s="1">
        <v>3.05</v>
      </c>
      <c r="I102" s="1">
        <v>268920</v>
      </c>
      <c r="J102" s="1" t="s">
        <v>14</v>
      </c>
      <c r="K102" s="1">
        <v>121.3</v>
      </c>
      <c r="L102" s="1">
        <v>7450</v>
      </c>
      <c r="M102" s="1">
        <v>269.5</v>
      </c>
      <c r="N102" s="1" t="s">
        <v>132</v>
      </c>
      <c r="O102" s="1" t="s">
        <v>205</v>
      </c>
      <c r="P102" s="1">
        <v>1.056894</v>
      </c>
      <c r="Q102" s="1">
        <v>3.2031939999999999</v>
      </c>
      <c r="R102" s="1">
        <v>4.1216071999999997</v>
      </c>
      <c r="T102" s="1">
        <v>794</v>
      </c>
      <c r="U102" s="1">
        <v>856</v>
      </c>
      <c r="V102" s="1" t="s">
        <v>47</v>
      </c>
      <c r="W102" s="1">
        <v>5993</v>
      </c>
      <c r="X102" s="1">
        <v>7091</v>
      </c>
      <c r="Y102" s="3">
        <v>21915</v>
      </c>
      <c r="Z102" s="1">
        <f>4284+5193</f>
        <v>9477</v>
      </c>
      <c r="AA102" s="1">
        <f>615+283+370+375+543</f>
        <v>2186</v>
      </c>
      <c r="AB102" s="1">
        <v>171</v>
      </c>
      <c r="AC102" s="1">
        <v>0.871</v>
      </c>
      <c r="AE102" s="3">
        <f>(PI()*(Table1[[#This Row],[Diameter]]/2)^2*Table1[[#This Row],[Length]])*1000</f>
        <v>249432.52140826255</v>
      </c>
      <c r="AF102" s="3">
        <f>Table1[[#This Row],[Case Mass]]/Table1[[#This Row],[Volume]]</f>
        <v>8.7859433390124309E-2</v>
      </c>
      <c r="AG102" s="3">
        <f>Table1[[#This Row],[Nozzle Mass]]/Table1[[#This Row],[Volume]]</f>
        <v>3.7994243679589694E-2</v>
      </c>
      <c r="AH102" s="3">
        <f>Table1[[#This Row],[Nozzle Mass]]/Table1[[#This Row],[Diameter]]</f>
        <v>3107.2131147540986</v>
      </c>
      <c r="AI102" s="3">
        <f>Table1[[#This Row],[Additional Mass]]/Table1[[#This Row],[Volume]]</f>
        <v>8.7638932872832198E-3</v>
      </c>
      <c r="AJ102" s="3">
        <f>Table1[[#This Row],[Igniter Mass]]/Table1[[#This Row],[Volume]]</f>
        <v>6.8555615376277696E-4</v>
      </c>
      <c r="AK102" s="3">
        <f>Table1[[#This Row],[Dry Mass]]/Table1[[#This Row],[Volume]]</f>
        <v>0.18775819502439844</v>
      </c>
      <c r="AL102" s="3">
        <f>Table1[[#This Row],[Avg Thrust]]/Table1[[#This Row],[Volume]]</f>
        <v>2.9867797342296425E-2</v>
      </c>
      <c r="AM102" s="3" t="s">
        <v>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X48" sqref="X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208</v>
      </c>
      <c r="B1" t="s">
        <v>210</v>
      </c>
      <c r="C1" t="s">
        <v>211</v>
      </c>
    </row>
    <row r="2" spans="1:3" x14ac:dyDescent="0.25">
      <c r="A2" t="s">
        <v>209</v>
      </c>
      <c r="B2">
        <v>7.4999999999999997E-2</v>
      </c>
      <c r="C2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TVC</vt:lpstr>
      <vt:lpstr>Propellants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2019-06-11T18:15:25Z</dcterms:created>
  <dcterms:modified xsi:type="dcterms:W3CDTF">2019-07-03T13:54:33Z</dcterms:modified>
</cp:coreProperties>
</file>