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9135" windowHeight="2520" tabRatio="599" firstSheet="1" activeTab="4"/>
  </bookViews>
  <sheets>
    <sheet name="ond.2013" sheetId="4" r:id="rId1"/>
    <sheet name="BLUE2013" sheetId="6" r:id="rId2"/>
    <sheet name="RAL.2013" sheetId="7" r:id="rId3"/>
    <sheet name="RAL # 28 SEP" sheetId="9" r:id="rId4"/>
    <sheet name="GANCJ-502013" sheetId="11" r:id="rId5"/>
    <sheet name="GANC j 60 2013" sheetId="12" r:id="rId6"/>
    <sheet name="GANC J70 2013" sheetId="13" r:id="rId7"/>
    <sheet name="Cla Cal 2013" sheetId="14" r:id="rId8"/>
    <sheet name="Hoja1" sheetId="15" r:id="rId9"/>
  </sheets>
  <externalReferences>
    <externalReference r:id="rId10"/>
    <externalReference r:id="rId11"/>
  </externalReferences>
  <definedNames>
    <definedName name="_xlnm.Print_Area" localSheetId="0">ond.2013!$A$1:$K$369</definedName>
  </definedNames>
  <calcPr calcId="144525"/>
</workbook>
</file>

<file path=xl/calcChain.xml><?xml version="1.0" encoding="utf-8"?>
<calcChain xmlns="http://schemas.openxmlformats.org/spreadsheetml/2006/main">
  <c r="F172" i="4" l="1"/>
  <c r="D11" i="7" l="1"/>
  <c r="H9" i="14"/>
  <c r="H114" i="7"/>
  <c r="C114" i="7"/>
  <c r="H37" i="9"/>
  <c r="C37" i="9"/>
  <c r="H67" i="6"/>
  <c r="C67" i="6"/>
  <c r="H368" i="4"/>
  <c r="C368" i="4"/>
  <c r="J11" i="11"/>
  <c r="H69" i="11"/>
  <c r="D69" i="11"/>
  <c r="E69" i="11" s="1"/>
  <c r="C69" i="11"/>
  <c r="D21" i="9"/>
  <c r="D110" i="7"/>
  <c r="F41" i="12"/>
  <c r="F64" i="11"/>
  <c r="D367" i="4"/>
  <c r="D366" i="4"/>
  <c r="D365" i="4"/>
  <c r="D364" i="4"/>
  <c r="D363" i="4"/>
  <c r="D362" i="4"/>
  <c r="D113" i="7"/>
  <c r="D112" i="7"/>
  <c r="D111" i="7"/>
  <c r="D360" i="4"/>
  <c r="D66" i="6"/>
  <c r="D359" i="4"/>
  <c r="D358" i="4"/>
  <c r="D109" i="7"/>
  <c r="D108" i="7"/>
  <c r="D357" i="4"/>
  <c r="D356" i="4"/>
  <c r="D355" i="4"/>
  <c r="D354" i="4"/>
  <c r="D353" i="4"/>
  <c r="D107" i="7"/>
  <c r="D352" i="4"/>
  <c r="D351" i="4"/>
  <c r="D350" i="4"/>
  <c r="D349" i="4"/>
  <c r="D348" i="4"/>
  <c r="D65" i="6"/>
  <c r="D347" i="4"/>
  <c r="D346" i="4"/>
  <c r="D345" i="4"/>
  <c r="D344" i="4"/>
  <c r="D20" i="9"/>
  <c r="D343" i="4"/>
  <c r="D106" i="7"/>
  <c r="D342" i="4"/>
  <c r="D341" i="4"/>
  <c r="D340" i="4"/>
  <c r="D105" i="7"/>
  <c r="D104" i="7"/>
  <c r="D103" i="7"/>
  <c r="D339" i="4"/>
  <c r="D338" i="4"/>
  <c r="D337" i="4"/>
  <c r="D336" i="4"/>
  <c r="D335" i="4"/>
  <c r="D334" i="4"/>
  <c r="D333" i="4"/>
  <c r="D102" i="7"/>
  <c r="D332" i="4"/>
  <c r="D101" i="7"/>
  <c r="D331" i="4"/>
  <c r="D100" i="7"/>
  <c r="D98" i="7"/>
  <c r="D330" i="4"/>
  <c r="D329" i="4"/>
  <c r="D97" i="7"/>
  <c r="D328" i="4"/>
  <c r="D327" i="4"/>
  <c r="D325" i="4"/>
  <c r="D326" i="4"/>
  <c r="D324" i="4"/>
  <c r="F62" i="11"/>
  <c r="D323" i="4"/>
  <c r="D322" i="4"/>
  <c r="D96" i="7"/>
  <c r="D321" i="4"/>
  <c r="D320" i="4"/>
  <c r="D95" i="7"/>
  <c r="D94" i="7"/>
  <c r="D93" i="7"/>
  <c r="D319" i="4"/>
  <c r="D318" i="4"/>
  <c r="D91" i="7"/>
  <c r="D317" i="4"/>
  <c r="D90" i="7"/>
  <c r="D316" i="4"/>
  <c r="D315" i="4"/>
  <c r="D314" i="4"/>
  <c r="D313" i="4"/>
  <c r="D89" i="7"/>
  <c r="D312" i="4"/>
  <c r="D311" i="4"/>
  <c r="D310" i="4"/>
  <c r="D309" i="4"/>
  <c r="D308" i="4"/>
  <c r="D307" i="4"/>
  <c r="D306" i="4"/>
  <c r="D305" i="4"/>
  <c r="D304" i="4"/>
  <c r="D303" i="4"/>
  <c r="D301" i="4"/>
  <c r="D88" i="7"/>
  <c r="D300" i="4"/>
  <c r="D79" i="7"/>
  <c r="D64" i="6"/>
  <c r="D299" i="4"/>
  <c r="D63" i="6"/>
  <c r="D298" i="4"/>
  <c r="D297" i="4"/>
  <c r="D296" i="4"/>
  <c r="D295" i="4"/>
  <c r="D87" i="7"/>
  <c r="D294" i="4"/>
  <c r="D293" i="4"/>
  <c r="D19" i="9"/>
  <c r="C9" i="14"/>
  <c r="F50" i="11"/>
  <c r="F26" i="11"/>
  <c r="J9" i="9" l="1"/>
  <c r="E9" i="9"/>
  <c r="F54" i="7" l="1"/>
  <c r="D246" i="4" l="1"/>
  <c r="D62" i="7"/>
  <c r="F35" i="12"/>
  <c r="D55" i="7"/>
  <c r="F29" i="12"/>
  <c r="F28" i="11"/>
  <c r="F27" i="12"/>
  <c r="F19" i="11"/>
  <c r="D26" i="7"/>
  <c r="D25" i="7"/>
  <c r="F23" i="11"/>
  <c r="D28" i="6"/>
  <c r="J11" i="13"/>
  <c r="E12" i="11" l="1"/>
  <c r="E13" i="11" s="1"/>
  <c r="E14" i="11" s="1"/>
  <c r="H36" i="14"/>
  <c r="D36" i="14"/>
  <c r="C36" i="14"/>
  <c r="J9" i="14"/>
  <c r="E9" i="14"/>
  <c r="H36" i="13"/>
  <c r="D36" i="13"/>
  <c r="C36" i="13"/>
  <c r="G12" i="13"/>
  <c r="I12" i="13" s="1"/>
  <c r="H46" i="12"/>
  <c r="D46" i="12"/>
  <c r="C46" i="12"/>
  <c r="G12" i="11"/>
  <c r="I12" i="11" s="1"/>
  <c r="D292" i="4"/>
  <c r="D291" i="4"/>
  <c r="D86" i="7"/>
  <c r="D290" i="4"/>
  <c r="D18" i="9"/>
  <c r="D289" i="4"/>
  <c r="D288" i="4"/>
  <c r="D287" i="4"/>
  <c r="D62" i="6"/>
  <c r="D286" i="4"/>
  <c r="D85" i="7"/>
  <c r="D285" i="4"/>
  <c r="D284" i="4"/>
  <c r="D17" i="9"/>
  <c r="D283" i="4"/>
  <c r="D16" i="9"/>
  <c r="D84" i="7"/>
  <c r="D83" i="7"/>
  <c r="D281" i="4"/>
  <c r="D280" i="4"/>
  <c r="D61" i="6"/>
  <c r="D82" i="7"/>
  <c r="D279" i="4"/>
  <c r="D81" i="7"/>
  <c r="D80" i="7"/>
  <c r="D278" i="4"/>
  <c r="D277" i="4"/>
  <c r="D78" i="7"/>
  <c r="D77" i="7"/>
  <c r="D76" i="7"/>
  <c r="D276" i="4"/>
  <c r="D275" i="4"/>
  <c r="D274" i="4"/>
  <c r="D273" i="4"/>
  <c r="D75" i="7"/>
  <c r="D272" i="4"/>
  <c r="D74" i="7"/>
  <c r="D73" i="7"/>
  <c r="D271" i="4"/>
  <c r="D270" i="4"/>
  <c r="D72" i="7"/>
  <c r="D71" i="7"/>
  <c r="D70" i="7"/>
  <c r="D269" i="4"/>
  <c r="D268" i="4"/>
  <c r="D267" i="4"/>
  <c r="D15" i="9"/>
  <c r="D69" i="7"/>
  <c r="D266" i="4"/>
  <c r="D265" i="4"/>
  <c r="D60" i="6"/>
  <c r="D264" i="4"/>
  <c r="D263" i="4"/>
  <c r="D262" i="4"/>
  <c r="D261" i="4"/>
  <c r="D260" i="4"/>
  <c r="D59" i="6"/>
  <c r="D259" i="4"/>
  <c r="D258" i="4"/>
  <c r="D257" i="4"/>
  <c r="D256" i="4"/>
  <c r="D255" i="4"/>
  <c r="D254" i="4"/>
  <c r="D253" i="4"/>
  <c r="D252" i="4"/>
  <c r="D68" i="7"/>
  <c r="D251" i="4"/>
  <c r="D250" i="4"/>
  <c r="D67" i="7"/>
  <c r="D66" i="7"/>
  <c r="D65" i="7"/>
  <c r="D249" i="4"/>
  <c r="D248" i="4"/>
  <c r="D64" i="7"/>
  <c r="D247" i="4"/>
  <c r="D63" i="7"/>
  <c r="D245" i="4"/>
  <c r="D61" i="7"/>
  <c r="D60" i="7"/>
  <c r="D244" i="4"/>
  <c r="D243" i="4"/>
  <c r="D242" i="4"/>
  <c r="D59" i="7"/>
  <c r="D241" i="4"/>
  <c r="D240" i="4"/>
  <c r="D239" i="4"/>
  <c r="D58" i="7"/>
  <c r="D57" i="7"/>
  <c r="D14" i="9"/>
  <c r="D56" i="7"/>
  <c r="D237" i="4"/>
  <c r="D236" i="4"/>
  <c r="D53" i="7"/>
  <c r="D52" i="7"/>
  <c r="D51" i="7"/>
  <c r="D50" i="7"/>
  <c r="D49" i="7"/>
  <c r="D48" i="7"/>
  <c r="D47" i="7"/>
  <c r="D45" i="7"/>
  <c r="D43" i="7"/>
  <c r="D42" i="7"/>
  <c r="D40" i="7"/>
  <c r="D39" i="7"/>
  <c r="D38" i="7"/>
  <c r="D37" i="7"/>
  <c r="D36" i="7"/>
  <c r="D35" i="7"/>
  <c r="D34" i="7"/>
  <c r="D33" i="7"/>
  <c r="D32" i="7"/>
  <c r="D31" i="7"/>
  <c r="D30" i="7"/>
  <c r="D29" i="7"/>
  <c r="D22" i="7"/>
  <c r="D20" i="7"/>
  <c r="D19" i="7"/>
  <c r="D18" i="7"/>
  <c r="D17" i="7"/>
  <c r="D16" i="7"/>
  <c r="D15" i="7"/>
  <c r="D14" i="7"/>
  <c r="D13" i="7"/>
  <c r="D12" i="7"/>
  <c r="D10" i="7"/>
  <c r="D235" i="4"/>
  <c r="D13" i="9"/>
  <c r="D12" i="9"/>
  <c r="D233" i="4"/>
  <c r="D232" i="4"/>
  <c r="D231" i="4"/>
  <c r="D11" i="9"/>
  <c r="D230" i="4"/>
  <c r="D229" i="4"/>
  <c r="D228" i="4"/>
  <c r="D227" i="4"/>
  <c r="D226" i="4"/>
  <c r="D225" i="4"/>
  <c r="D10" i="9"/>
  <c r="D224" i="4"/>
  <c r="D223" i="4"/>
  <c r="D222" i="4"/>
  <c r="D221" i="4"/>
  <c r="D220" i="4"/>
  <c r="D219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7" i="4"/>
  <c r="D196" i="4"/>
  <c r="D195" i="4"/>
  <c r="D194" i="4"/>
  <c r="D193" i="4"/>
  <c r="D58" i="6"/>
  <c r="D192" i="4"/>
  <c r="D191" i="4"/>
  <c r="F82" i="4"/>
  <c r="F66" i="4"/>
  <c r="D57" i="6"/>
  <c r="D190" i="4"/>
  <c r="D189" i="4"/>
  <c r="D188" i="4"/>
  <c r="D187" i="4"/>
  <c r="D185" i="4"/>
  <c r="D184" i="4"/>
  <c r="D56" i="6"/>
  <c r="D55" i="6"/>
  <c r="D183" i="4"/>
  <c r="D182" i="4"/>
  <c r="D181" i="4"/>
  <c r="D180" i="4"/>
  <c r="D179" i="4"/>
  <c r="D178" i="4"/>
  <c r="D177" i="4"/>
  <c r="D54" i="6"/>
  <c r="D176" i="4"/>
  <c r="D175" i="4"/>
  <c r="D174" i="4"/>
  <c r="D173" i="4"/>
  <c r="D171" i="4"/>
  <c r="D53" i="6"/>
  <c r="D170" i="4"/>
  <c r="D169" i="4"/>
  <c r="D168" i="4"/>
  <c r="D167" i="4"/>
  <c r="D166" i="4"/>
  <c r="D165" i="4"/>
  <c r="D164" i="4"/>
  <c r="D163" i="4"/>
  <c r="D162" i="4"/>
  <c r="D160" i="4"/>
  <c r="D159" i="4"/>
  <c r="D158" i="4"/>
  <c r="D157" i="4"/>
  <c r="D156" i="4"/>
  <c r="J12" i="11" l="1"/>
  <c r="E17" i="11"/>
  <c r="E18" i="11" s="1"/>
  <c r="E19" i="11" s="1"/>
  <c r="E20" i="11" s="1"/>
  <c r="E21" i="11" s="1"/>
  <c r="E22" i="11" s="1"/>
  <c r="E23" i="11" s="1"/>
  <c r="E24" i="11" s="1"/>
  <c r="E25" i="11" s="1"/>
  <c r="E15" i="11"/>
  <c r="E16" i="11" s="1"/>
  <c r="E36" i="13"/>
  <c r="E10" i="9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D37" i="9"/>
  <c r="E37" i="9" s="1"/>
  <c r="F9" i="14"/>
  <c r="E10" i="14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G10" i="14"/>
  <c r="I10" i="14" s="1"/>
  <c r="E36" i="14"/>
  <c r="G13" i="11"/>
  <c r="I13" i="11" s="1"/>
  <c r="J13" i="11" s="1"/>
  <c r="G14" i="11" s="1"/>
  <c r="I14" i="11" s="1"/>
  <c r="J14" i="11" s="1"/>
  <c r="E46" i="12"/>
  <c r="J12" i="13"/>
  <c r="E12" i="13"/>
  <c r="E13" i="13" s="1"/>
  <c r="E14" i="13" s="1"/>
  <c r="E15" i="13" s="1"/>
  <c r="E16" i="13" s="1"/>
  <c r="E17" i="13" s="1"/>
  <c r="E18" i="13" s="1"/>
  <c r="E19" i="13" s="1"/>
  <c r="E20" i="13" s="1"/>
  <c r="F11" i="13"/>
  <c r="G13" i="12"/>
  <c r="I13" i="12" s="1"/>
  <c r="E13" i="12"/>
  <c r="D155" i="4"/>
  <c r="D154" i="4"/>
  <c r="D153" i="4"/>
  <c r="D152" i="4"/>
  <c r="D150" i="4"/>
  <c r="D46" i="7"/>
  <c r="D149" i="4"/>
  <c r="D148" i="4"/>
  <c r="D147" i="4"/>
  <c r="D146" i="4"/>
  <c r="D44" i="7"/>
  <c r="D145" i="4"/>
  <c r="D52" i="6"/>
  <c r="D41" i="7"/>
  <c r="D144" i="4"/>
  <c r="D142" i="4"/>
  <c r="D141" i="4"/>
  <c r="D140" i="4"/>
  <c r="D139" i="4"/>
  <c r="D138" i="4"/>
  <c r="D137" i="4"/>
  <c r="D136" i="4"/>
  <c r="D135" i="4"/>
  <c r="D134" i="4"/>
  <c r="D51" i="6"/>
  <c r="D50" i="6"/>
  <c r="D49" i="6"/>
  <c r="D48" i="6"/>
  <c r="D133" i="4"/>
  <c r="D132" i="4"/>
  <c r="D131" i="4"/>
  <c r="D130" i="4"/>
  <c r="D129" i="4"/>
  <c r="D128" i="4"/>
  <c r="D127" i="4"/>
  <c r="D126" i="4"/>
  <c r="D125" i="4"/>
  <c r="D124" i="4"/>
  <c r="D123" i="4"/>
  <c r="D47" i="6"/>
  <c r="D122" i="4"/>
  <c r="D28" i="7"/>
  <c r="D27" i="7"/>
  <c r="D114" i="7" s="1"/>
  <c r="E114" i="7" s="1"/>
  <c r="D121" i="4"/>
  <c r="D120" i="4"/>
  <c r="D46" i="6"/>
  <c r="D45" i="6"/>
  <c r="D118" i="4"/>
  <c r="D44" i="6"/>
  <c r="D43" i="6"/>
  <c r="D117" i="4"/>
  <c r="D116" i="4"/>
  <c r="D115" i="4"/>
  <c r="D114" i="4"/>
  <c r="D113" i="4"/>
  <c r="D112" i="4"/>
  <c r="D111" i="4"/>
  <c r="D42" i="6"/>
  <c r="D110" i="4"/>
  <c r="D109" i="4"/>
  <c r="D21" i="7"/>
  <c r="D41" i="6"/>
  <c r="D108" i="4"/>
  <c r="D107" i="4"/>
  <c r="D106" i="4"/>
  <c r="D40" i="6"/>
  <c r="D105" i="4"/>
  <c r="D104" i="4"/>
  <c r="D39" i="6"/>
  <c r="D103" i="4"/>
  <c r="D102" i="4"/>
  <c r="D101" i="4"/>
  <c r="D100" i="4"/>
  <c r="D98" i="4"/>
  <c r="D97" i="4"/>
  <c r="D95" i="4"/>
  <c r="D94" i="4"/>
  <c r="D93" i="4"/>
  <c r="D92" i="4"/>
  <c r="D38" i="6"/>
  <c r="D91" i="4"/>
  <c r="D37" i="6"/>
  <c r="D90" i="4"/>
  <c r="D36" i="6"/>
  <c r="D89" i="4"/>
  <c r="D88" i="4"/>
  <c r="D35" i="6"/>
  <c r="D87" i="4"/>
  <c r="D86" i="4"/>
  <c r="D85" i="4"/>
  <c r="D84" i="4"/>
  <c r="D34" i="6"/>
  <c r="D32" i="6"/>
  <c r="D83" i="4"/>
  <c r="D81" i="4"/>
  <c r="D80" i="4"/>
  <c r="D79" i="4"/>
  <c r="D33" i="6"/>
  <c r="D31" i="6"/>
  <c r="D30" i="6"/>
  <c r="D78" i="4"/>
  <c r="D77" i="4"/>
  <c r="D29" i="6"/>
  <c r="D76" i="4"/>
  <c r="D75" i="4"/>
  <c r="D27" i="6"/>
  <c r="D26" i="6"/>
  <c r="D25" i="6"/>
  <c r="D24" i="6"/>
  <c r="D23" i="6"/>
  <c r="D22" i="6"/>
  <c r="D21" i="6"/>
  <c r="D74" i="4"/>
  <c r="D73" i="4"/>
  <c r="D20" i="6"/>
  <c r="D19" i="6"/>
  <c r="D72" i="4"/>
  <c r="D69" i="4"/>
  <c r="D68" i="4"/>
  <c r="D18" i="6"/>
  <c r="D17" i="6"/>
  <c r="D16" i="6"/>
  <c r="D67" i="4"/>
  <c r="D15" i="6"/>
  <c r="D65" i="4"/>
  <c r="D64" i="4"/>
  <c r="D14" i="6"/>
  <c r="D63" i="4"/>
  <c r="D62" i="4"/>
  <c r="D61" i="4"/>
  <c r="D60" i="4"/>
  <c r="D59" i="4"/>
  <c r="D58" i="4"/>
  <c r="D57" i="4"/>
  <c r="D56" i="4"/>
  <c r="D55" i="4"/>
  <c r="D13" i="6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6" i="4"/>
  <c r="D35" i="4"/>
  <c r="D34" i="4"/>
  <c r="D32" i="4"/>
  <c r="D30" i="4"/>
  <c r="D29" i="4"/>
  <c r="D12" i="6"/>
  <c r="D28" i="4"/>
  <c r="D11" i="6"/>
  <c r="D27" i="4"/>
  <c r="D26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0" i="6"/>
  <c r="D67" i="6" s="1"/>
  <c r="E67" i="6" s="1"/>
  <c r="D11" i="4"/>
  <c r="D10" i="4"/>
  <c r="G15" i="11" l="1"/>
  <c r="I15" i="11" s="1"/>
  <c r="M15" i="11" s="1"/>
  <c r="J15" i="11"/>
  <c r="J10" i="14"/>
  <c r="G11" i="14" s="1"/>
  <c r="I11" i="14" s="1"/>
  <c r="J11" i="14" s="1"/>
  <c r="G12" i="14" s="1"/>
  <c r="I12" i="14" s="1"/>
  <c r="J12" i="14" s="1"/>
  <c r="G13" i="14" s="1"/>
  <c r="I13" i="14" s="1"/>
  <c r="J13" i="14" s="1"/>
  <c r="G14" i="14" s="1"/>
  <c r="I14" i="14" s="1"/>
  <c r="J14" i="14" s="1"/>
  <c r="G15" i="14" s="1"/>
  <c r="I15" i="14" s="1"/>
  <c r="J15" i="14" s="1"/>
  <c r="G16" i="14" s="1"/>
  <c r="I16" i="14" s="1"/>
  <c r="J16" i="14" s="1"/>
  <c r="G17" i="14" s="1"/>
  <c r="I17" i="14" s="1"/>
  <c r="J17" i="14" s="1"/>
  <c r="G18" i="14" s="1"/>
  <c r="I18" i="14" s="1"/>
  <c r="J18" i="14" s="1"/>
  <c r="G19" i="14" s="1"/>
  <c r="I19" i="14" s="1"/>
  <c r="J19" i="14" s="1"/>
  <c r="G20" i="14" s="1"/>
  <c r="I20" i="14" s="1"/>
  <c r="J20" i="14" s="1"/>
  <c r="J21" i="14" s="1"/>
  <c r="D368" i="4"/>
  <c r="E368" i="4" s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6" i="11"/>
  <c r="E27" i="11" s="1"/>
  <c r="E28" i="11" s="1"/>
  <c r="E29" i="11" s="1"/>
  <c r="G13" i="13"/>
  <c r="I13" i="13" s="1"/>
  <c r="J13" i="12"/>
  <c r="E9" i="7"/>
  <c r="E10" i="7" s="1"/>
  <c r="E9" i="6"/>
  <c r="E29" i="12" l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G16" i="11"/>
  <c r="I16" i="11" s="1"/>
  <c r="E13" i="7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" i="7"/>
  <c r="E12" i="7" s="1"/>
  <c r="F21" i="14"/>
  <c r="G14" i="12"/>
  <c r="I14" i="12" s="1"/>
  <c r="G22" i="14"/>
  <c r="I22" i="14" s="1"/>
  <c r="J22" i="14" s="1"/>
  <c r="E30" i="11"/>
  <c r="J13" i="13"/>
  <c r="E10" i="6"/>
  <c r="J16" i="11" l="1"/>
  <c r="G17" i="11" s="1"/>
  <c r="J14" i="12"/>
  <c r="G15" i="12" s="1"/>
  <c r="I15" i="12" s="1"/>
  <c r="M14" i="12"/>
  <c r="G23" i="14"/>
  <c r="I23" i="14" s="1"/>
  <c r="J23" i="14" s="1"/>
  <c r="E31" i="11"/>
  <c r="G14" i="13"/>
  <c r="I14" i="13" s="1"/>
  <c r="E11" i="6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9" i="4"/>
  <c r="E10" i="4" s="1"/>
  <c r="E11" i="4" s="1"/>
  <c r="E12" i="4" s="1"/>
  <c r="E13" i="4" s="1"/>
  <c r="E14" i="4" s="1"/>
  <c r="E15" i="4" s="1"/>
  <c r="E16" i="4" s="1"/>
  <c r="E17" i="4" s="1"/>
  <c r="J15" i="12" l="1"/>
  <c r="G16" i="12" s="1"/>
  <c r="I16" i="12" s="1"/>
  <c r="J16" i="12" s="1"/>
  <c r="G17" i="12" s="1"/>
  <c r="I17" i="12" s="1"/>
  <c r="J17" i="12" s="1"/>
  <c r="G18" i="12" s="1"/>
  <c r="I18" i="12" s="1"/>
  <c r="M17" i="12"/>
  <c r="M23" i="14"/>
  <c r="G24" i="14"/>
  <c r="I24" i="14" s="1"/>
  <c r="E32" i="11"/>
  <c r="J14" i="13"/>
  <c r="I17" i="11"/>
  <c r="E18" i="4"/>
  <c r="J17" i="11" l="1"/>
  <c r="M17" i="11"/>
  <c r="J18" i="12"/>
  <c r="G19" i="12" s="1"/>
  <c r="I19" i="12" s="1"/>
  <c r="J19" i="12" s="1"/>
  <c r="G20" i="12" s="1"/>
  <c r="I20" i="12" s="1"/>
  <c r="J24" i="14"/>
  <c r="G25" i="14" s="1"/>
  <c r="I25" i="14" s="1"/>
  <c r="J25" i="14" s="1"/>
  <c r="E33" i="11"/>
  <c r="G18" i="11"/>
  <c r="I18" i="11" s="1"/>
  <c r="M19" i="11" s="1"/>
  <c r="G15" i="13"/>
  <c r="I15" i="13" s="1"/>
  <c r="E19" i="4"/>
  <c r="J20" i="12" l="1"/>
  <c r="G21" i="12" s="1"/>
  <c r="I21" i="12" s="1"/>
  <c r="J21" i="12" s="1"/>
  <c r="G22" i="12" s="1"/>
  <c r="I22" i="12" s="1"/>
  <c r="J22" i="12" s="1"/>
  <c r="G23" i="12" s="1"/>
  <c r="I23" i="12" s="1"/>
  <c r="M19" i="12"/>
  <c r="G26" i="14"/>
  <c r="I26" i="14" s="1"/>
  <c r="J26" i="14" s="1"/>
  <c r="E34" i="11"/>
  <c r="J18" i="11"/>
  <c r="J15" i="13"/>
  <c r="E20" i="4"/>
  <c r="J23" i="12" l="1"/>
  <c r="G24" i="12" s="1"/>
  <c r="I24" i="12" s="1"/>
  <c r="J24" i="12" s="1"/>
  <c r="G25" i="12" s="1"/>
  <c r="I25" i="12" s="1"/>
  <c r="J25" i="12" s="1"/>
  <c r="G26" i="12" s="1"/>
  <c r="I26" i="12" s="1"/>
  <c r="J26" i="12" s="1"/>
  <c r="J27" i="12" s="1"/>
  <c r="G28" i="12" s="1"/>
  <c r="I28" i="12" s="1"/>
  <c r="M27" i="12"/>
  <c r="M22" i="12"/>
  <c r="G16" i="13"/>
  <c r="I16" i="13" s="1"/>
  <c r="G27" i="14"/>
  <c r="I27" i="14" s="1"/>
  <c r="J27" i="14" s="1"/>
  <c r="J19" i="11"/>
  <c r="E35" i="11"/>
  <c r="E21" i="4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J28" i="12" l="1"/>
  <c r="E32" i="4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J16" i="13"/>
  <c r="G17" i="13" s="1"/>
  <c r="I17" i="13" s="1"/>
  <c r="J17" i="13" s="1"/>
  <c r="I28" i="14"/>
  <c r="G20" i="11"/>
  <c r="I20" i="11" s="1"/>
  <c r="E36" i="11"/>
  <c r="J20" i="11" l="1"/>
  <c r="G21" i="11" s="1"/>
  <c r="I21" i="11" s="1"/>
  <c r="J21" i="11" s="1"/>
  <c r="G22" i="11" s="1"/>
  <c r="I22" i="11" s="1"/>
  <c r="J22" i="11" s="1"/>
  <c r="J29" i="12"/>
  <c r="G30" i="12"/>
  <c r="I30" i="12" s="1"/>
  <c r="M30" i="12" s="1"/>
  <c r="G18" i="13"/>
  <c r="I18" i="13" s="1"/>
  <c r="J28" i="14"/>
  <c r="E37" i="11"/>
  <c r="J30" i="12" l="1"/>
  <c r="G31" i="12" s="1"/>
  <c r="I31" i="12" s="1"/>
  <c r="J18" i="13"/>
  <c r="M18" i="13"/>
  <c r="G19" i="13"/>
  <c r="I19" i="13" s="1"/>
  <c r="I29" i="14"/>
  <c r="J23" i="11"/>
  <c r="G24" i="11" s="1"/>
  <c r="I24" i="11" s="1"/>
  <c r="E38" i="11"/>
  <c r="G9" i="6"/>
  <c r="I10" i="6" s="1"/>
  <c r="J19" i="13" l="1"/>
  <c r="G20" i="13" s="1"/>
  <c r="I20" i="13" s="1"/>
  <c r="J20" i="13" s="1"/>
  <c r="M20" i="13"/>
  <c r="M36" i="13" s="1"/>
  <c r="J31" i="12"/>
  <c r="G32" i="12" s="1"/>
  <c r="I32" i="12" s="1"/>
  <c r="J32" i="12" s="1"/>
  <c r="G33" i="12" s="1"/>
  <c r="I33" i="12" s="1"/>
  <c r="J33" i="12" s="1"/>
  <c r="G34" i="12" s="1"/>
  <c r="I34" i="12" s="1"/>
  <c r="J34" i="12" s="1"/>
  <c r="J35" i="12" s="1"/>
  <c r="M34" i="12"/>
  <c r="I36" i="13"/>
  <c r="J29" i="14"/>
  <c r="I30" i="14" s="1"/>
  <c r="J30" i="14" s="1"/>
  <c r="E174" i="4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9" i="11"/>
  <c r="E40" i="11" s="1"/>
  <c r="E41" i="11" s="1"/>
  <c r="E42" i="11" s="1"/>
  <c r="E43" i="11" s="1"/>
  <c r="E44" i="11" s="1"/>
  <c r="J24" i="11"/>
  <c r="G25" i="11" s="1"/>
  <c r="I25" i="11" s="1"/>
  <c r="M26" i="11" s="1"/>
  <c r="G9" i="9"/>
  <c r="I10" i="9" s="1"/>
  <c r="G9" i="7"/>
  <c r="I10" i="7" s="1"/>
  <c r="J9" i="6"/>
  <c r="G36" i="12" l="1"/>
  <c r="I36" i="12" s="1"/>
  <c r="M36" i="12" s="1"/>
  <c r="J10" i="9"/>
  <c r="G10" i="9" s="1"/>
  <c r="I11" i="9" s="1"/>
  <c r="I31" i="14"/>
  <c r="E45" i="11"/>
  <c r="J25" i="11"/>
  <c r="J26" i="11" s="1"/>
  <c r="J10" i="6"/>
  <c r="G11" i="6" s="1"/>
  <c r="I12" i="6" s="1"/>
  <c r="G10" i="6"/>
  <c r="I11" i="6" s="1"/>
  <c r="J11" i="9" l="1"/>
  <c r="G11" i="9" s="1"/>
  <c r="I12" i="9" s="1"/>
  <c r="J36" i="12"/>
  <c r="E46" i="1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J31" i="14"/>
  <c r="I32" i="14" s="1"/>
  <c r="G27" i="11"/>
  <c r="I27" i="11" s="1"/>
  <c r="J11" i="6"/>
  <c r="G12" i="6" s="1"/>
  <c r="I13" i="6" s="1"/>
  <c r="L13" i="6" s="1"/>
  <c r="J9" i="7"/>
  <c r="G37" i="12" l="1"/>
  <c r="I37" i="12" s="1"/>
  <c r="J37" i="12" s="1"/>
  <c r="J27" i="11"/>
  <c r="M28" i="11"/>
  <c r="J12" i="9"/>
  <c r="J10" i="7"/>
  <c r="G10" i="7"/>
  <c r="I11" i="7" s="1"/>
  <c r="G12" i="9"/>
  <c r="I13" i="9" s="1"/>
  <c r="N13" i="9" s="1"/>
  <c r="E62" i="11"/>
  <c r="E63" i="11" s="1"/>
  <c r="E64" i="11" s="1"/>
  <c r="E65" i="11" s="1"/>
  <c r="E66" i="11" s="1"/>
  <c r="E67" i="11" s="1"/>
  <c r="J32" i="14"/>
  <c r="J28" i="11"/>
  <c r="G29" i="11" s="1"/>
  <c r="I29" i="11" s="1"/>
  <c r="J12" i="6"/>
  <c r="J13" i="6" s="1"/>
  <c r="J11" i="7" l="1"/>
  <c r="G11" i="7"/>
  <c r="I12" i="7" s="1"/>
  <c r="G38" i="12"/>
  <c r="I38" i="12" s="1"/>
  <c r="J38" i="12" s="1"/>
  <c r="G13" i="6"/>
  <c r="I14" i="6" s="1"/>
  <c r="J13" i="9"/>
  <c r="I33" i="14"/>
  <c r="J29" i="11"/>
  <c r="G30" i="11" s="1"/>
  <c r="I30" i="11" s="1"/>
  <c r="G14" i="6"/>
  <c r="I15" i="6" s="1"/>
  <c r="J14" i="6"/>
  <c r="G39" i="12" l="1"/>
  <c r="I39" i="12" s="1"/>
  <c r="J39" i="12"/>
  <c r="G12" i="7"/>
  <c r="I13" i="7" s="1"/>
  <c r="N13" i="7" s="1"/>
  <c r="J12" i="7"/>
  <c r="G13" i="7"/>
  <c r="I14" i="7" s="1"/>
  <c r="N14" i="7" s="1"/>
  <c r="J13" i="7"/>
  <c r="G14" i="7" s="1"/>
  <c r="I15" i="7" s="1"/>
  <c r="G13" i="9"/>
  <c r="I14" i="9" s="1"/>
  <c r="J33" i="14"/>
  <c r="I34" i="14" s="1"/>
  <c r="J34" i="14" s="1"/>
  <c r="I35" i="14" s="1"/>
  <c r="J30" i="11"/>
  <c r="G31" i="11" s="1"/>
  <c r="I31" i="11" s="1"/>
  <c r="M31" i="11" s="1"/>
  <c r="J15" i="6"/>
  <c r="G15" i="6"/>
  <c r="I16" i="6" s="1"/>
  <c r="G40" i="12" l="1"/>
  <c r="I40" i="12" s="1"/>
  <c r="J40" i="12" s="1"/>
  <c r="J35" i="14"/>
  <c r="M35" i="14"/>
  <c r="M36" i="14" s="1"/>
  <c r="J14" i="7"/>
  <c r="G15" i="7" s="1"/>
  <c r="I16" i="7" s="1"/>
  <c r="J14" i="9"/>
  <c r="J31" i="11"/>
  <c r="G32" i="11" s="1"/>
  <c r="I32" i="11" s="1"/>
  <c r="J16" i="6"/>
  <c r="G16" i="6"/>
  <c r="I17" i="6" s="1"/>
  <c r="J41" i="12" l="1"/>
  <c r="G41" i="12"/>
  <c r="J32" i="11"/>
  <c r="G33" i="11" s="1"/>
  <c r="I33" i="11" s="1"/>
  <c r="I46" i="12"/>
  <c r="J46" i="12" s="1"/>
  <c r="M41" i="12"/>
  <c r="M46" i="12" s="1"/>
  <c r="J15" i="7"/>
  <c r="G16" i="7" s="1"/>
  <c r="I17" i="7" s="1"/>
  <c r="N17" i="7" s="1"/>
  <c r="G14" i="9"/>
  <c r="I15" i="9" s="1"/>
  <c r="N15" i="9" s="1"/>
  <c r="J33" i="11"/>
  <c r="G34" i="11" s="1"/>
  <c r="I34" i="11" s="1"/>
  <c r="G17" i="6"/>
  <c r="I18" i="6" s="1"/>
  <c r="J17" i="6"/>
  <c r="J16" i="7" l="1"/>
  <c r="G17" i="7" s="1"/>
  <c r="I18" i="7" s="1"/>
  <c r="J15" i="9"/>
  <c r="I36" i="14"/>
  <c r="J36" i="14" s="1"/>
  <c r="J34" i="11"/>
  <c r="G35" i="11" s="1"/>
  <c r="I35" i="11" s="1"/>
  <c r="J18" i="6"/>
  <c r="G18" i="6"/>
  <c r="I19" i="6" s="1"/>
  <c r="J17" i="7" l="1"/>
  <c r="G18" i="7" s="1"/>
  <c r="I19" i="7" s="1"/>
  <c r="G15" i="9"/>
  <c r="I16" i="9" s="1"/>
  <c r="J35" i="11"/>
  <c r="G36" i="11" s="1"/>
  <c r="I36" i="11" s="1"/>
  <c r="J19" i="6"/>
  <c r="G19" i="6"/>
  <c r="I20" i="6" s="1"/>
  <c r="J18" i="7" l="1"/>
  <c r="G19" i="7" s="1"/>
  <c r="I20" i="7" s="1"/>
  <c r="J16" i="9"/>
  <c r="G16" i="9" s="1"/>
  <c r="I17" i="9" s="1"/>
  <c r="J17" i="9" s="1"/>
  <c r="G17" i="9" s="1"/>
  <c r="I18" i="9" s="1"/>
  <c r="J18" i="9" s="1"/>
  <c r="G18" i="9" s="1"/>
  <c r="I19" i="9" s="1"/>
  <c r="J19" i="9" s="1"/>
  <c r="G19" i="9" s="1"/>
  <c r="I20" i="9" s="1"/>
  <c r="J36" i="11"/>
  <c r="G37" i="11" s="1"/>
  <c r="I37" i="11" s="1"/>
  <c r="G20" i="6"/>
  <c r="I21" i="6" s="1"/>
  <c r="J20" i="6"/>
  <c r="J20" i="9" l="1"/>
  <c r="G20" i="9" s="1"/>
  <c r="I21" i="9" s="1"/>
  <c r="N21" i="9"/>
  <c r="N37" i="9" s="1"/>
  <c r="N19" i="9"/>
  <c r="J19" i="7"/>
  <c r="G20" i="7" s="1"/>
  <c r="J21" i="9"/>
  <c r="I37" i="9"/>
  <c r="J37" i="9" s="1"/>
  <c r="G21" i="9"/>
  <c r="I21" i="7"/>
  <c r="N21" i="7" s="1"/>
  <c r="J37" i="11"/>
  <c r="G38" i="11" s="1"/>
  <c r="I38" i="11" s="1"/>
  <c r="M38" i="11" s="1"/>
  <c r="G21" i="6"/>
  <c r="I22" i="6" s="1"/>
  <c r="J21" i="6"/>
  <c r="J20" i="7" l="1"/>
  <c r="G21" i="7" s="1"/>
  <c r="J21" i="7"/>
  <c r="G22" i="7" s="1"/>
  <c r="I23" i="7" s="1"/>
  <c r="I22" i="7"/>
  <c r="J38" i="11"/>
  <c r="G39" i="11" s="1"/>
  <c r="J22" i="6"/>
  <c r="G22" i="6"/>
  <c r="I23" i="6" s="1"/>
  <c r="L23" i="6" s="1"/>
  <c r="J22" i="7" l="1"/>
  <c r="G23" i="7" s="1"/>
  <c r="I24" i="7"/>
  <c r="I25" i="7"/>
  <c r="J23" i="7"/>
  <c r="G24" i="7" s="1"/>
  <c r="I39" i="11"/>
  <c r="G23" i="6"/>
  <c r="I24" i="6" s="1"/>
  <c r="J23" i="6"/>
  <c r="J39" i="11" l="1"/>
  <c r="J24" i="7"/>
  <c r="J25" i="7" s="1"/>
  <c r="I26" i="7"/>
  <c r="G40" i="11"/>
  <c r="I40" i="11" s="1"/>
  <c r="J40" i="11" s="1"/>
  <c r="G41" i="11" s="1"/>
  <c r="I41" i="11" s="1"/>
  <c r="J41" i="11" s="1"/>
  <c r="G24" i="6"/>
  <c r="I25" i="6" s="1"/>
  <c r="J24" i="6"/>
  <c r="G25" i="7" l="1"/>
  <c r="J26" i="7"/>
  <c r="G26" i="7"/>
  <c r="I27" i="7" s="1"/>
  <c r="J27" i="7" s="1"/>
  <c r="G27" i="7"/>
  <c r="G42" i="11"/>
  <c r="I42" i="11" s="1"/>
  <c r="J42" i="11" s="1"/>
  <c r="G43" i="11" s="1"/>
  <c r="I43" i="11" s="1"/>
  <c r="J43" i="11" s="1"/>
  <c r="G44" i="11" s="1"/>
  <c r="I44" i="11" s="1"/>
  <c r="J44" i="11" s="1"/>
  <c r="G25" i="6"/>
  <c r="I26" i="6" s="1"/>
  <c r="J25" i="6"/>
  <c r="I28" i="7" l="1"/>
  <c r="G28" i="7"/>
  <c r="G46" i="11"/>
  <c r="I46" i="11" s="1"/>
  <c r="G45" i="11"/>
  <c r="I45" i="11" s="1"/>
  <c r="G26" i="6"/>
  <c r="I27" i="6" s="1"/>
  <c r="J26" i="6"/>
  <c r="J28" i="7" l="1"/>
  <c r="N28" i="7"/>
  <c r="J45" i="11"/>
  <c r="J46" i="11" s="1"/>
  <c r="G48" i="11" s="1"/>
  <c r="I48" i="11" s="1"/>
  <c r="I29" i="7"/>
  <c r="G29" i="7"/>
  <c r="I30" i="7" s="1"/>
  <c r="G27" i="6"/>
  <c r="I28" i="6" s="1"/>
  <c r="J27" i="6"/>
  <c r="J29" i="7" l="1"/>
  <c r="J30" i="7" s="1"/>
  <c r="G47" i="11"/>
  <c r="I47" i="11" s="1"/>
  <c r="G28" i="6"/>
  <c r="I29" i="6" s="1"/>
  <c r="J28" i="6"/>
  <c r="G31" i="7" l="1"/>
  <c r="I32" i="7" s="1"/>
  <c r="G30" i="7"/>
  <c r="I31" i="7" s="1"/>
  <c r="J47" i="11"/>
  <c r="J48" i="11" s="1"/>
  <c r="G29" i="6"/>
  <c r="I30" i="6" s="1"/>
  <c r="J29" i="6"/>
  <c r="J31" i="7" l="1"/>
  <c r="J32" i="7" s="1"/>
  <c r="G49" i="11"/>
  <c r="I49" i="11" s="1"/>
  <c r="M49" i="11" s="1"/>
  <c r="J30" i="6"/>
  <c r="G30" i="6"/>
  <c r="I31" i="6" s="1"/>
  <c r="G32" i="7" l="1"/>
  <c r="I33" i="7" s="1"/>
  <c r="J33" i="7" s="1"/>
  <c r="G33" i="7"/>
  <c r="I34" i="7" s="1"/>
  <c r="J49" i="11"/>
  <c r="J50" i="11" s="1"/>
  <c r="G51" i="11" s="1"/>
  <c r="I51" i="11" s="1"/>
  <c r="J31" i="6"/>
  <c r="G31" i="6"/>
  <c r="I32" i="6" s="1"/>
  <c r="J51" i="11" l="1"/>
  <c r="G52" i="11" s="1"/>
  <c r="I52" i="11" s="1"/>
  <c r="J52" i="11" s="1"/>
  <c r="G53" i="11" s="1"/>
  <c r="I53" i="11" s="1"/>
  <c r="J53" i="11" s="1"/>
  <c r="G54" i="11" s="1"/>
  <c r="I54" i="11" s="1"/>
  <c r="J54" i="11" s="1"/>
  <c r="G55" i="11" s="1"/>
  <c r="I55" i="11" s="1"/>
  <c r="J55" i="11" s="1"/>
  <c r="G56" i="11" s="1"/>
  <c r="I56" i="11" s="1"/>
  <c r="J34" i="7"/>
  <c r="G34" i="7"/>
  <c r="I35" i="7" s="1"/>
  <c r="J32" i="6"/>
  <c r="G32" i="6"/>
  <c r="I33" i="6" s="1"/>
  <c r="J35" i="7" l="1"/>
  <c r="G35" i="7"/>
  <c r="I36" i="7" s="1"/>
  <c r="J56" i="11"/>
  <c r="J33" i="6"/>
  <c r="G33" i="6"/>
  <c r="I34" i="6" s="1"/>
  <c r="J36" i="7" l="1"/>
  <c r="G36" i="7"/>
  <c r="I37" i="7" s="1"/>
  <c r="G57" i="11"/>
  <c r="I57" i="11" s="1"/>
  <c r="J34" i="6"/>
  <c r="G34" i="6"/>
  <c r="I35" i="6" s="1"/>
  <c r="J37" i="7" l="1"/>
  <c r="G37" i="7"/>
  <c r="I38" i="7" s="1"/>
  <c r="J57" i="11"/>
  <c r="J35" i="6"/>
  <c r="G35" i="6"/>
  <c r="I36" i="6" s="1"/>
  <c r="L36" i="6" s="1"/>
  <c r="J38" i="7" l="1"/>
  <c r="G38" i="7"/>
  <c r="I39" i="7" s="1"/>
  <c r="N39" i="7" s="1"/>
  <c r="G58" i="11"/>
  <c r="I58" i="11" s="1"/>
  <c r="J36" i="6"/>
  <c r="G36" i="6"/>
  <c r="I37" i="6" s="1"/>
  <c r="J39" i="7" l="1"/>
  <c r="G39" i="7"/>
  <c r="I40" i="7" s="1"/>
  <c r="J58" i="11"/>
  <c r="J37" i="6"/>
  <c r="G37" i="6"/>
  <c r="I38" i="6" s="1"/>
  <c r="J40" i="7" l="1"/>
  <c r="G40" i="7"/>
  <c r="I41" i="7" s="1"/>
  <c r="G59" i="11"/>
  <c r="I59" i="11" s="1"/>
  <c r="J38" i="6"/>
  <c r="G38" i="6"/>
  <c r="I39" i="6" s="1"/>
  <c r="J41" i="7" l="1"/>
  <c r="G41" i="7"/>
  <c r="I42" i="7" s="1"/>
  <c r="J59" i="11"/>
  <c r="J39" i="6"/>
  <c r="G39" i="6"/>
  <c r="I40" i="6" s="1"/>
  <c r="J42" i="7" l="1"/>
  <c r="G42" i="7"/>
  <c r="I43" i="7" s="1"/>
  <c r="G60" i="11"/>
  <c r="I60" i="11" s="1"/>
  <c r="M59" i="11" s="1"/>
  <c r="J40" i="6"/>
  <c r="G40" i="6"/>
  <c r="I41" i="6" s="1"/>
  <c r="L41" i="6" s="1"/>
  <c r="J43" i="7" l="1"/>
  <c r="G43" i="7"/>
  <c r="I44" i="7" s="1"/>
  <c r="J60" i="11"/>
  <c r="J41" i="6"/>
  <c r="G41" i="6"/>
  <c r="I42" i="6" s="1"/>
  <c r="J44" i="7" l="1"/>
  <c r="G44" i="7"/>
  <c r="I45" i="7" s="1"/>
  <c r="G61" i="11"/>
  <c r="I61" i="11" s="1"/>
  <c r="J42" i="6"/>
  <c r="G42" i="6"/>
  <c r="I43" i="6" s="1"/>
  <c r="J61" i="11" l="1"/>
  <c r="J45" i="7"/>
  <c r="G45" i="7"/>
  <c r="I46" i="7" s="1"/>
  <c r="J62" i="11"/>
  <c r="G63" i="11" s="1"/>
  <c r="G62" i="11"/>
  <c r="J43" i="6"/>
  <c r="G43" i="6"/>
  <c r="I44" i="6" s="1"/>
  <c r="J46" i="7" l="1"/>
  <c r="G46" i="7"/>
  <c r="I47" i="7" s="1"/>
  <c r="G65" i="11"/>
  <c r="I65" i="11" s="1"/>
  <c r="I63" i="11"/>
  <c r="J44" i="6"/>
  <c r="G44" i="6"/>
  <c r="I45" i="6" s="1"/>
  <c r="J63" i="11" l="1"/>
  <c r="J64" i="11" s="1"/>
  <c r="J65" i="11" s="1"/>
  <c r="G66" i="11" s="1"/>
  <c r="I66" i="11" s="1"/>
  <c r="J66" i="11" s="1"/>
  <c r="J67" i="11" s="1"/>
  <c r="J47" i="7"/>
  <c r="G47" i="7"/>
  <c r="I48" i="7" s="1"/>
  <c r="G67" i="11"/>
  <c r="I67" i="11" s="1"/>
  <c r="I69" i="11" s="1"/>
  <c r="J69" i="11" s="1"/>
  <c r="J45" i="6"/>
  <c r="G45" i="6"/>
  <c r="I46" i="6" s="1"/>
  <c r="M67" i="11" l="1"/>
  <c r="M69" i="11" s="1"/>
  <c r="J48" i="7"/>
  <c r="G48" i="7"/>
  <c r="I49" i="7" s="1"/>
  <c r="J46" i="6"/>
  <c r="G46" i="6"/>
  <c r="I47" i="6" s="1"/>
  <c r="J49" i="7" l="1"/>
  <c r="G49" i="7"/>
  <c r="I50" i="7" s="1"/>
  <c r="J47" i="6"/>
  <c r="G47" i="6"/>
  <c r="I48" i="6" s="1"/>
  <c r="J50" i="7" l="1"/>
  <c r="G50" i="7"/>
  <c r="I51" i="7" s="1"/>
  <c r="J48" i="6"/>
  <c r="G48" i="6"/>
  <c r="I49" i="6" s="1"/>
  <c r="J51" i="7" l="1"/>
  <c r="G51" i="7"/>
  <c r="I52" i="7" s="1"/>
  <c r="N52" i="7" s="1"/>
  <c r="J49" i="6"/>
  <c r="G49" i="6"/>
  <c r="I50" i="6" s="1"/>
  <c r="J52" i="7" l="1"/>
  <c r="G52" i="7"/>
  <c r="I53" i="7" s="1"/>
  <c r="N54" i="7" s="1"/>
  <c r="J50" i="6"/>
  <c r="G50" i="6"/>
  <c r="I51" i="6" s="1"/>
  <c r="L51" i="6" s="1"/>
  <c r="J53" i="7" l="1"/>
  <c r="J54" i="7" s="1"/>
  <c r="G53" i="7"/>
  <c r="I55" i="7" s="1"/>
  <c r="N55" i="7" s="1"/>
  <c r="J51" i="6"/>
  <c r="G51" i="6"/>
  <c r="I52" i="6" s="1"/>
  <c r="G55" i="7" l="1"/>
  <c r="I56" i="7" s="1"/>
  <c r="J55" i="7"/>
  <c r="J52" i="6"/>
  <c r="G52" i="6"/>
  <c r="I53" i="6" s="1"/>
  <c r="L53" i="6" s="1"/>
  <c r="G56" i="7" l="1"/>
  <c r="I57" i="7" s="1"/>
  <c r="J56" i="7"/>
  <c r="J53" i="6"/>
  <c r="G53" i="6"/>
  <c r="I54" i="6" s="1"/>
  <c r="G57" i="7" l="1"/>
  <c r="I58" i="7" s="1"/>
  <c r="J57" i="7"/>
  <c r="J54" i="6"/>
  <c r="G54" i="6"/>
  <c r="I55" i="6" s="1"/>
  <c r="J58" i="7" l="1"/>
  <c r="G59" i="7" s="1"/>
  <c r="I60" i="7" s="1"/>
  <c r="G58" i="7"/>
  <c r="I59" i="7" s="1"/>
  <c r="J55" i="6"/>
  <c r="G55" i="6"/>
  <c r="I56" i="6" s="1"/>
  <c r="J59" i="7" l="1"/>
  <c r="J60" i="7" s="1"/>
  <c r="G60" i="7"/>
  <c r="I61" i="7" s="1"/>
  <c r="J56" i="6"/>
  <c r="G56" i="6"/>
  <c r="I57" i="6" s="1"/>
  <c r="G61" i="7" l="1"/>
  <c r="I62" i="7" s="1"/>
  <c r="J61" i="7"/>
  <c r="J57" i="6"/>
  <c r="G57" i="6"/>
  <c r="I58" i="6" s="1"/>
  <c r="L58" i="6" s="1"/>
  <c r="G62" i="7" l="1"/>
  <c r="I63" i="7" s="1"/>
  <c r="J62" i="7"/>
  <c r="J58" i="6"/>
  <c r="G58" i="6"/>
  <c r="I59" i="6" s="1"/>
  <c r="G63" i="7" l="1"/>
  <c r="I64" i="7" s="1"/>
  <c r="J63" i="7"/>
  <c r="J59" i="6"/>
  <c r="G59" i="6"/>
  <c r="I60" i="6" s="1"/>
  <c r="L60" i="6" s="1"/>
  <c r="G64" i="7" l="1"/>
  <c r="I65" i="7" s="1"/>
  <c r="J64" i="7"/>
  <c r="J60" i="6"/>
  <c r="G60" i="6"/>
  <c r="I61" i="6" s="1"/>
  <c r="G65" i="7" l="1"/>
  <c r="I66" i="7" s="1"/>
  <c r="J65" i="7"/>
  <c r="J61" i="6"/>
  <c r="G61" i="6"/>
  <c r="I62" i="6" s="1"/>
  <c r="G66" i="7" l="1"/>
  <c r="I67" i="7" s="1"/>
  <c r="J66" i="7"/>
  <c r="J62" i="6"/>
  <c r="G62" i="6"/>
  <c r="I63" i="6" s="1"/>
  <c r="G67" i="7" l="1"/>
  <c r="I68" i="7" s="1"/>
  <c r="J67" i="7"/>
  <c r="J63" i="6"/>
  <c r="G63" i="6"/>
  <c r="I64" i="6" s="1"/>
  <c r="L64" i="6" s="1"/>
  <c r="G68" i="7" l="1"/>
  <c r="I69" i="7" s="1"/>
  <c r="J68" i="7"/>
  <c r="J64" i="6"/>
  <c r="G64" i="6"/>
  <c r="I65" i="6" s="1"/>
  <c r="G69" i="7" l="1"/>
  <c r="I70" i="7" s="1"/>
  <c r="J69" i="7"/>
  <c r="J65" i="6"/>
  <c r="G65" i="6"/>
  <c r="I66" i="6" s="1"/>
  <c r="I67" i="6" s="1"/>
  <c r="J67" i="6" s="1"/>
  <c r="L66" i="6" l="1"/>
  <c r="L67" i="6" s="1"/>
  <c r="G70" i="7"/>
  <c r="I71" i="7" s="1"/>
  <c r="J70" i="7"/>
  <c r="G66" i="6"/>
  <c r="J66" i="6"/>
  <c r="G71" i="7" l="1"/>
  <c r="I72" i="7" s="1"/>
  <c r="N72" i="7" s="1"/>
  <c r="J71" i="7"/>
  <c r="G72" i="7" l="1"/>
  <c r="I73" i="7" s="1"/>
  <c r="J72" i="7"/>
  <c r="G73" i="7" l="1"/>
  <c r="I74" i="7" s="1"/>
  <c r="J73" i="7"/>
  <c r="G74" i="7" l="1"/>
  <c r="I75" i="7" s="1"/>
  <c r="J74" i="7"/>
  <c r="G75" i="7" l="1"/>
  <c r="I76" i="7" s="1"/>
  <c r="J75" i="7"/>
  <c r="G76" i="7" l="1"/>
  <c r="I77" i="7" s="1"/>
  <c r="J76" i="7"/>
  <c r="G77" i="7" l="1"/>
  <c r="I78" i="7" s="1"/>
  <c r="J77" i="7"/>
  <c r="G78" i="7" l="1"/>
  <c r="I79" i="7" s="1"/>
  <c r="J78" i="7"/>
  <c r="G79" i="7" l="1"/>
  <c r="I80" i="7" s="1"/>
  <c r="J79" i="7"/>
  <c r="G80" i="7" l="1"/>
  <c r="I81" i="7" s="1"/>
  <c r="J80" i="7"/>
  <c r="G81" i="7" l="1"/>
  <c r="I82" i="7" s="1"/>
  <c r="J81" i="7"/>
  <c r="G82" i="7" l="1"/>
  <c r="I83" i="7" s="1"/>
  <c r="J82" i="7"/>
  <c r="G83" i="7" l="1"/>
  <c r="I84" i="7" s="1"/>
  <c r="J83" i="7"/>
  <c r="G84" i="7" l="1"/>
  <c r="I85" i="7" s="1"/>
  <c r="J84" i="7"/>
  <c r="G85" i="7" l="1"/>
  <c r="I86" i="7" s="1"/>
  <c r="J85" i="7"/>
  <c r="G86" i="7" l="1"/>
  <c r="I87" i="7" s="1"/>
  <c r="J86" i="7"/>
  <c r="G87" i="7" l="1"/>
  <c r="I88" i="7" s="1"/>
  <c r="J87" i="7"/>
  <c r="G88" i="7" l="1"/>
  <c r="I89" i="7" s="1"/>
  <c r="N89" i="7" s="1"/>
  <c r="J88" i="7"/>
  <c r="G89" i="7" l="1"/>
  <c r="I90" i="7" s="1"/>
  <c r="J89" i="7"/>
  <c r="G90" i="7" l="1"/>
  <c r="I91" i="7" s="1"/>
  <c r="J90" i="7"/>
  <c r="G91" i="7" l="1"/>
  <c r="I92" i="7" s="1"/>
  <c r="J91" i="7"/>
  <c r="G92" i="7" l="1"/>
  <c r="I93" i="7" s="1"/>
  <c r="J92" i="7"/>
  <c r="G93" i="7" l="1"/>
  <c r="I94" i="7" s="1"/>
  <c r="J93" i="7"/>
  <c r="G94" i="7" l="1"/>
  <c r="I95" i="7" s="1"/>
  <c r="J94" i="7"/>
  <c r="G95" i="7" l="1"/>
  <c r="I96" i="7" s="1"/>
  <c r="J95" i="7"/>
  <c r="G96" i="7" l="1"/>
  <c r="I97" i="7" s="1"/>
  <c r="J96" i="7"/>
  <c r="G97" i="7" l="1"/>
  <c r="I98" i="7" s="1"/>
  <c r="J97" i="7"/>
  <c r="G98" i="7" l="1"/>
  <c r="I99" i="7" s="1"/>
  <c r="J98" i="7"/>
  <c r="G99" i="7" l="1"/>
  <c r="I100" i="7" s="1"/>
  <c r="J99" i="7"/>
  <c r="G100" i="7" l="1"/>
  <c r="I101" i="7" s="1"/>
  <c r="J100" i="7"/>
  <c r="G101" i="7" l="1"/>
  <c r="I102" i="7" s="1"/>
  <c r="J101" i="7"/>
  <c r="G102" i="7" l="1"/>
  <c r="I103" i="7" s="1"/>
  <c r="J102" i="7"/>
  <c r="G103" i="7" l="1"/>
  <c r="I104" i="7" s="1"/>
  <c r="J103" i="7"/>
  <c r="G104" i="7" l="1"/>
  <c r="I105" i="7" s="1"/>
  <c r="J104" i="7"/>
  <c r="G105" i="7" l="1"/>
  <c r="I106" i="7" s="1"/>
  <c r="J105" i="7"/>
  <c r="G106" i="7" l="1"/>
  <c r="I107" i="7" s="1"/>
  <c r="J106" i="7"/>
  <c r="G107" i="7" l="1"/>
  <c r="I108" i="7" s="1"/>
  <c r="J107" i="7"/>
  <c r="G108" i="7" l="1"/>
  <c r="I109" i="7" s="1"/>
  <c r="J108" i="7"/>
  <c r="G109" i="7" l="1"/>
  <c r="I110" i="7" s="1"/>
  <c r="J109" i="7"/>
  <c r="G110" i="7" l="1"/>
  <c r="I111" i="7" s="1"/>
  <c r="J110" i="7"/>
  <c r="G111" i="7" l="1"/>
  <c r="I112" i="7" s="1"/>
  <c r="J111" i="7"/>
  <c r="G112" i="7" l="1"/>
  <c r="I113" i="7" s="1"/>
  <c r="J112" i="7"/>
  <c r="I114" i="7" l="1"/>
  <c r="J114" i="7" s="1"/>
  <c r="N113" i="7"/>
  <c r="N114" i="7" s="1"/>
  <c r="G113" i="7"/>
  <c r="J113" i="7"/>
  <c r="J9" i="4" l="1"/>
  <c r="G10" i="4" l="1"/>
  <c r="I10" i="4" s="1"/>
  <c r="J10" i="4" s="1"/>
  <c r="G11" i="4" s="1"/>
  <c r="I11" i="4" s="1"/>
  <c r="J11" i="4" s="1"/>
  <c r="G12" i="4" s="1"/>
  <c r="I12" i="4" s="1"/>
  <c r="J12" i="4" s="1"/>
  <c r="G13" i="4" s="1"/>
  <c r="I13" i="4" s="1"/>
  <c r="J13" i="4" s="1"/>
  <c r="G14" i="4" s="1"/>
  <c r="I14" i="4" s="1"/>
  <c r="J14" i="4" s="1"/>
  <c r="G15" i="4" s="1"/>
  <c r="I15" i="4" s="1"/>
  <c r="J15" i="4" s="1"/>
  <c r="G16" i="4" s="1"/>
  <c r="I16" i="4" s="1"/>
  <c r="J16" i="4" s="1"/>
  <c r="G17" i="4" s="1"/>
  <c r="I17" i="4" s="1"/>
  <c r="J17" i="4" s="1"/>
  <c r="G18" i="4" s="1"/>
  <c r="I18" i="4" s="1"/>
  <c r="J18" i="4" s="1"/>
  <c r="G19" i="4" s="1"/>
  <c r="I19" i="4" s="1"/>
  <c r="J19" i="4" s="1"/>
  <c r="G20" i="4" s="1"/>
  <c r="I20" i="4" s="1"/>
  <c r="J20" i="4" s="1"/>
  <c r="G21" i="4" s="1"/>
  <c r="I21" i="4" s="1"/>
  <c r="J21" i="4" s="1"/>
  <c r="G22" i="4" s="1"/>
  <c r="I22" i="4" s="1"/>
  <c r="J22" i="4" s="1"/>
  <c r="G23" i="4" s="1"/>
  <c r="I23" i="4" s="1"/>
  <c r="J23" i="4" s="1"/>
  <c r="G24" i="4" s="1"/>
  <c r="I24" i="4" s="1"/>
  <c r="J24" i="4" s="1"/>
  <c r="G25" i="4" s="1"/>
  <c r="I25" i="4" s="1"/>
  <c r="J25" i="4" s="1"/>
  <c r="G26" i="4" s="1"/>
  <c r="I26" i="4" s="1"/>
  <c r="J26" i="4" s="1"/>
  <c r="G27" i="4" s="1"/>
  <c r="I27" i="4" s="1"/>
  <c r="J27" i="4" s="1"/>
  <c r="G28" i="4" s="1"/>
  <c r="I28" i="4" s="1"/>
  <c r="J28" i="4" s="1"/>
  <c r="G29" i="4" s="1"/>
  <c r="I29" i="4" s="1"/>
  <c r="J29" i="4" s="1"/>
  <c r="G30" i="4" s="1"/>
  <c r="I30" i="4" s="1"/>
  <c r="J30" i="4" s="1"/>
  <c r="G31" i="4" s="1"/>
  <c r="I31" i="4" s="1"/>
  <c r="J31" i="4" s="1"/>
  <c r="F9" i="4"/>
  <c r="G32" i="4" l="1"/>
  <c r="I32" i="4" s="1"/>
  <c r="J32" i="4" s="1"/>
  <c r="G33" i="4" l="1"/>
  <c r="I33" i="4" s="1"/>
  <c r="J33" i="4" s="1"/>
  <c r="G34" i="4" l="1"/>
  <c r="I34" i="4" s="1"/>
  <c r="J34" i="4" s="1"/>
  <c r="G35" i="4" l="1"/>
  <c r="I35" i="4" s="1"/>
  <c r="J35" i="4" s="1"/>
  <c r="G36" i="4" l="1"/>
  <c r="I36" i="4" s="1"/>
  <c r="J36" i="4" s="1"/>
  <c r="G37" i="4" l="1"/>
  <c r="I37" i="4" s="1"/>
  <c r="J37" i="4" s="1"/>
  <c r="G38" i="4" l="1"/>
  <c r="I38" i="4" s="1"/>
  <c r="J38" i="4" s="1"/>
  <c r="G39" i="4" l="1"/>
  <c r="I39" i="4" s="1"/>
  <c r="J39" i="4" s="1"/>
  <c r="G40" i="4" l="1"/>
  <c r="I40" i="4" s="1"/>
  <c r="J40" i="4" s="1"/>
  <c r="G41" i="4" l="1"/>
  <c r="I41" i="4" s="1"/>
  <c r="J41" i="4" s="1"/>
  <c r="G42" i="4" l="1"/>
  <c r="I42" i="4" s="1"/>
  <c r="J42" i="4" s="1"/>
  <c r="G43" i="4" l="1"/>
  <c r="I43" i="4" s="1"/>
  <c r="J43" i="4" s="1"/>
  <c r="G44" i="4" l="1"/>
  <c r="I44" i="4" s="1"/>
  <c r="J44" i="4" s="1"/>
  <c r="G45" i="4" l="1"/>
  <c r="I45" i="4" s="1"/>
  <c r="J45" i="4" s="1"/>
  <c r="G46" i="4" l="1"/>
  <c r="I46" i="4" s="1"/>
  <c r="J46" i="4" s="1"/>
  <c r="G47" i="4" l="1"/>
  <c r="I47" i="4" s="1"/>
  <c r="J47" i="4" s="1"/>
  <c r="G48" i="4" l="1"/>
  <c r="I48" i="4" s="1"/>
  <c r="J48" i="4" s="1"/>
  <c r="G49" i="4" l="1"/>
  <c r="I49" i="4" s="1"/>
  <c r="J49" i="4" s="1"/>
  <c r="G50" i="4" s="1"/>
  <c r="I50" i="4" s="1"/>
  <c r="J50" i="4" s="1"/>
  <c r="G51" i="4" s="1"/>
  <c r="I51" i="4" s="1"/>
  <c r="J51" i="4" s="1"/>
  <c r="G52" i="4" s="1"/>
  <c r="I52" i="4" s="1"/>
  <c r="J52" i="4" s="1"/>
  <c r="G53" i="4" l="1"/>
  <c r="I53" i="4" s="1"/>
  <c r="J53" i="4" s="1"/>
  <c r="G54" i="4" l="1"/>
  <c r="I54" i="4" s="1"/>
  <c r="J54" i="4" s="1"/>
  <c r="G55" i="4" l="1"/>
  <c r="I55" i="4" s="1"/>
  <c r="J55" i="4" s="1"/>
  <c r="G56" i="4" l="1"/>
  <c r="I56" i="4" s="1"/>
  <c r="J56" i="4" s="1"/>
  <c r="G57" i="4" l="1"/>
  <c r="I57" i="4" s="1"/>
  <c r="J57" i="4" s="1"/>
  <c r="G58" i="4" l="1"/>
  <c r="I58" i="4" s="1"/>
  <c r="J58" i="4" s="1"/>
  <c r="G59" i="4" l="1"/>
  <c r="I59" i="4" s="1"/>
  <c r="J59" i="4" s="1"/>
  <c r="G60" i="4" l="1"/>
  <c r="I60" i="4" s="1"/>
  <c r="J60" i="4" s="1"/>
  <c r="G61" i="4" l="1"/>
  <c r="I61" i="4" s="1"/>
  <c r="J61" i="4" s="1"/>
  <c r="G62" i="4" l="1"/>
  <c r="I62" i="4" s="1"/>
  <c r="J62" i="4" s="1"/>
  <c r="G63" i="4" l="1"/>
  <c r="I63" i="4" s="1"/>
  <c r="J63" i="4" s="1"/>
  <c r="G64" i="4" l="1"/>
  <c r="I64" i="4" s="1"/>
  <c r="J64" i="4" s="1"/>
  <c r="G65" i="4" l="1"/>
  <c r="I65" i="4" s="1"/>
  <c r="J65" i="4" s="1"/>
  <c r="J66" i="4" l="1"/>
  <c r="G67" i="4" s="1"/>
  <c r="I67" i="4" l="1"/>
  <c r="J67" i="4" s="1"/>
  <c r="G68" i="4" s="1"/>
  <c r="I68" i="4" s="1"/>
  <c r="J68" i="4" s="1"/>
  <c r="G69" i="4" s="1"/>
  <c r="I69" i="4" s="1"/>
  <c r="J69" i="4" s="1"/>
  <c r="G70" i="4" s="1"/>
  <c r="I70" i="4" s="1"/>
  <c r="J70" i="4" s="1"/>
  <c r="G71" i="4" s="1"/>
  <c r="I71" i="4" s="1"/>
  <c r="J71" i="4" s="1"/>
  <c r="G72" i="4" s="1"/>
  <c r="I72" i="4" s="1"/>
  <c r="J72" i="4" s="1"/>
  <c r="G73" i="4" s="1"/>
  <c r="I73" i="4" s="1"/>
  <c r="J73" i="4" s="1"/>
  <c r="G74" i="4" s="1"/>
  <c r="I74" i="4" s="1"/>
  <c r="J74" i="4" s="1"/>
  <c r="G75" i="4" s="1"/>
  <c r="I75" i="4" s="1"/>
  <c r="J75" i="4" s="1"/>
  <c r="G76" i="4" s="1"/>
  <c r="I76" i="4" s="1"/>
  <c r="J76" i="4" s="1"/>
  <c r="G77" i="4" s="1"/>
  <c r="I77" i="4" s="1"/>
  <c r="J77" i="4" s="1"/>
  <c r="G78" i="4" s="1"/>
  <c r="I78" i="4" s="1"/>
  <c r="J78" i="4" s="1"/>
  <c r="G79" i="4" s="1"/>
  <c r="I79" i="4" s="1"/>
  <c r="J79" i="4" s="1"/>
  <c r="G80" i="4" s="1"/>
  <c r="I80" i="4" s="1"/>
  <c r="J80" i="4" s="1"/>
  <c r="G81" i="4" s="1"/>
  <c r="I81" i="4" s="1"/>
  <c r="J81" i="4" s="1"/>
  <c r="J82" i="4" l="1"/>
  <c r="G83" i="4" s="1"/>
  <c r="I83" i="4" s="1"/>
  <c r="J83" i="4" l="1"/>
  <c r="G84" i="4" s="1"/>
  <c r="I84" i="4" s="1"/>
  <c r="J84" i="4" s="1"/>
  <c r="G85" i="4" s="1"/>
  <c r="I85" i="4" s="1"/>
  <c r="J85" i="4" s="1"/>
  <c r="G86" i="4" l="1"/>
  <c r="I86" i="4" s="1"/>
  <c r="J86" i="4" s="1"/>
  <c r="G87" i="4" l="1"/>
  <c r="I87" i="4" s="1"/>
  <c r="J87" i="4" s="1"/>
  <c r="G88" i="4" s="1"/>
  <c r="I88" i="4" s="1"/>
  <c r="J88" i="4" s="1"/>
  <c r="G89" i="4" l="1"/>
  <c r="I89" i="4" s="1"/>
  <c r="J89" i="4" s="1"/>
  <c r="G90" i="4" l="1"/>
  <c r="I90" i="4" s="1"/>
  <c r="J90" i="4" s="1"/>
  <c r="G91" i="4" l="1"/>
  <c r="I91" i="4" s="1"/>
  <c r="J91" i="4" s="1"/>
  <c r="G92" i="4" l="1"/>
  <c r="I92" i="4" s="1"/>
  <c r="J92" i="4" s="1"/>
  <c r="G93" i="4" s="1"/>
  <c r="I93" i="4" s="1"/>
  <c r="J93" i="4" s="1"/>
  <c r="G94" i="4" s="1"/>
  <c r="I94" i="4" s="1"/>
  <c r="J94" i="4" s="1"/>
  <c r="G95" i="4" s="1"/>
  <c r="I95" i="4" s="1"/>
  <c r="J95" i="4" s="1"/>
  <c r="G96" i="4" s="1"/>
  <c r="I96" i="4" s="1"/>
  <c r="J96" i="4" s="1"/>
  <c r="G97" i="4" s="1"/>
  <c r="I97" i="4" s="1"/>
  <c r="J97" i="4" s="1"/>
  <c r="G98" i="4" l="1"/>
  <c r="I98" i="4" s="1"/>
  <c r="J98" i="4" s="1"/>
  <c r="G99" i="4" s="1"/>
  <c r="I99" i="4" s="1"/>
  <c r="J99" i="4" s="1"/>
  <c r="G100" i="4" l="1"/>
  <c r="I100" i="4" s="1"/>
  <c r="J100" i="4" s="1"/>
  <c r="G101" i="4" s="1"/>
  <c r="I101" i="4" s="1"/>
  <c r="J101" i="4" s="1"/>
  <c r="G102" i="4" s="1"/>
  <c r="I102" i="4" s="1"/>
  <c r="J102" i="4" s="1"/>
  <c r="G103" i="4" s="1"/>
  <c r="I103" i="4" s="1"/>
  <c r="J103" i="4" s="1"/>
  <c r="G104" i="4" s="1"/>
  <c r="I104" i="4" s="1"/>
  <c r="J104" i="4" s="1"/>
  <c r="G105" i="4" s="1"/>
  <c r="I105" i="4" s="1"/>
  <c r="J105" i="4" s="1"/>
  <c r="G106" i="4" l="1"/>
  <c r="I106" i="4" s="1"/>
  <c r="J106" i="4" s="1"/>
  <c r="G107" i="4" s="1"/>
  <c r="I107" i="4" s="1"/>
  <c r="J107" i="4" s="1"/>
  <c r="G108" i="4" l="1"/>
  <c r="I108" i="4" s="1"/>
  <c r="J108" i="4" s="1"/>
  <c r="G109" i="4" s="1"/>
  <c r="I109" i="4" s="1"/>
  <c r="J109" i="4" s="1"/>
  <c r="G110" i="4" s="1"/>
  <c r="I110" i="4" s="1"/>
  <c r="J110" i="4" s="1"/>
  <c r="G111" i="4" s="1"/>
  <c r="I111" i="4" s="1"/>
  <c r="J111" i="4" s="1"/>
  <c r="G112" i="4" s="1"/>
  <c r="I112" i="4" s="1"/>
  <c r="J112" i="4" s="1"/>
  <c r="G113" i="4" s="1"/>
  <c r="I113" i="4" s="1"/>
  <c r="J113" i="4" s="1"/>
  <c r="G114" i="4" l="1"/>
  <c r="I114" i="4" s="1"/>
  <c r="J114" i="4" s="1"/>
  <c r="G115" i="4" s="1"/>
  <c r="I115" i="4" s="1"/>
  <c r="J115" i="4" s="1"/>
  <c r="G116" i="4" l="1"/>
  <c r="I116" i="4" s="1"/>
  <c r="J116" i="4" s="1"/>
  <c r="G117" i="4" l="1"/>
  <c r="I117" i="4" s="1"/>
  <c r="J117" i="4"/>
  <c r="G118" i="4" s="1"/>
  <c r="I118" i="4" s="1"/>
  <c r="J118" i="4" s="1"/>
  <c r="G119" i="4" s="1"/>
  <c r="I119" i="4" s="1"/>
  <c r="J119" i="4" s="1"/>
  <c r="G120" i="4" s="1"/>
  <c r="I120" i="4" s="1"/>
  <c r="J120" i="4" s="1"/>
  <c r="G121" i="4" l="1"/>
  <c r="I121" i="4" s="1"/>
  <c r="J121" i="4"/>
  <c r="G122" i="4" s="1"/>
  <c r="I122" i="4" s="1"/>
  <c r="J122" i="4" s="1"/>
  <c r="G123" i="4" l="1"/>
  <c r="I123" i="4" s="1"/>
  <c r="J123" i="4"/>
  <c r="G124" i="4" s="1"/>
  <c r="I124" i="4" s="1"/>
  <c r="J124" i="4" s="1"/>
  <c r="G125" i="4" l="1"/>
  <c r="I125" i="4" s="1"/>
  <c r="J125" i="4" s="1"/>
  <c r="G126" i="4" s="1"/>
  <c r="I126" i="4" s="1"/>
  <c r="J126" i="4" s="1"/>
  <c r="G127" i="4" s="1"/>
  <c r="I127" i="4" s="1"/>
  <c r="J127" i="4" s="1"/>
  <c r="G128" i="4" s="1"/>
  <c r="I128" i="4" s="1"/>
  <c r="J128" i="4" s="1"/>
  <c r="G129" i="4" l="1"/>
  <c r="I129" i="4" s="1"/>
  <c r="J129" i="4" s="1"/>
  <c r="G130" i="4" s="1"/>
  <c r="I130" i="4" s="1"/>
  <c r="J130" i="4" s="1"/>
  <c r="G131" i="4" l="1"/>
  <c r="I131" i="4" s="1"/>
  <c r="J131" i="4" s="1"/>
  <c r="G132" i="4" s="1"/>
  <c r="I132" i="4" s="1"/>
  <c r="J132" i="4" s="1"/>
  <c r="G133" i="4" s="1"/>
  <c r="I133" i="4" s="1"/>
  <c r="J133" i="4" s="1"/>
  <c r="G134" i="4" l="1"/>
  <c r="I134" i="4" s="1"/>
  <c r="J134" i="4" s="1"/>
  <c r="G135" i="4" l="1"/>
  <c r="I135" i="4" s="1"/>
  <c r="J135" i="4" s="1"/>
  <c r="G136" i="4" l="1"/>
  <c r="I136" i="4" s="1"/>
  <c r="J136" i="4" s="1"/>
  <c r="G137" i="4" l="1"/>
  <c r="I137" i="4" s="1"/>
  <c r="J137" i="4" s="1"/>
  <c r="G138" i="4" l="1"/>
  <c r="I138" i="4" s="1"/>
  <c r="J138" i="4" s="1"/>
  <c r="G139" i="4" l="1"/>
  <c r="I139" i="4" s="1"/>
  <c r="J139" i="4"/>
  <c r="G140" i="4" l="1"/>
  <c r="I140" i="4" s="1"/>
  <c r="J140" i="4" s="1"/>
  <c r="G141" i="4" l="1"/>
  <c r="I141" i="4" s="1"/>
  <c r="J141" i="4" s="1"/>
  <c r="G142" i="4" l="1"/>
  <c r="I142" i="4" s="1"/>
  <c r="J142" i="4" s="1"/>
  <c r="G143" i="4" s="1"/>
  <c r="I143" i="4" s="1"/>
  <c r="J143" i="4" s="1"/>
  <c r="G144" i="4" l="1"/>
  <c r="I144" i="4" s="1"/>
  <c r="J144" i="4" s="1"/>
  <c r="G145" i="4" l="1"/>
  <c r="I145" i="4" s="1"/>
  <c r="J145" i="4" s="1"/>
  <c r="G146" i="4" l="1"/>
  <c r="I146" i="4" s="1"/>
  <c r="J146" i="4"/>
  <c r="G147" i="4" l="1"/>
  <c r="I147" i="4" s="1"/>
  <c r="J147" i="4"/>
  <c r="G148" i="4" s="1"/>
  <c r="I148" i="4" s="1"/>
  <c r="J148" i="4" s="1"/>
  <c r="G149" i="4" l="1"/>
  <c r="I149" i="4" s="1"/>
  <c r="J149" i="4" s="1"/>
  <c r="G150" i="4" l="1"/>
  <c r="I150" i="4" s="1"/>
  <c r="J150" i="4" s="1"/>
  <c r="G151" i="4" l="1"/>
  <c r="I151" i="4" s="1"/>
  <c r="J151" i="4"/>
  <c r="G152" i="4" s="1"/>
  <c r="I152" i="4" s="1"/>
  <c r="J152" i="4" s="1"/>
  <c r="G153" i="4" l="1"/>
  <c r="I153" i="4" s="1"/>
  <c r="J153" i="4" s="1"/>
  <c r="G154" i="4" l="1"/>
  <c r="I154" i="4" s="1"/>
  <c r="J154" i="4" s="1"/>
  <c r="G155" i="4" s="1"/>
  <c r="I155" i="4" s="1"/>
  <c r="J155" i="4" l="1"/>
  <c r="G156" i="4" s="1"/>
  <c r="I156" i="4" s="1"/>
  <c r="J156" i="4" l="1"/>
  <c r="G157" i="4" l="1"/>
  <c r="I157" i="4" s="1"/>
  <c r="J157" i="4" s="1"/>
  <c r="G158" i="4" l="1"/>
  <c r="I158" i="4" s="1"/>
  <c r="J158" i="4" s="1"/>
  <c r="G159" i="4" l="1"/>
  <c r="I159" i="4" s="1"/>
  <c r="J159" i="4" l="1"/>
  <c r="G160" i="4" s="1"/>
  <c r="I160" i="4" s="1"/>
  <c r="J160" i="4" l="1"/>
  <c r="G161" i="4" l="1"/>
  <c r="I161" i="4" s="1"/>
  <c r="J161" i="4" l="1"/>
  <c r="G162" i="4" l="1"/>
  <c r="I162" i="4" s="1"/>
  <c r="J162" i="4" s="1"/>
  <c r="G163" i="4" l="1"/>
  <c r="I163" i="4" s="1"/>
  <c r="J163" i="4" l="1"/>
  <c r="G164" i="4" l="1"/>
  <c r="I164" i="4" s="1"/>
  <c r="J164" i="4" s="1"/>
  <c r="G165" i="4" l="1"/>
  <c r="I165" i="4" s="1"/>
  <c r="J165" i="4" s="1"/>
  <c r="G166" i="4" l="1"/>
  <c r="I166" i="4" s="1"/>
  <c r="J166" i="4" s="1"/>
  <c r="G167" i="4" l="1"/>
  <c r="I167" i="4" s="1"/>
  <c r="J167" i="4" s="1"/>
  <c r="G168" i="4" l="1"/>
  <c r="I168" i="4" s="1"/>
  <c r="J168" i="4" s="1"/>
  <c r="G169" i="4" l="1"/>
  <c r="I169" i="4" s="1"/>
  <c r="J169" i="4" s="1"/>
  <c r="G170" i="4" l="1"/>
  <c r="I170" i="4" s="1"/>
  <c r="J170" i="4" s="1"/>
  <c r="G171" i="4" l="1"/>
  <c r="I171" i="4" s="1"/>
  <c r="J171" i="4" s="1"/>
  <c r="J172" i="4" l="1"/>
  <c r="G173" i="4" l="1"/>
  <c r="I173" i="4" s="1"/>
  <c r="J173" i="4" s="1"/>
  <c r="G174" i="4"/>
  <c r="I174" i="4" l="1"/>
  <c r="J174" i="4" s="1"/>
  <c r="G175" i="4"/>
  <c r="I175" i="4" l="1"/>
  <c r="J175" i="4" s="1"/>
  <c r="G176" i="4" s="1"/>
  <c r="I176" i="4" s="1"/>
  <c r="J176" i="4" s="1"/>
  <c r="G177" i="4" s="1"/>
  <c r="I177" i="4" s="1"/>
  <c r="J177" i="4" s="1"/>
  <c r="G178" i="4" s="1"/>
  <c r="I178" i="4" s="1"/>
  <c r="J178" i="4" s="1"/>
  <c r="G179" i="4" s="1"/>
  <c r="I179" i="4" s="1"/>
  <c r="J179" i="4" s="1"/>
  <c r="G180" i="4" l="1"/>
  <c r="I180" i="4" s="1"/>
  <c r="J180" i="4" s="1"/>
  <c r="G181" i="4" s="1"/>
  <c r="I181" i="4" s="1"/>
  <c r="J181" i="4" s="1"/>
  <c r="G182" i="4" s="1"/>
  <c r="I182" i="4" s="1"/>
  <c r="J182" i="4" s="1"/>
  <c r="G183" i="4" s="1"/>
  <c r="I183" i="4" s="1"/>
  <c r="J183" i="4" s="1"/>
  <c r="G184" i="4" s="1"/>
  <c r="I184" i="4" s="1"/>
  <c r="J184" i="4" s="1"/>
  <c r="G185" i="4" s="1"/>
  <c r="I185" i="4" s="1"/>
  <c r="J185" i="4" s="1"/>
  <c r="G186" i="4" s="1"/>
  <c r="I186" i="4" s="1"/>
  <c r="J186" i="4" s="1"/>
  <c r="G187" i="4" s="1"/>
  <c r="I187" i="4" s="1"/>
  <c r="J187" i="4" s="1"/>
  <c r="G188" i="4" s="1"/>
  <c r="I188" i="4" s="1"/>
  <c r="J188" i="4" s="1"/>
  <c r="G189" i="4" s="1"/>
  <c r="I189" i="4" s="1"/>
  <c r="J189" i="4" s="1"/>
  <c r="G190" i="4" s="1"/>
  <c r="I190" i="4" s="1"/>
  <c r="J190" i="4" s="1"/>
  <c r="G191" i="4" s="1"/>
  <c r="I191" i="4" s="1"/>
  <c r="J191" i="4" s="1"/>
  <c r="G192" i="4" s="1"/>
  <c r="I192" i="4" s="1"/>
  <c r="J192" i="4" s="1"/>
  <c r="G193" i="4" s="1"/>
  <c r="I193" i="4" s="1"/>
  <c r="J193" i="4" s="1"/>
  <c r="G194" i="4" s="1"/>
  <c r="I194" i="4" s="1"/>
  <c r="J194" i="4" s="1"/>
  <c r="G195" i="4" s="1"/>
  <c r="I195" i="4" s="1"/>
  <c r="J195" i="4" s="1"/>
  <c r="G196" i="4" s="1"/>
  <c r="I196" i="4" s="1"/>
  <c r="J196" i="4" s="1"/>
  <c r="G197" i="4" s="1"/>
  <c r="I197" i="4" s="1"/>
  <c r="J197" i="4" s="1"/>
  <c r="G198" i="4" s="1"/>
  <c r="I198" i="4" s="1"/>
  <c r="J198" i="4" s="1"/>
  <c r="G199" i="4" s="1"/>
  <c r="I199" i="4" s="1"/>
  <c r="J199" i="4" s="1"/>
  <c r="G200" i="4" s="1"/>
  <c r="I200" i="4" s="1"/>
  <c r="J200" i="4" s="1"/>
  <c r="G201" i="4" s="1"/>
  <c r="I201" i="4" s="1"/>
  <c r="J201" i="4" s="1"/>
  <c r="G202" i="4" s="1"/>
  <c r="I202" i="4" s="1"/>
  <c r="J202" i="4" s="1"/>
  <c r="G203" i="4" s="1"/>
  <c r="I203" i="4" s="1"/>
  <c r="J203" i="4" s="1"/>
  <c r="G204" i="4" s="1"/>
  <c r="I204" i="4" s="1"/>
  <c r="J204" i="4" s="1"/>
  <c r="G205" i="4" s="1"/>
  <c r="I205" i="4" s="1"/>
  <c r="J205" i="4" s="1"/>
  <c r="G206" i="4" s="1"/>
  <c r="I206" i="4" s="1"/>
  <c r="J206" i="4" s="1"/>
  <c r="G207" i="4" s="1"/>
  <c r="I207" i="4" s="1"/>
  <c r="J207" i="4" s="1"/>
  <c r="G208" i="4" s="1"/>
  <c r="I208" i="4" s="1"/>
  <c r="J208" i="4" s="1"/>
  <c r="G209" i="4" s="1"/>
  <c r="I209" i="4" s="1"/>
  <c r="J209" i="4" s="1"/>
  <c r="G210" i="4" s="1"/>
  <c r="I210" i="4" s="1"/>
  <c r="J210" i="4" s="1"/>
  <c r="G211" i="4" s="1"/>
  <c r="I211" i="4" s="1"/>
  <c r="J211" i="4" s="1"/>
  <c r="G212" i="4" s="1"/>
  <c r="I212" i="4" s="1"/>
  <c r="J212" i="4" s="1"/>
  <c r="G213" i="4" s="1"/>
  <c r="I213" i="4" s="1"/>
  <c r="J213" i="4" s="1"/>
  <c r="G214" i="4" s="1"/>
  <c r="I214" i="4" s="1"/>
  <c r="J214" i="4" s="1"/>
  <c r="G215" i="4" s="1"/>
  <c r="I215" i="4" s="1"/>
  <c r="J215" i="4" s="1"/>
  <c r="G216" i="4" s="1"/>
  <c r="I216" i="4" s="1"/>
  <c r="J216" i="4" s="1"/>
  <c r="G217" i="4" s="1"/>
  <c r="I217" i="4" s="1"/>
  <c r="J217" i="4" s="1"/>
  <c r="G218" i="4" s="1"/>
  <c r="I218" i="4" s="1"/>
  <c r="J218" i="4" s="1"/>
  <c r="G219" i="4" s="1"/>
  <c r="I219" i="4" s="1"/>
  <c r="J219" i="4" s="1"/>
  <c r="G220" i="4" s="1"/>
  <c r="I220" i="4" s="1"/>
  <c r="J220" i="4" s="1"/>
  <c r="G221" i="4" s="1"/>
  <c r="I221" i="4" s="1"/>
  <c r="J221" i="4" s="1"/>
  <c r="G222" i="4" s="1"/>
  <c r="I222" i="4" s="1"/>
  <c r="J222" i="4" s="1"/>
  <c r="G223" i="4" s="1"/>
  <c r="I223" i="4" s="1"/>
  <c r="J223" i="4" s="1"/>
  <c r="G224" i="4" s="1"/>
  <c r="I224" i="4" s="1"/>
  <c r="J224" i="4" s="1"/>
  <c r="G225" i="4" s="1"/>
  <c r="I225" i="4" s="1"/>
  <c r="J225" i="4" s="1"/>
  <c r="G226" i="4" s="1"/>
  <c r="I226" i="4" s="1"/>
  <c r="J226" i="4" s="1"/>
  <c r="G227" i="4" s="1"/>
  <c r="I227" i="4" s="1"/>
  <c r="J227" i="4" s="1"/>
  <c r="G228" i="4" s="1"/>
  <c r="I228" i="4" s="1"/>
  <c r="J228" i="4" s="1"/>
  <c r="G229" i="4" s="1"/>
  <c r="I229" i="4" s="1"/>
  <c r="J229" i="4" s="1"/>
  <c r="G230" i="4" s="1"/>
  <c r="I230" i="4" s="1"/>
  <c r="J230" i="4" s="1"/>
  <c r="G231" i="4" s="1"/>
  <c r="I231" i="4" s="1"/>
  <c r="J231" i="4" s="1"/>
  <c r="G232" i="4" s="1"/>
  <c r="I232" i="4" s="1"/>
  <c r="J232" i="4" s="1"/>
  <c r="G233" i="4" s="1"/>
  <c r="I233" i="4" s="1"/>
  <c r="J233" i="4" s="1"/>
  <c r="G234" i="4" s="1"/>
  <c r="I234" i="4" s="1"/>
  <c r="J234" i="4" s="1"/>
  <c r="G235" i="4" s="1"/>
  <c r="I235" i="4" s="1"/>
  <c r="J235" i="4" s="1"/>
  <c r="G236" i="4" s="1"/>
  <c r="I236" i="4" s="1"/>
  <c r="J236" i="4" s="1"/>
  <c r="G237" i="4" s="1"/>
  <c r="I237" i="4" s="1"/>
  <c r="J237" i="4" s="1"/>
  <c r="G238" i="4" s="1"/>
  <c r="I238" i="4" s="1"/>
  <c r="J238" i="4" s="1"/>
  <c r="G239" i="4" s="1"/>
  <c r="I239" i="4" s="1"/>
  <c r="J239" i="4" s="1"/>
  <c r="G240" i="4" s="1"/>
  <c r="I240" i="4" s="1"/>
  <c r="J240" i="4" s="1"/>
  <c r="G241" i="4" s="1"/>
  <c r="I241" i="4" s="1"/>
  <c r="J241" i="4" s="1"/>
  <c r="G242" i="4" s="1"/>
  <c r="I242" i="4" s="1"/>
  <c r="J242" i="4" s="1"/>
  <c r="G243" i="4" s="1"/>
  <c r="I243" i="4" s="1"/>
  <c r="J243" i="4" s="1"/>
  <c r="G244" i="4" s="1"/>
  <c r="I244" i="4" s="1"/>
  <c r="J244" i="4" s="1"/>
  <c r="G245" i="4" s="1"/>
  <c r="I245" i="4" s="1"/>
  <c r="J245" i="4" s="1"/>
  <c r="G246" i="4" s="1"/>
  <c r="I246" i="4" s="1"/>
  <c r="J246" i="4" s="1"/>
  <c r="G247" i="4" s="1"/>
  <c r="I247" i="4" s="1"/>
  <c r="J247" i="4" s="1"/>
  <c r="G248" i="4" s="1"/>
  <c r="I248" i="4" s="1"/>
  <c r="J248" i="4" s="1"/>
  <c r="G249" i="4" s="1"/>
  <c r="I249" i="4" s="1"/>
  <c r="J249" i="4" s="1"/>
  <c r="G250" i="4" s="1"/>
  <c r="I250" i="4" s="1"/>
  <c r="J250" i="4" s="1"/>
  <c r="G251" i="4" s="1"/>
  <c r="I251" i="4" s="1"/>
  <c r="J251" i="4" s="1"/>
  <c r="G252" i="4" s="1"/>
  <c r="I252" i="4" s="1"/>
  <c r="J252" i="4" s="1"/>
  <c r="G253" i="4" s="1"/>
  <c r="I253" i="4" s="1"/>
  <c r="J253" i="4" s="1"/>
  <c r="G254" i="4" s="1"/>
  <c r="I254" i="4" s="1"/>
  <c r="J254" i="4" s="1"/>
  <c r="G255" i="4" s="1"/>
  <c r="I255" i="4" s="1"/>
  <c r="J255" i="4" s="1"/>
  <c r="G256" i="4" s="1"/>
  <c r="I256" i="4" s="1"/>
  <c r="J256" i="4" s="1"/>
  <c r="G257" i="4" s="1"/>
  <c r="I257" i="4" s="1"/>
  <c r="J257" i="4" s="1"/>
  <c r="G258" i="4" s="1"/>
  <c r="I258" i="4" s="1"/>
  <c r="J258" i="4" s="1"/>
  <c r="G259" i="4" s="1"/>
  <c r="I259" i="4" s="1"/>
  <c r="J259" i="4" s="1"/>
  <c r="G260" i="4" s="1"/>
  <c r="I260" i="4" s="1"/>
  <c r="J260" i="4" s="1"/>
  <c r="G261" i="4" s="1"/>
  <c r="I261" i="4" s="1"/>
  <c r="J261" i="4" s="1"/>
  <c r="G262" i="4" s="1"/>
  <c r="I262" i="4" s="1"/>
  <c r="J262" i="4" s="1"/>
  <c r="G263" i="4" s="1"/>
  <c r="I263" i="4" s="1"/>
  <c r="J263" i="4" s="1"/>
  <c r="G264" i="4" s="1"/>
  <c r="I264" i="4" s="1"/>
  <c r="J264" i="4" s="1"/>
  <c r="G265" i="4" s="1"/>
  <c r="I265" i="4" s="1"/>
  <c r="J265" i="4" s="1"/>
  <c r="G266" i="4" s="1"/>
  <c r="I266" i="4" s="1"/>
  <c r="J266" i="4" s="1"/>
  <c r="G267" i="4" s="1"/>
  <c r="I267" i="4" s="1"/>
  <c r="J267" i="4" s="1"/>
  <c r="G268" i="4" s="1"/>
  <c r="I268" i="4" s="1"/>
  <c r="J268" i="4" s="1"/>
  <c r="G269" i="4" s="1"/>
  <c r="I269" i="4" s="1"/>
  <c r="J269" i="4" s="1"/>
  <c r="G270" i="4" s="1"/>
  <c r="I270" i="4" s="1"/>
  <c r="J270" i="4" s="1"/>
  <c r="G271" i="4" s="1"/>
  <c r="I271" i="4" s="1"/>
  <c r="J271" i="4" s="1"/>
  <c r="G272" i="4" s="1"/>
  <c r="I272" i="4" s="1"/>
  <c r="J272" i="4" s="1"/>
  <c r="G273" i="4" s="1"/>
  <c r="I273" i="4" s="1"/>
  <c r="J273" i="4" s="1"/>
  <c r="G274" i="4" s="1"/>
  <c r="I274" i="4" s="1"/>
  <c r="J274" i="4" s="1"/>
  <c r="G275" i="4" s="1"/>
  <c r="I275" i="4" s="1"/>
  <c r="J275" i="4" s="1"/>
  <c r="G276" i="4" s="1"/>
  <c r="I276" i="4" s="1"/>
  <c r="J276" i="4" s="1"/>
  <c r="G277" i="4" s="1"/>
  <c r="I277" i="4" s="1"/>
  <c r="J277" i="4" s="1"/>
  <c r="G278" i="4" s="1"/>
  <c r="I278" i="4" s="1"/>
  <c r="J278" i="4" s="1"/>
  <c r="G279" i="4" s="1"/>
  <c r="I279" i="4" s="1"/>
  <c r="J279" i="4" s="1"/>
  <c r="G280" i="4" s="1"/>
  <c r="I280" i="4" s="1"/>
  <c r="J280" i="4" s="1"/>
  <c r="G281" i="4" s="1"/>
  <c r="I281" i="4" s="1"/>
  <c r="J281" i="4" s="1"/>
  <c r="G282" i="4" s="1"/>
  <c r="I282" i="4" s="1"/>
  <c r="J282" i="4" s="1"/>
  <c r="G283" i="4" s="1"/>
  <c r="I283" i="4" s="1"/>
  <c r="J283" i="4" s="1"/>
  <c r="G284" i="4" s="1"/>
  <c r="I284" i="4" s="1"/>
  <c r="J284" i="4" s="1"/>
  <c r="G285" i="4" s="1"/>
  <c r="I285" i="4" s="1"/>
  <c r="J285" i="4" s="1"/>
  <c r="G286" i="4" s="1"/>
  <c r="I286" i="4" s="1"/>
  <c r="J286" i="4" s="1"/>
  <c r="G287" i="4" s="1"/>
  <c r="I287" i="4" s="1"/>
  <c r="J287" i="4" s="1"/>
  <c r="G288" i="4" s="1"/>
  <c r="I288" i="4" s="1"/>
  <c r="J288" i="4" s="1"/>
  <c r="G289" i="4" s="1"/>
  <c r="I289" i="4" s="1"/>
  <c r="J289" i="4" s="1"/>
  <c r="G290" i="4" s="1"/>
  <c r="I290" i="4" s="1"/>
  <c r="J290" i="4" s="1"/>
  <c r="G291" i="4" l="1"/>
  <c r="I291" i="4" s="1"/>
  <c r="J291" i="4" s="1"/>
  <c r="G292" i="4" l="1"/>
  <c r="I292" i="4" s="1"/>
  <c r="J292" i="4" s="1"/>
  <c r="G293" i="4" l="1"/>
  <c r="I293" i="4" s="1"/>
  <c r="J293" i="4" s="1"/>
  <c r="G294" i="4" l="1"/>
  <c r="I294" i="4" s="1"/>
  <c r="J294" i="4" s="1"/>
  <c r="G295" i="4" l="1"/>
  <c r="I295" i="4" s="1"/>
  <c r="J295" i="4" s="1"/>
  <c r="G296" i="4" l="1"/>
  <c r="I296" i="4" s="1"/>
  <c r="J296" i="4" s="1"/>
  <c r="G297" i="4" l="1"/>
  <c r="I297" i="4" s="1"/>
  <c r="J297" i="4" s="1"/>
  <c r="G298" i="4" l="1"/>
  <c r="I298" i="4" s="1"/>
  <c r="J298" i="4" s="1"/>
  <c r="G299" i="4" l="1"/>
  <c r="I299" i="4" s="1"/>
  <c r="J299" i="4" s="1"/>
  <c r="G300" i="4" l="1"/>
  <c r="I300" i="4" s="1"/>
  <c r="J300" i="4" s="1"/>
  <c r="G301" i="4" l="1"/>
  <c r="I301" i="4" s="1"/>
  <c r="J301" i="4" s="1"/>
  <c r="G302" i="4" l="1"/>
  <c r="I302" i="4" s="1"/>
  <c r="J302" i="4" s="1"/>
  <c r="G303" i="4" l="1"/>
  <c r="I303" i="4" s="1"/>
  <c r="J303" i="4" s="1"/>
  <c r="G304" i="4" l="1"/>
  <c r="I304" i="4" s="1"/>
  <c r="J304" i="4" s="1"/>
  <c r="G305" i="4" l="1"/>
  <c r="I305" i="4" s="1"/>
  <c r="J305" i="4" s="1"/>
  <c r="G306" i="4" l="1"/>
  <c r="I306" i="4" s="1"/>
  <c r="J306" i="4" s="1"/>
  <c r="G307" i="4" l="1"/>
  <c r="I307" i="4" s="1"/>
  <c r="J307" i="4" s="1"/>
  <c r="G308" i="4" l="1"/>
  <c r="I308" i="4" s="1"/>
  <c r="J308" i="4" s="1"/>
  <c r="G309" i="4" l="1"/>
  <c r="I309" i="4" s="1"/>
  <c r="J309" i="4" s="1"/>
  <c r="G310" i="4" l="1"/>
  <c r="I310" i="4" s="1"/>
  <c r="J310" i="4" s="1"/>
  <c r="G311" i="4" l="1"/>
  <c r="I311" i="4" s="1"/>
  <c r="J311" i="4" s="1"/>
  <c r="G312" i="4" l="1"/>
  <c r="I312" i="4" s="1"/>
  <c r="J312" i="4" s="1"/>
  <c r="G313" i="4" l="1"/>
  <c r="I313" i="4" s="1"/>
  <c r="J313" i="4" s="1"/>
  <c r="G314" i="4" l="1"/>
  <c r="I314" i="4" s="1"/>
  <c r="J314" i="4" s="1"/>
  <c r="G315" i="4" l="1"/>
  <c r="I315" i="4" s="1"/>
  <c r="J315" i="4" s="1"/>
  <c r="G316" i="4" l="1"/>
  <c r="I316" i="4" s="1"/>
  <c r="J316" i="4" s="1"/>
  <c r="G317" i="4" l="1"/>
  <c r="I317" i="4" s="1"/>
  <c r="J317" i="4" s="1"/>
  <c r="G318" i="4" l="1"/>
  <c r="I318" i="4" s="1"/>
  <c r="J318" i="4" s="1"/>
  <c r="G319" i="4" l="1"/>
  <c r="I319" i="4" s="1"/>
  <c r="J319" i="4" s="1"/>
  <c r="G320" i="4" l="1"/>
  <c r="I320" i="4" s="1"/>
  <c r="J320" i="4" s="1"/>
  <c r="G321" i="4" l="1"/>
  <c r="I321" i="4" s="1"/>
  <c r="J321" i="4" s="1"/>
  <c r="G322" i="4" l="1"/>
  <c r="I322" i="4" s="1"/>
  <c r="J322" i="4" s="1"/>
  <c r="G323" i="4" l="1"/>
  <c r="I323" i="4" s="1"/>
  <c r="J323" i="4" s="1"/>
  <c r="G324" i="4" l="1"/>
  <c r="I324" i="4" s="1"/>
  <c r="J324" i="4" s="1"/>
  <c r="G325" i="4" l="1"/>
  <c r="I325" i="4" s="1"/>
  <c r="J325" i="4" s="1"/>
  <c r="G326" i="4" l="1"/>
  <c r="I326" i="4" s="1"/>
  <c r="J326" i="4" s="1"/>
  <c r="G327" i="4" l="1"/>
  <c r="I327" i="4" s="1"/>
  <c r="J327" i="4" s="1"/>
  <c r="G328" i="4" l="1"/>
  <c r="I328" i="4" s="1"/>
  <c r="J328" i="4" s="1"/>
  <c r="G329" i="4" l="1"/>
  <c r="I329" i="4" s="1"/>
  <c r="J329" i="4" s="1"/>
  <c r="G330" i="4" l="1"/>
  <c r="I330" i="4" s="1"/>
  <c r="J330" i="4" s="1"/>
  <c r="G331" i="4" l="1"/>
  <c r="I331" i="4" s="1"/>
  <c r="J331" i="4" s="1"/>
  <c r="G332" i="4" l="1"/>
  <c r="I332" i="4" s="1"/>
  <c r="J332" i="4" s="1"/>
  <c r="G333" i="4" l="1"/>
  <c r="I333" i="4" s="1"/>
  <c r="J333" i="4" s="1"/>
  <c r="G334" i="4" l="1"/>
  <c r="I334" i="4" s="1"/>
  <c r="J334" i="4" s="1"/>
  <c r="G335" i="4" l="1"/>
  <c r="I335" i="4" s="1"/>
  <c r="J335" i="4" s="1"/>
  <c r="G336" i="4" l="1"/>
  <c r="I336" i="4" s="1"/>
  <c r="J336" i="4" s="1"/>
  <c r="G337" i="4" l="1"/>
  <c r="I337" i="4" s="1"/>
  <c r="J337" i="4" s="1"/>
  <c r="G338" i="4" l="1"/>
  <c r="I338" i="4" s="1"/>
  <c r="J338" i="4" s="1"/>
  <c r="G339" i="4" l="1"/>
  <c r="I339" i="4" s="1"/>
  <c r="J339" i="4" s="1"/>
  <c r="G340" i="4" l="1"/>
  <c r="I340" i="4" s="1"/>
  <c r="J340" i="4" s="1"/>
  <c r="G341" i="4" l="1"/>
  <c r="I341" i="4" s="1"/>
  <c r="J341" i="4" s="1"/>
  <c r="G342" i="4" l="1"/>
  <c r="I342" i="4" s="1"/>
  <c r="J342" i="4" s="1"/>
  <c r="G343" i="4" l="1"/>
  <c r="I343" i="4" s="1"/>
  <c r="J343" i="4" s="1"/>
  <c r="G344" i="4" l="1"/>
  <c r="I344" i="4" s="1"/>
  <c r="J344" i="4" s="1"/>
  <c r="G345" i="4" l="1"/>
  <c r="I345" i="4" s="1"/>
  <c r="J345" i="4" s="1"/>
  <c r="G346" i="4" l="1"/>
  <c r="I346" i="4" s="1"/>
  <c r="J346" i="4" s="1"/>
  <c r="G347" i="4" l="1"/>
  <c r="I347" i="4" s="1"/>
  <c r="J347" i="4" s="1"/>
  <c r="G348" i="4" l="1"/>
  <c r="I348" i="4" s="1"/>
  <c r="J348" i="4" s="1"/>
  <c r="G349" i="4" l="1"/>
  <c r="I349" i="4" s="1"/>
  <c r="J349" i="4" s="1"/>
  <c r="G350" i="4" l="1"/>
  <c r="I350" i="4" s="1"/>
  <c r="J350" i="4" s="1"/>
  <c r="G351" i="4" l="1"/>
  <c r="I351" i="4" s="1"/>
  <c r="J351" i="4" s="1"/>
  <c r="G352" i="4" l="1"/>
  <c r="I352" i="4" s="1"/>
  <c r="J352" i="4" s="1"/>
  <c r="G353" i="4" l="1"/>
  <c r="I353" i="4" s="1"/>
  <c r="J353" i="4" s="1"/>
  <c r="G354" i="4" l="1"/>
  <c r="I354" i="4" s="1"/>
  <c r="J354" i="4" s="1"/>
  <c r="G355" i="4" l="1"/>
  <c r="I355" i="4" s="1"/>
  <c r="J355" i="4" s="1"/>
  <c r="G356" i="4" l="1"/>
  <c r="I356" i="4" s="1"/>
  <c r="J356" i="4" s="1"/>
  <c r="G357" i="4" l="1"/>
  <c r="I357" i="4" s="1"/>
  <c r="J357" i="4" s="1"/>
  <c r="G358" i="4" l="1"/>
  <c r="I358" i="4" s="1"/>
  <c r="J358" i="4" s="1"/>
  <c r="G359" i="4" l="1"/>
  <c r="I359" i="4" s="1"/>
  <c r="J359" i="4" s="1"/>
  <c r="G360" i="4" l="1"/>
  <c r="I360" i="4" s="1"/>
  <c r="J360" i="4" s="1"/>
  <c r="I361" i="4" l="1"/>
  <c r="J361" i="4" s="1"/>
  <c r="G362" i="4" l="1"/>
  <c r="I362" i="4" s="1"/>
  <c r="J362" i="4" s="1"/>
  <c r="G363" i="4" l="1"/>
  <c r="I363" i="4" s="1"/>
  <c r="J363" i="4" s="1"/>
  <c r="G364" i="4" l="1"/>
  <c r="I364" i="4" s="1"/>
  <c r="J364" i="4" s="1"/>
  <c r="G365" i="4" l="1"/>
  <c r="I365" i="4" s="1"/>
  <c r="J365" i="4" s="1"/>
  <c r="G366" i="4" l="1"/>
  <c r="I366" i="4" s="1"/>
  <c r="J366" i="4" s="1"/>
  <c r="G367" i="4" l="1"/>
  <c r="I367" i="4" s="1"/>
  <c r="J367" i="4" l="1"/>
  <c r="I368" i="4"/>
  <c r="J368" i="4" s="1"/>
</calcChain>
</file>

<file path=xl/sharedStrings.xml><?xml version="1.0" encoding="utf-8"?>
<sst xmlns="http://schemas.openxmlformats.org/spreadsheetml/2006/main" count="860" uniqueCount="708">
  <si>
    <t>FECHA</t>
  </si>
  <si>
    <t>DETALLE</t>
  </si>
  <si>
    <t>KARDEX FISICO</t>
  </si>
  <si>
    <t>COSTO UNITARIO</t>
  </si>
  <si>
    <t>KARDEX VALORADO</t>
  </si>
  <si>
    <t>OBSERVACIONES</t>
  </si>
  <si>
    <t>ENTRADA</t>
  </si>
  <si>
    <t>SALIDA</t>
  </si>
  <si>
    <t>DEBE</t>
  </si>
  <si>
    <t>HABER</t>
  </si>
  <si>
    <t>INVENTARIO INICIAL</t>
  </si>
  <si>
    <t xml:space="preserve">SALDO </t>
  </si>
  <si>
    <t>ADQ.</t>
  </si>
  <si>
    <t>PROM.</t>
  </si>
  <si>
    <t>SALDO</t>
  </si>
  <si>
    <t>Cochabamba - Bolivia</t>
  </si>
  <si>
    <t>Metodo:Promedio Ponderado</t>
  </si>
  <si>
    <t>NIT  358900018</t>
  </si>
  <si>
    <t>Unidad de Medida:Metros lineales</t>
  </si>
  <si>
    <t>KARDEX  FISICO VALORADO</t>
  </si>
  <si>
    <t xml:space="preserve">               (Expresado en bolivianos)</t>
  </si>
  <si>
    <t>Mercaderia:Planchas para calaminas</t>
  </si>
  <si>
    <t xml:space="preserve">                Practicado al 31 de diciembre DE 2013</t>
  </si>
  <si>
    <t xml:space="preserve">                Practicado al 31 de diciembre DE 2012</t>
  </si>
  <si>
    <t>FELIX DELGADILLO MEJIA</t>
  </si>
  <si>
    <t>Mercaderia:Plancha BLUE para calaminas</t>
  </si>
  <si>
    <t>inventario inicial</t>
  </si>
  <si>
    <t xml:space="preserve">                Practicado al 31 diciembre 2013</t>
  </si>
  <si>
    <t>Venta Calamina Blue F- 299</t>
  </si>
  <si>
    <t>ANULADO F- 307</t>
  </si>
  <si>
    <t>Inventario Inicial</t>
  </si>
  <si>
    <t>Venta Calamina RAL F- 316</t>
  </si>
  <si>
    <t>Venta Calamina Blue F-  317</t>
  </si>
  <si>
    <t>Venta Calamina Blue F-  319</t>
  </si>
  <si>
    <t>ANULADO F- 323</t>
  </si>
  <si>
    <t>ANULADO F- 325</t>
  </si>
  <si>
    <t>Venta Calamina RAL F- 327</t>
  </si>
  <si>
    <t>ANULADO F- 330</t>
  </si>
  <si>
    <t>Venta Calamina RAL F- 342</t>
  </si>
  <si>
    <t>Venta Calamina Blue F-  349</t>
  </si>
  <si>
    <t>Venta Calamina Blue F- 359</t>
  </si>
  <si>
    <t>Venta Calamina Blue F-  362</t>
  </si>
  <si>
    <t>Venta Calamina Blue F-  364</t>
  </si>
  <si>
    <t>Venta Calamina Blue F-  365</t>
  </si>
  <si>
    <t>Venta Calamina Blue F-  366</t>
  </si>
  <si>
    <t>ANULADO F- 369</t>
  </si>
  <si>
    <t>ANULADO F- 370</t>
  </si>
  <si>
    <t>Venta Calamina RAL F- 372</t>
  </si>
  <si>
    <t>Venta Calamina Blue F-  373</t>
  </si>
  <si>
    <t>Venta Calamina Blue F-  374</t>
  </si>
  <si>
    <t>Venta Calamina Blue F-  376</t>
  </si>
  <si>
    <t>Venta Calamina Blue F-  377</t>
  </si>
  <si>
    <t>Venta Calamina Blue F-  379</t>
  </si>
  <si>
    <t>Venta Calamina Blue F-  380</t>
  </si>
  <si>
    <t>Venta Calamina RAL F- 381</t>
  </si>
  <si>
    <t>Venta Calamina Blue F-  382</t>
  </si>
  <si>
    <t>Venta Calamina Blue F-   383</t>
  </si>
  <si>
    <t>Venta Calamina Blue F-  384</t>
  </si>
  <si>
    <t>Venta Calamina Blue F-  386</t>
  </si>
  <si>
    <t>Venta Calamina RAL F- 388</t>
  </si>
  <si>
    <t>Venta Calamina Blue F-  390</t>
  </si>
  <si>
    <t>Venta Calamina Blue F-  393</t>
  </si>
  <si>
    <t>Venta Calamina Blue F-  394</t>
  </si>
  <si>
    <t>Venta Calamina Blue F-  395</t>
  </si>
  <si>
    <t>Venta Calamina Blue F- 396</t>
  </si>
  <si>
    <t>NUEVAS</t>
  </si>
  <si>
    <t>Venta Calamina Blue F- 401</t>
  </si>
  <si>
    <t>Venta Calamina RAL F- 404</t>
  </si>
  <si>
    <t>Venta Calamina Blue F-  407</t>
  </si>
  <si>
    <t>Venta Calamina Blue F-  410</t>
  </si>
  <si>
    <t>Venta Calamina Blue F-  412</t>
  </si>
  <si>
    <t>Venta Calamina Blue F-  414</t>
  </si>
  <si>
    <t>Venta Calamina RAL F- 415</t>
  </si>
  <si>
    <t>ANULADO F- 418</t>
  </si>
  <si>
    <t>ANULADO F- 421</t>
  </si>
  <si>
    <t>ANULADO F- 424</t>
  </si>
  <si>
    <t>Venta Calamina RAL F- 425</t>
  </si>
  <si>
    <t>Venta Calamina Blue F-  430</t>
  </si>
  <si>
    <t>Venta Calamina RAL F- 432</t>
  </si>
  <si>
    <t>Venta Calamina Blue F-  434</t>
  </si>
  <si>
    <t>Venta Calamina Blue F-  438</t>
  </si>
  <si>
    <t>Venta Calamina RAL F- 439</t>
  </si>
  <si>
    <t>Venta Calamina RAL F- 442</t>
  </si>
  <si>
    <t>Venta Calamina Blue F-  443</t>
  </si>
  <si>
    <t>Venta Calamina Blue F-  451</t>
  </si>
  <si>
    <t>Venta Calamina Blue F-  452</t>
  </si>
  <si>
    <t>ANULADO F- 455</t>
  </si>
  <si>
    <t>Venta Calamina RAL F- 456</t>
  </si>
  <si>
    <t>Venta Calamina Blue F-  457</t>
  </si>
  <si>
    <t>Venta Calamina RAL F- 458</t>
  </si>
  <si>
    <t>Venta Calamina Blue F-  459</t>
  </si>
  <si>
    <t>Venta Calamina RAL F- 462</t>
  </si>
  <si>
    <t>Venta Calamina RAL F- 463</t>
  </si>
  <si>
    <t>Venta Calamina Blue F-  465</t>
  </si>
  <si>
    <t>Venta Calamina RAL F- 472</t>
  </si>
  <si>
    <t>Venta Calamina RAL F- 473</t>
  </si>
  <si>
    <t>Venta Calamina RAL F- 474</t>
  </si>
  <si>
    <t>Venta Calamina RAL F- 475</t>
  </si>
  <si>
    <t>Venta Calamina RAL F- 479</t>
  </si>
  <si>
    <t>Venta Calamina Blue F-  481</t>
  </si>
  <si>
    <t>Venta Calamina Blue F-  482</t>
  </si>
  <si>
    <t>Venta Calamina Blue F-  483</t>
  </si>
  <si>
    <t>Venta Calamina Blue F-  484</t>
  </si>
  <si>
    <t>Venta Calamina RAL F- 486</t>
  </si>
  <si>
    <t>Venta Calamina RAL F- 489</t>
  </si>
  <si>
    <t>Venta Calamina RAL F- 492</t>
  </si>
  <si>
    <t>Venta Calamina RAL F- 494</t>
  </si>
  <si>
    <t>Venta Calamina RAL F- 495</t>
  </si>
  <si>
    <t>Venta Calamina RAL F- 496</t>
  </si>
  <si>
    <t>ANULADO F- 500</t>
  </si>
  <si>
    <t>Venta Calamina RAL F- 501</t>
  </si>
  <si>
    <t>Venta Calamina RAL F-  503</t>
  </si>
  <si>
    <t>Venta Calamina RAL F- 504</t>
  </si>
  <si>
    <t>Venta Calamina Blue F-  505</t>
  </si>
  <si>
    <t>Venta Calamina RAL F- 507</t>
  </si>
  <si>
    <t>Venta Calamina RAL F- 508</t>
  </si>
  <si>
    <t>Venta Calamina RAL F- 509</t>
  </si>
  <si>
    <t>Venta Calamina RAL F- 514</t>
  </si>
  <si>
    <t>ANULADO F- 516</t>
  </si>
  <si>
    <t>Venta Calamina RAL F-  517</t>
  </si>
  <si>
    <t>Venta Calamina RAL F- 518</t>
  </si>
  <si>
    <t>ANULADO F- 528</t>
  </si>
  <si>
    <t>Venta Calamina RAL F- 532</t>
  </si>
  <si>
    <t>Venta Calamina RAL F- 536</t>
  </si>
  <si>
    <t>Venta Calamina RAL F- 537</t>
  </si>
  <si>
    <t>Venta Calamina RAL F- 542</t>
  </si>
  <si>
    <t>Venta Calamina Blue F-  542</t>
  </si>
  <si>
    <t>Calamina Ondulada F- 543</t>
  </si>
  <si>
    <t>Venta Calamina Blue F-  549</t>
  </si>
  <si>
    <t>Venta Calamina RAL F- 557</t>
  </si>
  <si>
    <t>Venta Calamina Blue F-  558</t>
  </si>
  <si>
    <t>Venta Calamina Blue F-  559</t>
  </si>
  <si>
    <t>Venta Calamina Blue F-  567</t>
  </si>
  <si>
    <t>Venta Calamina Blue F-  570</t>
  </si>
  <si>
    <t>ANULADO F- 579</t>
  </si>
  <si>
    <t>ANULADO F- 599</t>
  </si>
  <si>
    <t>Venta Calamina RAL F- 606</t>
  </si>
  <si>
    <t>Venta Calamina RAL F-  614</t>
  </si>
  <si>
    <t>Venta Calamina RAL F-  618</t>
  </si>
  <si>
    <t>ANULADO F- 619</t>
  </si>
  <si>
    <t>Venta Calamina RAL F-  620</t>
  </si>
  <si>
    <t>Plana</t>
  </si>
  <si>
    <t>Ondulada</t>
  </si>
  <si>
    <t>Venta Calamina RAL F- 622</t>
  </si>
  <si>
    <t>Nueva Llegada</t>
  </si>
  <si>
    <t>Venta Calamina RAL F- 625</t>
  </si>
  <si>
    <t>Venta Calamina RAL F-  626</t>
  </si>
  <si>
    <t>Venta Calamina RAL F-628</t>
  </si>
  <si>
    <t>Venta Calamina RAL F- 629</t>
  </si>
  <si>
    <t>Venta Calamina RAL F- 633</t>
  </si>
  <si>
    <t>ANULADO F- 627</t>
  </si>
  <si>
    <t>Venta Calamina RAL F- 638</t>
  </si>
  <si>
    <t>Venta Calamina RAL F- 639</t>
  </si>
  <si>
    <t>Venta Calamina RAL F- 641</t>
  </si>
  <si>
    <t>Venta Calamina RAL F- 642</t>
  </si>
  <si>
    <t>Venta Calamina RAL F- 644</t>
  </si>
  <si>
    <t>Venta Calamina RAL F- 647</t>
  </si>
  <si>
    <t>Venta Calamina RAL F- 648</t>
  </si>
  <si>
    <t>Venta Calamina RAL F- 649</t>
  </si>
  <si>
    <t>Venta Calamina RAL F- 652</t>
  </si>
  <si>
    <t>Venta Calamina Blue F-  661</t>
  </si>
  <si>
    <t>Venta Calamina Blue F-   667</t>
  </si>
  <si>
    <t>Venta Calamina RAL F- 670</t>
  </si>
  <si>
    <t>Venta Calamina RAL F-  671</t>
  </si>
  <si>
    <t>Venta Calamina RAL F- 675</t>
  </si>
  <si>
    <t>Venta Calamina RAL F- 676</t>
  </si>
  <si>
    <t>Venta Calamina RAL F- 677</t>
  </si>
  <si>
    <t>Venta Calamina RAL F- 680</t>
  </si>
  <si>
    <t>Venta Calamina RAL F- 681</t>
  </si>
  <si>
    <t>Venta Calamina RAL F- 684</t>
  </si>
  <si>
    <t>Venta Calamina RAL F- 689</t>
  </si>
  <si>
    <t>Venta Calamina RAL F- 690</t>
  </si>
  <si>
    <t>Venta Calamina RAL F- 691</t>
  </si>
  <si>
    <t>Venta Calamina RAL F- 692</t>
  </si>
  <si>
    <t>Venta Calamina RAL F- 695</t>
  </si>
  <si>
    <t>Venta Calamina RAL F- 696</t>
  </si>
  <si>
    <t>Venta Calamina RAL F- 699</t>
  </si>
  <si>
    <t>Venta Calamina Blue F-  700</t>
  </si>
  <si>
    <t>Venta Calamina RAL F- 703</t>
  </si>
  <si>
    <t>Venta Calamina RAL F- 704</t>
  </si>
  <si>
    <t>Venta Calamina RAL F- 705</t>
  </si>
  <si>
    <t>ANULADO F- 706</t>
  </si>
  <si>
    <t>Venta Calamina RAL F-  708</t>
  </si>
  <si>
    <t>Venta Calamina RAL F- 710</t>
  </si>
  <si>
    <t>Venta Calamina Blue F-  713</t>
  </si>
  <si>
    <t>Venta Calamina RAL F-  719</t>
  </si>
  <si>
    <t>Venta Calamina RAL F- 721</t>
  </si>
  <si>
    <t xml:space="preserve">ENTRADA </t>
  </si>
  <si>
    <t>Totales</t>
  </si>
  <si>
    <t>Compra Ganchos J -70</t>
  </si>
  <si>
    <t>Saldo Ganchos J -60</t>
  </si>
  <si>
    <t>Anulado F-453</t>
  </si>
  <si>
    <t>Anulado F-455</t>
  </si>
  <si>
    <t>Venta Ganchos J -60 F-501</t>
  </si>
  <si>
    <t>Venta Ganchos J -50 F-522</t>
  </si>
  <si>
    <t>Venta Ganchos J -60 F-527</t>
  </si>
  <si>
    <t>Venta Ganchos J -50 F-540</t>
  </si>
  <si>
    <t>Venta Ganchos J -60 F-541</t>
  </si>
  <si>
    <t>Venta Ganchos J -60 F-543</t>
  </si>
  <si>
    <t>Venta Ganchos J -50 F-544</t>
  </si>
  <si>
    <t>Venta Ganchos J -50 F-299</t>
  </si>
  <si>
    <t>Venta Ganchos J -50 F-306</t>
  </si>
  <si>
    <t>Venta Ganchos J -50 F-309</t>
  </si>
  <si>
    <t>Venta Ganchos J -70 F-313</t>
  </si>
  <si>
    <t>Venta Ganchos J -70 F-317</t>
  </si>
  <si>
    <t>Venta Ganchos J -70 F-319</t>
  </si>
  <si>
    <t>Venta Ganchos J -70 F-320</t>
  </si>
  <si>
    <t>Venta Ganchos J -70 F-332</t>
  </si>
  <si>
    <t>Venta Ganchos J -70 F-339</t>
  </si>
  <si>
    <t>Venta Ganchos J -70 F-351</t>
  </si>
  <si>
    <t>Venta Ganchos J -70 F-354</t>
  </si>
  <si>
    <t>Venta Ganchos J -70 F-371</t>
  </si>
  <si>
    <t>Venta Ganchos J -60 F-372</t>
  </si>
  <si>
    <t>Venta Ganchos J -60 F-378</t>
  </si>
  <si>
    <t>Venta Ganchos J -50 F-380</t>
  </si>
  <si>
    <t>Venta ganchos J -60 F-382</t>
  </si>
  <si>
    <t>Venta Ganchos J -50 F-387</t>
  </si>
  <si>
    <t>Venta Ganchos J -60 F-389</t>
  </si>
  <si>
    <t>Venta Ganchos J -50 F-419</t>
  </si>
  <si>
    <t>Venta Ganchos J -60 F-392</t>
  </si>
  <si>
    <t>Venta Ganchos J -60 F-437</t>
  </si>
  <si>
    <t>Venta Ganchos J -60 F-438</t>
  </si>
  <si>
    <t>Venta Ganchos J -50 F-448</t>
  </si>
  <si>
    <t>Venta Ganchos J -50 F-449</t>
  </si>
  <si>
    <t>Venta Ganchos J -50 F-450</t>
  </si>
  <si>
    <t>Compra Ganchos J -50 F-454</t>
  </si>
  <si>
    <t>Venta Ganchos J -50 F-461</t>
  </si>
  <si>
    <t>Venta Ganchos J -50 F-470</t>
  </si>
  <si>
    <t>Venta Ganchos J -60 F-473</t>
  </si>
  <si>
    <t>Venta Ganchos J -60 F-482</t>
  </si>
  <si>
    <t>Venta Ganchos J -60 F-492</t>
  </si>
  <si>
    <t>Venta Ganchos J -50 F-548</t>
  </si>
  <si>
    <t>Venta Ganchos J -50 F-558</t>
  </si>
  <si>
    <t>Venta Ganchos J -60 F-559</t>
  </si>
  <si>
    <t>Venta Ganchos J -50 F-566</t>
  </si>
  <si>
    <t>Venta Ganchos J -50 F-567</t>
  </si>
  <si>
    <t>Venta Ganchos J -60 F-571</t>
  </si>
  <si>
    <t>Venta Ganchos J -50 F-572</t>
  </si>
  <si>
    <t>Venta Ganchos J -50 F-576</t>
  </si>
  <si>
    <t>Compra Ganchos J -60 F-2546</t>
  </si>
  <si>
    <t>Compra Ganchos J -60 F-2527</t>
  </si>
  <si>
    <t>Compra Ganchos J -50 F-2384</t>
  </si>
  <si>
    <t>Compra Ganchos J -50 F-2421</t>
  </si>
  <si>
    <t>Compra Ganchos J -50 F-2471</t>
  </si>
  <si>
    <t>Venta Ganchos J -60 F-600</t>
  </si>
  <si>
    <t>Mercaderia:Planchas RAL 0,35 mm para calaminas</t>
  </si>
  <si>
    <t>Nº 28</t>
  </si>
  <si>
    <t>Venta Ganchos J -60 F-615</t>
  </si>
  <si>
    <t>Venta Ganchos J -60 F-612</t>
  </si>
  <si>
    <t>Venta Ganchos J -60 F-623</t>
  </si>
  <si>
    <t>Compra Ganchos J -60 F-2616</t>
  </si>
  <si>
    <t>Venta Ganchos J -50 F-624</t>
  </si>
  <si>
    <t>Venta Ganchos J -50 F-634</t>
  </si>
  <si>
    <t>Venta Ganchos J -50 F-636</t>
  </si>
  <si>
    <t>Venta Ganchos J -50 F-645</t>
  </si>
  <si>
    <t>Venta Ganchos J -50 F-652</t>
  </si>
  <si>
    <t>Venta Ganchos J -50 F-653</t>
  </si>
  <si>
    <t>Venta Ganchos J -50 F-665</t>
  </si>
  <si>
    <t>Venta Ganchos J -50 F-669</t>
  </si>
  <si>
    <t>Venta Ganchos J -50 F-673</t>
  </si>
  <si>
    <t>Venta Ganchos J -50 F-674</t>
  </si>
  <si>
    <t>Compra Planchas Calamina RAL 3012013C34702</t>
  </si>
  <si>
    <t>Compra Plancha Calmina DUI 3012013c30656</t>
  </si>
  <si>
    <t>Compra Plancha Calamina DUI3012013C11311</t>
  </si>
  <si>
    <t>Compra Plancha Calmina DUI3012013C6311</t>
  </si>
  <si>
    <t>Compra Ganchos J -50 F-2673</t>
  </si>
  <si>
    <t>Compra Clavos  Calamina F-231</t>
  </si>
  <si>
    <t>Compra Clavos  Calamina F-488</t>
  </si>
  <si>
    <t>Venta Ganchos J -50 F-682</t>
  </si>
  <si>
    <t>Venta Ganchos J -50 F-683</t>
  </si>
  <si>
    <t>Venta Ganchos J -50 F-685</t>
  </si>
  <si>
    <t>Venta Ganchos J -50 F-687</t>
  </si>
  <si>
    <t>VENTA CLAVOS DE CALAMINA F-690</t>
  </si>
  <si>
    <t>VENTA CLAVOS DE CALAMINA F- 697</t>
  </si>
  <si>
    <t>Venta Ganchos J -50 F-701</t>
  </si>
  <si>
    <t>VENTA CLAVOS DE CALAMINA F- 704</t>
  </si>
  <si>
    <t>VENTA CLAVOS DE CALAMINA F- 711</t>
  </si>
  <si>
    <t>Venta Ganchos J -50 F-715</t>
  </si>
  <si>
    <t>VENTA CLAVOS DE CALAMINA F-716</t>
  </si>
  <si>
    <t>VENTA CLAVOS DE CALAMINA F- 718</t>
  </si>
  <si>
    <t>Venta Ganchos J -50 F- 720</t>
  </si>
  <si>
    <t>VENTA CLAVOS DE CALAMINA F- 722</t>
  </si>
  <si>
    <t>Venta Ganchos J -50 F- 724</t>
  </si>
  <si>
    <t>VENTA CLAVOS DE CALAMINA F- 727</t>
  </si>
  <si>
    <t>Venta Ganchos J -50 F- 731</t>
  </si>
  <si>
    <t>VENTA CLAVOS DE CALAMINA F- 732</t>
  </si>
  <si>
    <t>VENTA CLAVOS DE CALAMINA F- 733</t>
  </si>
  <si>
    <t>VENTA CLAVOS DE CALAMINA F- 734</t>
  </si>
  <si>
    <t>VENTA CLAVOS DE CALAMINA F- 746</t>
  </si>
  <si>
    <t>VENTA CLAVOS DE CALAMINA F- 747</t>
  </si>
  <si>
    <t>VENTA CLAVOS DE CALAMINA F- 753</t>
  </si>
  <si>
    <t>Venta Ganchos J -50 F- 765</t>
  </si>
  <si>
    <t>Venta Calamina RAL F-  726</t>
  </si>
  <si>
    <t>Venta Calamina RAL F- 729</t>
  </si>
  <si>
    <t>Venta Calamina Blue F-  733</t>
  </si>
  <si>
    <t>Venta Calamina Blue F-  735</t>
  </si>
  <si>
    <t>Venta Calamina RAL F- 736</t>
  </si>
  <si>
    <t>ANULADO F-738</t>
  </si>
  <si>
    <t>Venta Calamina RAL F- 749</t>
  </si>
  <si>
    <t>Venta Calamina RAL F- 754</t>
  </si>
  <si>
    <t>Venta Calamina RAL F- 756</t>
  </si>
  <si>
    <t>ANULADO F- 759</t>
  </si>
  <si>
    <t>Venta Calamina RAL F- 760</t>
  </si>
  <si>
    <t>Venta Calamina RAL F- 761</t>
  </si>
  <si>
    <t>Venta Calamina RAL F- 762</t>
  </si>
  <si>
    <t>ANULADO F- 764</t>
  </si>
  <si>
    <t>VENTA CLAVOS DE CALAMINA F- 766</t>
  </si>
  <si>
    <t>Venta Calamina RAL F- 767</t>
  </si>
  <si>
    <t>Compra Ganchos J -50 F-2724</t>
  </si>
  <si>
    <t>Venta Ganchos J -50 F- 769</t>
  </si>
  <si>
    <t>VENTA CLAVOS DE CALAMINA F- 771</t>
  </si>
  <si>
    <t>Venta Ganchos J -60 F- 772</t>
  </si>
  <si>
    <t>Venta Ganchos J -60 F-774</t>
  </si>
  <si>
    <t>Venta Calamina RAL F-775</t>
  </si>
  <si>
    <t>Venta Ganchos J -60 F-776</t>
  </si>
  <si>
    <t>Venta Calamina RAL F- 778</t>
  </si>
  <si>
    <t>ANULADO F- 779</t>
  </si>
  <si>
    <t>Venta Calamina RAL F- 780</t>
  </si>
  <si>
    <t>Venta Calamina RAL F- 782</t>
  </si>
  <si>
    <t>Venta Calamina RAL F- 784</t>
  </si>
  <si>
    <t>Venta Calamina RAL F- 793</t>
  </si>
  <si>
    <t>Venta Calamina RAL F- 794</t>
  </si>
  <si>
    <t>Venta Calamina RAL F- 795</t>
  </si>
  <si>
    <t>Venta Calamina RAL F-  799</t>
  </si>
  <si>
    <t>Venta Calamina RAL F-  802</t>
  </si>
  <si>
    <t>Venta Calamina Blue F- 807</t>
  </si>
  <si>
    <t>Venta Calamina RAL F- 814</t>
  </si>
  <si>
    <t>Venta Calamina RAL F- 820</t>
  </si>
  <si>
    <t>Venta Calamina RAL F- 821</t>
  </si>
  <si>
    <t>Venta Calamina Blue F-  824</t>
  </si>
  <si>
    <t>Venta Calamina RAL F- 827</t>
  </si>
  <si>
    <t>Venta Calamina RAL F- 828</t>
  </si>
  <si>
    <t>Venta Calamina RAL F- 829</t>
  </si>
  <si>
    <t>Venta Calamina RAL F- 830</t>
  </si>
  <si>
    <t>Venta Calamina RAL F- 831</t>
  </si>
  <si>
    <t>VENTA CLAVOS DE CALAMINA F- 781</t>
  </si>
  <si>
    <t>Venta Ganchos J -60 F- 785</t>
  </si>
  <si>
    <t>Compra Ganchos J -50 F-2730</t>
  </si>
  <si>
    <t>Compra Ganchos J -60 F-2730</t>
  </si>
  <si>
    <t>Venta Ganchos J -50 F- 796</t>
  </si>
  <si>
    <t>Venta Ganchos J -50 F- 797</t>
  </si>
  <si>
    <t>VENTA CLAVOS DE CALAMINA F- 800</t>
  </si>
  <si>
    <t>VENTA CLAVOS DE CALAMINA F- 807</t>
  </si>
  <si>
    <t>Venta Ganchos J -50 F- 809</t>
  </si>
  <si>
    <t>VENTA CLAVOS DE CALAMINA F- 810</t>
  </si>
  <si>
    <t>VENTA CLAVOS DE CALAMINA F- 814</t>
  </si>
  <si>
    <t>VENTA CLAVOS DE CALAMINA F- 816</t>
  </si>
  <si>
    <t>VENTA CLAVOS DE CALAMINA F- 821</t>
  </si>
  <si>
    <t>VENTA CLAVOS DE CALAMINA F- 822</t>
  </si>
  <si>
    <t>VENTA CLAVOS DE CALAMINA F- 823</t>
  </si>
  <si>
    <t>Venta Ganchos J -60 F-712</t>
  </si>
  <si>
    <t>SUMAS TOTALES Y SALDOS</t>
  </si>
  <si>
    <t xml:space="preserve">                                          Practicado al 31 de diciembre DE 2013</t>
  </si>
  <si>
    <t xml:space="preserve">                                                                      (Expresado en bolivianos)</t>
  </si>
  <si>
    <t xml:space="preserve">                                        Practicado al 31 de diciembre DEL 2013</t>
  </si>
  <si>
    <t xml:space="preserve">                                                                    (Expresado en bolivianos)</t>
  </si>
  <si>
    <t>Unidad de Medida:Kilogramos</t>
  </si>
  <si>
    <t>Mercaderia:Clavos para Calamina</t>
  </si>
  <si>
    <t>Mercaderia:Ganchos j -70</t>
  </si>
  <si>
    <t>Unidad de Medida:Unidades</t>
  </si>
  <si>
    <t>Mercaderia:Gomas j -60</t>
  </si>
  <si>
    <t>Mercaderia:Ganchos j -50</t>
  </si>
  <si>
    <t>Mercaderia:Planchas RAL 0.40mm para calaminas</t>
  </si>
  <si>
    <t xml:space="preserve">                    (Expresado en bolivianos)</t>
  </si>
  <si>
    <t xml:space="preserve">                                       Practicado al 31 de diciembre DEL 2013</t>
  </si>
  <si>
    <t xml:space="preserve">                                                                 (Expresado en bolivianos)</t>
  </si>
  <si>
    <t xml:space="preserve">                                                                                                                                                                                                  (Expresado en bolivianos)</t>
  </si>
  <si>
    <t xml:space="preserve">                           (Expresado en bolivianos)</t>
  </si>
  <si>
    <t xml:space="preserve">                         (Expresado en bolivianos)</t>
  </si>
  <si>
    <t xml:space="preserve">                         Practicado al 31 de diciembre DE 2012</t>
  </si>
  <si>
    <t>Venta Calamina RAL F - 322</t>
  </si>
  <si>
    <t>Venta  Calamina F- 297</t>
  </si>
  <si>
    <t>Venta  CalaminaF- 298</t>
  </si>
  <si>
    <t>Venta Calamina F- 300</t>
  </si>
  <si>
    <t>Venta Calamina  F- 301</t>
  </si>
  <si>
    <t>Venta Calamina F- 302</t>
  </si>
  <si>
    <t>Venta  Calamina F- 303</t>
  </si>
  <si>
    <t>Venta   Calamina F- 304</t>
  </si>
  <si>
    <t>VentaCalamina F- 305</t>
  </si>
  <si>
    <t>Venta Calamina F- 306</t>
  </si>
  <si>
    <t>Venta  CalaminaF- 308</t>
  </si>
  <si>
    <t>Venta  Calamina F- 309</t>
  </si>
  <si>
    <t>Venta Calamina  F- 310</t>
  </si>
  <si>
    <t>Venta Calamina  F- 311</t>
  </si>
  <si>
    <t>Venta Calamina F- 312</t>
  </si>
  <si>
    <t>VentaCalamina F- 313</t>
  </si>
  <si>
    <t>VentaCalamina  F- 314</t>
  </si>
  <si>
    <t>Venta Calamina F- 315</t>
  </si>
  <si>
    <t>Venta Calamina  F- 318</t>
  </si>
  <si>
    <t>Venta Calamina  F- 320</t>
  </si>
  <si>
    <t>Venta Calamina F- 321</t>
  </si>
  <si>
    <t>Venta  Calamina F- 324</t>
  </si>
  <si>
    <t>Venta Calamina  F - 326</t>
  </si>
  <si>
    <t>Venta Calamina F- 328</t>
  </si>
  <si>
    <t>Venta Calamina  F- 329</t>
  </si>
  <si>
    <t>Venta  Calamina F- 331</t>
  </si>
  <si>
    <t>Venta Calamina F- 332</t>
  </si>
  <si>
    <t>Venta Calamina F- 333</t>
  </si>
  <si>
    <t>Venta Calamina F- 334</t>
  </si>
  <si>
    <t>Venta Calamina F- 335</t>
  </si>
  <si>
    <t>Venta Calamina F- 336</t>
  </si>
  <si>
    <t>Venta Calamina  F- 337</t>
  </si>
  <si>
    <t>Venta Calamina F- 338</t>
  </si>
  <si>
    <t>Venta Calamina F- 339</t>
  </si>
  <si>
    <t>Venta  Calamina F- 340</t>
  </si>
  <si>
    <t>Venta  Calamina F- 341</t>
  </si>
  <si>
    <t>Venta Calamina F- 343</t>
  </si>
  <si>
    <t>Venta Calamina F- 344</t>
  </si>
  <si>
    <t>Venta Calamina F- 345</t>
  </si>
  <si>
    <t>Venta Calamina F- 346</t>
  </si>
  <si>
    <t>Venta Calamina F- 347</t>
  </si>
  <si>
    <t>Venta Calamina  F- 348</t>
  </si>
  <si>
    <t>Venta Calamina F- 350</t>
  </si>
  <si>
    <t>Venta Calamina  F- 351</t>
  </si>
  <si>
    <t>Venta Calamina  F- 352</t>
  </si>
  <si>
    <t>Venta Calamina F- 353</t>
  </si>
  <si>
    <t>Venta Calamina F- 355</t>
  </si>
  <si>
    <t>Venta Calamina F- 356</t>
  </si>
  <si>
    <t>Venta Calamina F- 357</t>
  </si>
  <si>
    <t>Venta Calamina F- 358</t>
  </si>
  <si>
    <t>Venta Calamina F- 359</t>
  </si>
  <si>
    <t>Venta Calamina F- 360</t>
  </si>
  <si>
    <t>Venta Calamina F- 361</t>
  </si>
  <si>
    <t>Venta Calamina F- 363</t>
  </si>
  <si>
    <t>Venta Calamina F- 367</t>
  </si>
  <si>
    <t>Venta Calamina F- 368</t>
  </si>
  <si>
    <t>Venta Calamina F- 371</t>
  </si>
  <si>
    <t>Venta Calamina F- 375</t>
  </si>
  <si>
    <t>Venta Calamina F- 376</t>
  </si>
  <si>
    <t>Venta Calamina F- 385</t>
  </si>
  <si>
    <t>Venta Calamina F- 387</t>
  </si>
  <si>
    <t>Venta Calamina F- 391</t>
  </si>
  <si>
    <t>Venta Calamina F- 392</t>
  </si>
  <si>
    <t>Venta Calamina F- 397</t>
  </si>
  <si>
    <t>Venta Calamina F- 398</t>
  </si>
  <si>
    <t>Venta Calamina F- 399</t>
  </si>
  <si>
    <t>Venta Calamina F- 400</t>
  </si>
  <si>
    <t>Venta Calamina F- 402</t>
  </si>
  <si>
    <t>Venta Calamina F- 403</t>
  </si>
  <si>
    <t>Venta Calamina F- 405</t>
  </si>
  <si>
    <t>Venta Calamina F- 406</t>
  </si>
  <si>
    <t>Venta Calamina F- 408</t>
  </si>
  <si>
    <t>Venta Calamina F- 409</t>
  </si>
  <si>
    <t>Venta Calamina F- 411</t>
  </si>
  <si>
    <t>Venta Calamina F- 413</t>
  </si>
  <si>
    <t>Venta Calamina F- 416</t>
  </si>
  <si>
    <t>Venta Calamina F- 417</t>
  </si>
  <si>
    <t>Venta Calamina F- 420</t>
  </si>
  <si>
    <t>Venta Calamina F- 422</t>
  </si>
  <si>
    <t>Venta Calamina F- 423</t>
  </si>
  <si>
    <t>Venta Calamina F- 426</t>
  </si>
  <si>
    <t>Venta Calamina F- 427</t>
  </si>
  <si>
    <t>Venta Calamina F- 428</t>
  </si>
  <si>
    <t>Venta Calamina F- 429</t>
  </si>
  <si>
    <t>Venta Calamina F- 431</t>
  </si>
  <si>
    <t>Venta Calamina F- 433</t>
  </si>
  <si>
    <t>Venta Calamina F- 435</t>
  </si>
  <si>
    <t>Venta Calamina F- 436</t>
  </si>
  <si>
    <t>Venta Calamina F- 437</t>
  </si>
  <si>
    <t>Venta Calamina F- 440</t>
  </si>
  <si>
    <t>Venta Calamina F- 441</t>
  </si>
  <si>
    <t>Venta Calamina F- 444</t>
  </si>
  <si>
    <t>Venta Calamina F- 445</t>
  </si>
  <si>
    <t>Venta Calamina F- 446</t>
  </si>
  <si>
    <t>Venta Calamina F- 447</t>
  </si>
  <si>
    <t>Venta Calamina F- 448</t>
  </si>
  <si>
    <t>Venta Calamina F- 449</t>
  </si>
  <si>
    <t>Venta Calamina F- 450</t>
  </si>
  <si>
    <t>Venta Calamina F- 454</t>
  </si>
  <si>
    <t>Venta Calamina F- 460</t>
  </si>
  <si>
    <t>Venta Calamina F- 461</t>
  </si>
  <si>
    <t>Venta Calamina F- 464</t>
  </si>
  <si>
    <t>Venta Calamina F- 466</t>
  </si>
  <si>
    <t>Venta Calamina F- 467</t>
  </si>
  <si>
    <t>Venta Calamina F- 468</t>
  </si>
  <si>
    <t>Venta Calamina F- 469</t>
  </si>
  <si>
    <t>Venta Calamina F- 470</t>
  </si>
  <si>
    <t>Venta Calamina F- 471</t>
  </si>
  <si>
    <t>Venta Calamina F- 474</t>
  </si>
  <si>
    <t>Venta Calamina F- 476</t>
  </si>
  <si>
    <t>Venta Calamina F- 477</t>
  </si>
  <si>
    <t>Venta Calamina F- 478</t>
  </si>
  <si>
    <t>Venta Calamina F- 480</t>
  </si>
  <si>
    <t>Venta Calamina F- 485</t>
  </si>
  <si>
    <t>Venta Calamina F- 487</t>
  </si>
  <si>
    <t>Venta Calamina F- 488</t>
  </si>
  <si>
    <t>Venta Calamina F- 490</t>
  </si>
  <si>
    <t>Venta Calamina F- 491</t>
  </si>
  <si>
    <t>Venta Calamina F- 493</t>
  </si>
  <si>
    <t>Venta Calamina F- 497</t>
  </si>
  <si>
    <t>Venta Calamina F- 498</t>
  </si>
  <si>
    <t>Venta Calamina F- 499</t>
  </si>
  <si>
    <t>Venta Calamina F- 502</t>
  </si>
  <si>
    <t>Venta Calamina F- 506</t>
  </si>
  <si>
    <t>Venta Calamina F- 510</t>
  </si>
  <si>
    <t>Venta Calamina F- 511</t>
  </si>
  <si>
    <t>Venta Calamina F- 512</t>
  </si>
  <si>
    <t>Venta Calamina F- 513</t>
  </si>
  <si>
    <t>Venta Calamina F- 515</t>
  </si>
  <si>
    <t>Venta Calamina F- 519</t>
  </si>
  <si>
    <t>Venta Calamina F- 520</t>
  </si>
  <si>
    <t>Venta Calamina F- 521</t>
  </si>
  <si>
    <t>Venta Calamina F- 522</t>
  </si>
  <si>
    <t>Venta Calamina F- 523</t>
  </si>
  <si>
    <t>Venta Calamina  F- 524</t>
  </si>
  <si>
    <t>Venta Calamina F- 525</t>
  </si>
  <si>
    <t>Venta Calamina F- 526</t>
  </si>
  <si>
    <t>Venta Calamina F- 527</t>
  </si>
  <si>
    <t>Venta Calamina F- 529</t>
  </si>
  <si>
    <t>Venta Calamina F- 530</t>
  </si>
  <si>
    <t>Venta Calamina F- 531</t>
  </si>
  <si>
    <t>Venta Calamina F- 533</t>
  </si>
  <si>
    <t>Venta Calamina F- 534</t>
  </si>
  <si>
    <t>Venta Calamina F- 535</t>
  </si>
  <si>
    <t>Venta Calamina F- 538</t>
  </si>
  <si>
    <t>Venta Calamina F- 539</t>
  </si>
  <si>
    <t>Venta Calamina F- 540</t>
  </si>
  <si>
    <t>Venta Calamina  F- 545</t>
  </si>
  <si>
    <t>Venta Calamina  F- 546</t>
  </si>
  <si>
    <t>Venta Calamina  F- 547</t>
  </si>
  <si>
    <t>Venta Calamina  F- 548</t>
  </si>
  <si>
    <t>Venta Calamina F- 550</t>
  </si>
  <si>
    <t>Venta Calamina  F- 551</t>
  </si>
  <si>
    <t>Venta Calamina  F- 552</t>
  </si>
  <si>
    <t>Venta Calamina  F- 553</t>
  </si>
  <si>
    <t>Venta Calamina  F- 554</t>
  </si>
  <si>
    <t>Venta Calamina F- 555</t>
  </si>
  <si>
    <t>Venta Calamina  F- 556</t>
  </si>
  <si>
    <t>Venta Calamina  F- 560</t>
  </si>
  <si>
    <t>Venta Calamina  F- 561</t>
  </si>
  <si>
    <t>Venta Calamina  F- 562</t>
  </si>
  <si>
    <t>Venta Calamina  F- 563</t>
  </si>
  <si>
    <t>Venta Calamina  F- 564</t>
  </si>
  <si>
    <t>Venta Calamina  F- 565</t>
  </si>
  <si>
    <t>Venta Calamina  F- 566</t>
  </si>
  <si>
    <t>Venta Calamina  F- 568</t>
  </si>
  <si>
    <t>Venta Calamina  F- 569</t>
  </si>
  <si>
    <t>Venta Calamina  F- 573</t>
  </si>
  <si>
    <t>Venta Calamina  F- 574</t>
  </si>
  <si>
    <t>Venta Calamina F- 575</t>
  </si>
  <si>
    <t>Venta Calamina  F- 577</t>
  </si>
  <si>
    <t>Venta Calamina  F- 578</t>
  </si>
  <si>
    <t>Venta Calamina F- 580</t>
  </si>
  <si>
    <t>Venta Calamina  F- 581</t>
  </si>
  <si>
    <t>Venta Calamina  F- 582</t>
  </si>
  <si>
    <t>Venta Calamina  F- 583</t>
  </si>
  <si>
    <t>Venta Calamina  F- 584</t>
  </si>
  <si>
    <t>Venta Calamina  F- 585</t>
  </si>
  <si>
    <t>Venta Calamina  F- 586</t>
  </si>
  <si>
    <t>Venta Calamina  F- 587</t>
  </si>
  <si>
    <t>Venta Calamina  F- 588</t>
  </si>
  <si>
    <t>Venta Calamina  F- 589</t>
  </si>
  <si>
    <t>Venta Calamina  F- 590</t>
  </si>
  <si>
    <t>Venta Calamina F- 591</t>
  </si>
  <si>
    <t>Venta Calamina  F- 592</t>
  </si>
  <si>
    <t>Venta Calamina F- 593</t>
  </si>
  <si>
    <t>Venta Calamina F- 594</t>
  </si>
  <si>
    <t>Venta Calamina  F- 595</t>
  </si>
  <si>
    <t>Venta Calamina  F- 596</t>
  </si>
  <si>
    <t>Venta Calamina  F- 597</t>
  </si>
  <si>
    <t>Venta Calamina  F- 598</t>
  </si>
  <si>
    <t>Venta Calamina  F- 600</t>
  </si>
  <si>
    <t>Venta Calamina  F- 601</t>
  </si>
  <si>
    <t>Venta Calamina F- 602</t>
  </si>
  <si>
    <t>Venta Calamina  F- 603</t>
  </si>
  <si>
    <t>Venta Calamina  F- 604</t>
  </si>
  <si>
    <t>Venta Calamina  F- 605</t>
  </si>
  <si>
    <t>Venta Calamina  F- 607</t>
  </si>
  <si>
    <t>Venta Calamina   F- 608</t>
  </si>
  <si>
    <t>Venta Calamina  F- 609</t>
  </si>
  <si>
    <t>Venta Calamina  F- 610</t>
  </si>
  <si>
    <t>Venta Calamina F- 611</t>
  </si>
  <si>
    <t>Venta Calamina  F- 613</t>
  </si>
  <si>
    <t>Venta Calamina  F- 615</t>
  </si>
  <si>
    <t>Venta Calamina  F- 616</t>
  </si>
  <si>
    <t>Venta Calamina  F- 617</t>
  </si>
  <si>
    <t>Venta Calamina  F- 621</t>
  </si>
  <si>
    <t>Venta Calamina  F- 623</t>
  </si>
  <si>
    <t>Venta Calamina  F- 624</t>
  </si>
  <si>
    <t>Venta Calamina F- 630</t>
  </si>
  <si>
    <t>Venta Calamina  F- 631</t>
  </si>
  <si>
    <t>Venta Calamina  F- 632</t>
  </si>
  <si>
    <t>Venta Calamina  F- 635</t>
  </si>
  <si>
    <t>Venta Calamina  F- 636</t>
  </si>
  <si>
    <t>Venta Calamina  F- 637</t>
  </si>
  <si>
    <t>Venta Calamina  F- 640</t>
  </si>
  <si>
    <t>Venta Calamina  F- 641</t>
  </si>
  <si>
    <t>Venta Calamina  F- 643</t>
  </si>
  <si>
    <t>Venta Calamina  F- 645</t>
  </si>
  <si>
    <t>Venta Calamina  F- 646</t>
  </si>
  <si>
    <t>Venta Calamina  F- 650</t>
  </si>
  <si>
    <t>Venta Calamina  F- 651</t>
  </si>
  <si>
    <t>Venta Calamina  F- 653</t>
  </si>
  <si>
    <t>Venta Calamina  F- 654</t>
  </si>
  <si>
    <t>Venta Calamina  F- 655</t>
  </si>
  <si>
    <t>Venta Calamina  F- 656</t>
  </si>
  <si>
    <t>Venta Calamina  F- 657</t>
  </si>
  <si>
    <t>Venta Calamina  F- 658</t>
  </si>
  <si>
    <t>Venta Calamina  F- 659</t>
  </si>
  <si>
    <t>Venta Calamina  F- 660</t>
  </si>
  <si>
    <t>Venta Calamina  F- 662</t>
  </si>
  <si>
    <t>Venta Calamina  F- 663</t>
  </si>
  <si>
    <t>Venta Calamina  F- 664</t>
  </si>
  <si>
    <t>Venta Calamina  F- 665</t>
  </si>
  <si>
    <t>Venta Calamina F- 666</t>
  </si>
  <si>
    <t>Venta Calamina F- 668</t>
  </si>
  <si>
    <t>Venta Calamina  F- 669</t>
  </si>
  <si>
    <t>Venta Calamina  F- 672</t>
  </si>
  <si>
    <t>Venta Calamina  F- 673</t>
  </si>
  <si>
    <t>Venta Calamina  F- 674</t>
  </si>
  <si>
    <t>Venta Calamina  F- 678</t>
  </si>
  <si>
    <t>Venta Calamina  F- 679</t>
  </si>
  <si>
    <t>Venta Calamina F- 683</t>
  </si>
  <si>
    <t>Venta Calamina  F- 685</t>
  </si>
  <si>
    <t>Venta Calamina  F- 686</t>
  </si>
  <si>
    <t>Venta Calamina  F- 687</t>
  </si>
  <si>
    <t>Venta Calamina  F- 688</t>
  </si>
  <si>
    <t>Venta Calamina  F- 693</t>
  </si>
  <si>
    <t>Venta Calamina  F- 694</t>
  </si>
  <si>
    <t>Venta Calamina  F- 698</t>
  </si>
  <si>
    <t>Venta Calamina  F- 701</t>
  </si>
  <si>
    <t>Venta Calamina  F- 702</t>
  </si>
  <si>
    <t>Venta Calamina F- 707</t>
  </si>
  <si>
    <t>Venta Calamina  F- 708</t>
  </si>
  <si>
    <t>Venta Calamina F- 709</t>
  </si>
  <si>
    <t>Venta Calamina F- 712</t>
  </si>
  <si>
    <t>Venta Calamina  F- 714</t>
  </si>
  <si>
    <t>Venta Calamina  F- 715</t>
  </si>
  <si>
    <t>Venta Calamina  F- 717</t>
  </si>
  <si>
    <t>Venta Calamina  F- 720</t>
  </si>
  <si>
    <t>Venta Calamina  F-  723</t>
  </si>
  <si>
    <t>Venta Calamina  F- 725</t>
  </si>
  <si>
    <t>Venta Calamina  F- 727</t>
  </si>
  <si>
    <t>Venta Calamina  F- 728</t>
  </si>
  <si>
    <t>Venta Calamina  F- 730</t>
  </si>
  <si>
    <t>Venta Calamina  F- 731</t>
  </si>
  <si>
    <t>Venta Calamina  F- 732</t>
  </si>
  <si>
    <t>Venta Calamina  F- 733</t>
  </si>
  <si>
    <t>Venta Calamina  F- 734</t>
  </si>
  <si>
    <t>Venta Calamina  F- 736</t>
  </si>
  <si>
    <t>Venta Calamina  F- 737</t>
  </si>
  <si>
    <t>Venta Calamina  F- 739</t>
  </si>
  <si>
    <t>Venta Calamina  F- 740</t>
  </si>
  <si>
    <t>Venta Calamina  F- 741</t>
  </si>
  <si>
    <t>Venta Calamina  F- 742</t>
  </si>
  <si>
    <t>Venta Calamina  F- 743</t>
  </si>
  <si>
    <t>Venta Calamina  F- 744</t>
  </si>
  <si>
    <t>Venta Calamina  F- 745</t>
  </si>
  <si>
    <t>Venta Calamina  F- 746</t>
  </si>
  <si>
    <t>Venta Calamina  F- 747</t>
  </si>
  <si>
    <t>Venta Calamina  F- 748</t>
  </si>
  <si>
    <t>Venta Calamina  F- 750</t>
  </si>
  <si>
    <t>Venta Calamina  F- 751</t>
  </si>
  <si>
    <t>Venta Calamina  F- 752</t>
  </si>
  <si>
    <t>Venta Calamina  F- 753</t>
  </si>
  <si>
    <t>Venta Calamina  F- 755</t>
  </si>
  <si>
    <t>Venta Calamina  F- 757</t>
  </si>
  <si>
    <t>Venta Calamina   F- 758</t>
  </si>
  <si>
    <t>Venta Calamina F- 763</t>
  </si>
  <si>
    <t>Venta Calamina  F- 766</t>
  </si>
  <si>
    <t>Venta Calamina  F- 768</t>
  </si>
  <si>
    <t>Venta Calamina  F- 769</t>
  </si>
  <si>
    <t>Venta Calamina  F- 770</t>
  </si>
  <si>
    <t>Venta Calamina  F- 771</t>
  </si>
  <si>
    <t>Venta Calamina  F-772</t>
  </si>
  <si>
    <t>Venta Calamina  F-773</t>
  </si>
  <si>
    <t>Venta Calamina F-774</t>
  </si>
  <si>
    <t>Venta Calamina  F-776</t>
  </si>
  <si>
    <t>Venta Calamina  F-777</t>
  </si>
  <si>
    <t>Venta Calamina  F- 781</t>
  </si>
  <si>
    <t>Venta Calamina  F- 783</t>
  </si>
  <si>
    <t>Venta Calamina  F- 786</t>
  </si>
  <si>
    <t>Venta Calamina  F- 787</t>
  </si>
  <si>
    <t>Venta Calamina  F- 788</t>
  </si>
  <si>
    <t>Venta Calamina  F- 789</t>
  </si>
  <si>
    <t>Venta Calamina   F- 790</t>
  </si>
  <si>
    <t>Venta Calamina  F- 791</t>
  </si>
  <si>
    <t>Venta Calamina  F- 792</t>
  </si>
  <si>
    <t>Venta Calamina  F- 796</t>
  </si>
  <si>
    <t>Venta Calamina  F- 797</t>
  </si>
  <si>
    <t>Venta Calamina   F- 798</t>
  </si>
  <si>
    <t>Venta Calamina   F- 801</t>
  </si>
  <si>
    <t>Venta Calamina  F- 803</t>
  </si>
  <si>
    <t>Venta Calamina   F- 804</t>
  </si>
  <si>
    <t>Venta Calamina  F- 805</t>
  </si>
  <si>
    <t>Venta Calamina   F- 806</t>
  </si>
  <si>
    <t>Venta Calamina  F- 808</t>
  </si>
  <si>
    <t>Venta Calamina  F- 810</t>
  </si>
  <si>
    <t>Venta Calamina   F- 811</t>
  </si>
  <si>
    <t>Venta Calamina  F- 812</t>
  </si>
  <si>
    <t>Venta Calamina   F- 813</t>
  </si>
  <si>
    <t>Venta Calamina   F- 815</t>
  </si>
  <si>
    <t>Venta Calamina   F- 816</t>
  </si>
  <si>
    <t>Venta Calamina   F- 817</t>
  </si>
  <si>
    <t>Venta Calamina  F- 818</t>
  </si>
  <si>
    <t>Venta Calamina  F- 819</t>
  </si>
  <si>
    <t>Venta Calamina   F- 822</t>
  </si>
  <si>
    <t>Venta Calamina   F- 823</t>
  </si>
  <si>
    <t>Venta Calamina   F- 825</t>
  </si>
  <si>
    <t>Venta Calamina  F- 826</t>
  </si>
  <si>
    <t>Venta Calamina  F- 832</t>
  </si>
  <si>
    <t>Venta Calamina   F- 833</t>
  </si>
  <si>
    <t>Venta Calamina   F- 834</t>
  </si>
  <si>
    <t>Venta Calamina   F- 835</t>
  </si>
  <si>
    <t>Venta Calamina   F- 836</t>
  </si>
  <si>
    <t>Venta Calamina   F- 837</t>
  </si>
  <si>
    <t>Venta Ganchos J -50 F-322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</si>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</sst>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6"/>
      <name val="Arial"/>
      <family val="2"/>
    </font>
    <font>
      <sz val="8"/>
      <color theme="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4">
    <xf numFmtId="0" fontId="0" fillId="0" borderId="0" xfId="0"/>
    <xf numFmtId="0" fontId="5" fillId="0" borderId="5" xfId="0" applyFont="1" applyBorder="1"/>
    <xf numFmtId="0" fontId="5" fillId="0" borderId="6" xfId="0" applyFont="1" applyBorder="1"/>
    <xf numFmtId="0" fontId="0" fillId="0" borderId="6" xfId="0" applyBorder="1"/>
    <xf numFmtId="0" fontId="2" fillId="0" borderId="6" xfId="0" applyFont="1" applyBorder="1"/>
    <xf numFmtId="0" fontId="5" fillId="0" borderId="8" xfId="0" applyFont="1" applyBorder="1"/>
    <xf numFmtId="0" fontId="5" fillId="0" borderId="0" xfId="0" applyFont="1" applyBorder="1"/>
    <xf numFmtId="0" fontId="0" fillId="0" borderId="0" xfId="0" applyBorder="1"/>
    <xf numFmtId="0" fontId="2" fillId="0" borderId="0" xfId="0" applyFont="1" applyBorder="1"/>
    <xf numFmtId="0" fontId="6" fillId="0" borderId="8" xfId="0" applyFont="1" applyBorder="1"/>
    <xf numFmtId="0" fontId="6" fillId="0" borderId="0" xfId="0" applyFont="1" applyBorder="1"/>
    <xf numFmtId="0" fontId="0" fillId="0" borderId="8" xfId="0" applyBorder="1"/>
    <xf numFmtId="0" fontId="8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2" borderId="19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" xfId="0" applyFont="1" applyFill="1" applyBorder="1"/>
    <xf numFmtId="14" fontId="9" fillId="0" borderId="14" xfId="0" applyNumberFormat="1" applyFont="1" applyBorder="1"/>
    <xf numFmtId="0" fontId="9" fillId="0" borderId="1" xfId="0" applyFont="1" applyBorder="1"/>
    <xf numFmtId="0" fontId="10" fillId="0" borderId="1" xfId="0" applyFont="1" applyBorder="1"/>
    <xf numFmtId="4" fontId="9" fillId="0" borderId="1" xfId="0" applyNumberFormat="1" applyFont="1" applyBorder="1" applyAlignment="1">
      <alignment horizontal="right"/>
    </xf>
    <xf numFmtId="2" fontId="9" fillId="0" borderId="1" xfId="0" applyNumberFormat="1" applyFont="1" applyBorder="1"/>
    <xf numFmtId="4" fontId="9" fillId="0" borderId="1" xfId="0" applyNumberFormat="1" applyFont="1" applyBorder="1"/>
    <xf numFmtId="0" fontId="9" fillId="0" borderId="13" xfId="0" applyFont="1" applyBorder="1"/>
    <xf numFmtId="4" fontId="10" fillId="0" borderId="1" xfId="0" applyNumberFormat="1" applyFont="1" applyBorder="1"/>
    <xf numFmtId="0" fontId="9" fillId="0" borderId="15" xfId="0" applyFont="1" applyBorder="1"/>
    <xf numFmtId="0" fontId="9" fillId="0" borderId="15" xfId="0" applyFont="1" applyFill="1" applyBorder="1"/>
    <xf numFmtId="0" fontId="9" fillId="0" borderId="1" xfId="0" applyFont="1" applyFill="1" applyBorder="1"/>
    <xf numFmtId="2" fontId="9" fillId="0" borderId="1" xfId="0" applyNumberFormat="1" applyFont="1" applyFill="1" applyBorder="1"/>
    <xf numFmtId="0" fontId="9" fillId="0" borderId="0" xfId="0" applyFont="1" applyBorder="1"/>
    <xf numFmtId="0" fontId="11" fillId="0" borderId="6" xfId="0" applyFont="1" applyBorder="1"/>
    <xf numFmtId="0" fontId="9" fillId="0" borderId="6" xfId="0" applyFont="1" applyBorder="1"/>
    <xf numFmtId="0" fontId="10" fillId="0" borderId="7" xfId="0" applyFont="1" applyBorder="1"/>
    <xf numFmtId="0" fontId="11" fillId="0" borderId="0" xfId="0" applyFont="1" applyBorder="1"/>
    <xf numFmtId="0" fontId="10" fillId="0" borderId="9" xfId="0" applyFont="1" applyBorder="1"/>
    <xf numFmtId="0" fontId="5" fillId="0" borderId="0" xfId="0" applyFont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4" fontId="5" fillId="2" borderId="4" xfId="0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2" fontId="11" fillId="0" borderId="1" xfId="0" applyNumberFormat="1" applyFont="1" applyBorder="1"/>
    <xf numFmtId="0" fontId="9" fillId="2" borderId="1" xfId="0" applyFont="1" applyFill="1" applyBorder="1"/>
    <xf numFmtId="2" fontId="9" fillId="2" borderId="1" xfId="0" applyNumberFormat="1" applyFont="1" applyFill="1" applyBorder="1"/>
    <xf numFmtId="0" fontId="10" fillId="0" borderId="15" xfId="0" applyFont="1" applyBorder="1"/>
    <xf numFmtId="0" fontId="5" fillId="2" borderId="19" xfId="0" applyFont="1" applyFill="1" applyBorder="1" applyAlignment="1">
      <alignment horizontal="center"/>
    </xf>
    <xf numFmtId="0" fontId="5" fillId="2" borderId="4" xfId="0" applyFont="1" applyFill="1" applyBorder="1"/>
    <xf numFmtId="0" fontId="11" fillId="0" borderId="8" xfId="0" applyFont="1" applyBorder="1"/>
    <xf numFmtId="0" fontId="5" fillId="2" borderId="18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13" fillId="0" borderId="4" xfId="0" applyFont="1" applyBorder="1"/>
    <xf numFmtId="0" fontId="13" fillId="0" borderId="1" xfId="0" applyFont="1" applyFill="1" applyBorder="1"/>
    <xf numFmtId="0" fontId="13" fillId="0" borderId="1" xfId="0" applyFont="1" applyBorder="1"/>
    <xf numFmtId="4" fontId="13" fillId="0" borderId="1" xfId="0" applyNumberFormat="1" applyFont="1" applyBorder="1" applyAlignment="1">
      <alignment horizontal="right"/>
    </xf>
    <xf numFmtId="2" fontId="13" fillId="0" borderId="1" xfId="0" applyNumberFormat="1" applyFont="1" applyBorder="1"/>
    <xf numFmtId="2" fontId="14" fillId="0" borderId="1" xfId="0" applyNumberFormat="1" applyFont="1" applyBorder="1"/>
    <xf numFmtId="0" fontId="15" fillId="0" borderId="1" xfId="0" applyFont="1" applyBorder="1"/>
    <xf numFmtId="4" fontId="13" fillId="0" borderId="1" xfId="0" applyNumberFormat="1" applyFont="1" applyBorder="1"/>
    <xf numFmtId="0" fontId="13" fillId="0" borderId="13" xfId="0" applyFont="1" applyBorder="1"/>
    <xf numFmtId="0" fontId="13" fillId="0" borderId="15" xfId="0" applyFont="1" applyBorder="1"/>
    <xf numFmtId="14" fontId="9" fillId="0" borderId="12" xfId="0" applyNumberFormat="1" applyFont="1" applyBorder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4" fontId="9" fillId="0" borderId="1" xfId="0" applyNumberFormat="1" applyFont="1" applyBorder="1"/>
    <xf numFmtId="0" fontId="12" fillId="0" borderId="1" xfId="0" applyFont="1" applyBorder="1"/>
    <xf numFmtId="0" fontId="12" fillId="2" borderId="1" xfId="0" applyFont="1" applyFill="1" applyBorder="1"/>
    <xf numFmtId="0" fontId="0" fillId="0" borderId="5" xfId="0" applyBorder="1"/>
    <xf numFmtId="0" fontId="0" fillId="0" borderId="9" xfId="0" applyBorder="1"/>
    <xf numFmtId="0" fontId="0" fillId="0" borderId="22" xfId="0" applyBorder="1"/>
    <xf numFmtId="0" fontId="0" fillId="0" borderId="19" xfId="0" applyBorder="1"/>
    <xf numFmtId="0" fontId="0" fillId="0" borderId="24" xfId="0" applyBorder="1"/>
    <xf numFmtId="0" fontId="0" fillId="0" borderId="4" xfId="0" applyBorder="1"/>
    <xf numFmtId="0" fontId="0" fillId="0" borderId="10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14" fontId="0" fillId="0" borderId="14" xfId="0" applyNumberFormat="1" applyBorder="1"/>
    <xf numFmtId="2" fontId="0" fillId="0" borderId="15" xfId="0" applyNumberFormat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2" fontId="0" fillId="0" borderId="17" xfId="0" applyNumberFormat="1" applyBorder="1"/>
    <xf numFmtId="2" fontId="0" fillId="0" borderId="0" xfId="0" applyNumberFormat="1" applyBorder="1"/>
    <xf numFmtId="14" fontId="0" fillId="0" borderId="8" xfId="0" applyNumberFormat="1" applyBorder="1"/>
    <xf numFmtId="0" fontId="0" fillId="0" borderId="28" xfId="0" applyBorder="1"/>
    <xf numFmtId="2" fontId="0" fillId="0" borderId="28" xfId="0" applyNumberFormat="1" applyBorder="1"/>
    <xf numFmtId="2" fontId="16" fillId="0" borderId="0" xfId="0" applyNumberFormat="1" applyFont="1"/>
    <xf numFmtId="14" fontId="0" fillId="0" borderId="18" xfId="0" applyNumberFormat="1" applyBorder="1"/>
    <xf numFmtId="2" fontId="0" fillId="0" borderId="19" xfId="0" applyNumberFormat="1" applyBorder="1"/>
    <xf numFmtId="2" fontId="0" fillId="0" borderId="29" xfId="0" applyNumberFormat="1" applyBorder="1"/>
    <xf numFmtId="0" fontId="17" fillId="0" borderId="1" xfId="0" applyFont="1" applyBorder="1"/>
    <xf numFmtId="0" fontId="11" fillId="0" borderId="1" xfId="0" applyFont="1" applyBorder="1"/>
    <xf numFmtId="0" fontId="7" fillId="0" borderId="0" xfId="0" applyFont="1" applyBorder="1" applyAlignment="1"/>
    <xf numFmtId="0" fontId="18" fillId="2" borderId="15" xfId="0" applyFont="1" applyFill="1" applyBorder="1"/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/>
    <xf numFmtId="2" fontId="10" fillId="0" borderId="1" xfId="0" applyNumberFormat="1" applyFont="1" applyBorder="1"/>
    <xf numFmtId="0" fontId="9" fillId="0" borderId="0" xfId="0" applyFont="1" applyFill="1" applyBorder="1"/>
    <xf numFmtId="4" fontId="9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10" fillId="0" borderId="0" xfId="0" applyFont="1" applyBorder="1"/>
    <xf numFmtId="4" fontId="9" fillId="0" borderId="0" xfId="0" applyNumberFormat="1" applyFont="1" applyBorder="1"/>
    <xf numFmtId="4" fontId="10" fillId="0" borderId="0" xfId="0" applyNumberFormat="1" applyFont="1" applyBorder="1"/>
    <xf numFmtId="14" fontId="9" fillId="0" borderId="0" xfId="0" applyNumberFormat="1" applyFont="1" applyBorder="1"/>
    <xf numFmtId="0" fontId="0" fillId="0" borderId="9" xfId="0" applyBorder="1"/>
    <xf numFmtId="2" fontId="19" fillId="2" borderId="0" xfId="0" applyNumberFormat="1" applyFont="1" applyFill="1"/>
    <xf numFmtId="0" fontId="20" fillId="0" borderId="1" xfId="0" applyFont="1" applyBorder="1"/>
    <xf numFmtId="0" fontId="0" fillId="0" borderId="8" xfId="0" applyBorder="1" applyAlignment="1"/>
    <xf numFmtId="0" fontId="0" fillId="0" borderId="9" xfId="0" applyBorder="1" applyAlignment="1"/>
    <xf numFmtId="0" fontId="11" fillId="0" borderId="7" xfId="0" applyFont="1" applyBorder="1"/>
    <xf numFmtId="0" fontId="11" fillId="0" borderId="9" xfId="0" applyFont="1" applyBorder="1"/>
    <xf numFmtId="2" fontId="0" fillId="0" borderId="30" xfId="0" applyNumberFormat="1" applyBorder="1"/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5" fillId="2" borderId="2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Millares 3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ARIO%20FADELME%20FACTURADO%20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OJA%20DE%20COSTOS%20CALAMI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.OND2012"/>
      <sheetName val="BLUE2012"/>
      <sheetName val="RAL2012"/>
      <sheetName val="Hoja3"/>
    </sheetNames>
    <sheetDataSet>
      <sheetData sheetId="0">
        <row r="247">
          <cell r="G247">
            <v>14.424659170855854</v>
          </cell>
        </row>
        <row r="250">
          <cell r="E250">
            <v>6639.8199999999979</v>
          </cell>
          <cell r="J250">
            <v>95777.140455832297</v>
          </cell>
        </row>
      </sheetData>
      <sheetData sheetId="1">
        <row r="19">
          <cell r="G19">
            <v>22.480349764778069</v>
          </cell>
        </row>
        <row r="42">
          <cell r="E42">
            <v>8398.85</v>
          </cell>
          <cell r="J42">
            <v>188809.08562190633</v>
          </cell>
        </row>
      </sheetData>
      <sheetData sheetId="2">
        <row r="18">
          <cell r="G18">
            <v>22.480312646920545</v>
          </cell>
        </row>
        <row r="42">
          <cell r="E42">
            <v>8309.6</v>
          </cell>
          <cell r="J42">
            <v>186802.40597085096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.C. GALV 08FEBRE2013"/>
      <sheetName val="H.C.18MAR2013"/>
      <sheetName val="H.C.GANC ABRIL2013"/>
      <sheetName val="H.C.01AGOS2013"/>
      <sheetName val="H.C.28AGO2013 "/>
      <sheetName val="H.C. CLAV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>
        <row r="28">
          <cell r="H28">
            <v>1332.144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N1048560"/>
  <sheetViews>
    <sheetView topLeftCell="A351" workbookViewId="0">
      <selection activeCell="H378" sqref="H378"/>
    </sheetView>
  </sheetViews>
  <sheetFormatPr baseColWidth="10" defaultRowHeight="15" x14ac:dyDescent="0.25"/>
  <cols>
    <col min="2" max="2" width="27.28515625" customWidth="1"/>
    <col min="11" max="11" width="12.85546875" customWidth="1"/>
  </cols>
  <sheetData>
    <row r="1" spans="1:13" x14ac:dyDescent="0.25">
      <c r="A1" s="1" t="s">
        <v>24</v>
      </c>
      <c r="B1" s="2"/>
      <c r="C1" s="3"/>
      <c r="D1" s="3"/>
      <c r="E1" s="3"/>
      <c r="F1" s="3"/>
      <c r="G1" s="3"/>
      <c r="H1" s="4" t="s">
        <v>16</v>
      </c>
      <c r="I1" s="3"/>
      <c r="J1" s="3"/>
      <c r="K1" s="13"/>
    </row>
    <row r="2" spans="1:13" x14ac:dyDescent="0.25">
      <c r="A2" s="5" t="s">
        <v>17</v>
      </c>
      <c r="B2" s="6"/>
      <c r="C2" s="7"/>
      <c r="D2" s="7"/>
      <c r="E2" s="7"/>
      <c r="F2" s="7"/>
      <c r="G2" s="7"/>
      <c r="H2" s="8" t="s">
        <v>21</v>
      </c>
      <c r="I2" s="7"/>
      <c r="J2" s="7"/>
      <c r="K2" s="14"/>
    </row>
    <row r="3" spans="1:13" x14ac:dyDescent="0.25">
      <c r="A3" s="9" t="s">
        <v>15</v>
      </c>
      <c r="B3" s="10"/>
      <c r="C3" s="7"/>
      <c r="D3" s="7"/>
      <c r="E3" s="7"/>
      <c r="F3" s="7"/>
      <c r="G3" s="7"/>
      <c r="H3" s="8" t="s">
        <v>18</v>
      </c>
      <c r="I3" s="7"/>
      <c r="J3" s="7"/>
      <c r="K3" s="14"/>
    </row>
    <row r="4" spans="1:13" ht="18" x14ac:dyDescent="0.25">
      <c r="A4" s="11"/>
      <c r="B4" s="7"/>
      <c r="C4" s="7"/>
      <c r="D4" s="131" t="s">
        <v>19</v>
      </c>
      <c r="E4" s="131"/>
      <c r="F4" s="131"/>
      <c r="G4" s="131"/>
      <c r="H4" s="131"/>
      <c r="I4" s="7"/>
      <c r="J4" s="7"/>
      <c r="K4" s="14"/>
    </row>
    <row r="5" spans="1:13" x14ac:dyDescent="0.25">
      <c r="A5" s="11"/>
      <c r="B5" s="12"/>
      <c r="C5" s="7"/>
      <c r="D5" s="8" t="s">
        <v>27</v>
      </c>
      <c r="E5" s="12"/>
      <c r="F5" s="12"/>
      <c r="G5" s="7"/>
      <c r="H5" s="7"/>
      <c r="I5" s="7"/>
      <c r="J5" s="7"/>
      <c r="K5" s="14"/>
    </row>
    <row r="6" spans="1:13" x14ac:dyDescent="0.25">
      <c r="A6" s="56"/>
      <c r="B6" s="12"/>
      <c r="C6" s="7"/>
      <c r="D6" s="7" t="s">
        <v>363</v>
      </c>
      <c r="E6" s="12"/>
      <c r="F6" s="12"/>
      <c r="G6" s="7"/>
      <c r="H6" s="7"/>
      <c r="I6" s="7"/>
      <c r="J6" s="7"/>
      <c r="K6" s="14"/>
      <c r="M6" s="110"/>
    </row>
    <row r="7" spans="1:13" x14ac:dyDescent="0.25">
      <c r="A7" s="57" t="s">
        <v>0</v>
      </c>
      <c r="B7" s="17" t="s">
        <v>1</v>
      </c>
      <c r="C7" s="132" t="s">
        <v>2</v>
      </c>
      <c r="D7" s="132"/>
      <c r="E7" s="133"/>
      <c r="F7" s="134" t="s">
        <v>3</v>
      </c>
      <c r="G7" s="134"/>
      <c r="H7" s="135" t="s">
        <v>4</v>
      </c>
      <c r="I7" s="136"/>
      <c r="J7" s="136"/>
      <c r="K7" s="15" t="s">
        <v>5</v>
      </c>
      <c r="M7" s="110"/>
    </row>
    <row r="8" spans="1:13" x14ac:dyDescent="0.25">
      <c r="A8" s="58"/>
      <c r="B8" s="18"/>
      <c r="C8" s="18" t="s">
        <v>6</v>
      </c>
      <c r="D8" s="16" t="s">
        <v>7</v>
      </c>
      <c r="E8" s="19" t="s">
        <v>11</v>
      </c>
      <c r="F8" s="20" t="s">
        <v>12</v>
      </c>
      <c r="G8" s="20" t="s">
        <v>13</v>
      </c>
      <c r="H8" s="16" t="s">
        <v>8</v>
      </c>
      <c r="I8" s="21" t="s">
        <v>9</v>
      </c>
      <c r="J8" s="22" t="s">
        <v>14</v>
      </c>
      <c r="K8" s="23"/>
      <c r="M8" s="110"/>
    </row>
    <row r="9" spans="1:13" x14ac:dyDescent="0.25">
      <c r="A9" s="69">
        <v>41276</v>
      </c>
      <c r="B9" s="59" t="s">
        <v>26</v>
      </c>
      <c r="C9" s="60">
        <v>6639.82</v>
      </c>
      <c r="D9" s="61"/>
      <c r="E9" s="62">
        <f>+[1]CAL.OND2012!E250</f>
        <v>6639.8199999999979</v>
      </c>
      <c r="F9" s="63">
        <f>+J9/C9</f>
        <v>14.424659170855882</v>
      </c>
      <c r="G9" s="63"/>
      <c r="H9" s="64">
        <v>95777.14</v>
      </c>
      <c r="I9" s="65"/>
      <c r="J9" s="66">
        <f>+[1]CAL.OND2012!J250</f>
        <v>95777.140455832297</v>
      </c>
      <c r="K9" s="67"/>
      <c r="M9" s="110"/>
    </row>
    <row r="10" spans="1:13" x14ac:dyDescent="0.25">
      <c r="A10" s="69">
        <v>41276</v>
      </c>
      <c r="B10" s="25" t="s">
        <v>371</v>
      </c>
      <c r="C10" s="26"/>
      <c r="D10" s="26">
        <f>2*3</f>
        <v>6</v>
      </c>
      <c r="E10" s="27">
        <f>E9-D10</f>
        <v>6633.8199999999979</v>
      </c>
      <c r="F10" s="52"/>
      <c r="G10" s="63">
        <f>J9/E9</f>
        <v>14.424659170855886</v>
      </c>
      <c r="H10" s="51"/>
      <c r="I10" s="29">
        <f>D10*G10</f>
        <v>86.547955025135309</v>
      </c>
      <c r="J10" s="31">
        <f>J9-I10</f>
        <v>95690.592500807164</v>
      </c>
      <c r="K10" s="53"/>
      <c r="M10" s="110"/>
    </row>
    <row r="11" spans="1:13" x14ac:dyDescent="0.25">
      <c r="A11" s="69">
        <v>41276</v>
      </c>
      <c r="B11" s="25" t="s">
        <v>372</v>
      </c>
      <c r="C11" s="26"/>
      <c r="D11" s="26">
        <f>10*3</f>
        <v>30</v>
      </c>
      <c r="E11" s="27">
        <f t="shared" ref="E11:E40" si="0">E10-D11</f>
        <v>6603.8199999999979</v>
      </c>
      <c r="F11" s="52"/>
      <c r="G11" s="63">
        <f t="shared" ref="G11:G40" si="1">J10/E10</f>
        <v>14.424659170855886</v>
      </c>
      <c r="H11" s="51"/>
      <c r="I11" s="29">
        <f t="shared" ref="I11:I40" si="2">D11*G11</f>
        <v>432.7397751256766</v>
      </c>
      <c r="J11" s="31">
        <f t="shared" ref="J11:J49" si="3">J10-I11</f>
        <v>95257.852725681485</v>
      </c>
      <c r="K11" s="53"/>
      <c r="M11" s="110"/>
    </row>
    <row r="12" spans="1:13" x14ac:dyDescent="0.25">
      <c r="A12" s="24">
        <v>41279</v>
      </c>
      <c r="B12" s="25" t="s">
        <v>373</v>
      </c>
      <c r="C12" s="26"/>
      <c r="D12" s="26">
        <f>3*3</f>
        <v>9</v>
      </c>
      <c r="E12" s="27">
        <f t="shared" si="0"/>
        <v>6594.8199999999979</v>
      </c>
      <c r="F12" s="52"/>
      <c r="G12" s="63">
        <f t="shared" si="1"/>
        <v>14.424659170855886</v>
      </c>
      <c r="H12" s="51"/>
      <c r="I12" s="29">
        <f t="shared" si="2"/>
        <v>129.82193253770296</v>
      </c>
      <c r="J12" s="31">
        <f t="shared" si="3"/>
        <v>95128.030793143786</v>
      </c>
      <c r="K12" s="53"/>
      <c r="M12" s="110"/>
    </row>
    <row r="13" spans="1:13" x14ac:dyDescent="0.25">
      <c r="A13" s="24">
        <v>41281</v>
      </c>
      <c r="B13" s="25" t="s">
        <v>374</v>
      </c>
      <c r="C13" s="26"/>
      <c r="D13" s="26">
        <f>8*4.1+3*4+3*4.3+2*4.5+3*3.15+3*1.6+7*0.5</f>
        <v>84.449999999999989</v>
      </c>
      <c r="E13" s="27">
        <f t="shared" si="0"/>
        <v>6510.3699999999981</v>
      </c>
      <c r="F13" s="52"/>
      <c r="G13" s="63">
        <f t="shared" si="1"/>
        <v>14.424659170855886</v>
      </c>
      <c r="H13" s="51"/>
      <c r="I13" s="29">
        <f t="shared" si="2"/>
        <v>1218.1624669787793</v>
      </c>
      <c r="J13" s="31">
        <f t="shared" si="3"/>
        <v>93909.868326165</v>
      </c>
      <c r="K13" s="53"/>
      <c r="M13" s="110"/>
    </row>
    <row r="14" spans="1:13" x14ac:dyDescent="0.25">
      <c r="A14" s="24">
        <v>41282</v>
      </c>
      <c r="B14" s="25" t="s">
        <v>375</v>
      </c>
      <c r="C14" s="61"/>
      <c r="D14" s="34">
        <f>25*5.7</f>
        <v>142.5</v>
      </c>
      <c r="E14" s="27">
        <f t="shared" si="0"/>
        <v>6367.8699999999981</v>
      </c>
      <c r="F14" s="63"/>
      <c r="G14" s="63">
        <f t="shared" si="1"/>
        <v>14.424659170855884</v>
      </c>
      <c r="H14" s="65"/>
      <c r="I14" s="29">
        <f t="shared" si="2"/>
        <v>2055.5139318469637</v>
      </c>
      <c r="J14" s="31">
        <f t="shared" si="3"/>
        <v>91854.354394318041</v>
      </c>
      <c r="K14" s="68"/>
      <c r="M14" s="110"/>
    </row>
    <row r="15" spans="1:13" x14ac:dyDescent="0.25">
      <c r="A15" s="24">
        <v>41282</v>
      </c>
      <c r="B15" s="25" t="s">
        <v>376</v>
      </c>
      <c r="C15" s="25"/>
      <c r="D15" s="34">
        <f>5*3.6</f>
        <v>18</v>
      </c>
      <c r="E15" s="27">
        <f t="shared" si="0"/>
        <v>6349.8699999999981</v>
      </c>
      <c r="F15" s="28"/>
      <c r="G15" s="63">
        <f t="shared" si="1"/>
        <v>14.424659170855886</v>
      </c>
      <c r="H15" s="26"/>
      <c r="I15" s="29">
        <f t="shared" si="2"/>
        <v>259.64386507540593</v>
      </c>
      <c r="J15" s="31">
        <f t="shared" si="3"/>
        <v>91594.710529242642</v>
      </c>
      <c r="K15" s="68"/>
      <c r="M15" s="110"/>
    </row>
    <row r="16" spans="1:13" x14ac:dyDescent="0.25">
      <c r="A16" s="24">
        <v>41282</v>
      </c>
      <c r="B16" s="25" t="s">
        <v>377</v>
      </c>
      <c r="C16" s="25"/>
      <c r="D16" s="34">
        <f>3*1.95</f>
        <v>5.85</v>
      </c>
      <c r="E16" s="27">
        <f t="shared" si="0"/>
        <v>6344.0199999999977</v>
      </c>
      <c r="F16" s="28"/>
      <c r="G16" s="63">
        <f t="shared" si="1"/>
        <v>14.424659170855886</v>
      </c>
      <c r="H16" s="26"/>
      <c r="I16" s="29">
        <f t="shared" si="2"/>
        <v>84.384256149506925</v>
      </c>
      <c r="J16" s="31">
        <f t="shared" si="3"/>
        <v>91510.326273093131</v>
      </c>
      <c r="K16" s="32"/>
      <c r="M16" s="110"/>
    </row>
    <row r="17" spans="1:13" x14ac:dyDescent="0.25">
      <c r="A17" s="24">
        <v>0</v>
      </c>
      <c r="B17" s="25" t="s">
        <v>378</v>
      </c>
      <c r="C17" s="25"/>
      <c r="D17" s="34">
        <f>4*5.6</f>
        <v>22.4</v>
      </c>
      <c r="E17" s="27">
        <f t="shared" si="0"/>
        <v>6321.6199999999981</v>
      </c>
      <c r="F17" s="28"/>
      <c r="G17" s="63">
        <f t="shared" si="1"/>
        <v>14.424659170855888</v>
      </c>
      <c r="H17" s="26"/>
      <c r="I17" s="29">
        <f t="shared" si="2"/>
        <v>323.11236542717188</v>
      </c>
      <c r="J17" s="31">
        <f t="shared" si="3"/>
        <v>91187.213907665966</v>
      </c>
      <c r="K17" s="32"/>
      <c r="M17" s="110"/>
    </row>
    <row r="18" spans="1:13" x14ac:dyDescent="0.25">
      <c r="A18" s="24">
        <v>41283</v>
      </c>
      <c r="B18" s="25" t="s">
        <v>379</v>
      </c>
      <c r="C18" s="25"/>
      <c r="D18" s="34">
        <f>6*3</f>
        <v>18</v>
      </c>
      <c r="E18" s="27">
        <f t="shared" si="0"/>
        <v>6303.6199999999981</v>
      </c>
      <c r="F18" s="28"/>
      <c r="G18" s="63">
        <f t="shared" si="1"/>
        <v>14.424659170855888</v>
      </c>
      <c r="H18" s="26"/>
      <c r="I18" s="29">
        <f t="shared" si="2"/>
        <v>259.64386507540598</v>
      </c>
      <c r="J18" s="31">
        <f t="shared" si="3"/>
        <v>90927.570042590567</v>
      </c>
      <c r="K18" s="32"/>
      <c r="M18" s="110"/>
    </row>
    <row r="19" spans="1:13" x14ac:dyDescent="0.25">
      <c r="A19" s="24">
        <v>41283</v>
      </c>
      <c r="B19" s="25" t="s">
        <v>29</v>
      </c>
      <c r="C19" s="25"/>
      <c r="D19" s="34">
        <v>0</v>
      </c>
      <c r="E19" s="27">
        <f t="shared" si="0"/>
        <v>6303.6199999999981</v>
      </c>
      <c r="F19" s="28"/>
      <c r="G19" s="63">
        <f t="shared" si="1"/>
        <v>14.424659170855888</v>
      </c>
      <c r="H19" s="26"/>
      <c r="I19" s="29">
        <f t="shared" si="2"/>
        <v>0</v>
      </c>
      <c r="J19" s="31">
        <f t="shared" si="3"/>
        <v>90927.570042590567</v>
      </c>
      <c r="K19" s="32"/>
      <c r="M19" s="110"/>
    </row>
    <row r="20" spans="1:13" x14ac:dyDescent="0.25">
      <c r="A20" s="24">
        <v>41283</v>
      </c>
      <c r="B20" s="25" t="s">
        <v>380</v>
      </c>
      <c r="C20" s="25"/>
      <c r="D20" s="34">
        <f>14*3+14*3.5</f>
        <v>91</v>
      </c>
      <c r="E20" s="27">
        <f t="shared" si="0"/>
        <v>6212.6199999999981</v>
      </c>
      <c r="F20" s="28"/>
      <c r="G20" s="63">
        <f t="shared" si="1"/>
        <v>14.424659170855888</v>
      </c>
      <c r="H20" s="26"/>
      <c r="I20" s="29">
        <f t="shared" si="2"/>
        <v>1312.6439845478858</v>
      </c>
      <c r="J20" s="31">
        <f t="shared" si="3"/>
        <v>89614.926058042678</v>
      </c>
      <c r="K20" s="32"/>
    </row>
    <row r="21" spans="1:13" x14ac:dyDescent="0.25">
      <c r="A21" s="24">
        <v>41284</v>
      </c>
      <c r="B21" s="25" t="s">
        <v>381</v>
      </c>
      <c r="C21" s="25"/>
      <c r="D21" s="34">
        <f>12*3</f>
        <v>36</v>
      </c>
      <c r="E21" s="27">
        <f t="shared" si="0"/>
        <v>6176.6199999999981</v>
      </c>
      <c r="F21" s="28"/>
      <c r="G21" s="63">
        <f t="shared" si="1"/>
        <v>14.424659170855888</v>
      </c>
      <c r="H21" s="26"/>
      <c r="I21" s="29">
        <f t="shared" si="2"/>
        <v>519.28773015081197</v>
      </c>
      <c r="J21" s="31">
        <f t="shared" si="3"/>
        <v>89095.638327891866</v>
      </c>
      <c r="K21" s="32"/>
    </row>
    <row r="22" spans="1:13" x14ac:dyDescent="0.25">
      <c r="A22" s="24">
        <v>41284</v>
      </c>
      <c r="B22" s="25" t="s">
        <v>382</v>
      </c>
      <c r="C22" s="25"/>
      <c r="D22" s="34">
        <f>2*3</f>
        <v>6</v>
      </c>
      <c r="E22" s="27">
        <f t="shared" si="0"/>
        <v>6170.6199999999981</v>
      </c>
      <c r="F22" s="28"/>
      <c r="G22" s="63">
        <f t="shared" si="1"/>
        <v>14.424659170855888</v>
      </c>
      <c r="H22" s="26"/>
      <c r="I22" s="29">
        <f t="shared" si="2"/>
        <v>86.547955025135323</v>
      </c>
      <c r="J22" s="31">
        <f t="shared" si="3"/>
        <v>89009.090372866733</v>
      </c>
      <c r="K22" s="32"/>
    </row>
    <row r="23" spans="1:13" x14ac:dyDescent="0.25">
      <c r="A23" s="24">
        <v>41284</v>
      </c>
      <c r="B23" s="25" t="s">
        <v>383</v>
      </c>
      <c r="C23" s="25"/>
      <c r="D23" s="34">
        <f>3*4.5</f>
        <v>13.5</v>
      </c>
      <c r="E23" s="27">
        <f t="shared" si="0"/>
        <v>6157.1199999999981</v>
      </c>
      <c r="F23" s="28"/>
      <c r="G23" s="63">
        <f t="shared" si="1"/>
        <v>14.424659170855888</v>
      </c>
      <c r="H23" s="26"/>
      <c r="I23" s="29">
        <f t="shared" si="2"/>
        <v>194.73289880655449</v>
      </c>
      <c r="J23" s="31">
        <f t="shared" si="3"/>
        <v>88814.357474060176</v>
      </c>
      <c r="K23" s="32"/>
    </row>
    <row r="24" spans="1:13" x14ac:dyDescent="0.25">
      <c r="A24" s="24">
        <v>41286</v>
      </c>
      <c r="B24" s="25" t="s">
        <v>384</v>
      </c>
      <c r="C24" s="25"/>
      <c r="D24" s="34">
        <f>10*4.4+5*4.1</f>
        <v>64.5</v>
      </c>
      <c r="E24" s="27">
        <f t="shared" si="0"/>
        <v>6092.6199999999981</v>
      </c>
      <c r="F24" s="28"/>
      <c r="G24" s="63">
        <f t="shared" si="1"/>
        <v>14.424659170855888</v>
      </c>
      <c r="H24" s="26"/>
      <c r="I24" s="29">
        <f t="shared" si="2"/>
        <v>930.39051652020476</v>
      </c>
      <c r="J24" s="31">
        <f t="shared" si="3"/>
        <v>87883.966957539975</v>
      </c>
      <c r="K24" s="32"/>
    </row>
    <row r="25" spans="1:13" x14ac:dyDescent="0.25">
      <c r="A25" s="24">
        <v>41286</v>
      </c>
      <c r="B25" s="25" t="s">
        <v>385</v>
      </c>
      <c r="C25" s="25"/>
      <c r="D25" s="34">
        <f>1*2.5+1*2.7+1*3+1*3.25+1*3.5+1*3.7+1*3.9+1*4.2+1*4.5+1*4.9+1*5</f>
        <v>41.15</v>
      </c>
      <c r="E25" s="27">
        <f t="shared" si="0"/>
        <v>6051.4699999999984</v>
      </c>
      <c r="F25" s="28"/>
      <c r="G25" s="63">
        <f t="shared" si="1"/>
        <v>14.424659170855888</v>
      </c>
      <c r="H25" s="26"/>
      <c r="I25" s="29">
        <f t="shared" si="2"/>
        <v>593.57472488071971</v>
      </c>
      <c r="J25" s="31">
        <f t="shared" si="3"/>
        <v>87290.392232659258</v>
      </c>
      <c r="K25" s="32"/>
    </row>
    <row r="26" spans="1:13" x14ac:dyDescent="0.25">
      <c r="A26" s="24">
        <v>41288</v>
      </c>
      <c r="B26" s="25" t="s">
        <v>386</v>
      </c>
      <c r="C26" s="25"/>
      <c r="D26" s="34">
        <f>3*1.7</f>
        <v>5.0999999999999996</v>
      </c>
      <c r="E26" s="27">
        <f t="shared" si="0"/>
        <v>6046.3699999999981</v>
      </c>
      <c r="F26" s="28"/>
      <c r="G26" s="63">
        <f t="shared" si="1"/>
        <v>14.424659170855888</v>
      </c>
      <c r="H26" s="26"/>
      <c r="I26" s="29">
        <f t="shared" si="2"/>
        <v>73.565761771365018</v>
      </c>
      <c r="J26" s="31">
        <f t="shared" si="3"/>
        <v>87216.8264708879</v>
      </c>
      <c r="K26" s="32"/>
    </row>
    <row r="27" spans="1:13" x14ac:dyDescent="0.25">
      <c r="A27" s="24">
        <v>41288</v>
      </c>
      <c r="B27" s="25" t="s">
        <v>387</v>
      </c>
      <c r="C27" s="25"/>
      <c r="D27" s="34">
        <f>24*5+3*3</f>
        <v>129</v>
      </c>
      <c r="E27" s="27">
        <f t="shared" si="0"/>
        <v>5917.3699999999981</v>
      </c>
      <c r="F27" s="28"/>
      <c r="G27" s="63">
        <f t="shared" si="1"/>
        <v>14.42465917085589</v>
      </c>
      <c r="H27" s="26"/>
      <c r="I27" s="29">
        <f t="shared" si="2"/>
        <v>1860.7810330404097</v>
      </c>
      <c r="J27" s="31">
        <f t="shared" si="3"/>
        <v>85356.045437847497</v>
      </c>
      <c r="K27" s="32"/>
    </row>
    <row r="28" spans="1:13" x14ac:dyDescent="0.25">
      <c r="A28" s="24">
        <v>41289</v>
      </c>
      <c r="B28" s="25" t="s">
        <v>388</v>
      </c>
      <c r="C28" s="25"/>
      <c r="D28" s="34">
        <f>4*2.5</f>
        <v>10</v>
      </c>
      <c r="E28" s="27">
        <f t="shared" si="0"/>
        <v>5907.3699999999981</v>
      </c>
      <c r="F28" s="28"/>
      <c r="G28" s="63">
        <f t="shared" si="1"/>
        <v>14.424659170855891</v>
      </c>
      <c r="H28" s="26"/>
      <c r="I28" s="29">
        <f t="shared" si="2"/>
        <v>144.24659170855892</v>
      </c>
      <c r="J28" s="31">
        <f t="shared" si="3"/>
        <v>85211.798846138932</v>
      </c>
      <c r="K28" s="32"/>
    </row>
    <row r="29" spans="1:13" x14ac:dyDescent="0.25">
      <c r="A29" s="24">
        <v>41291</v>
      </c>
      <c r="B29" s="25" t="s">
        <v>389</v>
      </c>
      <c r="C29" s="25"/>
      <c r="D29" s="34">
        <f>7*7</f>
        <v>49</v>
      </c>
      <c r="E29" s="27">
        <f t="shared" si="0"/>
        <v>5858.3699999999981</v>
      </c>
      <c r="F29" s="28"/>
      <c r="G29" s="63">
        <f t="shared" si="1"/>
        <v>14.42465917085589</v>
      </c>
      <c r="H29" s="26"/>
      <c r="I29" s="29">
        <f t="shared" si="2"/>
        <v>706.80829937193857</v>
      </c>
      <c r="J29" s="31">
        <f t="shared" si="3"/>
        <v>84504.990546766989</v>
      </c>
      <c r="K29" s="32"/>
    </row>
    <row r="30" spans="1:13" x14ac:dyDescent="0.25">
      <c r="A30" s="24">
        <v>41291</v>
      </c>
      <c r="B30" s="25" t="s">
        <v>390</v>
      </c>
      <c r="C30" s="25"/>
      <c r="D30" s="34">
        <f>5*4.5</f>
        <v>22.5</v>
      </c>
      <c r="E30" s="27">
        <f t="shared" si="0"/>
        <v>5835.8699999999981</v>
      </c>
      <c r="F30" s="28"/>
      <c r="G30" s="63">
        <f t="shared" si="1"/>
        <v>14.42465917085589</v>
      </c>
      <c r="H30" s="26"/>
      <c r="I30" s="29">
        <f t="shared" si="2"/>
        <v>324.55483134425754</v>
      </c>
      <c r="J30" s="31">
        <f t="shared" si="3"/>
        <v>84180.435715422733</v>
      </c>
      <c r="K30" s="32"/>
    </row>
    <row r="31" spans="1:13" x14ac:dyDescent="0.25">
      <c r="A31" s="24">
        <v>41291</v>
      </c>
      <c r="B31" s="25" t="s">
        <v>34</v>
      </c>
      <c r="C31" s="25"/>
      <c r="D31" s="34">
        <v>0</v>
      </c>
      <c r="E31" s="27">
        <f t="shared" si="0"/>
        <v>5835.8699999999981</v>
      </c>
      <c r="F31" s="35"/>
      <c r="G31" s="63">
        <f t="shared" si="1"/>
        <v>14.42465917085589</v>
      </c>
      <c r="H31" s="26"/>
      <c r="I31" s="29">
        <f t="shared" si="2"/>
        <v>0</v>
      </c>
      <c r="J31" s="31">
        <f t="shared" si="3"/>
        <v>84180.435715422733</v>
      </c>
      <c r="K31" s="32"/>
    </row>
    <row r="32" spans="1:13" x14ac:dyDescent="0.25">
      <c r="A32" s="24">
        <v>41292</v>
      </c>
      <c r="B32" s="25" t="s">
        <v>391</v>
      </c>
      <c r="C32" s="25"/>
      <c r="D32" s="34">
        <f>3*7</f>
        <v>21</v>
      </c>
      <c r="E32" s="27">
        <f t="shared" si="0"/>
        <v>5814.8699999999981</v>
      </c>
      <c r="F32" s="35"/>
      <c r="G32" s="63">
        <f t="shared" si="1"/>
        <v>14.42465917085589</v>
      </c>
      <c r="H32" s="26"/>
      <c r="I32" s="29">
        <f t="shared" si="2"/>
        <v>302.91784258797367</v>
      </c>
      <c r="J32" s="31">
        <f t="shared" si="3"/>
        <v>83877.517872834753</v>
      </c>
      <c r="K32" s="32"/>
    </row>
    <row r="33" spans="1:11" x14ac:dyDescent="0.25">
      <c r="A33" s="24">
        <v>41292</v>
      </c>
      <c r="B33" s="25" t="s">
        <v>35</v>
      </c>
      <c r="C33" s="25"/>
      <c r="D33" s="34">
        <v>0</v>
      </c>
      <c r="E33" s="27">
        <f t="shared" si="0"/>
        <v>5814.8699999999981</v>
      </c>
      <c r="F33" s="35"/>
      <c r="G33" s="63">
        <f t="shared" si="1"/>
        <v>14.424659170855888</v>
      </c>
      <c r="H33" s="26"/>
      <c r="I33" s="29">
        <f t="shared" si="2"/>
        <v>0</v>
      </c>
      <c r="J33" s="31">
        <f t="shared" si="3"/>
        <v>83877.517872834753</v>
      </c>
      <c r="K33" s="32"/>
    </row>
    <row r="34" spans="1:11" x14ac:dyDescent="0.25">
      <c r="A34" s="24">
        <v>41292</v>
      </c>
      <c r="B34" s="25" t="s">
        <v>392</v>
      </c>
      <c r="C34" s="25"/>
      <c r="D34" s="34">
        <f>10*4.7+22*4</f>
        <v>135</v>
      </c>
      <c r="E34" s="27">
        <f t="shared" si="0"/>
        <v>5679.8699999999981</v>
      </c>
      <c r="F34" s="35"/>
      <c r="G34" s="63">
        <f t="shared" si="1"/>
        <v>14.424659170855888</v>
      </c>
      <c r="H34" s="26"/>
      <c r="I34" s="29">
        <f t="shared" si="2"/>
        <v>1947.3289880655448</v>
      </c>
      <c r="J34" s="31">
        <f t="shared" si="3"/>
        <v>81930.188884769203</v>
      </c>
      <c r="K34" s="32"/>
    </row>
    <row r="35" spans="1:11" x14ac:dyDescent="0.25">
      <c r="A35" s="24">
        <v>41293</v>
      </c>
      <c r="B35" s="25" t="s">
        <v>393</v>
      </c>
      <c r="C35" s="25"/>
      <c r="D35" s="34">
        <f>1*6</f>
        <v>6</v>
      </c>
      <c r="E35" s="27">
        <f t="shared" si="0"/>
        <v>5673.8699999999981</v>
      </c>
      <c r="F35" s="35"/>
      <c r="G35" s="63">
        <f t="shared" si="1"/>
        <v>14.424659170855888</v>
      </c>
      <c r="H35" s="26"/>
      <c r="I35" s="29">
        <f t="shared" si="2"/>
        <v>86.547955025135323</v>
      </c>
      <c r="J35" s="31">
        <f t="shared" si="3"/>
        <v>81843.64092974407</v>
      </c>
      <c r="K35" s="32"/>
    </row>
    <row r="36" spans="1:11" x14ac:dyDescent="0.25">
      <c r="A36" s="24">
        <v>41295</v>
      </c>
      <c r="B36" s="25" t="s">
        <v>394</v>
      </c>
      <c r="C36" s="25"/>
      <c r="D36" s="34">
        <f>9*5.2</f>
        <v>46.800000000000004</v>
      </c>
      <c r="E36" s="27">
        <f t="shared" si="0"/>
        <v>5627.0699999999979</v>
      </c>
      <c r="F36" s="35"/>
      <c r="G36" s="63">
        <f t="shared" si="1"/>
        <v>14.424659170855888</v>
      </c>
      <c r="H36" s="26"/>
      <c r="I36" s="29">
        <f t="shared" si="2"/>
        <v>675.07404919605563</v>
      </c>
      <c r="J36" s="31">
        <f t="shared" si="3"/>
        <v>81168.566880548009</v>
      </c>
      <c r="K36" s="32"/>
    </row>
    <row r="37" spans="1:11" x14ac:dyDescent="0.25">
      <c r="A37" s="24">
        <v>41297</v>
      </c>
      <c r="B37" s="25" t="s">
        <v>37</v>
      </c>
      <c r="C37" s="25"/>
      <c r="D37" s="34">
        <v>0</v>
      </c>
      <c r="E37" s="27">
        <f t="shared" si="0"/>
        <v>5627.0699999999979</v>
      </c>
      <c r="F37" s="35"/>
      <c r="G37" s="63">
        <f t="shared" si="1"/>
        <v>14.424659170855888</v>
      </c>
      <c r="H37" s="26"/>
      <c r="I37" s="29">
        <f t="shared" si="2"/>
        <v>0</v>
      </c>
      <c r="J37" s="31">
        <f t="shared" si="3"/>
        <v>81168.566880548009</v>
      </c>
      <c r="K37" s="32"/>
    </row>
    <row r="38" spans="1:11" x14ac:dyDescent="0.25">
      <c r="A38" s="24">
        <v>41297</v>
      </c>
      <c r="B38" s="25" t="s">
        <v>395</v>
      </c>
      <c r="C38" s="25"/>
      <c r="D38" s="34">
        <f>15*1.8</f>
        <v>27</v>
      </c>
      <c r="E38" s="27">
        <f t="shared" si="0"/>
        <v>5600.0699999999979</v>
      </c>
      <c r="F38" s="35"/>
      <c r="G38" s="63">
        <f t="shared" si="1"/>
        <v>14.424659170855888</v>
      </c>
      <c r="H38" s="26"/>
      <c r="I38" s="29">
        <f t="shared" si="2"/>
        <v>389.46579761310898</v>
      </c>
      <c r="J38" s="31">
        <f t="shared" si="3"/>
        <v>80779.101082934896</v>
      </c>
      <c r="K38" s="32"/>
    </row>
    <row r="39" spans="1:11" x14ac:dyDescent="0.25">
      <c r="A39" s="73">
        <v>41297</v>
      </c>
      <c r="B39" s="25" t="s">
        <v>396</v>
      </c>
      <c r="C39" s="25"/>
      <c r="D39" s="34">
        <f>1*6.55+1*6.15+1*1.62+1*2.57+1*1.18</f>
        <v>18.07</v>
      </c>
      <c r="E39" s="27">
        <f t="shared" si="0"/>
        <v>5581.9999999999982</v>
      </c>
      <c r="F39" s="35"/>
      <c r="G39" s="63">
        <f t="shared" si="1"/>
        <v>14.424659170855888</v>
      </c>
      <c r="H39" s="26"/>
      <c r="I39" s="29">
        <f t="shared" si="2"/>
        <v>260.65359121736589</v>
      </c>
      <c r="J39" s="31">
        <f t="shared" si="3"/>
        <v>80518.447491717525</v>
      </c>
      <c r="K39" s="25"/>
    </row>
    <row r="40" spans="1:11" x14ac:dyDescent="0.25">
      <c r="A40" s="73">
        <v>41297</v>
      </c>
      <c r="B40" s="25" t="s">
        <v>397</v>
      </c>
      <c r="C40" s="25"/>
      <c r="D40" s="34">
        <f>35*2.4</f>
        <v>84</v>
      </c>
      <c r="E40" s="27">
        <f t="shared" si="0"/>
        <v>5497.9999999999982</v>
      </c>
      <c r="F40" s="35"/>
      <c r="G40" s="63">
        <f t="shared" si="1"/>
        <v>14.424659170855886</v>
      </c>
      <c r="H40" s="26"/>
      <c r="I40" s="29">
        <f t="shared" si="2"/>
        <v>1211.6713703518944</v>
      </c>
      <c r="J40" s="31">
        <f t="shared" si="3"/>
        <v>79306.776121365634</v>
      </c>
      <c r="K40" s="25"/>
    </row>
    <row r="41" spans="1:11" x14ac:dyDescent="0.25">
      <c r="A41" s="73">
        <v>41297</v>
      </c>
      <c r="B41" s="25" t="s">
        <v>398</v>
      </c>
      <c r="C41" s="25"/>
      <c r="D41" s="34">
        <f>10*0.8</f>
        <v>8</v>
      </c>
      <c r="E41" s="27">
        <f t="shared" ref="E41:E70" si="4">E40-D41</f>
        <v>5489.9999999999982</v>
      </c>
      <c r="F41" s="35"/>
      <c r="G41" s="63">
        <f t="shared" ref="G41:G70" si="5">J40/E40</f>
        <v>14.424659170855886</v>
      </c>
      <c r="H41" s="26"/>
      <c r="I41" s="29">
        <f t="shared" ref="I41:I70" si="6">D41*G41</f>
        <v>115.39727336684709</v>
      </c>
      <c r="J41" s="31">
        <f t="shared" si="3"/>
        <v>79191.378847998785</v>
      </c>
      <c r="K41" s="25"/>
    </row>
    <row r="42" spans="1:11" x14ac:dyDescent="0.25">
      <c r="A42" s="73">
        <v>41297</v>
      </c>
      <c r="B42" s="25" t="s">
        <v>399</v>
      </c>
      <c r="C42" s="25"/>
      <c r="D42" s="34">
        <f>3*3.5</f>
        <v>10.5</v>
      </c>
      <c r="E42" s="27">
        <f t="shared" si="4"/>
        <v>5479.4999999999982</v>
      </c>
      <c r="F42" s="35"/>
      <c r="G42" s="63">
        <f t="shared" si="5"/>
        <v>14.424659170855886</v>
      </c>
      <c r="H42" s="26"/>
      <c r="I42" s="29">
        <f t="shared" si="6"/>
        <v>151.4589212939868</v>
      </c>
      <c r="J42" s="31">
        <f t="shared" si="3"/>
        <v>79039.919926704795</v>
      </c>
      <c r="K42" s="25"/>
    </row>
    <row r="43" spans="1:11" x14ac:dyDescent="0.25">
      <c r="A43" s="73">
        <v>41297</v>
      </c>
      <c r="B43" s="25" t="s">
        <v>400</v>
      </c>
      <c r="C43" s="25"/>
      <c r="D43" s="34">
        <f>11*4.7</f>
        <v>51.7</v>
      </c>
      <c r="E43" s="27">
        <f t="shared" si="4"/>
        <v>5427.7999999999984</v>
      </c>
      <c r="F43" s="35"/>
      <c r="G43" s="63">
        <f t="shared" si="5"/>
        <v>14.424659170855884</v>
      </c>
      <c r="H43" s="26"/>
      <c r="I43" s="29">
        <f t="shared" si="6"/>
        <v>745.75487913324923</v>
      </c>
      <c r="J43" s="31">
        <f t="shared" si="3"/>
        <v>78294.165047571543</v>
      </c>
      <c r="K43" s="25"/>
    </row>
    <row r="44" spans="1:11" x14ac:dyDescent="0.25">
      <c r="A44" s="73">
        <v>41297</v>
      </c>
      <c r="B44" s="25" t="s">
        <v>401</v>
      </c>
      <c r="C44" s="25"/>
      <c r="D44" s="34">
        <f>1*1.5+1*2.3</f>
        <v>3.8</v>
      </c>
      <c r="E44" s="27">
        <f t="shared" si="4"/>
        <v>5423.9999999999982</v>
      </c>
      <c r="F44" s="35"/>
      <c r="G44" s="63">
        <f t="shared" si="5"/>
        <v>14.424659170855884</v>
      </c>
      <c r="H44" s="26"/>
      <c r="I44" s="29">
        <f t="shared" si="6"/>
        <v>54.81370484925236</v>
      </c>
      <c r="J44" s="31">
        <f t="shared" si="3"/>
        <v>78239.351342722293</v>
      </c>
      <c r="K44" s="25"/>
    </row>
    <row r="45" spans="1:11" x14ac:dyDescent="0.25">
      <c r="A45" s="73">
        <v>41298</v>
      </c>
      <c r="B45" s="25" t="s">
        <v>402</v>
      </c>
      <c r="C45" s="25"/>
      <c r="D45" s="34">
        <f>4*2</f>
        <v>8</v>
      </c>
      <c r="E45" s="27">
        <f t="shared" si="4"/>
        <v>5415.9999999999982</v>
      </c>
      <c r="F45" s="35"/>
      <c r="G45" s="63">
        <f t="shared" si="5"/>
        <v>14.424659170855884</v>
      </c>
      <c r="H45" s="26"/>
      <c r="I45" s="29">
        <f t="shared" si="6"/>
        <v>115.39727336684707</v>
      </c>
      <c r="J45" s="31">
        <f t="shared" si="3"/>
        <v>78123.954069355445</v>
      </c>
      <c r="K45" s="25"/>
    </row>
    <row r="46" spans="1:11" x14ac:dyDescent="0.25">
      <c r="A46" s="73">
        <v>41299</v>
      </c>
      <c r="B46" s="25" t="s">
        <v>403</v>
      </c>
      <c r="C46" s="25"/>
      <c r="D46" s="34">
        <f>3*2.45+1*1.8</f>
        <v>9.15</v>
      </c>
      <c r="E46" s="27">
        <f t="shared" si="4"/>
        <v>5406.8499999999985</v>
      </c>
      <c r="F46" s="35"/>
      <c r="G46" s="63">
        <f t="shared" si="5"/>
        <v>14.424659170855884</v>
      </c>
      <c r="H46" s="26"/>
      <c r="I46" s="29">
        <f t="shared" si="6"/>
        <v>131.98563141333133</v>
      </c>
      <c r="J46" s="31">
        <f t="shared" si="3"/>
        <v>77991.968437942109</v>
      </c>
      <c r="K46" s="25"/>
    </row>
    <row r="47" spans="1:11" x14ac:dyDescent="0.25">
      <c r="A47" s="73">
        <v>41299</v>
      </c>
      <c r="B47" s="25" t="s">
        <v>404</v>
      </c>
      <c r="C47" s="25"/>
      <c r="D47" s="34">
        <f>12*4.7</f>
        <v>56.400000000000006</v>
      </c>
      <c r="E47" s="27">
        <f t="shared" si="4"/>
        <v>5350.4499999999989</v>
      </c>
      <c r="F47" s="35"/>
      <c r="G47" s="63">
        <f t="shared" si="5"/>
        <v>14.424659170855882</v>
      </c>
      <c r="H47" s="26"/>
      <c r="I47" s="29">
        <f t="shared" si="6"/>
        <v>813.55077723627187</v>
      </c>
      <c r="J47" s="31">
        <f t="shared" si="3"/>
        <v>77178.417660705833</v>
      </c>
      <c r="K47" s="25"/>
    </row>
    <row r="48" spans="1:11" x14ac:dyDescent="0.25">
      <c r="A48" s="73">
        <v>41299</v>
      </c>
      <c r="B48" s="25" t="s">
        <v>405</v>
      </c>
      <c r="C48" s="25"/>
      <c r="D48" s="34">
        <f>2*2.2</f>
        <v>4.4000000000000004</v>
      </c>
      <c r="E48" s="27">
        <f t="shared" si="4"/>
        <v>5346.0499999999993</v>
      </c>
      <c r="F48" s="35"/>
      <c r="G48" s="63">
        <f t="shared" si="5"/>
        <v>14.424659170855881</v>
      </c>
      <c r="H48" s="26"/>
      <c r="I48" s="29">
        <f t="shared" si="6"/>
        <v>63.468500351765883</v>
      </c>
      <c r="J48" s="31">
        <f t="shared" si="3"/>
        <v>77114.949160354066</v>
      </c>
      <c r="K48" s="25"/>
    </row>
    <row r="49" spans="1:11" x14ac:dyDescent="0.25">
      <c r="A49" s="73">
        <v>41300</v>
      </c>
      <c r="B49" s="25" t="s">
        <v>406</v>
      </c>
      <c r="C49" s="25"/>
      <c r="D49" s="34">
        <f>18*4.35</f>
        <v>78.3</v>
      </c>
      <c r="E49" s="27">
        <f t="shared" si="4"/>
        <v>5267.7499999999991</v>
      </c>
      <c r="F49" s="35"/>
      <c r="G49" s="63">
        <f t="shared" si="5"/>
        <v>14.424659170855881</v>
      </c>
      <c r="H49" s="26"/>
      <c r="I49" s="29">
        <f t="shared" si="6"/>
        <v>1129.4508130780155</v>
      </c>
      <c r="J49" s="31">
        <f t="shared" si="3"/>
        <v>75985.49834727605</v>
      </c>
      <c r="K49" s="25"/>
    </row>
    <row r="50" spans="1:11" x14ac:dyDescent="0.25">
      <c r="A50" s="73">
        <v>41300</v>
      </c>
      <c r="B50" s="25" t="s">
        <v>407</v>
      </c>
      <c r="C50" s="25"/>
      <c r="D50" s="34">
        <f>6*5.8</f>
        <v>34.799999999999997</v>
      </c>
      <c r="E50" s="27">
        <f t="shared" si="4"/>
        <v>5232.9499999999989</v>
      </c>
      <c r="F50" s="35"/>
      <c r="G50" s="63">
        <f t="shared" si="5"/>
        <v>14.424659170855881</v>
      </c>
      <c r="H50" s="26"/>
      <c r="I50" s="29">
        <f t="shared" si="6"/>
        <v>501.97813914578461</v>
      </c>
      <c r="J50" s="31">
        <f t="shared" ref="J50:J70" si="7">J49-I50</f>
        <v>75483.52020813027</v>
      </c>
      <c r="K50" s="25"/>
    </row>
    <row r="51" spans="1:11" x14ac:dyDescent="0.25">
      <c r="A51" s="73">
        <v>41300</v>
      </c>
      <c r="B51" s="25" t="s">
        <v>408</v>
      </c>
      <c r="C51" s="25"/>
      <c r="D51" s="34">
        <f>20*4+1*4</f>
        <v>84</v>
      </c>
      <c r="E51" s="27">
        <f t="shared" si="4"/>
        <v>5148.9499999999989</v>
      </c>
      <c r="F51" s="35"/>
      <c r="G51" s="63">
        <f t="shared" si="5"/>
        <v>14.424659170855882</v>
      </c>
      <c r="H51" s="26"/>
      <c r="I51" s="29">
        <f t="shared" si="6"/>
        <v>1211.6713703518942</v>
      </c>
      <c r="J51" s="31">
        <f t="shared" si="7"/>
        <v>74271.84883777838</v>
      </c>
      <c r="K51" s="25"/>
    </row>
    <row r="52" spans="1:11" x14ac:dyDescent="0.25">
      <c r="A52" s="73">
        <v>41300</v>
      </c>
      <c r="B52" s="25" t="s">
        <v>409</v>
      </c>
      <c r="C52" s="25"/>
      <c r="D52" s="34">
        <f>13*3+13*3.5</f>
        <v>84.5</v>
      </c>
      <c r="E52" s="27">
        <f t="shared" si="4"/>
        <v>5064.4499999999989</v>
      </c>
      <c r="F52" s="35"/>
      <c r="G52" s="63">
        <f t="shared" si="5"/>
        <v>14.424659170855882</v>
      </c>
      <c r="H52" s="26"/>
      <c r="I52" s="29">
        <f t="shared" si="6"/>
        <v>1218.883699937322</v>
      </c>
      <c r="J52" s="31">
        <f t="shared" si="7"/>
        <v>73052.965137841064</v>
      </c>
      <c r="K52" s="25"/>
    </row>
    <row r="53" spans="1:11" x14ac:dyDescent="0.25">
      <c r="A53" s="73">
        <v>41303</v>
      </c>
      <c r="B53" s="25" t="s">
        <v>410</v>
      </c>
      <c r="C53" s="25"/>
      <c r="D53" s="34">
        <f>2*2.5</f>
        <v>5</v>
      </c>
      <c r="E53" s="27">
        <f t="shared" si="4"/>
        <v>5059.4499999999989</v>
      </c>
      <c r="F53" s="35"/>
      <c r="G53" s="63">
        <f t="shared" si="5"/>
        <v>14.424659170855884</v>
      </c>
      <c r="H53" s="26"/>
      <c r="I53" s="29">
        <f t="shared" si="6"/>
        <v>72.123295854279419</v>
      </c>
      <c r="J53" s="31">
        <f t="shared" si="7"/>
        <v>72980.841841986781</v>
      </c>
      <c r="K53" s="25"/>
    </row>
    <row r="54" spans="1:11" x14ac:dyDescent="0.25">
      <c r="A54" s="73">
        <v>41303</v>
      </c>
      <c r="B54" s="25" t="s">
        <v>411</v>
      </c>
      <c r="C54" s="25"/>
      <c r="D54" s="34">
        <f>5*2.3</f>
        <v>11.5</v>
      </c>
      <c r="E54" s="27">
        <f t="shared" si="4"/>
        <v>5047.9499999999989</v>
      </c>
      <c r="F54" s="35"/>
      <c r="G54" s="63">
        <f t="shared" si="5"/>
        <v>14.424659170855882</v>
      </c>
      <c r="H54" s="26"/>
      <c r="I54" s="29">
        <f t="shared" si="6"/>
        <v>165.88358046484265</v>
      </c>
      <c r="J54" s="31">
        <f t="shared" si="7"/>
        <v>72814.958261521941</v>
      </c>
      <c r="K54" s="25"/>
    </row>
    <row r="55" spans="1:11" x14ac:dyDescent="0.25">
      <c r="A55" s="73">
        <v>41305</v>
      </c>
      <c r="B55" s="25" t="s">
        <v>412</v>
      </c>
      <c r="C55" s="25"/>
      <c r="D55" s="34">
        <f>2*6.7+5*9+4*3.1</f>
        <v>70.8</v>
      </c>
      <c r="E55" s="27">
        <f t="shared" si="4"/>
        <v>4977.1499999999987</v>
      </c>
      <c r="F55" s="35"/>
      <c r="G55" s="63">
        <f t="shared" si="5"/>
        <v>14.424659170855884</v>
      </c>
      <c r="H55" s="26"/>
      <c r="I55" s="29">
        <f t="shared" si="6"/>
        <v>1021.2658692965965</v>
      </c>
      <c r="J55" s="31">
        <f t="shared" si="7"/>
        <v>71793.692392225348</v>
      </c>
      <c r="K55" s="25"/>
    </row>
    <row r="56" spans="1:11" x14ac:dyDescent="0.25">
      <c r="A56" s="73">
        <v>41305</v>
      </c>
      <c r="B56" s="25" t="s">
        <v>413</v>
      </c>
      <c r="C56" s="25"/>
      <c r="D56" s="34">
        <f>3*3</f>
        <v>9</v>
      </c>
      <c r="E56" s="27">
        <f t="shared" si="4"/>
        <v>4968.1499999999987</v>
      </c>
      <c r="F56" s="35"/>
      <c r="G56" s="63">
        <f t="shared" si="5"/>
        <v>14.424659170855884</v>
      </c>
      <c r="H56" s="26"/>
      <c r="I56" s="29">
        <f t="shared" si="6"/>
        <v>129.82193253770296</v>
      </c>
      <c r="J56" s="31">
        <f t="shared" si="7"/>
        <v>71663.870459687649</v>
      </c>
      <c r="K56" s="25"/>
    </row>
    <row r="57" spans="1:11" x14ac:dyDescent="0.25">
      <c r="A57" s="73">
        <v>41306</v>
      </c>
      <c r="B57" s="25" t="s">
        <v>414</v>
      </c>
      <c r="C57" s="25"/>
      <c r="D57" s="34">
        <f>8*1.4+1*2+1*3</f>
        <v>16.2</v>
      </c>
      <c r="E57" s="27">
        <f t="shared" si="4"/>
        <v>4951.9499999999989</v>
      </c>
      <c r="F57" s="35"/>
      <c r="G57" s="63">
        <f t="shared" si="5"/>
        <v>14.424659170855886</v>
      </c>
      <c r="H57" s="26"/>
      <c r="I57" s="29">
        <f t="shared" si="6"/>
        <v>233.67947856786535</v>
      </c>
      <c r="J57" s="31">
        <f t="shared" si="7"/>
        <v>71430.190981119784</v>
      </c>
      <c r="K57" s="25"/>
    </row>
    <row r="58" spans="1:11" x14ac:dyDescent="0.25">
      <c r="A58" s="73">
        <v>41306</v>
      </c>
      <c r="B58" s="25" t="s">
        <v>415</v>
      </c>
      <c r="C58" s="25"/>
      <c r="D58" s="34">
        <f>1*3.5</f>
        <v>3.5</v>
      </c>
      <c r="E58" s="27">
        <f t="shared" si="4"/>
        <v>4948.4499999999989</v>
      </c>
      <c r="F58" s="35"/>
      <c r="G58" s="63">
        <f t="shared" si="5"/>
        <v>14.424659170855884</v>
      </c>
      <c r="H58" s="26"/>
      <c r="I58" s="29">
        <f t="shared" si="6"/>
        <v>50.486307097995592</v>
      </c>
      <c r="J58" s="31">
        <f t="shared" si="7"/>
        <v>71379.704674021792</v>
      </c>
      <c r="K58" s="25"/>
    </row>
    <row r="59" spans="1:11" x14ac:dyDescent="0.25">
      <c r="A59" s="73">
        <v>41306</v>
      </c>
      <c r="B59" s="25" t="s">
        <v>416</v>
      </c>
      <c r="C59" s="25"/>
      <c r="D59" s="34">
        <f>10*4.85</f>
        <v>48.5</v>
      </c>
      <c r="E59" s="27">
        <f t="shared" si="4"/>
        <v>4899.9499999999989</v>
      </c>
      <c r="F59" s="35"/>
      <c r="G59" s="63">
        <f t="shared" si="5"/>
        <v>14.424659170855886</v>
      </c>
      <c r="H59" s="26"/>
      <c r="I59" s="29">
        <f t="shared" si="6"/>
        <v>699.59596978651052</v>
      </c>
      <c r="J59" s="31">
        <f t="shared" si="7"/>
        <v>70680.108704235288</v>
      </c>
      <c r="K59" s="25"/>
    </row>
    <row r="60" spans="1:11" x14ac:dyDescent="0.25">
      <c r="A60" s="73">
        <v>41307</v>
      </c>
      <c r="B60" s="25" t="s">
        <v>417</v>
      </c>
      <c r="C60" s="25"/>
      <c r="D60" s="34">
        <f>14*4</f>
        <v>56</v>
      </c>
      <c r="E60" s="27">
        <f t="shared" si="4"/>
        <v>4843.9499999999989</v>
      </c>
      <c r="F60" s="35"/>
      <c r="G60" s="63">
        <f t="shared" si="5"/>
        <v>14.424659170855888</v>
      </c>
      <c r="H60" s="26"/>
      <c r="I60" s="29">
        <f t="shared" si="6"/>
        <v>807.7809135679297</v>
      </c>
      <c r="J60" s="31">
        <f t="shared" si="7"/>
        <v>69872.327790667361</v>
      </c>
      <c r="K60" s="25"/>
    </row>
    <row r="61" spans="1:11" x14ac:dyDescent="0.25">
      <c r="A61" s="73">
        <v>41307</v>
      </c>
      <c r="B61" s="25" t="s">
        <v>418</v>
      </c>
      <c r="C61" s="25"/>
      <c r="D61" s="34">
        <f>70*6.3</f>
        <v>441</v>
      </c>
      <c r="E61" s="27">
        <f t="shared" si="4"/>
        <v>4402.9499999999989</v>
      </c>
      <c r="F61" s="35"/>
      <c r="G61" s="63">
        <f t="shared" si="5"/>
        <v>14.424659170855888</v>
      </c>
      <c r="H61" s="26"/>
      <c r="I61" s="29">
        <f t="shared" si="6"/>
        <v>6361.2746943474467</v>
      </c>
      <c r="J61" s="31">
        <f t="shared" si="7"/>
        <v>63511.053096319913</v>
      </c>
      <c r="K61" s="25"/>
    </row>
    <row r="62" spans="1:11" x14ac:dyDescent="0.25">
      <c r="A62" s="73">
        <v>41310</v>
      </c>
      <c r="B62" s="25" t="s">
        <v>419</v>
      </c>
      <c r="C62" s="25"/>
      <c r="D62" s="34">
        <f>3*2.3</f>
        <v>6.8999999999999995</v>
      </c>
      <c r="E62" s="27">
        <f t="shared" si="4"/>
        <v>4396.0499999999993</v>
      </c>
      <c r="F62" s="35"/>
      <c r="G62" s="63">
        <f t="shared" si="5"/>
        <v>14.424659170855888</v>
      </c>
      <c r="H62" s="26"/>
      <c r="I62" s="29">
        <f t="shared" si="6"/>
        <v>99.530148278905614</v>
      </c>
      <c r="J62" s="31">
        <f t="shared" si="7"/>
        <v>63411.522948041005</v>
      </c>
      <c r="K62" s="25"/>
    </row>
    <row r="63" spans="1:11" x14ac:dyDescent="0.25">
      <c r="A63" s="73">
        <v>41312</v>
      </c>
      <c r="B63" s="25" t="s">
        <v>420</v>
      </c>
      <c r="C63" s="25"/>
      <c r="D63" s="34">
        <f>2*4.8</f>
        <v>9.6</v>
      </c>
      <c r="E63" s="27">
        <f t="shared" si="4"/>
        <v>4386.4499999999989</v>
      </c>
      <c r="F63" s="35"/>
      <c r="G63" s="63">
        <f t="shared" si="5"/>
        <v>14.424659170855886</v>
      </c>
      <c r="H63" s="26"/>
      <c r="I63" s="29">
        <f t="shared" si="6"/>
        <v>138.4767280402165</v>
      </c>
      <c r="J63" s="31">
        <f t="shared" si="7"/>
        <v>63273.04622000079</v>
      </c>
      <c r="K63" s="25"/>
    </row>
    <row r="64" spans="1:11" x14ac:dyDescent="0.25">
      <c r="A64" s="73">
        <v>41313</v>
      </c>
      <c r="B64" s="25" t="s">
        <v>421</v>
      </c>
      <c r="C64" s="25"/>
      <c r="D64" s="34">
        <f>4*2.29</f>
        <v>9.16</v>
      </c>
      <c r="E64" s="27">
        <f t="shared" si="4"/>
        <v>4377.2899999999991</v>
      </c>
      <c r="F64" s="35"/>
      <c r="G64" s="63">
        <f t="shared" si="5"/>
        <v>14.424659170855888</v>
      </c>
      <c r="H64" s="26"/>
      <c r="I64" s="29">
        <f t="shared" si="6"/>
        <v>132.12987800503993</v>
      </c>
      <c r="J64" s="31">
        <f t="shared" si="7"/>
        <v>63140.916341995748</v>
      </c>
      <c r="K64" s="25"/>
    </row>
    <row r="65" spans="1:14" x14ac:dyDescent="0.25">
      <c r="A65" s="73">
        <v>41313</v>
      </c>
      <c r="B65" s="25" t="s">
        <v>422</v>
      </c>
      <c r="C65" s="25"/>
      <c r="D65" s="34">
        <f>8*4.5</f>
        <v>36</v>
      </c>
      <c r="E65" s="27">
        <f t="shared" si="4"/>
        <v>4341.2899999999991</v>
      </c>
      <c r="F65" s="35"/>
      <c r="G65" s="63">
        <f t="shared" si="5"/>
        <v>14.424659170855886</v>
      </c>
      <c r="H65" s="26"/>
      <c r="I65" s="29">
        <f t="shared" si="6"/>
        <v>519.28773015081185</v>
      </c>
      <c r="J65" s="31">
        <f t="shared" si="7"/>
        <v>62621.628611844935</v>
      </c>
      <c r="K65" s="25"/>
    </row>
    <row r="66" spans="1:14" x14ac:dyDescent="0.25">
      <c r="A66" s="73">
        <v>41313</v>
      </c>
      <c r="B66" s="100" t="s">
        <v>264</v>
      </c>
      <c r="C66" s="25">
        <v>7822.2</v>
      </c>
      <c r="D66" s="34"/>
      <c r="E66" s="27">
        <f>+E65+C66</f>
        <v>12163.489999999998</v>
      </c>
      <c r="F66" s="35">
        <f>+H66/C66</f>
        <v>19.821283015008568</v>
      </c>
      <c r="G66" s="63"/>
      <c r="H66" s="26">
        <v>155046.04</v>
      </c>
      <c r="I66" s="29"/>
      <c r="J66" s="31">
        <f>+J65+H66</f>
        <v>217667.66861184494</v>
      </c>
      <c r="K66" s="25"/>
    </row>
    <row r="67" spans="1:14" x14ac:dyDescent="0.25">
      <c r="A67" s="73">
        <v>41314</v>
      </c>
      <c r="B67" s="25" t="s">
        <v>423</v>
      </c>
      <c r="C67" s="25"/>
      <c r="D67" s="34">
        <f>3*3</f>
        <v>9</v>
      </c>
      <c r="E67" s="27">
        <f>+E66-D67</f>
        <v>12154.489999999998</v>
      </c>
      <c r="F67" s="35"/>
      <c r="G67" s="63">
        <f>+J66/E66</f>
        <v>17.895165664775899</v>
      </c>
      <c r="H67" s="26"/>
      <c r="I67" s="29">
        <f t="shared" si="6"/>
        <v>161.05649098298309</v>
      </c>
      <c r="J67" s="31">
        <f>+J66-I67</f>
        <v>217506.61212086197</v>
      </c>
      <c r="K67" s="25"/>
    </row>
    <row r="68" spans="1:14" x14ac:dyDescent="0.25">
      <c r="A68" s="73">
        <v>41323</v>
      </c>
      <c r="B68" s="25" t="s">
        <v>424</v>
      </c>
      <c r="C68" s="25"/>
      <c r="D68" s="34">
        <f>20*3</f>
        <v>60</v>
      </c>
      <c r="E68" s="27">
        <f t="shared" si="4"/>
        <v>12094.489999999998</v>
      </c>
      <c r="F68" s="35"/>
      <c r="G68" s="63">
        <f t="shared" si="5"/>
        <v>17.895165664775899</v>
      </c>
      <c r="H68" s="26"/>
      <c r="I68" s="29">
        <f t="shared" si="6"/>
        <v>1073.7099398865539</v>
      </c>
      <c r="J68" s="31">
        <f t="shared" si="7"/>
        <v>216432.90218097542</v>
      </c>
      <c r="K68" s="25"/>
    </row>
    <row r="69" spans="1:14" x14ac:dyDescent="0.25">
      <c r="A69" s="73">
        <v>41325</v>
      </c>
      <c r="B69" s="25" t="s">
        <v>425</v>
      </c>
      <c r="C69" s="25"/>
      <c r="D69" s="34">
        <f>82*9.85</f>
        <v>807.69999999999993</v>
      </c>
      <c r="E69" s="27">
        <f t="shared" si="4"/>
        <v>11286.789999999997</v>
      </c>
      <c r="F69" s="35"/>
      <c r="G69" s="63">
        <f t="shared" si="5"/>
        <v>17.895165664775899</v>
      </c>
      <c r="H69" s="26"/>
      <c r="I69" s="29">
        <f t="shared" si="6"/>
        <v>14453.925307439493</v>
      </c>
      <c r="J69" s="31">
        <f t="shared" si="7"/>
        <v>201978.97687353592</v>
      </c>
      <c r="K69" s="25"/>
    </row>
    <row r="70" spans="1:14" x14ac:dyDescent="0.25">
      <c r="A70" s="73">
        <v>41325</v>
      </c>
      <c r="B70" s="25" t="s">
        <v>45</v>
      </c>
      <c r="C70" s="25"/>
      <c r="D70" s="34">
        <v>0</v>
      </c>
      <c r="E70" s="27">
        <f t="shared" si="4"/>
        <v>11286.789999999997</v>
      </c>
      <c r="F70" s="35"/>
      <c r="G70" s="63">
        <f t="shared" si="5"/>
        <v>17.895165664775899</v>
      </c>
      <c r="H70" s="26"/>
      <c r="I70" s="29">
        <f t="shared" si="6"/>
        <v>0</v>
      </c>
      <c r="J70" s="31">
        <f t="shared" si="7"/>
        <v>201978.97687353592</v>
      </c>
      <c r="K70" s="25"/>
    </row>
    <row r="71" spans="1:14" x14ac:dyDescent="0.25">
      <c r="A71" s="73">
        <v>41325</v>
      </c>
      <c r="B71" s="25" t="s">
        <v>46</v>
      </c>
      <c r="C71" s="25"/>
      <c r="D71" s="34">
        <v>0</v>
      </c>
      <c r="E71" s="27">
        <f t="shared" ref="E71:E81" si="8">E70-D71</f>
        <v>11286.789999999997</v>
      </c>
      <c r="F71" s="35"/>
      <c r="G71" s="63">
        <f t="shared" ref="G71:G106" si="9">J70/E70</f>
        <v>17.895165664775899</v>
      </c>
      <c r="H71" s="26"/>
      <c r="I71" s="29">
        <f t="shared" ref="I71:I106" si="10">D71*G71</f>
        <v>0</v>
      </c>
      <c r="J71" s="31">
        <f t="shared" ref="J71:J81" si="11">J70-I71</f>
        <v>201978.97687353592</v>
      </c>
      <c r="K71" s="25"/>
    </row>
    <row r="72" spans="1:14" x14ac:dyDescent="0.25">
      <c r="A72" s="73">
        <v>41325</v>
      </c>
      <c r="B72" s="25" t="s">
        <v>426</v>
      </c>
      <c r="C72" s="25"/>
      <c r="D72" s="34">
        <f>41*0.7+13*3</f>
        <v>67.7</v>
      </c>
      <c r="E72" s="27">
        <f t="shared" si="8"/>
        <v>11219.089999999997</v>
      </c>
      <c r="F72" s="35"/>
      <c r="G72" s="63">
        <f t="shared" si="9"/>
        <v>17.895165664775899</v>
      </c>
      <c r="H72" s="26"/>
      <c r="I72" s="29">
        <f t="shared" si="10"/>
        <v>1211.5027155053283</v>
      </c>
      <c r="J72" s="31">
        <f t="shared" si="11"/>
        <v>200767.47415803059</v>
      </c>
      <c r="K72" s="25"/>
    </row>
    <row r="73" spans="1:14" x14ac:dyDescent="0.25">
      <c r="A73" s="73">
        <v>41331</v>
      </c>
      <c r="B73" s="25" t="s">
        <v>427</v>
      </c>
      <c r="C73" s="25"/>
      <c r="D73" s="34">
        <f>1*31</f>
        <v>31</v>
      </c>
      <c r="E73" s="27">
        <f t="shared" si="8"/>
        <v>11188.089999999997</v>
      </c>
      <c r="F73" s="35"/>
      <c r="G73" s="63">
        <f t="shared" si="9"/>
        <v>17.895165664775899</v>
      </c>
      <c r="H73" s="26"/>
      <c r="I73" s="29">
        <f t="shared" si="10"/>
        <v>554.75013560805291</v>
      </c>
      <c r="J73" s="31">
        <f t="shared" si="11"/>
        <v>200212.72402242254</v>
      </c>
      <c r="K73" s="25"/>
    </row>
    <row r="74" spans="1:14" x14ac:dyDescent="0.25">
      <c r="A74" s="73">
        <v>41332</v>
      </c>
      <c r="B74" s="25" t="s">
        <v>428</v>
      </c>
      <c r="C74" s="25"/>
      <c r="D74" s="34">
        <f>12*2.5</f>
        <v>30</v>
      </c>
      <c r="E74" s="27">
        <f t="shared" si="8"/>
        <v>11158.089999999997</v>
      </c>
      <c r="F74" s="35"/>
      <c r="G74" s="63">
        <f t="shared" si="9"/>
        <v>17.895165664775899</v>
      </c>
      <c r="H74" s="26"/>
      <c r="I74" s="29">
        <f t="shared" si="10"/>
        <v>536.85496994327696</v>
      </c>
      <c r="J74" s="31">
        <f t="shared" si="11"/>
        <v>199675.86905247928</v>
      </c>
      <c r="K74" s="25"/>
    </row>
    <row r="75" spans="1:14" x14ac:dyDescent="0.25">
      <c r="A75" s="73">
        <v>41337</v>
      </c>
      <c r="B75" s="25" t="s">
        <v>429</v>
      </c>
      <c r="C75" s="25"/>
      <c r="D75" s="34">
        <f>12*5.3</f>
        <v>63.599999999999994</v>
      </c>
      <c r="E75" s="27">
        <f t="shared" si="8"/>
        <v>11094.489999999996</v>
      </c>
      <c r="F75" s="35"/>
      <c r="G75" s="63">
        <f t="shared" si="9"/>
        <v>17.895165664775902</v>
      </c>
      <c r="H75" s="26"/>
      <c r="I75" s="29">
        <f t="shared" si="10"/>
        <v>1138.1325362797472</v>
      </c>
      <c r="J75" s="31">
        <f t="shared" si="11"/>
        <v>198537.73651619954</v>
      </c>
      <c r="K75" s="25"/>
    </row>
    <row r="76" spans="1:14" x14ac:dyDescent="0.25">
      <c r="A76" s="73">
        <v>41339</v>
      </c>
      <c r="B76" s="25" t="s">
        <v>430</v>
      </c>
      <c r="C76" s="25"/>
      <c r="D76" s="34">
        <f>20*4.7+20*3.2</f>
        <v>158</v>
      </c>
      <c r="E76" s="27">
        <f t="shared" si="8"/>
        <v>10936.489999999996</v>
      </c>
      <c r="F76" s="35"/>
      <c r="G76" s="63">
        <f t="shared" si="9"/>
        <v>17.895165664775902</v>
      </c>
      <c r="H76" s="26"/>
      <c r="I76" s="29">
        <f t="shared" si="10"/>
        <v>2827.4361750345925</v>
      </c>
      <c r="J76" s="31">
        <f t="shared" si="11"/>
        <v>195710.30034116496</v>
      </c>
      <c r="K76" s="25"/>
    </row>
    <row r="77" spans="1:14" x14ac:dyDescent="0.25">
      <c r="A77" s="73">
        <v>41341</v>
      </c>
      <c r="B77" s="25" t="s">
        <v>431</v>
      </c>
      <c r="C77" s="25"/>
      <c r="D77" s="34">
        <f>30*0.5</f>
        <v>15</v>
      </c>
      <c r="E77" s="27">
        <f t="shared" si="8"/>
        <v>10921.489999999996</v>
      </c>
      <c r="F77" s="35"/>
      <c r="G77" s="63">
        <f t="shared" si="9"/>
        <v>17.895165664775902</v>
      </c>
      <c r="H77" s="26"/>
      <c r="I77" s="29">
        <f t="shared" si="10"/>
        <v>268.42748497163853</v>
      </c>
      <c r="J77" s="31">
        <f t="shared" si="11"/>
        <v>195441.87285619331</v>
      </c>
      <c r="K77" s="25"/>
    </row>
    <row r="78" spans="1:14" x14ac:dyDescent="0.25">
      <c r="A78" s="73">
        <v>41341</v>
      </c>
      <c r="B78" s="25" t="s">
        <v>432</v>
      </c>
      <c r="C78" s="25"/>
      <c r="D78" s="34">
        <f>8*5.3</f>
        <v>42.4</v>
      </c>
      <c r="E78" s="27">
        <f t="shared" si="8"/>
        <v>10879.089999999997</v>
      </c>
      <c r="F78" s="35"/>
      <c r="G78" s="63">
        <f t="shared" si="9"/>
        <v>17.895165664775902</v>
      </c>
      <c r="H78" s="26"/>
      <c r="I78" s="29">
        <f t="shared" si="10"/>
        <v>758.75502418649819</v>
      </c>
      <c r="J78" s="31">
        <f t="shared" si="11"/>
        <v>194683.1178320068</v>
      </c>
      <c r="K78" s="25"/>
    </row>
    <row r="79" spans="1:14" x14ac:dyDescent="0.25">
      <c r="A79" s="73">
        <v>41349</v>
      </c>
      <c r="B79" s="25" t="s">
        <v>433</v>
      </c>
      <c r="C79" s="25"/>
      <c r="D79" s="34">
        <f>6*6.3</f>
        <v>37.799999999999997</v>
      </c>
      <c r="E79" s="27">
        <f t="shared" si="8"/>
        <v>10841.289999999997</v>
      </c>
      <c r="F79" s="35"/>
      <c r="G79" s="63">
        <f t="shared" si="9"/>
        <v>17.895165664775902</v>
      </c>
      <c r="H79" s="26"/>
      <c r="I79" s="29">
        <f t="shared" si="10"/>
        <v>676.43726212852903</v>
      </c>
      <c r="J79" s="31">
        <f t="shared" si="11"/>
        <v>194006.68056987828</v>
      </c>
      <c r="K79" s="75"/>
      <c r="N79" s="74" t="s">
        <v>65</v>
      </c>
    </row>
    <row r="80" spans="1:14" x14ac:dyDescent="0.25">
      <c r="A80" s="73">
        <v>41351</v>
      </c>
      <c r="B80" s="25" t="s">
        <v>434</v>
      </c>
      <c r="C80" s="25"/>
      <c r="D80" s="34">
        <f>1*4.5</f>
        <v>4.5</v>
      </c>
      <c r="E80" s="27">
        <f t="shared" si="8"/>
        <v>10836.789999999997</v>
      </c>
      <c r="F80" s="35"/>
      <c r="G80" s="63">
        <f t="shared" si="9"/>
        <v>17.895165664775902</v>
      </c>
      <c r="H80" s="26"/>
      <c r="I80" s="29">
        <f t="shared" si="10"/>
        <v>80.52824549149156</v>
      </c>
      <c r="J80" s="31">
        <f t="shared" si="11"/>
        <v>193926.15232438679</v>
      </c>
      <c r="K80" s="25"/>
    </row>
    <row r="81" spans="1:11" x14ac:dyDescent="0.25">
      <c r="A81" s="73">
        <v>41351</v>
      </c>
      <c r="B81" s="25" t="s">
        <v>435</v>
      </c>
      <c r="C81" s="25"/>
      <c r="D81" s="34">
        <f>5*3</f>
        <v>15</v>
      </c>
      <c r="E81" s="27">
        <f t="shared" si="8"/>
        <v>10821.789999999997</v>
      </c>
      <c r="F81" s="35"/>
      <c r="G81" s="63">
        <f t="shared" si="9"/>
        <v>17.895165664775902</v>
      </c>
      <c r="H81" s="26"/>
      <c r="I81" s="29">
        <f t="shared" si="10"/>
        <v>268.42748497163853</v>
      </c>
      <c r="J81" s="31">
        <f t="shared" si="11"/>
        <v>193657.72483941514</v>
      </c>
      <c r="K81" s="25"/>
    </row>
    <row r="82" spans="1:11" s="110" customFormat="1" x14ac:dyDescent="0.25">
      <c r="A82" s="73">
        <v>41351</v>
      </c>
      <c r="B82" s="100" t="s">
        <v>263</v>
      </c>
      <c r="C82" s="25">
        <v>15093</v>
      </c>
      <c r="D82" s="34"/>
      <c r="E82" s="27">
        <f>+E81+C82</f>
        <v>25914.789999999997</v>
      </c>
      <c r="F82" s="35">
        <f>+H82/C82</f>
        <v>19.496541443053069</v>
      </c>
      <c r="G82" s="63"/>
      <c r="H82" s="26">
        <v>294261.3</v>
      </c>
      <c r="I82" s="29"/>
      <c r="J82" s="31">
        <f>+J81+H82</f>
        <v>487919.0248394151</v>
      </c>
      <c r="K82" s="25"/>
    </row>
    <row r="83" spans="1:11" x14ac:dyDescent="0.25">
      <c r="A83" s="73">
        <v>41352</v>
      </c>
      <c r="B83" s="25" t="s">
        <v>436</v>
      </c>
      <c r="C83" s="25"/>
      <c r="D83" s="34">
        <f>4*4.3</f>
        <v>17.2</v>
      </c>
      <c r="E83" s="27">
        <f>+E82-D83</f>
        <v>25897.589999999997</v>
      </c>
      <c r="F83" s="35"/>
      <c r="G83" s="63">
        <f>+J82/E82</f>
        <v>18.82782090224984</v>
      </c>
      <c r="H83" s="26"/>
      <c r="I83" s="29">
        <f t="shared" si="10"/>
        <v>323.83851951869724</v>
      </c>
      <c r="J83" s="31">
        <f>+J82-I83</f>
        <v>487595.18631989643</v>
      </c>
      <c r="K83" s="25"/>
    </row>
    <row r="84" spans="1:11" x14ac:dyDescent="0.25">
      <c r="A84" s="73">
        <v>41353</v>
      </c>
      <c r="B84" s="25" t="s">
        <v>437</v>
      </c>
      <c r="C84" s="25"/>
      <c r="D84" s="34">
        <f>1*3</f>
        <v>3</v>
      </c>
      <c r="E84" s="27">
        <f t="shared" ref="E84:E147" si="12">+E83-D84</f>
        <v>25894.589999999997</v>
      </c>
      <c r="F84" s="35"/>
      <c r="G84" s="63">
        <f t="shared" si="9"/>
        <v>18.827820902249844</v>
      </c>
      <c r="H84" s="26"/>
      <c r="I84" s="29">
        <f t="shared" si="10"/>
        <v>56.483462706749535</v>
      </c>
      <c r="J84" s="31">
        <f t="shared" ref="J84:J147" si="13">+J83-I84</f>
        <v>487538.7028571897</v>
      </c>
      <c r="K84" s="25"/>
    </row>
    <row r="85" spans="1:11" x14ac:dyDescent="0.25">
      <c r="A85" s="73">
        <v>41353</v>
      </c>
      <c r="B85" s="25" t="s">
        <v>438</v>
      </c>
      <c r="C85" s="25"/>
      <c r="D85" s="34">
        <f>2*2.4</f>
        <v>4.8</v>
      </c>
      <c r="E85" s="27">
        <f t="shared" si="12"/>
        <v>25889.789999999997</v>
      </c>
      <c r="F85" s="35"/>
      <c r="G85" s="63">
        <f t="shared" si="9"/>
        <v>18.827820902249844</v>
      </c>
      <c r="H85" s="26"/>
      <c r="I85" s="29">
        <f t="shared" si="10"/>
        <v>90.373540330799244</v>
      </c>
      <c r="J85" s="31">
        <f t="shared" si="13"/>
        <v>487448.3293168589</v>
      </c>
      <c r="K85" s="25"/>
    </row>
    <row r="86" spans="1:11" x14ac:dyDescent="0.25">
      <c r="A86" s="73">
        <v>41359</v>
      </c>
      <c r="B86" s="25" t="s">
        <v>439</v>
      </c>
      <c r="C86" s="25"/>
      <c r="D86" s="34">
        <f>1*3.5</f>
        <v>3.5</v>
      </c>
      <c r="E86" s="27">
        <f t="shared" si="12"/>
        <v>25886.289999999997</v>
      </c>
      <c r="F86" s="35"/>
      <c r="G86" s="63">
        <f t="shared" si="9"/>
        <v>18.827820902249844</v>
      </c>
      <c r="H86" s="26"/>
      <c r="I86" s="29">
        <f t="shared" si="10"/>
        <v>65.897373157874455</v>
      </c>
      <c r="J86" s="31">
        <f t="shared" si="13"/>
        <v>487382.431943701</v>
      </c>
      <c r="K86" s="25"/>
    </row>
    <row r="87" spans="1:11" x14ac:dyDescent="0.25">
      <c r="A87" s="73">
        <v>41361</v>
      </c>
      <c r="B87" s="25" t="s">
        <v>440</v>
      </c>
      <c r="C87" s="25"/>
      <c r="D87" s="34">
        <f>1*3</f>
        <v>3</v>
      </c>
      <c r="E87" s="27">
        <f t="shared" si="12"/>
        <v>25883.289999999997</v>
      </c>
      <c r="F87" s="35"/>
      <c r="G87" s="63">
        <f t="shared" si="9"/>
        <v>18.82782090224984</v>
      </c>
      <c r="H87" s="26"/>
      <c r="I87" s="29">
        <f t="shared" si="10"/>
        <v>56.483462706749521</v>
      </c>
      <c r="J87" s="31">
        <f t="shared" si="13"/>
        <v>487325.94848099427</v>
      </c>
      <c r="K87" s="25"/>
    </row>
    <row r="88" spans="1:11" x14ac:dyDescent="0.25">
      <c r="A88" s="73">
        <v>41363</v>
      </c>
      <c r="B88" s="25" t="s">
        <v>441</v>
      </c>
      <c r="C88" s="25"/>
      <c r="D88" s="34">
        <f>36*3</f>
        <v>108</v>
      </c>
      <c r="E88" s="27">
        <f t="shared" si="12"/>
        <v>25775.289999999997</v>
      </c>
      <c r="F88" s="35"/>
      <c r="G88" s="63">
        <f t="shared" si="9"/>
        <v>18.827820902249844</v>
      </c>
      <c r="H88" s="26"/>
      <c r="I88" s="29">
        <f t="shared" si="10"/>
        <v>2033.4046574429831</v>
      </c>
      <c r="J88" s="31">
        <f t="shared" si="13"/>
        <v>485292.54382355127</v>
      </c>
      <c r="K88" s="25"/>
    </row>
    <row r="89" spans="1:11" x14ac:dyDescent="0.25">
      <c r="A89" s="73">
        <v>41363</v>
      </c>
      <c r="B89" s="25" t="s">
        <v>442</v>
      </c>
      <c r="C89" s="25"/>
      <c r="D89" s="34">
        <f>5*5+5*5.3</f>
        <v>51.5</v>
      </c>
      <c r="E89" s="27">
        <f t="shared" si="12"/>
        <v>25723.789999999997</v>
      </c>
      <c r="F89" s="35"/>
      <c r="G89" s="63">
        <f t="shared" si="9"/>
        <v>18.82782090224984</v>
      </c>
      <c r="H89" s="26"/>
      <c r="I89" s="29">
        <f t="shared" si="10"/>
        <v>969.63277646586675</v>
      </c>
      <c r="J89" s="31">
        <f t="shared" si="13"/>
        <v>484322.91104708542</v>
      </c>
      <c r="K89" s="25"/>
    </row>
    <row r="90" spans="1:11" x14ac:dyDescent="0.25">
      <c r="A90" s="73">
        <v>41365</v>
      </c>
      <c r="B90" s="25" t="s">
        <v>443</v>
      </c>
      <c r="C90" s="25"/>
      <c r="D90" s="34">
        <f>2*2.4</f>
        <v>4.8</v>
      </c>
      <c r="E90" s="27">
        <f t="shared" si="12"/>
        <v>25718.989999999998</v>
      </c>
      <c r="F90" s="35"/>
      <c r="G90" s="63">
        <f t="shared" si="9"/>
        <v>18.827820902249844</v>
      </c>
      <c r="H90" s="26"/>
      <c r="I90" s="29">
        <f t="shared" si="10"/>
        <v>90.373540330799244</v>
      </c>
      <c r="J90" s="31">
        <f t="shared" si="13"/>
        <v>484232.53750675463</v>
      </c>
      <c r="K90" s="25"/>
    </row>
    <row r="91" spans="1:11" x14ac:dyDescent="0.25">
      <c r="A91" s="73">
        <v>41365</v>
      </c>
      <c r="B91" s="25" t="s">
        <v>444</v>
      </c>
      <c r="C91" s="25"/>
      <c r="D91" s="34">
        <f>24*5</f>
        <v>120</v>
      </c>
      <c r="E91" s="27">
        <f t="shared" si="12"/>
        <v>25598.989999999998</v>
      </c>
      <c r="F91" s="35"/>
      <c r="G91" s="63">
        <f t="shared" si="9"/>
        <v>18.827820902249844</v>
      </c>
      <c r="H91" s="26"/>
      <c r="I91" s="29">
        <f t="shared" si="10"/>
        <v>2259.338508269981</v>
      </c>
      <c r="J91" s="31">
        <f t="shared" si="13"/>
        <v>481973.19899848464</v>
      </c>
      <c r="K91" s="25"/>
    </row>
    <row r="92" spans="1:11" x14ac:dyDescent="0.25">
      <c r="A92" s="73">
        <v>41368</v>
      </c>
      <c r="B92" s="25" t="s">
        <v>445</v>
      </c>
      <c r="C92" s="25"/>
      <c r="D92" s="34">
        <f>3*3.2</f>
        <v>9.6000000000000014</v>
      </c>
      <c r="E92" s="27">
        <f t="shared" si="12"/>
        <v>25589.39</v>
      </c>
      <c r="F92" s="35"/>
      <c r="G92" s="63">
        <f t="shared" si="9"/>
        <v>18.827820902249844</v>
      </c>
      <c r="H92" s="26"/>
      <c r="I92" s="29">
        <f t="shared" si="10"/>
        <v>180.74708066159852</v>
      </c>
      <c r="J92" s="31">
        <f t="shared" si="13"/>
        <v>481792.45191782305</v>
      </c>
      <c r="K92" s="25"/>
    </row>
    <row r="93" spans="1:11" x14ac:dyDescent="0.25">
      <c r="A93" s="73">
        <v>41369</v>
      </c>
      <c r="B93" s="25" t="s">
        <v>446</v>
      </c>
      <c r="C93" s="25"/>
      <c r="D93" s="34">
        <f>3*5.52</f>
        <v>16.559999999999999</v>
      </c>
      <c r="E93" s="27">
        <f t="shared" si="12"/>
        <v>25572.829999999998</v>
      </c>
      <c r="F93" s="35"/>
      <c r="G93" s="63">
        <f t="shared" si="9"/>
        <v>18.82782090224984</v>
      </c>
      <c r="H93" s="26"/>
      <c r="I93" s="29">
        <f t="shared" si="10"/>
        <v>311.78871414125734</v>
      </c>
      <c r="J93" s="31">
        <f t="shared" si="13"/>
        <v>481480.66320368182</v>
      </c>
      <c r="K93" s="25"/>
    </row>
    <row r="94" spans="1:11" x14ac:dyDescent="0.25">
      <c r="A94" s="73">
        <v>41369</v>
      </c>
      <c r="B94" s="25" t="s">
        <v>73</v>
      </c>
      <c r="C94" s="25"/>
      <c r="D94" s="34">
        <f>0</f>
        <v>0</v>
      </c>
      <c r="E94" s="27">
        <f t="shared" si="12"/>
        <v>25572.829999999998</v>
      </c>
      <c r="F94" s="35"/>
      <c r="G94" s="63">
        <f t="shared" si="9"/>
        <v>18.827820902249844</v>
      </c>
      <c r="H94" s="26"/>
      <c r="I94" s="29">
        <f t="shared" si="10"/>
        <v>0</v>
      </c>
      <c r="J94" s="31">
        <f t="shared" si="13"/>
        <v>481480.66320368182</v>
      </c>
      <c r="K94" s="25"/>
    </row>
    <row r="95" spans="1:11" x14ac:dyDescent="0.25">
      <c r="A95" s="73">
        <v>41369</v>
      </c>
      <c r="B95" s="25" t="s">
        <v>447</v>
      </c>
      <c r="C95" s="25"/>
      <c r="D95" s="34">
        <f>22*2.1</f>
        <v>46.2</v>
      </c>
      <c r="E95" s="27">
        <f t="shared" si="12"/>
        <v>25526.629999999997</v>
      </c>
      <c r="F95" s="35"/>
      <c r="G95" s="63">
        <f t="shared" si="9"/>
        <v>18.827820902249844</v>
      </c>
      <c r="H95" s="26"/>
      <c r="I95" s="29">
        <f t="shared" si="10"/>
        <v>869.84532568394286</v>
      </c>
      <c r="J95" s="31">
        <f t="shared" si="13"/>
        <v>480610.81787799788</v>
      </c>
      <c r="K95" s="25"/>
    </row>
    <row r="96" spans="1:11" x14ac:dyDescent="0.25">
      <c r="A96" s="73">
        <v>41372</v>
      </c>
      <c r="B96" s="25" t="s">
        <v>74</v>
      </c>
      <c r="C96" s="25"/>
      <c r="D96" s="34">
        <v>0</v>
      </c>
      <c r="E96" s="27">
        <f t="shared" si="12"/>
        <v>25526.629999999997</v>
      </c>
      <c r="F96" s="35"/>
      <c r="G96" s="63">
        <f t="shared" si="9"/>
        <v>18.827820902249844</v>
      </c>
      <c r="H96" s="26"/>
      <c r="I96" s="29">
        <f t="shared" si="10"/>
        <v>0</v>
      </c>
      <c r="J96" s="31">
        <f t="shared" si="13"/>
        <v>480610.81787799788</v>
      </c>
      <c r="K96" s="25"/>
    </row>
    <row r="97" spans="1:11" x14ac:dyDescent="0.25">
      <c r="A97" s="73">
        <v>41372</v>
      </c>
      <c r="B97" s="25" t="s">
        <v>448</v>
      </c>
      <c r="C97" s="25"/>
      <c r="D97" s="34">
        <f>12*5</f>
        <v>60</v>
      </c>
      <c r="E97" s="27">
        <f t="shared" si="12"/>
        <v>25466.629999999997</v>
      </c>
      <c r="F97" s="35"/>
      <c r="G97" s="63">
        <f t="shared" si="9"/>
        <v>18.827820902249844</v>
      </c>
      <c r="H97" s="26"/>
      <c r="I97" s="29">
        <f t="shared" si="10"/>
        <v>1129.6692541349905</v>
      </c>
      <c r="J97" s="31">
        <f t="shared" si="13"/>
        <v>479481.14862386289</v>
      </c>
      <c r="K97" s="25"/>
    </row>
    <row r="98" spans="1:11" x14ac:dyDescent="0.25">
      <c r="A98" s="73">
        <v>41372</v>
      </c>
      <c r="B98" s="25" t="s">
        <v>449</v>
      </c>
      <c r="C98" s="25"/>
      <c r="D98" s="34">
        <f>9*3+7*4.7</f>
        <v>59.9</v>
      </c>
      <c r="E98" s="27">
        <f t="shared" si="12"/>
        <v>25406.729999999996</v>
      </c>
      <c r="F98" s="35"/>
      <c r="G98" s="63">
        <f t="shared" si="9"/>
        <v>18.827820902249844</v>
      </c>
      <c r="H98" s="26"/>
      <c r="I98" s="29">
        <f t="shared" si="10"/>
        <v>1127.7864720447656</v>
      </c>
      <c r="J98" s="31">
        <f t="shared" si="13"/>
        <v>478353.36215181812</v>
      </c>
      <c r="K98" s="25"/>
    </row>
    <row r="99" spans="1:11" x14ac:dyDescent="0.25">
      <c r="A99" s="73">
        <v>41372</v>
      </c>
      <c r="B99" s="25" t="s">
        <v>75</v>
      </c>
      <c r="C99" s="25"/>
      <c r="D99" s="34">
        <v>0</v>
      </c>
      <c r="E99" s="27">
        <f t="shared" si="12"/>
        <v>25406.729999999996</v>
      </c>
      <c r="F99" s="35"/>
      <c r="G99" s="63">
        <f t="shared" si="9"/>
        <v>18.827820902249844</v>
      </c>
      <c r="H99" s="26"/>
      <c r="I99" s="29">
        <f t="shared" si="10"/>
        <v>0</v>
      </c>
      <c r="J99" s="31">
        <f t="shared" si="13"/>
        <v>478353.36215181812</v>
      </c>
      <c r="K99" s="25"/>
    </row>
    <row r="100" spans="1:11" x14ac:dyDescent="0.25">
      <c r="A100" s="73">
        <v>41374</v>
      </c>
      <c r="B100" s="25" t="s">
        <v>450</v>
      </c>
      <c r="C100" s="25"/>
      <c r="D100" s="34">
        <f>9*4.95</f>
        <v>44.550000000000004</v>
      </c>
      <c r="E100" s="27">
        <f t="shared" si="12"/>
        <v>25362.179999999997</v>
      </c>
      <c r="F100" s="35"/>
      <c r="G100" s="63">
        <f t="shared" si="9"/>
        <v>18.827820902249844</v>
      </c>
      <c r="H100" s="26"/>
      <c r="I100" s="29">
        <f t="shared" si="10"/>
        <v>838.77942119523061</v>
      </c>
      <c r="J100" s="31">
        <f t="shared" si="13"/>
        <v>477514.5827306229</v>
      </c>
      <c r="K100" s="25"/>
    </row>
    <row r="101" spans="1:11" x14ac:dyDescent="0.25">
      <c r="A101" s="73">
        <v>41376</v>
      </c>
      <c r="B101" s="25" t="s">
        <v>451</v>
      </c>
      <c r="C101" s="25"/>
      <c r="D101" s="34">
        <f>10*5</f>
        <v>50</v>
      </c>
      <c r="E101" s="27">
        <f t="shared" si="12"/>
        <v>25312.179999999997</v>
      </c>
      <c r="F101" s="35"/>
      <c r="G101" s="63">
        <f t="shared" si="9"/>
        <v>18.827820902249844</v>
      </c>
      <c r="H101" s="26"/>
      <c r="I101" s="29">
        <f t="shared" si="10"/>
        <v>941.39104511249218</v>
      </c>
      <c r="J101" s="31">
        <f t="shared" si="13"/>
        <v>476573.19168551039</v>
      </c>
      <c r="K101" s="25"/>
    </row>
    <row r="102" spans="1:11" x14ac:dyDescent="0.25">
      <c r="A102" s="73">
        <v>41377</v>
      </c>
      <c r="B102" s="25" t="s">
        <v>452</v>
      </c>
      <c r="C102" s="25"/>
      <c r="D102" s="34">
        <f>30*7+30*7.85+6*5</f>
        <v>475.5</v>
      </c>
      <c r="E102" s="27">
        <f t="shared" si="12"/>
        <v>24836.679999999997</v>
      </c>
      <c r="F102" s="35"/>
      <c r="G102" s="63">
        <f t="shared" si="9"/>
        <v>18.827820902249844</v>
      </c>
      <c r="H102" s="26"/>
      <c r="I102" s="29">
        <f t="shared" si="10"/>
        <v>8952.6288390198006</v>
      </c>
      <c r="J102" s="31">
        <f t="shared" si="13"/>
        <v>467620.56284649059</v>
      </c>
      <c r="K102" s="25"/>
    </row>
    <row r="103" spans="1:11" x14ac:dyDescent="0.25">
      <c r="A103" s="73">
        <v>41377</v>
      </c>
      <c r="B103" s="25" t="s">
        <v>453</v>
      </c>
      <c r="C103" s="25"/>
      <c r="D103" s="34">
        <f>4*3+5*2.2</f>
        <v>23</v>
      </c>
      <c r="E103" s="27">
        <f t="shared" si="12"/>
        <v>24813.679999999997</v>
      </c>
      <c r="F103" s="35"/>
      <c r="G103" s="63">
        <f t="shared" si="9"/>
        <v>18.827820902249844</v>
      </c>
      <c r="H103" s="26"/>
      <c r="I103" s="29">
        <f t="shared" si="10"/>
        <v>433.03988075174641</v>
      </c>
      <c r="J103" s="31">
        <f t="shared" si="13"/>
        <v>467187.52296573884</v>
      </c>
      <c r="K103" s="25"/>
    </row>
    <row r="104" spans="1:11" x14ac:dyDescent="0.25">
      <c r="A104" s="73">
        <v>41381</v>
      </c>
      <c r="B104" s="25" t="s">
        <v>454</v>
      </c>
      <c r="C104" s="25"/>
      <c r="D104" s="34">
        <f>7*5</f>
        <v>35</v>
      </c>
      <c r="E104" s="27">
        <f t="shared" si="12"/>
        <v>24778.679999999997</v>
      </c>
      <c r="F104" s="35"/>
      <c r="G104" s="63">
        <f t="shared" si="9"/>
        <v>18.827820902249844</v>
      </c>
      <c r="H104" s="26"/>
      <c r="I104" s="29">
        <f t="shared" si="10"/>
        <v>658.97373157874449</v>
      </c>
      <c r="J104" s="31">
        <f t="shared" si="13"/>
        <v>466528.54923416011</v>
      </c>
      <c r="K104" s="25"/>
    </row>
    <row r="105" spans="1:11" x14ac:dyDescent="0.25">
      <c r="A105" s="73">
        <v>41383</v>
      </c>
      <c r="B105" s="25" t="s">
        <v>455</v>
      </c>
      <c r="C105" s="25"/>
      <c r="D105" s="34">
        <f>9*4.2</f>
        <v>37.800000000000004</v>
      </c>
      <c r="E105" s="27">
        <f t="shared" si="12"/>
        <v>24740.879999999997</v>
      </c>
      <c r="F105" s="35"/>
      <c r="G105" s="63">
        <f t="shared" si="9"/>
        <v>18.827820902249844</v>
      </c>
      <c r="H105" s="26"/>
      <c r="I105" s="29">
        <f t="shared" si="10"/>
        <v>711.69163010504417</v>
      </c>
      <c r="J105" s="31">
        <f t="shared" si="13"/>
        <v>465816.85760405508</v>
      </c>
      <c r="K105" s="25"/>
    </row>
    <row r="106" spans="1:11" x14ac:dyDescent="0.25">
      <c r="A106" s="73">
        <v>41389</v>
      </c>
      <c r="B106" s="25" t="s">
        <v>456</v>
      </c>
      <c r="C106" s="25"/>
      <c r="D106" s="34">
        <f>2*3</f>
        <v>6</v>
      </c>
      <c r="E106" s="27">
        <f t="shared" si="12"/>
        <v>24734.879999999997</v>
      </c>
      <c r="F106" s="35"/>
      <c r="G106" s="63">
        <f t="shared" si="9"/>
        <v>18.827820902249844</v>
      </c>
      <c r="H106" s="26"/>
      <c r="I106" s="29">
        <f t="shared" si="10"/>
        <v>112.96692541349907</v>
      </c>
      <c r="J106" s="31">
        <f t="shared" si="13"/>
        <v>465703.89067864156</v>
      </c>
      <c r="K106" s="25"/>
    </row>
    <row r="107" spans="1:11" x14ac:dyDescent="0.25">
      <c r="A107" s="73">
        <v>41389</v>
      </c>
      <c r="B107" s="25" t="s">
        <v>457</v>
      </c>
      <c r="C107" s="25"/>
      <c r="D107" s="34">
        <f>2*3.7+1*3</f>
        <v>10.4</v>
      </c>
      <c r="E107" s="27">
        <f t="shared" si="12"/>
        <v>24724.479999999996</v>
      </c>
      <c r="F107" s="35"/>
      <c r="G107" s="63">
        <f t="shared" ref="G107:G169" si="14">J106/E106</f>
        <v>18.827820902249844</v>
      </c>
      <c r="H107" s="26"/>
      <c r="I107" s="29">
        <f t="shared" ref="I107:I169" si="15">D107*G107</f>
        <v>195.80933738339837</v>
      </c>
      <c r="J107" s="31">
        <f t="shared" si="13"/>
        <v>465508.08134125813</v>
      </c>
      <c r="K107" s="25"/>
    </row>
    <row r="108" spans="1:11" x14ac:dyDescent="0.25">
      <c r="A108" s="73">
        <v>41389</v>
      </c>
      <c r="B108" s="25" t="s">
        <v>458</v>
      </c>
      <c r="C108" s="25"/>
      <c r="D108" s="34">
        <f>20*6+20*5.3+4*2</f>
        <v>234</v>
      </c>
      <c r="E108" s="27">
        <f t="shared" si="12"/>
        <v>24490.479999999996</v>
      </c>
      <c r="F108" s="35"/>
      <c r="G108" s="63">
        <f t="shared" si="14"/>
        <v>18.827820902249844</v>
      </c>
      <c r="H108" s="26"/>
      <c r="I108" s="29">
        <f t="shared" si="15"/>
        <v>4405.7100911264633</v>
      </c>
      <c r="J108" s="31">
        <f t="shared" si="13"/>
        <v>461102.37125013169</v>
      </c>
      <c r="K108" s="25"/>
    </row>
    <row r="109" spans="1:11" x14ac:dyDescent="0.25">
      <c r="A109" s="73">
        <v>41396</v>
      </c>
      <c r="B109" s="25" t="s">
        <v>459</v>
      </c>
      <c r="C109" s="25"/>
      <c r="D109" s="34">
        <f>4*5.5</f>
        <v>22</v>
      </c>
      <c r="E109" s="27">
        <f t="shared" si="12"/>
        <v>24468.479999999996</v>
      </c>
      <c r="F109" s="35"/>
      <c r="G109" s="63">
        <f t="shared" si="14"/>
        <v>18.827820902249844</v>
      </c>
      <c r="H109" s="26"/>
      <c r="I109" s="29">
        <f t="shared" si="15"/>
        <v>414.21205984949654</v>
      </c>
      <c r="J109" s="31">
        <f t="shared" si="13"/>
        <v>460688.15919028217</v>
      </c>
      <c r="K109" s="25"/>
    </row>
    <row r="110" spans="1:11" x14ac:dyDescent="0.25">
      <c r="A110" s="73">
        <v>41396</v>
      </c>
      <c r="B110" s="25" t="s">
        <v>460</v>
      </c>
      <c r="C110" s="25"/>
      <c r="D110" s="34">
        <f>2*5.5</f>
        <v>11</v>
      </c>
      <c r="E110" s="27">
        <f t="shared" si="12"/>
        <v>24457.479999999996</v>
      </c>
      <c r="F110" s="35"/>
      <c r="G110" s="63">
        <f t="shared" si="14"/>
        <v>18.827820902249844</v>
      </c>
      <c r="H110" s="26"/>
      <c r="I110" s="29">
        <f t="shared" si="15"/>
        <v>207.10602992474827</v>
      </c>
      <c r="J110" s="31">
        <f t="shared" si="13"/>
        <v>460481.05316035741</v>
      </c>
      <c r="K110" s="25"/>
    </row>
    <row r="111" spans="1:11" x14ac:dyDescent="0.25">
      <c r="A111" s="73">
        <v>41398</v>
      </c>
      <c r="B111" s="25" t="s">
        <v>461</v>
      </c>
      <c r="C111" s="25"/>
      <c r="D111" s="34">
        <f>30*5.55+15*0.5</f>
        <v>174</v>
      </c>
      <c r="E111" s="27">
        <f t="shared" si="12"/>
        <v>24283.479999999996</v>
      </c>
      <c r="F111" s="35"/>
      <c r="G111" s="63">
        <f t="shared" si="14"/>
        <v>18.827820902249844</v>
      </c>
      <c r="H111" s="26"/>
      <c r="I111" s="29">
        <f t="shared" si="15"/>
        <v>3276.0408369914726</v>
      </c>
      <c r="J111" s="31">
        <f t="shared" si="13"/>
        <v>457205.01232336595</v>
      </c>
      <c r="K111" s="25"/>
    </row>
    <row r="112" spans="1:11" x14ac:dyDescent="0.25">
      <c r="A112" s="73">
        <v>41400</v>
      </c>
      <c r="B112" s="25" t="s">
        <v>462</v>
      </c>
      <c r="C112" s="25"/>
      <c r="D112" s="34">
        <f>2*2</f>
        <v>4</v>
      </c>
      <c r="E112" s="27">
        <f t="shared" si="12"/>
        <v>24279.479999999996</v>
      </c>
      <c r="F112" s="35"/>
      <c r="G112" s="63">
        <f t="shared" si="14"/>
        <v>18.827820902249844</v>
      </c>
      <c r="H112" s="26"/>
      <c r="I112" s="29">
        <f t="shared" si="15"/>
        <v>75.311283608999375</v>
      </c>
      <c r="J112" s="31">
        <f t="shared" si="13"/>
        <v>457129.70103975694</v>
      </c>
      <c r="K112" s="25"/>
    </row>
    <row r="113" spans="1:11" x14ac:dyDescent="0.25">
      <c r="A113" s="73">
        <v>41401</v>
      </c>
      <c r="B113" s="25" t="s">
        <v>463</v>
      </c>
      <c r="C113" s="25"/>
      <c r="D113" s="34">
        <f>10*5.3+7*5.4</f>
        <v>90.800000000000011</v>
      </c>
      <c r="E113" s="27">
        <f t="shared" si="12"/>
        <v>24188.679999999997</v>
      </c>
      <c r="F113" s="35"/>
      <c r="G113" s="63">
        <f t="shared" si="14"/>
        <v>18.827820902249844</v>
      </c>
      <c r="H113" s="26"/>
      <c r="I113" s="29">
        <f t="shared" si="15"/>
        <v>1709.5661379242861</v>
      </c>
      <c r="J113" s="31">
        <f t="shared" si="13"/>
        <v>455420.13490183267</v>
      </c>
      <c r="K113" s="25"/>
    </row>
    <row r="114" spans="1:11" x14ac:dyDescent="0.25">
      <c r="A114" s="73">
        <v>41401</v>
      </c>
      <c r="B114" s="25" t="s">
        <v>464</v>
      </c>
      <c r="C114" s="25"/>
      <c r="D114" s="34">
        <f>7*4.85</f>
        <v>33.949999999999996</v>
      </c>
      <c r="E114" s="27">
        <f t="shared" si="12"/>
        <v>24154.729999999996</v>
      </c>
      <c r="F114" s="35"/>
      <c r="G114" s="63">
        <f t="shared" si="14"/>
        <v>18.827820902249844</v>
      </c>
      <c r="H114" s="26"/>
      <c r="I114" s="29">
        <f t="shared" si="15"/>
        <v>639.20451963138214</v>
      </c>
      <c r="J114" s="31">
        <f t="shared" si="13"/>
        <v>454780.93038220127</v>
      </c>
      <c r="K114" s="25"/>
    </row>
    <row r="115" spans="1:11" x14ac:dyDescent="0.25">
      <c r="A115" s="73">
        <v>41404</v>
      </c>
      <c r="B115" s="25" t="s">
        <v>465</v>
      </c>
      <c r="C115" s="25"/>
      <c r="D115" s="34">
        <f>96*3</f>
        <v>288</v>
      </c>
      <c r="E115" s="27">
        <f t="shared" si="12"/>
        <v>23866.729999999996</v>
      </c>
      <c r="F115" s="35"/>
      <c r="G115" s="63">
        <f t="shared" si="14"/>
        <v>18.827820902249844</v>
      </c>
      <c r="H115" s="26"/>
      <c r="I115" s="29">
        <f t="shared" si="15"/>
        <v>5422.4124198479549</v>
      </c>
      <c r="J115" s="31">
        <f t="shared" si="13"/>
        <v>449358.5179623533</v>
      </c>
      <c r="K115" s="25"/>
    </row>
    <row r="116" spans="1:11" x14ac:dyDescent="0.25">
      <c r="A116" s="73">
        <v>41405</v>
      </c>
      <c r="B116" s="25" t="s">
        <v>466</v>
      </c>
      <c r="C116" s="25"/>
      <c r="D116" s="34">
        <f>16*5</f>
        <v>80</v>
      </c>
      <c r="E116" s="27">
        <f t="shared" si="12"/>
        <v>23786.729999999996</v>
      </c>
      <c r="F116" s="35"/>
      <c r="G116" s="63">
        <f t="shared" si="14"/>
        <v>18.827820902249844</v>
      </c>
      <c r="H116" s="26"/>
      <c r="I116" s="29">
        <f t="shared" si="15"/>
        <v>1506.2256721799874</v>
      </c>
      <c r="J116" s="31">
        <f t="shared" si="13"/>
        <v>447852.2922901733</v>
      </c>
      <c r="K116" s="25"/>
    </row>
    <row r="117" spans="1:11" x14ac:dyDescent="0.25">
      <c r="A117" s="73">
        <v>41405</v>
      </c>
      <c r="B117" s="25" t="s">
        <v>467</v>
      </c>
      <c r="C117" s="25"/>
      <c r="D117" s="34">
        <f>38*3.6+38*3.3+6*2</f>
        <v>274.2</v>
      </c>
      <c r="E117" s="27">
        <f t="shared" si="12"/>
        <v>23512.529999999995</v>
      </c>
      <c r="F117" s="35"/>
      <c r="G117" s="63">
        <f t="shared" si="14"/>
        <v>18.82782090224984</v>
      </c>
      <c r="H117" s="26"/>
      <c r="I117" s="29">
        <f t="shared" si="15"/>
        <v>5162.5884913969057</v>
      </c>
      <c r="J117" s="31">
        <f t="shared" si="13"/>
        <v>442689.70379877638</v>
      </c>
      <c r="K117" s="25"/>
    </row>
    <row r="118" spans="1:11" x14ac:dyDescent="0.25">
      <c r="A118" s="73">
        <v>41409</v>
      </c>
      <c r="B118" s="25" t="s">
        <v>468</v>
      </c>
      <c r="C118" s="25"/>
      <c r="D118" s="34">
        <f>13*5</f>
        <v>65</v>
      </c>
      <c r="E118" s="27">
        <f t="shared" si="12"/>
        <v>23447.529999999995</v>
      </c>
      <c r="F118" s="35"/>
      <c r="G118" s="63">
        <f t="shared" ref="G118" si="16">J117/E117</f>
        <v>18.82782090224984</v>
      </c>
      <c r="H118" s="26"/>
      <c r="I118" s="29">
        <f t="shared" ref="I118" si="17">D118*G118</f>
        <v>1223.8083586462396</v>
      </c>
      <c r="J118" s="31">
        <f t="shared" si="13"/>
        <v>441465.89544013015</v>
      </c>
      <c r="K118" s="25"/>
    </row>
    <row r="119" spans="1:11" x14ac:dyDescent="0.25">
      <c r="A119" s="73">
        <v>41410</v>
      </c>
      <c r="B119" s="25" t="s">
        <v>86</v>
      </c>
      <c r="C119" s="25"/>
      <c r="D119" s="34">
        <v>0</v>
      </c>
      <c r="E119" s="27">
        <f t="shared" si="12"/>
        <v>23447.529999999995</v>
      </c>
      <c r="F119" s="35"/>
      <c r="G119" s="63">
        <f t="shared" si="14"/>
        <v>18.82782090224984</v>
      </c>
      <c r="H119" s="26"/>
      <c r="I119" s="29">
        <f t="shared" si="15"/>
        <v>0</v>
      </c>
      <c r="J119" s="31">
        <f t="shared" si="13"/>
        <v>441465.89544013015</v>
      </c>
      <c r="K119" s="25"/>
    </row>
    <row r="120" spans="1:11" x14ac:dyDescent="0.25">
      <c r="A120" s="73">
        <v>41412</v>
      </c>
      <c r="B120" s="25" t="s">
        <v>469</v>
      </c>
      <c r="C120" s="25"/>
      <c r="D120" s="34">
        <f>70*3</f>
        <v>210</v>
      </c>
      <c r="E120" s="27">
        <f t="shared" si="12"/>
        <v>23237.529999999995</v>
      </c>
      <c r="F120" s="35"/>
      <c r="G120" s="63">
        <f t="shared" si="14"/>
        <v>18.82782090224984</v>
      </c>
      <c r="H120" s="26"/>
      <c r="I120" s="29">
        <f t="shared" si="15"/>
        <v>3953.8423894724665</v>
      </c>
      <c r="J120" s="31">
        <f t="shared" si="13"/>
        <v>437512.05305065768</v>
      </c>
      <c r="K120" s="25"/>
    </row>
    <row r="121" spans="1:11" x14ac:dyDescent="0.25">
      <c r="A121" s="73">
        <v>41412</v>
      </c>
      <c r="B121" s="25" t="s">
        <v>470</v>
      </c>
      <c r="C121" s="25"/>
      <c r="D121" s="34">
        <f>42*4.8+3*2</f>
        <v>207.6</v>
      </c>
      <c r="E121" s="27">
        <f t="shared" si="12"/>
        <v>23029.929999999997</v>
      </c>
      <c r="F121" s="35"/>
      <c r="G121" s="63">
        <f t="shared" si="14"/>
        <v>18.82782090224984</v>
      </c>
      <c r="H121" s="26"/>
      <c r="I121" s="29">
        <f t="shared" si="15"/>
        <v>3908.6556193070669</v>
      </c>
      <c r="J121" s="31">
        <f t="shared" si="13"/>
        <v>433603.3974313506</v>
      </c>
      <c r="K121" s="25"/>
    </row>
    <row r="122" spans="1:11" x14ac:dyDescent="0.25">
      <c r="A122" s="73">
        <v>41425</v>
      </c>
      <c r="B122" s="25" t="s">
        <v>471</v>
      </c>
      <c r="C122" s="25"/>
      <c r="D122" s="34">
        <f>4*2.45</f>
        <v>9.8000000000000007</v>
      </c>
      <c r="E122" s="27">
        <f t="shared" si="12"/>
        <v>23020.129999999997</v>
      </c>
      <c r="F122" s="35"/>
      <c r="G122" s="63">
        <f t="shared" si="14"/>
        <v>18.82782090224984</v>
      </c>
      <c r="H122" s="26"/>
      <c r="I122" s="29">
        <f t="shared" si="15"/>
        <v>184.51264484204845</v>
      </c>
      <c r="J122" s="31">
        <f t="shared" si="13"/>
        <v>433418.88478650857</v>
      </c>
      <c r="K122" s="25"/>
    </row>
    <row r="123" spans="1:11" x14ac:dyDescent="0.25">
      <c r="A123" s="73">
        <v>41429</v>
      </c>
      <c r="B123" s="25" t="s">
        <v>472</v>
      </c>
      <c r="C123" s="25"/>
      <c r="D123" s="34">
        <f>2*2.2+1*2.1</f>
        <v>6.5</v>
      </c>
      <c r="E123" s="27">
        <f t="shared" si="12"/>
        <v>23013.629999999997</v>
      </c>
      <c r="F123" s="35"/>
      <c r="G123" s="63">
        <f t="shared" si="14"/>
        <v>18.82782090224984</v>
      </c>
      <c r="H123" s="26"/>
      <c r="I123" s="29">
        <f t="shared" si="15"/>
        <v>122.38083586462396</v>
      </c>
      <c r="J123" s="31">
        <f t="shared" si="13"/>
        <v>433296.50395064394</v>
      </c>
      <c r="K123" s="25"/>
    </row>
    <row r="124" spans="1:11" x14ac:dyDescent="0.25">
      <c r="A124" s="73">
        <v>41430</v>
      </c>
      <c r="B124" s="25" t="s">
        <v>473</v>
      </c>
      <c r="C124" s="25"/>
      <c r="D124" s="34">
        <f>32*2.7+6*3+10*2.5</f>
        <v>129.4</v>
      </c>
      <c r="E124" s="27">
        <f t="shared" si="12"/>
        <v>22884.229999999996</v>
      </c>
      <c r="F124" s="35"/>
      <c r="G124" s="63">
        <f t="shared" si="14"/>
        <v>18.82782090224984</v>
      </c>
      <c r="H124" s="26"/>
      <c r="I124" s="29">
        <f t="shared" si="15"/>
        <v>2436.3200247511295</v>
      </c>
      <c r="J124" s="31">
        <f t="shared" si="13"/>
        <v>430860.18392589281</v>
      </c>
      <c r="K124" s="25"/>
    </row>
    <row r="125" spans="1:11" x14ac:dyDescent="0.25">
      <c r="A125" s="73">
        <v>41431</v>
      </c>
      <c r="B125" s="25" t="s">
        <v>474</v>
      </c>
      <c r="C125" s="25"/>
      <c r="D125" s="34">
        <f>4*1.5</f>
        <v>6</v>
      </c>
      <c r="E125" s="27">
        <f t="shared" si="12"/>
        <v>22878.229999999996</v>
      </c>
      <c r="F125" s="35"/>
      <c r="G125" s="63">
        <f t="shared" si="14"/>
        <v>18.82782090224984</v>
      </c>
      <c r="H125" s="26"/>
      <c r="I125" s="29">
        <f t="shared" si="15"/>
        <v>112.96692541349904</v>
      </c>
      <c r="J125" s="31">
        <f t="shared" si="13"/>
        <v>430747.21700047929</v>
      </c>
      <c r="K125" s="25"/>
    </row>
    <row r="126" spans="1:11" x14ac:dyDescent="0.25">
      <c r="A126" s="73">
        <v>41432</v>
      </c>
      <c r="B126" s="25" t="s">
        <v>475</v>
      </c>
      <c r="C126" s="25"/>
      <c r="D126" s="34">
        <f>1*2.05+1*0.6</f>
        <v>2.65</v>
      </c>
      <c r="E126" s="27">
        <f t="shared" si="12"/>
        <v>22875.579999999994</v>
      </c>
      <c r="F126" s="35"/>
      <c r="G126" s="63">
        <f t="shared" si="14"/>
        <v>18.82782090224984</v>
      </c>
      <c r="H126" s="26"/>
      <c r="I126" s="29">
        <f t="shared" si="15"/>
        <v>49.893725390962075</v>
      </c>
      <c r="J126" s="31">
        <f t="shared" si="13"/>
        <v>430697.32327508833</v>
      </c>
      <c r="K126" s="25"/>
    </row>
    <row r="127" spans="1:11" x14ac:dyDescent="0.25">
      <c r="A127" s="73">
        <v>41435</v>
      </c>
      <c r="B127" s="25" t="s">
        <v>476</v>
      </c>
      <c r="C127" s="25"/>
      <c r="D127" s="34">
        <f>52*6+1*4.8+6*2</f>
        <v>328.8</v>
      </c>
      <c r="E127" s="27">
        <f t="shared" si="12"/>
        <v>22546.779999999995</v>
      </c>
      <c r="F127" s="35"/>
      <c r="G127" s="63">
        <f t="shared" si="14"/>
        <v>18.82782090224984</v>
      </c>
      <c r="H127" s="26"/>
      <c r="I127" s="29">
        <f t="shared" si="15"/>
        <v>6190.5875126597475</v>
      </c>
      <c r="J127" s="31">
        <f t="shared" si="13"/>
        <v>424506.73576242861</v>
      </c>
      <c r="K127" s="25"/>
    </row>
    <row r="128" spans="1:11" x14ac:dyDescent="0.25">
      <c r="A128" s="73">
        <v>41435</v>
      </c>
      <c r="B128" s="25" t="s">
        <v>477</v>
      </c>
      <c r="C128" s="25"/>
      <c r="D128" s="34">
        <f>3*2.5</f>
        <v>7.5</v>
      </c>
      <c r="E128" s="27">
        <f t="shared" si="12"/>
        <v>22539.279999999995</v>
      </c>
      <c r="F128" s="35"/>
      <c r="G128" s="63">
        <f t="shared" si="14"/>
        <v>18.827820902249844</v>
      </c>
      <c r="H128" s="26"/>
      <c r="I128" s="29">
        <f t="shared" si="15"/>
        <v>141.20865676687382</v>
      </c>
      <c r="J128" s="31">
        <f t="shared" si="13"/>
        <v>424365.52710566175</v>
      </c>
      <c r="K128" s="25"/>
    </row>
    <row r="129" spans="1:11" x14ac:dyDescent="0.25">
      <c r="A129" s="73">
        <v>41439</v>
      </c>
      <c r="B129" s="25" t="s">
        <v>478</v>
      </c>
      <c r="C129" s="25"/>
      <c r="D129" s="34">
        <f>20*8.5</f>
        <v>170</v>
      </c>
      <c r="E129" s="27">
        <f t="shared" si="12"/>
        <v>22369.279999999995</v>
      </c>
      <c r="F129" s="35"/>
      <c r="G129" s="63">
        <f t="shared" si="14"/>
        <v>18.827820902249844</v>
      </c>
      <c r="H129" s="26"/>
      <c r="I129" s="29">
        <f t="shared" si="15"/>
        <v>3200.7295533824736</v>
      </c>
      <c r="J129" s="31">
        <f t="shared" si="13"/>
        <v>421164.79755227925</v>
      </c>
      <c r="K129" s="25"/>
    </row>
    <row r="130" spans="1:11" x14ac:dyDescent="0.25">
      <c r="A130" s="73">
        <v>41443</v>
      </c>
      <c r="B130" s="25" t="s">
        <v>479</v>
      </c>
      <c r="C130" s="25"/>
      <c r="D130" s="34">
        <f>9*5.35</f>
        <v>48.15</v>
      </c>
      <c r="E130" s="27">
        <f t="shared" si="12"/>
        <v>22321.129999999994</v>
      </c>
      <c r="F130" s="35"/>
      <c r="G130" s="63">
        <f t="shared" si="14"/>
        <v>18.827820902249844</v>
      </c>
      <c r="H130" s="26"/>
      <c r="I130" s="29">
        <f t="shared" si="15"/>
        <v>906.55957644333</v>
      </c>
      <c r="J130" s="31">
        <f t="shared" si="13"/>
        <v>420258.23797583592</v>
      </c>
      <c r="K130" s="25"/>
    </row>
    <row r="131" spans="1:11" x14ac:dyDescent="0.25">
      <c r="A131" s="73">
        <v>41444</v>
      </c>
      <c r="B131" s="25" t="s">
        <v>480</v>
      </c>
      <c r="C131" s="25"/>
      <c r="D131" s="34">
        <f>7*5.5</f>
        <v>38.5</v>
      </c>
      <c r="E131" s="27">
        <f t="shared" si="12"/>
        <v>22282.629999999994</v>
      </c>
      <c r="F131" s="35"/>
      <c r="G131" s="63">
        <f t="shared" si="14"/>
        <v>18.827820902249844</v>
      </c>
      <c r="H131" s="26"/>
      <c r="I131" s="29">
        <f t="shared" si="15"/>
        <v>724.87110473661903</v>
      </c>
      <c r="J131" s="31">
        <f t="shared" si="13"/>
        <v>419533.36687109928</v>
      </c>
      <c r="K131" s="25"/>
    </row>
    <row r="132" spans="1:11" x14ac:dyDescent="0.25">
      <c r="A132" s="73">
        <v>41444</v>
      </c>
      <c r="B132" s="25" t="s">
        <v>481</v>
      </c>
      <c r="C132" s="25"/>
      <c r="D132" s="34">
        <f>5*1.8</f>
        <v>9</v>
      </c>
      <c r="E132" s="27">
        <f t="shared" si="12"/>
        <v>22273.629999999994</v>
      </c>
      <c r="F132" s="35"/>
      <c r="G132" s="63">
        <f t="shared" si="14"/>
        <v>18.827820902249844</v>
      </c>
      <c r="H132" s="26"/>
      <c r="I132" s="29">
        <f t="shared" si="15"/>
        <v>169.45038812024859</v>
      </c>
      <c r="J132" s="31">
        <f t="shared" si="13"/>
        <v>419363.91648297902</v>
      </c>
      <c r="K132" s="25"/>
    </row>
    <row r="133" spans="1:11" x14ac:dyDescent="0.25">
      <c r="A133" s="73">
        <v>41445</v>
      </c>
      <c r="B133" s="25" t="s">
        <v>482</v>
      </c>
      <c r="C133" s="25"/>
      <c r="D133" s="34">
        <f>9*2.6</f>
        <v>23.400000000000002</v>
      </c>
      <c r="E133" s="27">
        <f t="shared" si="12"/>
        <v>22250.229999999992</v>
      </c>
      <c r="F133" s="35"/>
      <c r="G133" s="63">
        <f t="shared" si="14"/>
        <v>18.82782090224984</v>
      </c>
      <c r="H133" s="26"/>
      <c r="I133" s="29">
        <f t="shared" si="15"/>
        <v>440.57100911264632</v>
      </c>
      <c r="J133" s="31">
        <f t="shared" si="13"/>
        <v>418923.34547386639</v>
      </c>
      <c r="K133" s="25"/>
    </row>
    <row r="134" spans="1:11" x14ac:dyDescent="0.25">
      <c r="A134" s="73">
        <v>41447</v>
      </c>
      <c r="B134" s="25" t="s">
        <v>483</v>
      </c>
      <c r="C134" s="25"/>
      <c r="D134" s="34">
        <f>18*3</f>
        <v>54</v>
      </c>
      <c r="E134" s="27">
        <f t="shared" si="12"/>
        <v>22196.229999999992</v>
      </c>
      <c r="F134" s="35"/>
      <c r="G134" s="63">
        <f t="shared" si="14"/>
        <v>18.827820902249844</v>
      </c>
      <c r="H134" s="26"/>
      <c r="I134" s="29">
        <f t="shared" si="15"/>
        <v>1016.7023287214915</v>
      </c>
      <c r="J134" s="31">
        <f t="shared" si="13"/>
        <v>417906.64314514492</v>
      </c>
      <c r="K134" s="25"/>
    </row>
    <row r="135" spans="1:11" x14ac:dyDescent="0.25">
      <c r="A135" s="73">
        <v>41449</v>
      </c>
      <c r="B135" s="25" t="s">
        <v>484</v>
      </c>
      <c r="C135" s="25"/>
      <c r="D135" s="34">
        <f>3*2.5</f>
        <v>7.5</v>
      </c>
      <c r="E135" s="27">
        <f t="shared" si="12"/>
        <v>22188.729999999992</v>
      </c>
      <c r="F135" s="35"/>
      <c r="G135" s="63">
        <f t="shared" si="14"/>
        <v>18.827820902249844</v>
      </c>
      <c r="H135" s="26"/>
      <c r="I135" s="29">
        <f t="shared" si="15"/>
        <v>141.20865676687382</v>
      </c>
      <c r="J135" s="31">
        <f t="shared" si="13"/>
        <v>417765.43448837806</v>
      </c>
      <c r="K135" s="25"/>
    </row>
    <row r="136" spans="1:11" x14ac:dyDescent="0.25">
      <c r="A136" s="73">
        <v>41449</v>
      </c>
      <c r="B136" s="25" t="s">
        <v>485</v>
      </c>
      <c r="C136" s="25"/>
      <c r="D136" s="34">
        <f>60*3+1*20</f>
        <v>200</v>
      </c>
      <c r="E136" s="27">
        <f t="shared" si="12"/>
        <v>21988.729999999992</v>
      </c>
      <c r="F136" s="35"/>
      <c r="G136" s="63">
        <f t="shared" si="14"/>
        <v>18.827820902249844</v>
      </c>
      <c r="H136" s="26"/>
      <c r="I136" s="29">
        <f t="shared" si="15"/>
        <v>3765.5641804499687</v>
      </c>
      <c r="J136" s="31">
        <f t="shared" si="13"/>
        <v>413999.87030792807</v>
      </c>
      <c r="K136" s="25"/>
    </row>
    <row r="137" spans="1:11" x14ac:dyDescent="0.25">
      <c r="A137" s="73">
        <v>41451</v>
      </c>
      <c r="B137" s="25" t="s">
        <v>486</v>
      </c>
      <c r="C137" s="25"/>
      <c r="D137" s="34">
        <f>20*3</f>
        <v>60</v>
      </c>
      <c r="E137" s="27">
        <f t="shared" si="12"/>
        <v>21928.729999999992</v>
      </c>
      <c r="F137" s="35"/>
      <c r="G137" s="63">
        <f t="shared" si="14"/>
        <v>18.827820902249844</v>
      </c>
      <c r="H137" s="26"/>
      <c r="I137" s="29">
        <f t="shared" si="15"/>
        <v>1129.6692541349905</v>
      </c>
      <c r="J137" s="31">
        <f t="shared" si="13"/>
        <v>412870.20105379308</v>
      </c>
      <c r="K137" s="25"/>
    </row>
    <row r="138" spans="1:11" x14ac:dyDescent="0.25">
      <c r="A138" s="73">
        <v>41451</v>
      </c>
      <c r="B138" s="25" t="s">
        <v>487</v>
      </c>
      <c r="C138" s="25"/>
      <c r="D138" s="34">
        <f>10*2.45+7*0.5</f>
        <v>28</v>
      </c>
      <c r="E138" s="27">
        <f t="shared" si="12"/>
        <v>21900.729999999992</v>
      </c>
      <c r="F138" s="35"/>
      <c r="G138" s="63">
        <f t="shared" si="14"/>
        <v>18.827820902249844</v>
      </c>
      <c r="H138" s="26"/>
      <c r="I138" s="29">
        <f t="shared" si="15"/>
        <v>527.17898526299564</v>
      </c>
      <c r="J138" s="31">
        <f t="shared" si="13"/>
        <v>412343.02206853009</v>
      </c>
      <c r="K138" s="25"/>
    </row>
    <row r="139" spans="1:11" x14ac:dyDescent="0.25">
      <c r="A139" s="73">
        <v>41452</v>
      </c>
      <c r="B139" s="25" t="s">
        <v>488</v>
      </c>
      <c r="C139" s="25"/>
      <c r="D139" s="34">
        <f>5*4.7</f>
        <v>23.5</v>
      </c>
      <c r="E139" s="27">
        <f t="shared" si="12"/>
        <v>21877.229999999992</v>
      </c>
      <c r="F139" s="35"/>
      <c r="G139" s="63">
        <f t="shared" si="14"/>
        <v>18.827820902249844</v>
      </c>
      <c r="H139" s="26"/>
      <c r="I139" s="29">
        <f t="shared" si="15"/>
        <v>442.45379120287134</v>
      </c>
      <c r="J139" s="31">
        <f t="shared" si="13"/>
        <v>411900.56827732723</v>
      </c>
      <c r="K139" s="25"/>
    </row>
    <row r="140" spans="1:11" x14ac:dyDescent="0.25">
      <c r="A140" s="73">
        <v>41456</v>
      </c>
      <c r="B140" s="25" t="s">
        <v>489</v>
      </c>
      <c r="C140" s="25"/>
      <c r="D140" s="34">
        <f>3*6</f>
        <v>18</v>
      </c>
      <c r="E140" s="27">
        <f t="shared" si="12"/>
        <v>21859.229999999992</v>
      </c>
      <c r="F140" s="35"/>
      <c r="G140" s="63">
        <f t="shared" si="14"/>
        <v>18.827820902249844</v>
      </c>
      <c r="H140" s="26"/>
      <c r="I140" s="29">
        <f t="shared" si="15"/>
        <v>338.90077624049718</v>
      </c>
      <c r="J140" s="31">
        <f t="shared" si="13"/>
        <v>411561.66750108672</v>
      </c>
      <c r="K140" s="25"/>
    </row>
    <row r="141" spans="1:11" x14ac:dyDescent="0.25">
      <c r="A141" s="73">
        <v>41456</v>
      </c>
      <c r="B141" s="25" t="s">
        <v>490</v>
      </c>
      <c r="C141" s="25"/>
      <c r="D141" s="34">
        <f>1*5.35</f>
        <v>5.35</v>
      </c>
      <c r="E141" s="27">
        <f t="shared" si="12"/>
        <v>21853.879999999994</v>
      </c>
      <c r="F141" s="35"/>
      <c r="G141" s="63">
        <f t="shared" si="14"/>
        <v>18.827820902249844</v>
      </c>
      <c r="H141" s="26"/>
      <c r="I141" s="29">
        <f t="shared" si="15"/>
        <v>100.72884182703666</v>
      </c>
      <c r="J141" s="31">
        <f t="shared" si="13"/>
        <v>411460.9386592597</v>
      </c>
      <c r="K141" s="25"/>
    </row>
    <row r="142" spans="1:11" x14ac:dyDescent="0.25">
      <c r="A142" s="73">
        <v>41456</v>
      </c>
      <c r="B142" s="25" t="s">
        <v>491</v>
      </c>
      <c r="C142" s="25"/>
      <c r="D142" s="34">
        <f>1*6.5</f>
        <v>6.5</v>
      </c>
      <c r="E142" s="27">
        <f t="shared" si="12"/>
        <v>21847.379999999994</v>
      </c>
      <c r="F142" s="35"/>
      <c r="G142" s="63">
        <f t="shared" si="14"/>
        <v>18.827820902249844</v>
      </c>
      <c r="H142" s="26"/>
      <c r="I142" s="29">
        <f t="shared" si="15"/>
        <v>122.38083586462399</v>
      </c>
      <c r="J142" s="31">
        <f t="shared" si="13"/>
        <v>411338.55782339507</v>
      </c>
      <c r="K142" s="25"/>
    </row>
    <row r="143" spans="1:11" x14ac:dyDescent="0.25">
      <c r="A143" s="73">
        <v>41457</v>
      </c>
      <c r="B143" s="25" t="s">
        <v>109</v>
      </c>
      <c r="C143" s="25"/>
      <c r="D143" s="34">
        <v>0</v>
      </c>
      <c r="E143" s="27">
        <f t="shared" si="12"/>
        <v>21847.379999999994</v>
      </c>
      <c r="F143" s="35"/>
      <c r="G143" s="63">
        <f t="shared" si="14"/>
        <v>18.827820902249844</v>
      </c>
      <c r="H143" s="26"/>
      <c r="I143" s="29">
        <f t="shared" si="15"/>
        <v>0</v>
      </c>
      <c r="J143" s="31">
        <f t="shared" si="13"/>
        <v>411338.55782339507</v>
      </c>
      <c r="K143" s="25"/>
    </row>
    <row r="144" spans="1:11" x14ac:dyDescent="0.25">
      <c r="A144" s="73">
        <v>41458</v>
      </c>
      <c r="B144" s="25" t="s">
        <v>492</v>
      </c>
      <c r="C144" s="25"/>
      <c r="D144" s="34">
        <f>40*5.6</f>
        <v>224</v>
      </c>
      <c r="E144" s="27">
        <f t="shared" si="12"/>
        <v>21623.379999999994</v>
      </c>
      <c r="F144" s="35"/>
      <c r="G144" s="63">
        <f t="shared" si="14"/>
        <v>18.827820902249844</v>
      </c>
      <c r="H144" s="26"/>
      <c r="I144" s="29">
        <f t="shared" si="15"/>
        <v>4217.4318821039651</v>
      </c>
      <c r="J144" s="31">
        <f t="shared" si="13"/>
        <v>407121.1259412911</v>
      </c>
      <c r="K144" s="75"/>
    </row>
    <row r="145" spans="1:11" x14ac:dyDescent="0.25">
      <c r="A145" s="73">
        <v>41460</v>
      </c>
      <c r="B145" s="25" t="s">
        <v>493</v>
      </c>
      <c r="C145" s="25"/>
      <c r="D145" s="34">
        <f>4*3.4</f>
        <v>13.6</v>
      </c>
      <c r="E145" s="27">
        <f t="shared" si="12"/>
        <v>21609.779999999995</v>
      </c>
      <c r="F145" s="35"/>
      <c r="G145" s="63">
        <f t="shared" si="14"/>
        <v>18.827820902249844</v>
      </c>
      <c r="H145" s="26"/>
      <c r="I145" s="29">
        <f t="shared" si="15"/>
        <v>256.05836427059785</v>
      </c>
      <c r="J145" s="31">
        <f t="shared" si="13"/>
        <v>406865.0675770205</v>
      </c>
      <c r="K145" s="25"/>
    </row>
    <row r="146" spans="1:11" x14ac:dyDescent="0.25">
      <c r="A146" s="73">
        <v>41463</v>
      </c>
      <c r="B146" s="25" t="s">
        <v>494</v>
      </c>
      <c r="C146" s="25"/>
      <c r="D146" s="34">
        <f>25*3.2</f>
        <v>80</v>
      </c>
      <c r="E146" s="27">
        <f t="shared" si="12"/>
        <v>21529.779999999995</v>
      </c>
      <c r="F146" s="35"/>
      <c r="G146" s="63">
        <f t="shared" si="14"/>
        <v>18.82782090224984</v>
      </c>
      <c r="H146" s="26"/>
      <c r="I146" s="29">
        <f t="shared" si="15"/>
        <v>1506.2256721799872</v>
      </c>
      <c r="J146" s="31">
        <f t="shared" si="13"/>
        <v>405358.84190484049</v>
      </c>
      <c r="K146" s="25"/>
    </row>
    <row r="147" spans="1:11" x14ac:dyDescent="0.25">
      <c r="A147" s="73">
        <v>41464</v>
      </c>
      <c r="B147" s="25" t="s">
        <v>495</v>
      </c>
      <c r="C147" s="25"/>
      <c r="D147" s="34">
        <f>17*5.25+17*4.6</f>
        <v>167.45</v>
      </c>
      <c r="E147" s="27">
        <f t="shared" si="12"/>
        <v>21362.329999999994</v>
      </c>
      <c r="F147" s="35"/>
      <c r="G147" s="63">
        <f t="shared" si="14"/>
        <v>18.82782090224984</v>
      </c>
      <c r="H147" s="26"/>
      <c r="I147" s="29">
        <f t="shared" si="15"/>
        <v>3152.7186100817357</v>
      </c>
      <c r="J147" s="31">
        <f t="shared" si="13"/>
        <v>402206.12329475873</v>
      </c>
      <c r="K147" s="25"/>
    </row>
    <row r="148" spans="1:11" x14ac:dyDescent="0.25">
      <c r="A148" s="73">
        <v>41464</v>
      </c>
      <c r="B148" s="25" t="s">
        <v>496</v>
      </c>
      <c r="C148" s="25"/>
      <c r="D148" s="34">
        <f>1*14</f>
        <v>14</v>
      </c>
      <c r="E148" s="27">
        <f t="shared" ref="E148:E171" si="18">+E147-D148</f>
        <v>21348.329999999994</v>
      </c>
      <c r="F148" s="35"/>
      <c r="G148" s="63">
        <f t="shared" si="14"/>
        <v>18.82782090224984</v>
      </c>
      <c r="H148" s="26"/>
      <c r="I148" s="29">
        <f t="shared" si="15"/>
        <v>263.58949263149776</v>
      </c>
      <c r="J148" s="31">
        <f t="shared" ref="J148:J171" si="19">+J147-I148</f>
        <v>401942.53380212723</v>
      </c>
      <c r="K148" s="25"/>
    </row>
    <row r="149" spans="1:11" x14ac:dyDescent="0.25">
      <c r="A149" s="73">
        <v>41465</v>
      </c>
      <c r="B149" s="25" t="s">
        <v>497</v>
      </c>
      <c r="C149" s="25"/>
      <c r="D149" s="34">
        <f>3*3+1*2.5</f>
        <v>11.5</v>
      </c>
      <c r="E149" s="27">
        <f t="shared" si="18"/>
        <v>21336.829999999994</v>
      </c>
      <c r="F149" s="35"/>
      <c r="G149" s="63">
        <f t="shared" si="14"/>
        <v>18.82782090224984</v>
      </c>
      <c r="H149" s="26"/>
      <c r="I149" s="29">
        <f t="shared" si="15"/>
        <v>216.51994037587315</v>
      </c>
      <c r="J149" s="31">
        <f t="shared" si="19"/>
        <v>401726.01386175136</v>
      </c>
      <c r="K149" s="25"/>
    </row>
    <row r="150" spans="1:11" x14ac:dyDescent="0.25">
      <c r="A150" s="73">
        <v>41466</v>
      </c>
      <c r="B150" s="25" t="s">
        <v>498</v>
      </c>
      <c r="C150" s="25"/>
      <c r="D150" s="34">
        <f>11*5.4</f>
        <v>59.400000000000006</v>
      </c>
      <c r="E150" s="27">
        <f t="shared" si="18"/>
        <v>21277.429999999993</v>
      </c>
      <c r="F150" s="35"/>
      <c r="G150" s="63">
        <f t="shared" si="14"/>
        <v>18.82782090224984</v>
      </c>
      <c r="H150" s="26"/>
      <c r="I150" s="29">
        <f t="shared" si="15"/>
        <v>1118.3725615936405</v>
      </c>
      <c r="J150" s="31">
        <f t="shared" si="19"/>
        <v>400607.6413001577</v>
      </c>
      <c r="K150" s="25"/>
    </row>
    <row r="151" spans="1:11" x14ac:dyDescent="0.25">
      <c r="A151" s="73">
        <v>41466</v>
      </c>
      <c r="B151" s="25" t="s">
        <v>118</v>
      </c>
      <c r="C151" s="25"/>
      <c r="D151" s="34">
        <v>0</v>
      </c>
      <c r="E151" s="27">
        <f t="shared" si="18"/>
        <v>21277.429999999993</v>
      </c>
      <c r="F151" s="35"/>
      <c r="G151" s="63">
        <f t="shared" si="14"/>
        <v>18.82782090224984</v>
      </c>
      <c r="H151" s="26"/>
      <c r="I151" s="29">
        <f t="shared" si="15"/>
        <v>0</v>
      </c>
      <c r="J151" s="31">
        <f t="shared" si="19"/>
        <v>400607.6413001577</v>
      </c>
      <c r="K151" s="25"/>
    </row>
    <row r="152" spans="1:11" x14ac:dyDescent="0.25">
      <c r="A152" s="73">
        <v>41468</v>
      </c>
      <c r="B152" s="25" t="s">
        <v>499</v>
      </c>
      <c r="C152" s="25"/>
      <c r="D152" s="34">
        <f>1*3</f>
        <v>3</v>
      </c>
      <c r="E152" s="27">
        <f t="shared" si="18"/>
        <v>21274.429999999993</v>
      </c>
      <c r="F152" s="35"/>
      <c r="G152" s="63">
        <f t="shared" si="14"/>
        <v>18.82782090224984</v>
      </c>
      <c r="H152" s="26"/>
      <c r="I152" s="29">
        <f t="shared" si="15"/>
        <v>56.483462706749521</v>
      </c>
      <c r="J152" s="31">
        <f t="shared" si="19"/>
        <v>400551.15783745097</v>
      </c>
      <c r="K152" s="25"/>
    </row>
    <row r="153" spans="1:11" x14ac:dyDescent="0.25">
      <c r="A153" s="73">
        <v>41470</v>
      </c>
      <c r="B153" s="25" t="s">
        <v>500</v>
      </c>
      <c r="C153" s="25"/>
      <c r="D153" s="34">
        <f>6*2.5</f>
        <v>15</v>
      </c>
      <c r="E153" s="27">
        <f t="shared" si="18"/>
        <v>21259.429999999993</v>
      </c>
      <c r="F153" s="35"/>
      <c r="G153" s="63">
        <f t="shared" si="14"/>
        <v>18.82782090224984</v>
      </c>
      <c r="H153" s="26"/>
      <c r="I153" s="29">
        <f t="shared" si="15"/>
        <v>282.41731353374757</v>
      </c>
      <c r="J153" s="31">
        <f t="shared" si="19"/>
        <v>400268.74052391725</v>
      </c>
      <c r="K153" s="25"/>
    </row>
    <row r="154" spans="1:11" x14ac:dyDescent="0.25">
      <c r="A154" s="73">
        <v>41471</v>
      </c>
      <c r="B154" s="25" t="s">
        <v>501</v>
      </c>
      <c r="C154" s="25"/>
      <c r="D154" s="34">
        <f>28*6.25+12*5+1*4</f>
        <v>239</v>
      </c>
      <c r="E154" s="27">
        <f t="shared" si="18"/>
        <v>21020.429999999993</v>
      </c>
      <c r="F154" s="35"/>
      <c r="G154" s="63">
        <f t="shared" si="14"/>
        <v>18.827820902249844</v>
      </c>
      <c r="H154" s="26"/>
      <c r="I154" s="29">
        <f t="shared" si="15"/>
        <v>4499.8491956377129</v>
      </c>
      <c r="J154" s="31">
        <f t="shared" si="19"/>
        <v>395768.89132827951</v>
      </c>
      <c r="K154" s="25"/>
    </row>
    <row r="155" spans="1:11" x14ac:dyDescent="0.25">
      <c r="A155" s="73">
        <v>41472</v>
      </c>
      <c r="B155" s="25" t="s">
        <v>502</v>
      </c>
      <c r="C155" s="25"/>
      <c r="D155" s="34">
        <f>18*3.3+9*3.2+10*3</f>
        <v>118.2</v>
      </c>
      <c r="E155" s="27">
        <f t="shared" si="18"/>
        <v>20902.229999999992</v>
      </c>
      <c r="F155" s="35"/>
      <c r="G155" s="63">
        <f t="shared" si="14"/>
        <v>18.82782090224984</v>
      </c>
      <c r="H155" s="26"/>
      <c r="I155" s="29">
        <f t="shared" si="15"/>
        <v>2225.4484306459312</v>
      </c>
      <c r="J155" s="31">
        <f t="shared" si="19"/>
        <v>393543.44289763359</v>
      </c>
      <c r="K155" s="25"/>
    </row>
    <row r="156" spans="1:11" x14ac:dyDescent="0.25">
      <c r="A156" s="73">
        <v>41473</v>
      </c>
      <c r="B156" s="25" t="s">
        <v>503</v>
      </c>
      <c r="C156" s="25"/>
      <c r="D156" s="34">
        <f>50*3</f>
        <v>150</v>
      </c>
      <c r="E156" s="27">
        <f t="shared" si="18"/>
        <v>20752.229999999992</v>
      </c>
      <c r="F156" s="35"/>
      <c r="G156" s="63">
        <f t="shared" si="14"/>
        <v>18.827820902249844</v>
      </c>
      <c r="H156" s="26"/>
      <c r="I156" s="29">
        <f t="shared" si="15"/>
        <v>2824.1731353374767</v>
      </c>
      <c r="J156" s="31">
        <f t="shared" si="19"/>
        <v>390719.26976229611</v>
      </c>
      <c r="K156" s="25"/>
    </row>
    <row r="157" spans="1:11" x14ac:dyDescent="0.25">
      <c r="A157" s="73">
        <v>41477</v>
      </c>
      <c r="B157" s="25" t="s">
        <v>504</v>
      </c>
      <c r="C157" s="25"/>
      <c r="D157" s="34">
        <f>3*3.3+7*3.6+5*5.1+6*4.65+5*0.5</f>
        <v>91</v>
      </c>
      <c r="E157" s="27">
        <f t="shared" si="18"/>
        <v>20661.229999999992</v>
      </c>
      <c r="F157" s="35"/>
      <c r="G157" s="63">
        <f t="shared" si="14"/>
        <v>18.827820902249844</v>
      </c>
      <c r="H157" s="26"/>
      <c r="I157" s="29">
        <f t="shared" si="15"/>
        <v>1713.3317021047358</v>
      </c>
      <c r="J157" s="31">
        <f t="shared" si="19"/>
        <v>389005.9380601914</v>
      </c>
      <c r="K157" s="25"/>
    </row>
    <row r="158" spans="1:11" x14ac:dyDescent="0.25">
      <c r="A158" s="73">
        <v>41478</v>
      </c>
      <c r="B158" s="25" t="s">
        <v>505</v>
      </c>
      <c r="C158" s="25"/>
      <c r="D158" s="34">
        <f>12*4.1</f>
        <v>49.199999999999996</v>
      </c>
      <c r="E158" s="27">
        <f t="shared" si="18"/>
        <v>20612.029999999992</v>
      </c>
      <c r="F158" s="35"/>
      <c r="G158" s="63">
        <f t="shared" si="14"/>
        <v>18.827820902249844</v>
      </c>
      <c r="H158" s="26"/>
      <c r="I158" s="29">
        <f t="shared" si="15"/>
        <v>926.32878839069224</v>
      </c>
      <c r="J158" s="31">
        <f t="shared" si="19"/>
        <v>388079.60927180073</v>
      </c>
      <c r="K158" s="25"/>
    </row>
    <row r="159" spans="1:11" x14ac:dyDescent="0.25">
      <c r="A159" s="73">
        <v>41478</v>
      </c>
      <c r="B159" s="25" t="s">
        <v>506</v>
      </c>
      <c r="C159" s="25"/>
      <c r="D159" s="34">
        <f>16*2.4+8*3</f>
        <v>62.4</v>
      </c>
      <c r="E159" s="27">
        <f t="shared" si="18"/>
        <v>20549.62999999999</v>
      </c>
      <c r="F159" s="35"/>
      <c r="G159" s="63">
        <f t="shared" si="14"/>
        <v>18.827820902249847</v>
      </c>
      <c r="H159" s="26"/>
      <c r="I159" s="29">
        <f t="shared" si="15"/>
        <v>1174.8560243003903</v>
      </c>
      <c r="J159" s="31">
        <f t="shared" si="19"/>
        <v>386904.75324750034</v>
      </c>
      <c r="K159" s="25"/>
    </row>
    <row r="160" spans="1:11" x14ac:dyDescent="0.25">
      <c r="A160" s="73">
        <v>41478</v>
      </c>
      <c r="B160" s="25" t="s">
        <v>507</v>
      </c>
      <c r="C160" s="25"/>
      <c r="D160" s="34">
        <f>8*2.4+4*2.2</f>
        <v>28</v>
      </c>
      <c r="E160" s="27">
        <f t="shared" si="18"/>
        <v>20521.62999999999</v>
      </c>
      <c r="F160" s="35"/>
      <c r="G160" s="63">
        <f t="shared" si="14"/>
        <v>18.827820902249847</v>
      </c>
      <c r="H160" s="26"/>
      <c r="I160" s="29">
        <f t="shared" si="15"/>
        <v>527.17898526299575</v>
      </c>
      <c r="J160" s="31">
        <f t="shared" si="19"/>
        <v>386377.57426223735</v>
      </c>
      <c r="K160" s="25"/>
    </row>
    <row r="161" spans="1:11" x14ac:dyDescent="0.25">
      <c r="A161" s="73">
        <v>41478</v>
      </c>
      <c r="B161" s="25" t="s">
        <v>121</v>
      </c>
      <c r="C161" s="25"/>
      <c r="D161" s="34">
        <v>0</v>
      </c>
      <c r="E161" s="27">
        <f t="shared" si="18"/>
        <v>20521.62999999999</v>
      </c>
      <c r="F161" s="35"/>
      <c r="G161" s="63">
        <f t="shared" si="14"/>
        <v>18.827820902249847</v>
      </c>
      <c r="H161" s="26"/>
      <c r="I161" s="29">
        <f t="shared" si="15"/>
        <v>0</v>
      </c>
      <c r="J161" s="31">
        <f t="shared" si="19"/>
        <v>386377.57426223735</v>
      </c>
      <c r="K161" s="25"/>
    </row>
    <row r="162" spans="1:11" x14ac:dyDescent="0.25">
      <c r="A162" s="73">
        <v>41478</v>
      </c>
      <c r="B162" s="25" t="s">
        <v>508</v>
      </c>
      <c r="C162" s="25"/>
      <c r="D162" s="34">
        <f>2*3</f>
        <v>6</v>
      </c>
      <c r="E162" s="27">
        <f t="shared" si="18"/>
        <v>20515.62999999999</v>
      </c>
      <c r="F162" s="35"/>
      <c r="G162" s="63">
        <f t="shared" si="14"/>
        <v>18.827820902249847</v>
      </c>
      <c r="H162" s="26"/>
      <c r="I162" s="29">
        <f t="shared" si="15"/>
        <v>112.96692541349908</v>
      </c>
      <c r="J162" s="31">
        <f t="shared" si="19"/>
        <v>386264.60733682383</v>
      </c>
      <c r="K162" s="25"/>
    </row>
    <row r="163" spans="1:11" x14ac:dyDescent="0.25">
      <c r="A163" s="73">
        <v>41479</v>
      </c>
      <c r="B163" s="25" t="s">
        <v>509</v>
      </c>
      <c r="C163" s="25"/>
      <c r="D163" s="34">
        <f>15*5.2</f>
        <v>78</v>
      </c>
      <c r="E163" s="27">
        <f t="shared" si="18"/>
        <v>20437.62999999999</v>
      </c>
      <c r="F163" s="35"/>
      <c r="G163" s="63">
        <f t="shared" si="14"/>
        <v>18.827820902249847</v>
      </c>
      <c r="H163" s="26"/>
      <c r="I163" s="29">
        <f t="shared" si="15"/>
        <v>1468.5700303754882</v>
      </c>
      <c r="J163" s="31">
        <f t="shared" si="19"/>
        <v>384796.03730644833</v>
      </c>
      <c r="K163" s="25"/>
    </row>
    <row r="164" spans="1:11" x14ac:dyDescent="0.25">
      <c r="A164" s="73">
        <v>41479</v>
      </c>
      <c r="B164" s="25" t="s">
        <v>510</v>
      </c>
      <c r="C164" s="25"/>
      <c r="D164" s="34">
        <f>10*5.1</f>
        <v>51</v>
      </c>
      <c r="E164" s="27">
        <f t="shared" si="18"/>
        <v>20386.62999999999</v>
      </c>
      <c r="F164" s="35"/>
      <c r="G164" s="63">
        <f t="shared" si="14"/>
        <v>18.827820902249847</v>
      </c>
      <c r="H164" s="26"/>
      <c r="I164" s="29">
        <f t="shared" si="15"/>
        <v>960.21886601474216</v>
      </c>
      <c r="J164" s="31">
        <f t="shared" si="19"/>
        <v>383835.81844043359</v>
      </c>
      <c r="K164" s="25"/>
    </row>
    <row r="165" spans="1:11" x14ac:dyDescent="0.25">
      <c r="A165" s="73">
        <v>41479</v>
      </c>
      <c r="B165" s="25" t="s">
        <v>511</v>
      </c>
      <c r="C165" s="25"/>
      <c r="D165" s="34">
        <f>4*7.1+2*6.5+2*6+2*5+2*4.3+2*3.4+2*2.6+2*1.9+2*1+2*4.5+2*6.2+2*5.4+2*4.7+2*4+2*3.1+2*2.3+2*1.5+2*0.7+1*11</f>
        <v>165.6</v>
      </c>
      <c r="E165" s="27">
        <f t="shared" si="18"/>
        <v>20221.029999999992</v>
      </c>
      <c r="F165" s="35"/>
      <c r="G165" s="63">
        <f t="shared" si="14"/>
        <v>18.827820902249847</v>
      </c>
      <c r="H165" s="26"/>
      <c r="I165" s="29">
        <f t="shared" si="15"/>
        <v>3117.8871414125747</v>
      </c>
      <c r="J165" s="31">
        <f t="shared" si="19"/>
        <v>380717.931299021</v>
      </c>
      <c r="K165" s="25"/>
    </row>
    <row r="166" spans="1:11" x14ac:dyDescent="0.25">
      <c r="A166" s="73">
        <v>41480</v>
      </c>
      <c r="B166" s="25" t="s">
        <v>512</v>
      </c>
      <c r="C166" s="25"/>
      <c r="D166" s="34">
        <f>5*4.42</f>
        <v>22.1</v>
      </c>
      <c r="E166" s="27">
        <f t="shared" si="18"/>
        <v>20198.929999999993</v>
      </c>
      <c r="F166" s="35"/>
      <c r="G166" s="63">
        <f t="shared" si="14"/>
        <v>18.827820902249844</v>
      </c>
      <c r="H166" s="26"/>
      <c r="I166" s="29">
        <f t="shared" si="15"/>
        <v>416.09484193972156</v>
      </c>
      <c r="J166" s="31">
        <f t="shared" si="19"/>
        <v>380301.83645708126</v>
      </c>
      <c r="K166" s="25"/>
    </row>
    <row r="167" spans="1:11" x14ac:dyDescent="0.25">
      <c r="A167" s="73">
        <v>41481</v>
      </c>
      <c r="B167" s="25" t="s">
        <v>513</v>
      </c>
      <c r="C167" s="25"/>
      <c r="D167" s="34">
        <f>5*4.2</f>
        <v>21</v>
      </c>
      <c r="E167" s="27">
        <f t="shared" si="18"/>
        <v>20177.929999999993</v>
      </c>
      <c r="F167" s="35"/>
      <c r="G167" s="63">
        <f t="shared" si="14"/>
        <v>18.82782090224984</v>
      </c>
      <c r="H167" s="26"/>
      <c r="I167" s="29">
        <f t="shared" si="15"/>
        <v>395.38423894724667</v>
      </c>
      <c r="J167" s="31">
        <f t="shared" si="19"/>
        <v>379906.45221813401</v>
      </c>
      <c r="K167" s="25"/>
    </row>
    <row r="168" spans="1:11" x14ac:dyDescent="0.25">
      <c r="A168" s="73">
        <v>41481</v>
      </c>
      <c r="B168" s="25" t="s">
        <v>514</v>
      </c>
      <c r="C168" s="25"/>
      <c r="D168" s="34">
        <f>16*3.4</f>
        <v>54.4</v>
      </c>
      <c r="E168" s="27">
        <f t="shared" si="18"/>
        <v>20123.529999999992</v>
      </c>
      <c r="F168" s="35"/>
      <c r="G168" s="63">
        <f t="shared" si="14"/>
        <v>18.82782090224984</v>
      </c>
      <c r="H168" s="26"/>
      <c r="I168" s="29">
        <f t="shared" si="15"/>
        <v>1024.2334570823912</v>
      </c>
      <c r="J168" s="31">
        <f t="shared" si="19"/>
        <v>378882.2187610516</v>
      </c>
      <c r="K168" s="25"/>
    </row>
    <row r="169" spans="1:11" x14ac:dyDescent="0.25">
      <c r="A169" s="73">
        <v>41481</v>
      </c>
      <c r="B169" s="25" t="s">
        <v>515</v>
      </c>
      <c r="C169" s="25"/>
      <c r="D169" s="34">
        <f>3*2.5</f>
        <v>7.5</v>
      </c>
      <c r="E169" s="27">
        <f t="shared" si="18"/>
        <v>20116.029999999992</v>
      </c>
      <c r="F169" s="35"/>
      <c r="G169" s="63">
        <f t="shared" si="14"/>
        <v>18.82782090224984</v>
      </c>
      <c r="H169" s="26"/>
      <c r="I169" s="29">
        <f t="shared" si="15"/>
        <v>141.20865676687379</v>
      </c>
      <c r="J169" s="31">
        <f t="shared" si="19"/>
        <v>378741.01010428474</v>
      </c>
      <c r="K169" s="25"/>
    </row>
    <row r="170" spans="1:11" x14ac:dyDescent="0.25">
      <c r="A170" s="73">
        <v>41482</v>
      </c>
      <c r="B170" s="25" t="s">
        <v>516</v>
      </c>
      <c r="C170" s="25"/>
      <c r="D170" s="34">
        <f>23*8.15</f>
        <v>187.45000000000002</v>
      </c>
      <c r="E170" s="27">
        <f t="shared" si="18"/>
        <v>19928.579999999991</v>
      </c>
      <c r="F170" s="35"/>
      <c r="G170" s="63">
        <f t="shared" ref="G170:G203" si="20">J169/E169</f>
        <v>18.827820902249844</v>
      </c>
      <c r="H170" s="26"/>
      <c r="I170" s="29">
        <f t="shared" ref="I170:I203" si="21">D170*G170</f>
        <v>3529.2750281267336</v>
      </c>
      <c r="J170" s="31">
        <f t="shared" si="19"/>
        <v>375211.73507615802</v>
      </c>
      <c r="K170" s="25"/>
    </row>
    <row r="171" spans="1:11" x14ac:dyDescent="0.25">
      <c r="A171" s="73">
        <v>41482</v>
      </c>
      <c r="B171" s="25" t="s">
        <v>127</v>
      </c>
      <c r="C171" s="25"/>
      <c r="D171" s="34">
        <f>44*6.05+22*0.5</f>
        <v>277.2</v>
      </c>
      <c r="E171" s="27">
        <f t="shared" si="18"/>
        <v>19651.37999999999</v>
      </c>
      <c r="F171" s="35"/>
      <c r="G171" s="63">
        <f t="shared" si="20"/>
        <v>18.827820902249844</v>
      </c>
      <c r="H171" s="26"/>
      <c r="I171" s="29">
        <f t="shared" si="21"/>
        <v>5219.071954103656</v>
      </c>
      <c r="J171" s="31">
        <f t="shared" si="19"/>
        <v>369992.66312205436</v>
      </c>
      <c r="K171" s="25"/>
    </row>
    <row r="172" spans="1:11" x14ac:dyDescent="0.25">
      <c r="A172" s="73">
        <v>41487</v>
      </c>
      <c r="B172" s="100" t="s">
        <v>262</v>
      </c>
      <c r="C172" s="25">
        <v>8001</v>
      </c>
      <c r="D172" s="34"/>
      <c r="E172" s="27">
        <f>+E171+C172</f>
        <v>27652.37999999999</v>
      </c>
      <c r="F172" s="35">
        <f>+H172/C172</f>
        <v>19.898675165604299</v>
      </c>
      <c r="G172" s="63"/>
      <c r="H172" s="26">
        <v>159209.29999999999</v>
      </c>
      <c r="I172" s="29"/>
      <c r="J172" s="31">
        <f>+J171+H172</f>
        <v>529201.96312205435</v>
      </c>
      <c r="K172" s="25"/>
    </row>
    <row r="173" spans="1:11" x14ac:dyDescent="0.25">
      <c r="A173" s="73">
        <v>41488</v>
      </c>
      <c r="B173" s="25" t="s">
        <v>517</v>
      </c>
      <c r="C173" s="25"/>
      <c r="D173" s="34">
        <f>1*4.5</f>
        <v>4.5</v>
      </c>
      <c r="E173" s="27">
        <f>+E172-D173</f>
        <v>27647.87999999999</v>
      </c>
      <c r="F173" s="35"/>
      <c r="G173" s="63">
        <f>+J172/E172</f>
        <v>19.137664212702653</v>
      </c>
      <c r="H173" s="26"/>
      <c r="I173" s="29">
        <f t="shared" si="21"/>
        <v>86.119488957161934</v>
      </c>
      <c r="J173" s="31">
        <f>+J172-I173</f>
        <v>529115.84363309725</v>
      </c>
      <c r="K173" s="25"/>
    </row>
    <row r="174" spans="1:11" x14ac:dyDescent="0.25">
      <c r="A174" s="73">
        <v>41488</v>
      </c>
      <c r="B174" s="25" t="s">
        <v>518</v>
      </c>
      <c r="C174" s="25"/>
      <c r="D174" s="34">
        <f>100*3</f>
        <v>300</v>
      </c>
      <c r="E174" s="27">
        <f t="shared" ref="E174:E203" si="22">E173-D174</f>
        <v>27347.87999999999</v>
      </c>
      <c r="F174" s="35"/>
      <c r="G174" s="63">
        <f t="shared" ref="G174:G175" si="23">J172/E172</f>
        <v>19.137664212702653</v>
      </c>
      <c r="H174" s="26"/>
      <c r="I174" s="29">
        <f t="shared" si="21"/>
        <v>5741.2992638107962</v>
      </c>
      <c r="J174" s="31">
        <f t="shared" ref="J174:J203" si="24">J173-I174</f>
        <v>523374.54436928645</v>
      </c>
      <c r="K174" s="25"/>
    </row>
    <row r="175" spans="1:11" x14ac:dyDescent="0.25">
      <c r="A175" s="73">
        <v>41489</v>
      </c>
      <c r="B175" s="25" t="s">
        <v>519</v>
      </c>
      <c r="C175" s="25"/>
      <c r="D175" s="34">
        <f>7*6</f>
        <v>42</v>
      </c>
      <c r="E175" s="27">
        <f t="shared" si="22"/>
        <v>27305.87999999999</v>
      </c>
      <c r="F175" s="35"/>
      <c r="G175" s="63">
        <f t="shared" si="23"/>
        <v>19.137664212702653</v>
      </c>
      <c r="H175" s="26"/>
      <c r="I175" s="29">
        <f t="shared" si="21"/>
        <v>803.78189693351146</v>
      </c>
      <c r="J175" s="31">
        <f t="shared" si="24"/>
        <v>522570.76247235294</v>
      </c>
      <c r="K175" s="25"/>
    </row>
    <row r="176" spans="1:11" x14ac:dyDescent="0.25">
      <c r="A176" s="73">
        <v>41489</v>
      </c>
      <c r="B176" s="25" t="s">
        <v>520</v>
      </c>
      <c r="C176" s="25"/>
      <c r="D176" s="34">
        <f>2*3.6</f>
        <v>7.2</v>
      </c>
      <c r="E176" s="27">
        <f t="shared" si="22"/>
        <v>27298.679999999989</v>
      </c>
      <c r="F176" s="35"/>
      <c r="G176" s="63">
        <f t="shared" si="20"/>
        <v>19.137664212702653</v>
      </c>
      <c r="H176" s="26"/>
      <c r="I176" s="29">
        <f t="shared" si="21"/>
        <v>137.79118233145911</v>
      </c>
      <c r="J176" s="31">
        <f t="shared" si="24"/>
        <v>522432.97129002149</v>
      </c>
      <c r="K176" s="25"/>
    </row>
    <row r="177" spans="1:11" x14ac:dyDescent="0.25">
      <c r="A177" s="73">
        <v>41493</v>
      </c>
      <c r="B177" s="25" t="s">
        <v>521</v>
      </c>
      <c r="C177" s="25"/>
      <c r="D177" s="34">
        <f>11*4</f>
        <v>44</v>
      </c>
      <c r="E177" s="27">
        <f t="shared" si="22"/>
        <v>27254.679999999989</v>
      </c>
      <c r="F177" s="35"/>
      <c r="G177" s="63">
        <f t="shared" si="20"/>
        <v>19.137664212702653</v>
      </c>
      <c r="H177" s="26"/>
      <c r="I177" s="29">
        <f t="shared" si="21"/>
        <v>842.05722535891675</v>
      </c>
      <c r="J177" s="31">
        <f t="shared" si="24"/>
        <v>521590.91406466259</v>
      </c>
      <c r="K177" s="25"/>
    </row>
    <row r="178" spans="1:11" x14ac:dyDescent="0.25">
      <c r="A178" s="73">
        <v>41494</v>
      </c>
      <c r="B178" s="25" t="s">
        <v>522</v>
      </c>
      <c r="C178" s="25"/>
      <c r="D178" s="34">
        <f>1*4</f>
        <v>4</v>
      </c>
      <c r="E178" s="27">
        <f t="shared" si="22"/>
        <v>27250.679999999989</v>
      </c>
      <c r="F178" s="35"/>
      <c r="G178" s="63">
        <f t="shared" si="20"/>
        <v>19.137664212702656</v>
      </c>
      <c r="H178" s="26"/>
      <c r="I178" s="29">
        <f t="shared" si="21"/>
        <v>76.550656850810626</v>
      </c>
      <c r="J178" s="31">
        <f t="shared" si="24"/>
        <v>521514.36340781179</v>
      </c>
      <c r="K178" s="25"/>
    </row>
    <row r="179" spans="1:11" x14ac:dyDescent="0.25">
      <c r="A179" s="73">
        <v>41494</v>
      </c>
      <c r="B179" s="25" t="s">
        <v>523</v>
      </c>
      <c r="C179" s="25"/>
      <c r="D179" s="34">
        <f>16*5.5</f>
        <v>88</v>
      </c>
      <c r="E179" s="27">
        <f t="shared" si="22"/>
        <v>27162.679999999989</v>
      </c>
      <c r="F179" s="35"/>
      <c r="G179" s="63">
        <f t="shared" si="20"/>
        <v>19.137664212702656</v>
      </c>
      <c r="H179" s="26"/>
      <c r="I179" s="29">
        <f t="shared" si="21"/>
        <v>1684.1144507178337</v>
      </c>
      <c r="J179" s="31">
        <f t="shared" si="24"/>
        <v>519830.24895709398</v>
      </c>
      <c r="K179" s="25"/>
    </row>
    <row r="180" spans="1:11" x14ac:dyDescent="0.25">
      <c r="A180" s="73">
        <v>41494</v>
      </c>
      <c r="B180" s="25" t="s">
        <v>524</v>
      </c>
      <c r="C180" s="25"/>
      <c r="D180" s="34">
        <f>17*4.65+17*5.2</f>
        <v>167.45000000000002</v>
      </c>
      <c r="E180" s="27">
        <f t="shared" si="22"/>
        <v>26995.229999999989</v>
      </c>
      <c r="F180" s="35"/>
      <c r="G180" s="63">
        <f t="shared" si="20"/>
        <v>19.137664212702656</v>
      </c>
      <c r="H180" s="26"/>
      <c r="I180" s="29">
        <f t="shared" si="21"/>
        <v>3204.6018724170603</v>
      </c>
      <c r="J180" s="31">
        <f t="shared" si="24"/>
        <v>516625.64708467689</v>
      </c>
      <c r="K180" s="25"/>
    </row>
    <row r="181" spans="1:11" x14ac:dyDescent="0.25">
      <c r="A181" s="73">
        <v>41494</v>
      </c>
      <c r="B181" s="25" t="s">
        <v>525</v>
      </c>
      <c r="C181" s="25"/>
      <c r="D181" s="34">
        <f>5*2.65</f>
        <v>13.25</v>
      </c>
      <c r="E181" s="27">
        <f t="shared" si="22"/>
        <v>26981.979999999989</v>
      </c>
      <c r="F181" s="35"/>
      <c r="G181" s="63">
        <f t="shared" si="20"/>
        <v>19.137664212702656</v>
      </c>
      <c r="H181" s="26"/>
      <c r="I181" s="29">
        <f t="shared" si="21"/>
        <v>253.57405081831018</v>
      </c>
      <c r="J181" s="31">
        <f t="shared" si="24"/>
        <v>516372.07303385856</v>
      </c>
      <c r="K181" s="25"/>
    </row>
    <row r="182" spans="1:11" x14ac:dyDescent="0.25">
      <c r="A182" s="73">
        <v>41495</v>
      </c>
      <c r="B182" s="25" t="s">
        <v>526</v>
      </c>
      <c r="C182" s="25"/>
      <c r="D182" s="34">
        <f>1*7.55+1*7.45+1*7.35+1*7.25+1*7.15+1*7.05+1*6.95+1*6.85+1*6.75+1*6.8+1*6.7+1*6.6+1*6.5+1*6.4+1*6.3+1*6.2+1*6.1</f>
        <v>115.94999999999999</v>
      </c>
      <c r="E182" s="27">
        <f t="shared" si="22"/>
        <v>26866.029999999988</v>
      </c>
      <c r="F182" s="35"/>
      <c r="G182" s="63">
        <f t="shared" si="20"/>
        <v>19.137664212702656</v>
      </c>
      <c r="H182" s="26"/>
      <c r="I182" s="29">
        <f t="shared" si="21"/>
        <v>2219.0121654628729</v>
      </c>
      <c r="J182" s="31">
        <f t="shared" si="24"/>
        <v>514153.06086839567</v>
      </c>
      <c r="K182" s="25"/>
    </row>
    <row r="183" spans="1:11" x14ac:dyDescent="0.25">
      <c r="A183" s="73">
        <v>41495</v>
      </c>
      <c r="B183" s="25" t="s">
        <v>527</v>
      </c>
      <c r="C183" s="25"/>
      <c r="D183" s="34">
        <f>8*4</f>
        <v>32</v>
      </c>
      <c r="E183" s="27">
        <f t="shared" si="22"/>
        <v>26834.029999999988</v>
      </c>
      <c r="F183" s="35"/>
      <c r="G183" s="63">
        <f t="shared" si="20"/>
        <v>19.137664212702653</v>
      </c>
      <c r="H183" s="26"/>
      <c r="I183" s="29">
        <f t="shared" si="21"/>
        <v>612.40525480648489</v>
      </c>
      <c r="J183" s="31">
        <f t="shared" si="24"/>
        <v>513540.65561358916</v>
      </c>
      <c r="K183" s="25"/>
    </row>
    <row r="184" spans="1:11" x14ac:dyDescent="0.25">
      <c r="A184" s="73">
        <v>41503</v>
      </c>
      <c r="B184" s="25" t="s">
        <v>528</v>
      </c>
      <c r="C184" s="25"/>
      <c r="D184" s="34">
        <f>5*4.7</f>
        <v>23.5</v>
      </c>
      <c r="E184" s="27">
        <f t="shared" si="22"/>
        <v>26810.529999999988</v>
      </c>
      <c r="F184" s="35"/>
      <c r="G184" s="63">
        <f t="shared" si="20"/>
        <v>19.137664212702653</v>
      </c>
      <c r="H184" s="26"/>
      <c r="I184" s="29">
        <f t="shared" si="21"/>
        <v>449.73510899851232</v>
      </c>
      <c r="J184" s="31">
        <f t="shared" si="24"/>
        <v>513090.92050459067</v>
      </c>
      <c r="K184" s="25"/>
    </row>
    <row r="185" spans="1:11" x14ac:dyDescent="0.25">
      <c r="A185" s="73">
        <v>41505</v>
      </c>
      <c r="B185" s="25" t="s">
        <v>529</v>
      </c>
      <c r="C185" s="25"/>
      <c r="D185" s="34">
        <f>4*5.6+4*4.5</f>
        <v>40.4</v>
      </c>
      <c r="E185" s="27">
        <f t="shared" si="22"/>
        <v>26770.129999999986</v>
      </c>
      <c r="F185" s="35"/>
      <c r="G185" s="63">
        <f t="shared" si="20"/>
        <v>19.137664212702653</v>
      </c>
      <c r="H185" s="26"/>
      <c r="I185" s="29">
        <f t="shared" si="21"/>
        <v>773.16163419318718</v>
      </c>
      <c r="J185" s="31">
        <f t="shared" si="24"/>
        <v>512317.75887039746</v>
      </c>
      <c r="K185" s="25"/>
    </row>
    <row r="186" spans="1:11" x14ac:dyDescent="0.25">
      <c r="A186" s="73">
        <v>41505</v>
      </c>
      <c r="B186" s="25" t="s">
        <v>530</v>
      </c>
      <c r="C186" s="25"/>
      <c r="D186" s="34">
        <v>0</v>
      </c>
      <c r="E186" s="27">
        <f t="shared" si="22"/>
        <v>26770.129999999986</v>
      </c>
      <c r="F186" s="35"/>
      <c r="G186" s="63">
        <f t="shared" si="20"/>
        <v>19.137664212702656</v>
      </c>
      <c r="H186" s="26"/>
      <c r="I186" s="29">
        <f t="shared" si="21"/>
        <v>0</v>
      </c>
      <c r="J186" s="31">
        <f t="shared" si="24"/>
        <v>512317.75887039746</v>
      </c>
      <c r="K186" s="25"/>
    </row>
    <row r="187" spans="1:11" x14ac:dyDescent="0.25">
      <c r="A187" s="73">
        <v>41505</v>
      </c>
      <c r="B187" s="25" t="s">
        <v>531</v>
      </c>
      <c r="C187" s="25"/>
      <c r="D187" s="34">
        <f>16*4.5</f>
        <v>72</v>
      </c>
      <c r="E187" s="27">
        <f t="shared" si="22"/>
        <v>26698.129999999986</v>
      </c>
      <c r="F187" s="35"/>
      <c r="G187" s="63">
        <f t="shared" si="20"/>
        <v>19.137664212702656</v>
      </c>
      <c r="H187" s="26"/>
      <c r="I187" s="29">
        <f t="shared" si="21"/>
        <v>1377.9118233145912</v>
      </c>
      <c r="J187" s="31">
        <f t="shared" si="24"/>
        <v>510939.84704708285</v>
      </c>
      <c r="K187" s="25"/>
    </row>
    <row r="188" spans="1:11" x14ac:dyDescent="0.25">
      <c r="A188" s="73">
        <v>41506</v>
      </c>
      <c r="B188" s="25" t="s">
        <v>532</v>
      </c>
      <c r="C188" s="25"/>
      <c r="D188" s="34">
        <f>12*4.5</f>
        <v>54</v>
      </c>
      <c r="E188" s="27">
        <f t="shared" si="22"/>
        <v>26644.129999999986</v>
      </c>
      <c r="F188" s="35"/>
      <c r="G188" s="63">
        <f t="shared" si="20"/>
        <v>19.137664212702653</v>
      </c>
      <c r="H188" s="26"/>
      <c r="I188" s="29">
        <f t="shared" si="21"/>
        <v>1033.4338674859432</v>
      </c>
      <c r="J188" s="31">
        <f t="shared" si="24"/>
        <v>509906.41317959689</v>
      </c>
      <c r="K188" s="25"/>
    </row>
    <row r="189" spans="1:11" x14ac:dyDescent="0.25">
      <c r="A189" s="73">
        <v>41507</v>
      </c>
      <c r="B189" s="25" t="s">
        <v>533</v>
      </c>
      <c r="C189" s="25"/>
      <c r="D189" s="34">
        <f>13*6.1</f>
        <v>79.3</v>
      </c>
      <c r="E189" s="27">
        <f t="shared" si="22"/>
        <v>26564.829999999987</v>
      </c>
      <c r="F189" s="35"/>
      <c r="G189" s="63">
        <f t="shared" si="20"/>
        <v>19.137664212702653</v>
      </c>
      <c r="H189" s="26"/>
      <c r="I189" s="29">
        <f t="shared" si="21"/>
        <v>1517.6167720673204</v>
      </c>
      <c r="J189" s="31">
        <f t="shared" si="24"/>
        <v>508388.79640752956</v>
      </c>
      <c r="K189" s="25"/>
    </row>
    <row r="190" spans="1:11" x14ac:dyDescent="0.25">
      <c r="A190" s="73">
        <v>41509</v>
      </c>
      <c r="B190" s="25" t="s">
        <v>534</v>
      </c>
      <c r="C190" s="25"/>
      <c r="D190" s="34">
        <f>6*4</f>
        <v>24</v>
      </c>
      <c r="E190" s="27">
        <f t="shared" si="22"/>
        <v>26540.829999999987</v>
      </c>
      <c r="F190" s="35"/>
      <c r="G190" s="63">
        <f t="shared" si="20"/>
        <v>19.137664212702653</v>
      </c>
      <c r="H190" s="26"/>
      <c r="I190" s="29">
        <f t="shared" si="21"/>
        <v>459.30394110486367</v>
      </c>
      <c r="J190" s="31">
        <f t="shared" si="24"/>
        <v>507929.49246642471</v>
      </c>
      <c r="K190" s="25"/>
    </row>
    <row r="191" spans="1:11" x14ac:dyDescent="0.25">
      <c r="A191" s="73">
        <v>41515</v>
      </c>
      <c r="B191" s="25" t="s">
        <v>535</v>
      </c>
      <c r="C191" s="25"/>
      <c r="D191" s="34">
        <f>7*3.65</f>
        <v>25.55</v>
      </c>
      <c r="E191" s="27">
        <f t="shared" si="22"/>
        <v>26515.279999999988</v>
      </c>
      <c r="F191" s="35"/>
      <c r="G191" s="63">
        <f t="shared" si="20"/>
        <v>19.137664212702653</v>
      </c>
      <c r="H191" s="26"/>
      <c r="I191" s="29">
        <f t="shared" si="21"/>
        <v>488.96732063455278</v>
      </c>
      <c r="J191" s="31">
        <f t="shared" si="24"/>
        <v>507440.52514579013</v>
      </c>
      <c r="K191" s="25"/>
    </row>
    <row r="192" spans="1:11" x14ac:dyDescent="0.25">
      <c r="A192" s="73">
        <v>41515</v>
      </c>
      <c r="B192" s="25" t="s">
        <v>536</v>
      </c>
      <c r="C192" s="25"/>
      <c r="D192" s="34">
        <f>12*5.2</f>
        <v>62.400000000000006</v>
      </c>
      <c r="E192" s="27">
        <f t="shared" si="22"/>
        <v>26452.879999999986</v>
      </c>
      <c r="F192" s="35"/>
      <c r="G192" s="63">
        <f t="shared" si="20"/>
        <v>19.137664212702653</v>
      </c>
      <c r="H192" s="26"/>
      <c r="I192" s="29">
        <f t="shared" si="21"/>
        <v>1194.1902468726457</v>
      </c>
      <c r="J192" s="31">
        <f t="shared" si="24"/>
        <v>506246.33489891747</v>
      </c>
      <c r="K192" s="25"/>
    </row>
    <row r="193" spans="1:11" x14ac:dyDescent="0.25">
      <c r="A193" s="73">
        <v>41515</v>
      </c>
      <c r="B193" s="25" t="s">
        <v>537</v>
      </c>
      <c r="C193" s="25"/>
      <c r="D193" s="34">
        <f>4*3</f>
        <v>12</v>
      </c>
      <c r="E193" s="27">
        <f t="shared" si="22"/>
        <v>26440.879999999986</v>
      </c>
      <c r="F193" s="35"/>
      <c r="G193" s="63">
        <f t="shared" si="20"/>
        <v>19.137664212702653</v>
      </c>
      <c r="H193" s="26"/>
      <c r="I193" s="29">
        <f t="shared" si="21"/>
        <v>229.65197055243183</v>
      </c>
      <c r="J193" s="31">
        <f t="shared" si="24"/>
        <v>506016.68292836501</v>
      </c>
      <c r="K193" s="25"/>
    </row>
    <row r="194" spans="1:11" x14ac:dyDescent="0.25">
      <c r="A194" s="73">
        <v>41515</v>
      </c>
      <c r="B194" s="25" t="s">
        <v>538</v>
      </c>
      <c r="C194" s="25"/>
      <c r="D194" s="34">
        <f>12*6.2</f>
        <v>74.400000000000006</v>
      </c>
      <c r="E194" s="27">
        <f t="shared" si="22"/>
        <v>26366.479999999985</v>
      </c>
      <c r="F194" s="35"/>
      <c r="G194" s="63">
        <f t="shared" si="20"/>
        <v>19.137664212702653</v>
      </c>
      <c r="H194" s="26"/>
      <c r="I194" s="29">
        <f t="shared" si="21"/>
        <v>1423.8422174250775</v>
      </c>
      <c r="J194" s="31">
        <f t="shared" si="24"/>
        <v>504592.84071093996</v>
      </c>
      <c r="K194" s="25"/>
    </row>
    <row r="195" spans="1:11" x14ac:dyDescent="0.25">
      <c r="A195" s="73">
        <v>41515</v>
      </c>
      <c r="B195" s="25" t="s">
        <v>539</v>
      </c>
      <c r="C195" s="25"/>
      <c r="D195" s="34">
        <f>1*3.68</f>
        <v>3.68</v>
      </c>
      <c r="E195" s="27">
        <f t="shared" si="22"/>
        <v>26362.799999999985</v>
      </c>
      <c r="F195" s="35"/>
      <c r="G195" s="63">
        <f t="shared" si="20"/>
        <v>19.137664212702653</v>
      </c>
      <c r="H195" s="26"/>
      <c r="I195" s="29">
        <f t="shared" si="21"/>
        <v>70.426604302745758</v>
      </c>
      <c r="J195" s="31">
        <f t="shared" si="24"/>
        <v>504522.41410663718</v>
      </c>
      <c r="K195" s="25"/>
    </row>
    <row r="196" spans="1:11" x14ac:dyDescent="0.25">
      <c r="A196" s="73">
        <v>41516</v>
      </c>
      <c r="B196" s="25" t="s">
        <v>540</v>
      </c>
      <c r="C196" s="25"/>
      <c r="D196" s="34">
        <f>1*2.26</f>
        <v>2.2599999999999998</v>
      </c>
      <c r="E196" s="27">
        <f t="shared" si="22"/>
        <v>26360.539999999986</v>
      </c>
      <c r="F196" s="35"/>
      <c r="G196" s="63">
        <f t="shared" si="20"/>
        <v>19.137664212702653</v>
      </c>
      <c r="H196" s="26"/>
      <c r="I196" s="29">
        <f t="shared" si="21"/>
        <v>43.251121120707992</v>
      </c>
      <c r="J196" s="31">
        <f t="shared" si="24"/>
        <v>504479.16298551648</v>
      </c>
      <c r="K196" s="25"/>
    </row>
    <row r="197" spans="1:11" x14ac:dyDescent="0.25">
      <c r="A197" s="73">
        <v>41517</v>
      </c>
      <c r="B197" s="25" t="s">
        <v>541</v>
      </c>
      <c r="C197" s="25"/>
      <c r="D197" s="34">
        <f>4*2.5</f>
        <v>10</v>
      </c>
      <c r="E197" s="27">
        <f t="shared" si="22"/>
        <v>26350.539999999986</v>
      </c>
      <c r="F197" s="35"/>
      <c r="G197" s="63">
        <f t="shared" si="20"/>
        <v>19.137664212702649</v>
      </c>
      <c r="H197" s="26"/>
      <c r="I197" s="29">
        <f t="shared" si="21"/>
        <v>191.37664212702649</v>
      </c>
      <c r="J197" s="31">
        <f t="shared" si="24"/>
        <v>504287.78634338948</v>
      </c>
      <c r="K197" s="25"/>
    </row>
    <row r="198" spans="1:11" x14ac:dyDescent="0.25">
      <c r="A198" s="73">
        <v>41517</v>
      </c>
      <c r="B198" s="25" t="s">
        <v>134</v>
      </c>
      <c r="C198" s="25"/>
      <c r="D198" s="34">
        <v>0</v>
      </c>
      <c r="E198" s="27">
        <f t="shared" si="22"/>
        <v>26350.539999999986</v>
      </c>
      <c r="F198" s="35"/>
      <c r="G198" s="63">
        <f t="shared" si="20"/>
        <v>19.137664212702653</v>
      </c>
      <c r="H198" s="26"/>
      <c r="I198" s="29">
        <f t="shared" si="21"/>
        <v>0</v>
      </c>
      <c r="J198" s="31">
        <f t="shared" si="24"/>
        <v>504287.78634338948</v>
      </c>
      <c r="K198" s="25"/>
    </row>
    <row r="199" spans="1:11" x14ac:dyDescent="0.25">
      <c r="A199" s="73">
        <v>41517</v>
      </c>
      <c r="B199" s="25" t="s">
        <v>542</v>
      </c>
      <c r="C199" s="25"/>
      <c r="D199" s="34">
        <f>24*3.77+24*4.09</f>
        <v>188.64</v>
      </c>
      <c r="E199" s="27">
        <f t="shared" si="22"/>
        <v>26161.899999999987</v>
      </c>
      <c r="F199" s="35"/>
      <c r="G199" s="63">
        <f t="shared" si="20"/>
        <v>19.137664212702653</v>
      </c>
      <c r="H199" s="26"/>
      <c r="I199" s="29">
        <f t="shared" si="21"/>
        <v>3610.1289770842282</v>
      </c>
      <c r="J199" s="31">
        <f t="shared" si="24"/>
        <v>500677.65736630524</v>
      </c>
      <c r="K199" s="25"/>
    </row>
    <row r="200" spans="1:11" x14ac:dyDescent="0.25">
      <c r="A200" s="73">
        <v>41519</v>
      </c>
      <c r="B200" s="25" t="s">
        <v>543</v>
      </c>
      <c r="C200" s="25"/>
      <c r="D200" s="34">
        <f>2*3.28+2*2.79+2.59+2.35+2.23+2.2+2.18+2.16+2.13+2.11+2.08+2.07+2.04+2*1.82+1.79+1.75+1.71+2*1.67+15*1.5+7*0.95</f>
        <v>77.660000000000011</v>
      </c>
      <c r="E200" s="27">
        <f t="shared" si="22"/>
        <v>26084.239999999987</v>
      </c>
      <c r="F200" s="35"/>
      <c r="G200" s="63">
        <f t="shared" si="20"/>
        <v>19.137664212702653</v>
      </c>
      <c r="H200" s="26"/>
      <c r="I200" s="29">
        <f t="shared" si="21"/>
        <v>1486.2310027584883</v>
      </c>
      <c r="J200" s="31">
        <f t="shared" si="24"/>
        <v>499191.42636354675</v>
      </c>
      <c r="K200" s="25"/>
    </row>
    <row r="201" spans="1:11" x14ac:dyDescent="0.25">
      <c r="A201" s="73">
        <v>41519</v>
      </c>
      <c r="B201" s="25" t="s">
        <v>544</v>
      </c>
      <c r="C201" s="25"/>
      <c r="D201" s="34">
        <f>2*3.23+3.15+3.09+3.02+2.95+2.88+2.81+2.74+2.67+2.61+2.54+2.46+2.4+2.36+2.3+2.24+2.17+2.11+2.05+1.99</f>
        <v>54.999999999999993</v>
      </c>
      <c r="E201" s="27">
        <f t="shared" si="22"/>
        <v>26029.239999999987</v>
      </c>
      <c r="F201" s="35"/>
      <c r="G201" s="63">
        <f t="shared" si="20"/>
        <v>19.137664212702649</v>
      </c>
      <c r="H201" s="26"/>
      <c r="I201" s="29">
        <f t="shared" si="21"/>
        <v>1052.5715316986457</v>
      </c>
      <c r="J201" s="31">
        <f t="shared" si="24"/>
        <v>498138.85483184812</v>
      </c>
      <c r="K201" s="25"/>
    </row>
    <row r="202" spans="1:11" x14ac:dyDescent="0.25">
      <c r="A202" s="73">
        <v>41519</v>
      </c>
      <c r="B202" s="25" t="s">
        <v>545</v>
      </c>
      <c r="C202" s="25"/>
      <c r="D202" s="34">
        <f>1.94+1.88+1.82+1.75+1.69+2*1.65</f>
        <v>12.379999999999999</v>
      </c>
      <c r="E202" s="27">
        <f t="shared" si="22"/>
        <v>26016.859999999986</v>
      </c>
      <c r="F202" s="35"/>
      <c r="G202" s="63">
        <f t="shared" si="20"/>
        <v>19.137664212702653</v>
      </c>
      <c r="H202" s="26"/>
      <c r="I202" s="29">
        <f t="shared" si="21"/>
        <v>236.92428295325882</v>
      </c>
      <c r="J202" s="31">
        <f t="shared" si="24"/>
        <v>497901.93054889486</v>
      </c>
      <c r="K202" s="25"/>
    </row>
    <row r="203" spans="1:11" x14ac:dyDescent="0.25">
      <c r="A203" s="73">
        <v>41520</v>
      </c>
      <c r="B203" s="25" t="s">
        <v>546</v>
      </c>
      <c r="C203" s="25"/>
      <c r="D203" s="34">
        <f>4*4.5</f>
        <v>18</v>
      </c>
      <c r="E203" s="27">
        <f t="shared" si="22"/>
        <v>25998.859999999986</v>
      </c>
      <c r="F203" s="35"/>
      <c r="G203" s="63">
        <f t="shared" si="20"/>
        <v>19.137664212702653</v>
      </c>
      <c r="H203" s="26"/>
      <c r="I203" s="29">
        <f t="shared" si="21"/>
        <v>344.47795582864774</v>
      </c>
      <c r="J203" s="31">
        <f t="shared" si="24"/>
        <v>497557.45259306621</v>
      </c>
      <c r="K203" s="25"/>
    </row>
    <row r="204" spans="1:11" x14ac:dyDescent="0.25">
      <c r="A204" s="73">
        <v>41521</v>
      </c>
      <c r="B204" s="25" t="s">
        <v>547</v>
      </c>
      <c r="C204" s="25"/>
      <c r="D204" s="34">
        <f>3*2.4+2*2.1</f>
        <v>11.399999999999999</v>
      </c>
      <c r="E204" s="27">
        <f t="shared" ref="E204:E268" si="25">E203-D204</f>
        <v>25987.459999999985</v>
      </c>
      <c r="F204" s="35"/>
      <c r="G204" s="63">
        <f t="shared" ref="G204:G268" si="26">J203/E203</f>
        <v>19.137664212702653</v>
      </c>
      <c r="H204" s="26"/>
      <c r="I204" s="29">
        <f t="shared" ref="I204:I268" si="27">D204*G204</f>
        <v>218.1693720248102</v>
      </c>
      <c r="J204" s="31">
        <f t="shared" ref="J204:J268" si="28">J203-I204</f>
        <v>497339.28322104138</v>
      </c>
      <c r="K204" s="25"/>
    </row>
    <row r="205" spans="1:11" x14ac:dyDescent="0.25">
      <c r="A205" s="73">
        <v>41521</v>
      </c>
      <c r="B205" s="25" t="s">
        <v>548</v>
      </c>
      <c r="C205" s="25"/>
      <c r="D205" s="34">
        <f>3*1.3</f>
        <v>3.9000000000000004</v>
      </c>
      <c r="E205" s="27">
        <f t="shared" si="25"/>
        <v>25983.559999999983</v>
      </c>
      <c r="F205" s="35"/>
      <c r="G205" s="63">
        <f t="shared" si="26"/>
        <v>19.137664212702653</v>
      </c>
      <c r="H205" s="26"/>
      <c r="I205" s="29">
        <f t="shared" si="27"/>
        <v>74.636890429540358</v>
      </c>
      <c r="J205" s="31">
        <f t="shared" si="28"/>
        <v>497264.64633061184</v>
      </c>
      <c r="K205" s="25"/>
    </row>
    <row r="206" spans="1:11" x14ac:dyDescent="0.25">
      <c r="A206" s="73">
        <v>41521</v>
      </c>
      <c r="B206" s="25" t="s">
        <v>549</v>
      </c>
      <c r="C206" s="25"/>
      <c r="D206" s="34">
        <f>1*5</f>
        <v>5</v>
      </c>
      <c r="E206" s="27">
        <f t="shared" si="25"/>
        <v>25978.559999999983</v>
      </c>
      <c r="F206" s="35"/>
      <c r="G206" s="63">
        <f t="shared" si="26"/>
        <v>19.137664212702653</v>
      </c>
      <c r="H206" s="26"/>
      <c r="I206" s="29">
        <f t="shared" si="27"/>
        <v>95.688321063513257</v>
      </c>
      <c r="J206" s="31">
        <f t="shared" si="28"/>
        <v>497168.95800954831</v>
      </c>
      <c r="K206" s="25"/>
    </row>
    <row r="207" spans="1:11" x14ac:dyDescent="0.25">
      <c r="A207" s="73">
        <v>41521</v>
      </c>
      <c r="B207" s="25" t="s">
        <v>550</v>
      </c>
      <c r="C207" s="25"/>
      <c r="D207" s="34">
        <f>5*1.7</f>
        <v>8.5</v>
      </c>
      <c r="E207" s="27">
        <f t="shared" si="25"/>
        <v>25970.059999999983</v>
      </c>
      <c r="F207" s="35"/>
      <c r="G207" s="63">
        <f t="shared" si="26"/>
        <v>19.137664212702653</v>
      </c>
      <c r="H207" s="26"/>
      <c r="I207" s="29">
        <f t="shared" si="27"/>
        <v>162.67014580797255</v>
      </c>
      <c r="J207" s="31">
        <f t="shared" si="28"/>
        <v>497006.28786374035</v>
      </c>
      <c r="K207" s="25"/>
    </row>
    <row r="208" spans="1:11" x14ac:dyDescent="0.25">
      <c r="A208" s="73">
        <v>41521</v>
      </c>
      <c r="B208" s="25" t="s">
        <v>551</v>
      </c>
      <c r="C208" s="25"/>
      <c r="D208" s="34">
        <f>9*5.7</f>
        <v>51.300000000000004</v>
      </c>
      <c r="E208" s="27">
        <f t="shared" si="25"/>
        <v>25918.759999999984</v>
      </c>
      <c r="F208" s="35"/>
      <c r="G208" s="63">
        <f t="shared" si="26"/>
        <v>19.137664212702653</v>
      </c>
      <c r="H208" s="26"/>
      <c r="I208" s="29">
        <f t="shared" si="27"/>
        <v>981.76217411164612</v>
      </c>
      <c r="J208" s="31">
        <f t="shared" si="28"/>
        <v>496024.52568962867</v>
      </c>
      <c r="K208" s="25"/>
    </row>
    <row r="209" spans="1:11" x14ac:dyDescent="0.25">
      <c r="A209" s="73">
        <v>41521</v>
      </c>
      <c r="B209" s="25" t="s">
        <v>552</v>
      </c>
      <c r="C209" s="25"/>
      <c r="D209" s="34">
        <f>5*4.8</f>
        <v>24</v>
      </c>
      <c r="E209" s="27">
        <f t="shared" si="25"/>
        <v>25894.759999999984</v>
      </c>
      <c r="F209" s="35"/>
      <c r="G209" s="63">
        <f t="shared" si="26"/>
        <v>19.137664212702653</v>
      </c>
      <c r="H209" s="26"/>
      <c r="I209" s="29">
        <f t="shared" si="27"/>
        <v>459.30394110486367</v>
      </c>
      <c r="J209" s="31">
        <f t="shared" si="28"/>
        <v>495565.22174852382</v>
      </c>
      <c r="K209" s="25"/>
    </row>
    <row r="210" spans="1:11" x14ac:dyDescent="0.25">
      <c r="A210" s="73">
        <v>41522</v>
      </c>
      <c r="B210" s="25" t="s">
        <v>553</v>
      </c>
      <c r="C210" s="25"/>
      <c r="D210" s="34">
        <f>1*3.77+4.09</f>
        <v>7.8599999999999994</v>
      </c>
      <c r="E210" s="27">
        <f t="shared" si="25"/>
        <v>25886.899999999983</v>
      </c>
      <c r="F210" s="35"/>
      <c r="G210" s="63">
        <f t="shared" si="26"/>
        <v>19.137664212702653</v>
      </c>
      <c r="H210" s="26"/>
      <c r="I210" s="29">
        <f t="shared" si="27"/>
        <v>150.42204071184284</v>
      </c>
      <c r="J210" s="31">
        <f t="shared" si="28"/>
        <v>495414.79970781197</v>
      </c>
      <c r="K210" s="25"/>
    </row>
    <row r="211" spans="1:11" x14ac:dyDescent="0.25">
      <c r="A211" s="73">
        <v>41522</v>
      </c>
      <c r="B211" s="25" t="s">
        <v>554</v>
      </c>
      <c r="C211" s="25"/>
      <c r="D211" s="34">
        <f>8*4.3+8*4.5+7*0.5</f>
        <v>73.900000000000006</v>
      </c>
      <c r="E211" s="27">
        <f t="shared" si="25"/>
        <v>25812.999999999982</v>
      </c>
      <c r="F211" s="35"/>
      <c r="G211" s="63">
        <f t="shared" si="26"/>
        <v>19.137664212702653</v>
      </c>
      <c r="H211" s="26"/>
      <c r="I211" s="29">
        <f t="shared" si="27"/>
        <v>1414.2733853187262</v>
      </c>
      <c r="J211" s="31">
        <f t="shared" si="28"/>
        <v>494000.52632249321</v>
      </c>
      <c r="K211" s="25"/>
    </row>
    <row r="212" spans="1:11" x14ac:dyDescent="0.25">
      <c r="A212" s="73">
        <v>41522</v>
      </c>
      <c r="B212" s="25" t="s">
        <v>555</v>
      </c>
      <c r="C212" s="25"/>
      <c r="D212" s="34">
        <f>5*4.5</f>
        <v>22.5</v>
      </c>
      <c r="E212" s="27">
        <f t="shared" si="25"/>
        <v>25790.499999999982</v>
      </c>
      <c r="F212" s="35"/>
      <c r="G212" s="63">
        <f t="shared" si="26"/>
        <v>19.137664212702653</v>
      </c>
      <c r="H212" s="26"/>
      <c r="I212" s="29">
        <f t="shared" si="27"/>
        <v>430.59744478580967</v>
      </c>
      <c r="J212" s="31">
        <f t="shared" si="28"/>
        <v>493569.9288777074</v>
      </c>
      <c r="K212" s="25"/>
    </row>
    <row r="213" spans="1:11" x14ac:dyDescent="0.25">
      <c r="A213" s="73">
        <v>41522</v>
      </c>
      <c r="B213" s="25" t="s">
        <v>556</v>
      </c>
      <c r="C213" s="25"/>
      <c r="D213" s="34">
        <f>4*5+7*2.8</f>
        <v>39.599999999999994</v>
      </c>
      <c r="E213" s="27">
        <f t="shared" si="25"/>
        <v>25750.899999999983</v>
      </c>
      <c r="F213" s="35"/>
      <c r="G213" s="63">
        <f t="shared" si="26"/>
        <v>19.137664212702653</v>
      </c>
      <c r="H213" s="26"/>
      <c r="I213" s="29">
        <f t="shared" si="27"/>
        <v>757.85150282302493</v>
      </c>
      <c r="J213" s="31">
        <f t="shared" si="28"/>
        <v>492812.07737488439</v>
      </c>
      <c r="K213" s="25"/>
    </row>
    <row r="214" spans="1:11" x14ac:dyDescent="0.25">
      <c r="A214" s="73">
        <v>41522</v>
      </c>
      <c r="B214" s="25" t="s">
        <v>557</v>
      </c>
      <c r="C214" s="25"/>
      <c r="D214" s="34">
        <f>1*3.77+4.09</f>
        <v>7.8599999999999994</v>
      </c>
      <c r="E214" s="27">
        <f t="shared" si="25"/>
        <v>25743.039999999983</v>
      </c>
      <c r="F214" s="35"/>
      <c r="G214" s="63">
        <f t="shared" si="26"/>
        <v>19.137664212702653</v>
      </c>
      <c r="H214" s="26"/>
      <c r="I214" s="29">
        <f t="shared" si="27"/>
        <v>150.42204071184284</v>
      </c>
      <c r="J214" s="31">
        <f t="shared" si="28"/>
        <v>492661.65533417254</v>
      </c>
      <c r="K214" s="25"/>
    </row>
    <row r="215" spans="1:11" x14ac:dyDescent="0.25">
      <c r="A215" s="73">
        <v>41524</v>
      </c>
      <c r="B215" s="25" t="s">
        <v>558</v>
      </c>
      <c r="C215" s="25"/>
      <c r="D215" s="34">
        <f>4*2.45</f>
        <v>9.8000000000000007</v>
      </c>
      <c r="E215" s="27">
        <f t="shared" si="25"/>
        <v>25733.239999999983</v>
      </c>
      <c r="F215" s="35"/>
      <c r="G215" s="63">
        <f t="shared" si="26"/>
        <v>19.137664212702653</v>
      </c>
      <c r="H215" s="26"/>
      <c r="I215" s="29">
        <f t="shared" si="27"/>
        <v>187.54910928448601</v>
      </c>
      <c r="J215" s="31">
        <f t="shared" si="28"/>
        <v>492474.10622488806</v>
      </c>
      <c r="K215" s="25"/>
    </row>
    <row r="216" spans="1:11" x14ac:dyDescent="0.25">
      <c r="A216" s="73">
        <v>41527</v>
      </c>
      <c r="B216" s="25" t="s">
        <v>559</v>
      </c>
      <c r="C216" s="25"/>
      <c r="D216" s="34">
        <f>8*4.65</f>
        <v>37.200000000000003</v>
      </c>
      <c r="E216" s="27">
        <f t="shared" si="25"/>
        <v>25696.039999999983</v>
      </c>
      <c r="F216" s="35"/>
      <c r="G216" s="63">
        <f t="shared" si="26"/>
        <v>19.137664212702653</v>
      </c>
      <c r="H216" s="26"/>
      <c r="I216" s="29">
        <f t="shared" si="27"/>
        <v>711.92110871253874</v>
      </c>
      <c r="J216" s="31">
        <f t="shared" si="28"/>
        <v>491762.1851161755</v>
      </c>
      <c r="K216" s="25"/>
    </row>
    <row r="217" spans="1:11" x14ac:dyDescent="0.25">
      <c r="A217" s="73">
        <v>41529</v>
      </c>
      <c r="B217" s="25" t="s">
        <v>560</v>
      </c>
      <c r="C217" s="25"/>
      <c r="D217" s="34">
        <f>26*4.5+38*2</f>
        <v>193</v>
      </c>
      <c r="E217" s="27">
        <f t="shared" si="25"/>
        <v>25503.039999999983</v>
      </c>
      <c r="F217" s="35"/>
      <c r="G217" s="63">
        <f t="shared" si="26"/>
        <v>19.137664212702653</v>
      </c>
      <c r="H217" s="26"/>
      <c r="I217" s="29">
        <f t="shared" si="27"/>
        <v>3693.5691930516118</v>
      </c>
      <c r="J217" s="31">
        <f t="shared" si="28"/>
        <v>488068.6159231239</v>
      </c>
      <c r="K217" s="25"/>
    </row>
    <row r="218" spans="1:11" x14ac:dyDescent="0.25">
      <c r="A218" s="73">
        <v>41530</v>
      </c>
      <c r="B218" s="25" t="s">
        <v>135</v>
      </c>
      <c r="C218" s="25"/>
      <c r="D218" s="34">
        <v>0</v>
      </c>
      <c r="E218" s="27">
        <f t="shared" si="25"/>
        <v>25503.039999999983</v>
      </c>
      <c r="F218" s="35"/>
      <c r="G218" s="63">
        <f t="shared" si="26"/>
        <v>19.137664212702653</v>
      </c>
      <c r="H218" s="26"/>
      <c r="I218" s="29">
        <f t="shared" si="27"/>
        <v>0</v>
      </c>
      <c r="J218" s="31">
        <f t="shared" si="28"/>
        <v>488068.6159231239</v>
      </c>
      <c r="K218" s="25"/>
    </row>
    <row r="219" spans="1:11" x14ac:dyDescent="0.25">
      <c r="A219" s="73">
        <v>41530</v>
      </c>
      <c r="B219" s="25" t="s">
        <v>561</v>
      </c>
      <c r="C219" s="25"/>
      <c r="D219" s="34">
        <f>2*2.1+4*2+2*1.9+2*1.8+2*1.5+4*1.1+2*0.7+2*2.6+2*2.5+2*2.4+2*2.3+2*1.6+3.3</f>
        <v>54.5</v>
      </c>
      <c r="E219" s="27">
        <f t="shared" si="25"/>
        <v>25448.539999999983</v>
      </c>
      <c r="F219" s="35"/>
      <c r="G219" s="63">
        <f t="shared" si="26"/>
        <v>19.137664212702653</v>
      </c>
      <c r="H219" s="26"/>
      <c r="I219" s="29">
        <f t="shared" si="27"/>
        <v>1043.0026995922947</v>
      </c>
      <c r="J219" s="31">
        <f t="shared" si="28"/>
        <v>487025.61322353163</v>
      </c>
      <c r="K219" s="25"/>
    </row>
    <row r="220" spans="1:11" x14ac:dyDescent="0.25">
      <c r="A220" s="73">
        <v>41533</v>
      </c>
      <c r="B220" s="25" t="s">
        <v>562</v>
      </c>
      <c r="C220" s="25"/>
      <c r="D220" s="34">
        <f>2.4+2.3</f>
        <v>4.6999999999999993</v>
      </c>
      <c r="E220" s="27">
        <f t="shared" si="25"/>
        <v>25443.839999999982</v>
      </c>
      <c r="F220" s="35"/>
      <c r="G220" s="63">
        <f t="shared" si="26"/>
        <v>19.137664212702653</v>
      </c>
      <c r="H220" s="26"/>
      <c r="I220" s="29">
        <f t="shared" si="27"/>
        <v>89.947021799702455</v>
      </c>
      <c r="J220" s="31">
        <f t="shared" si="28"/>
        <v>486935.66620173195</v>
      </c>
      <c r="K220" s="25"/>
    </row>
    <row r="221" spans="1:11" x14ac:dyDescent="0.25">
      <c r="A221" s="73">
        <v>41534</v>
      </c>
      <c r="B221" s="25" t="s">
        <v>563</v>
      </c>
      <c r="C221" s="25"/>
      <c r="D221" s="34">
        <f>2</f>
        <v>2</v>
      </c>
      <c r="E221" s="27">
        <f t="shared" si="25"/>
        <v>25441.839999999982</v>
      </c>
      <c r="F221" s="35"/>
      <c r="G221" s="63">
        <f t="shared" si="26"/>
        <v>19.137664212702653</v>
      </c>
      <c r="H221" s="26"/>
      <c r="I221" s="29">
        <f t="shared" si="27"/>
        <v>38.275328425405306</v>
      </c>
      <c r="J221" s="31">
        <f t="shared" si="28"/>
        <v>486897.39087330655</v>
      </c>
      <c r="K221" s="25"/>
    </row>
    <row r="222" spans="1:11" x14ac:dyDescent="0.25">
      <c r="A222" s="73">
        <v>41534</v>
      </c>
      <c r="B222" s="25" t="s">
        <v>564</v>
      </c>
      <c r="C222" s="25"/>
      <c r="D222" s="34">
        <f>11*1.9</f>
        <v>20.9</v>
      </c>
      <c r="E222" s="27">
        <f t="shared" si="25"/>
        <v>25420.939999999981</v>
      </c>
      <c r="F222" s="35"/>
      <c r="G222" s="63">
        <f t="shared" si="26"/>
        <v>19.137664212702653</v>
      </c>
      <c r="H222" s="26"/>
      <c r="I222" s="29">
        <f t="shared" si="27"/>
        <v>399.97718204548539</v>
      </c>
      <c r="J222" s="31">
        <f t="shared" si="28"/>
        <v>486497.41369126108</v>
      </c>
      <c r="K222" s="25"/>
    </row>
    <row r="223" spans="1:11" x14ac:dyDescent="0.25">
      <c r="A223" s="73">
        <v>41535</v>
      </c>
      <c r="B223" s="25" t="s">
        <v>565</v>
      </c>
      <c r="C223" s="25"/>
      <c r="D223" s="34">
        <f>5.1</f>
        <v>5.0999999999999996</v>
      </c>
      <c r="E223" s="27">
        <f t="shared" si="25"/>
        <v>25415.839999999982</v>
      </c>
      <c r="F223" s="35"/>
      <c r="G223" s="63">
        <f t="shared" si="26"/>
        <v>19.137664212702656</v>
      </c>
      <c r="H223" s="26"/>
      <c r="I223" s="29">
        <f t="shared" si="27"/>
        <v>97.602087484783539</v>
      </c>
      <c r="J223" s="31">
        <f t="shared" si="28"/>
        <v>486399.8116037763</v>
      </c>
      <c r="K223" s="25"/>
    </row>
    <row r="224" spans="1:11" x14ac:dyDescent="0.25">
      <c r="A224" s="73">
        <v>41535</v>
      </c>
      <c r="B224" s="25" t="s">
        <v>566</v>
      </c>
      <c r="C224" s="25"/>
      <c r="D224" s="34">
        <f>5*1.2</f>
        <v>6</v>
      </c>
      <c r="E224" s="27">
        <f t="shared" si="25"/>
        <v>25409.839999999982</v>
      </c>
      <c r="F224" s="35"/>
      <c r="G224" s="63">
        <f t="shared" si="26"/>
        <v>19.137664212702656</v>
      </c>
      <c r="H224" s="26"/>
      <c r="I224" s="29">
        <f t="shared" si="27"/>
        <v>114.82598527621593</v>
      </c>
      <c r="J224" s="31">
        <f t="shared" si="28"/>
        <v>486284.9856185001</v>
      </c>
      <c r="K224" s="25"/>
    </row>
    <row r="225" spans="1:11" x14ac:dyDescent="0.25">
      <c r="A225" s="73">
        <v>41537</v>
      </c>
      <c r="B225" s="25" t="s">
        <v>567</v>
      </c>
      <c r="C225" s="25"/>
      <c r="D225" s="34">
        <f>5*3.5+1*2.6+1*2.4+2*1</f>
        <v>24.5</v>
      </c>
      <c r="E225" s="27">
        <f t="shared" si="25"/>
        <v>25385.339999999982</v>
      </c>
      <c r="F225" s="35"/>
      <c r="G225" s="63">
        <f t="shared" si="26"/>
        <v>19.137664212702656</v>
      </c>
      <c r="H225" s="26"/>
      <c r="I225" s="29">
        <f t="shared" si="27"/>
        <v>468.87277321121508</v>
      </c>
      <c r="J225" s="31">
        <f t="shared" si="28"/>
        <v>485816.11284528888</v>
      </c>
      <c r="K225" s="25"/>
    </row>
    <row r="226" spans="1:11" x14ac:dyDescent="0.25">
      <c r="A226" s="73">
        <v>41537</v>
      </c>
      <c r="B226" s="25" t="s">
        <v>568</v>
      </c>
      <c r="C226" s="25"/>
      <c r="D226" s="34">
        <f>6*4</f>
        <v>24</v>
      </c>
      <c r="E226" s="27">
        <f t="shared" si="25"/>
        <v>25361.339999999982</v>
      </c>
      <c r="F226" s="35"/>
      <c r="G226" s="63">
        <f t="shared" si="26"/>
        <v>19.137664212702656</v>
      </c>
      <c r="H226" s="26"/>
      <c r="I226" s="29">
        <f t="shared" si="27"/>
        <v>459.30394110486372</v>
      </c>
      <c r="J226" s="31">
        <f t="shared" si="28"/>
        <v>485356.80890418403</v>
      </c>
      <c r="K226" s="25"/>
    </row>
    <row r="227" spans="1:11" x14ac:dyDescent="0.25">
      <c r="A227" s="73">
        <v>41537</v>
      </c>
      <c r="B227" s="25" t="s">
        <v>569</v>
      </c>
      <c r="C227" s="25"/>
      <c r="D227" s="34">
        <f>13*4.9+6*4.6+4*3.8+4*3+4*2.1+4*1.5</f>
        <v>132.9</v>
      </c>
      <c r="E227" s="27">
        <f t="shared" si="25"/>
        <v>25228.439999999981</v>
      </c>
      <c r="F227" s="35"/>
      <c r="G227" s="63">
        <f t="shared" si="26"/>
        <v>19.137664212702656</v>
      </c>
      <c r="H227" s="26"/>
      <c r="I227" s="29">
        <f t="shared" si="27"/>
        <v>2543.395573868183</v>
      </c>
      <c r="J227" s="31">
        <f t="shared" si="28"/>
        <v>482813.41333031585</v>
      </c>
      <c r="K227" s="25"/>
    </row>
    <row r="228" spans="1:11" x14ac:dyDescent="0.25">
      <c r="A228" s="73">
        <v>41538</v>
      </c>
      <c r="B228" s="25" t="s">
        <v>570</v>
      </c>
      <c r="C228" s="25"/>
      <c r="D228" s="34">
        <f>26*5.4</f>
        <v>140.4</v>
      </c>
      <c r="E228" s="27">
        <f t="shared" si="25"/>
        <v>25088.039999999979</v>
      </c>
      <c r="F228" s="35"/>
      <c r="G228" s="63">
        <f t="shared" si="26"/>
        <v>19.137664212702656</v>
      </c>
      <c r="H228" s="26"/>
      <c r="I228" s="29">
        <f t="shared" si="27"/>
        <v>2686.9280554634529</v>
      </c>
      <c r="J228" s="31">
        <f t="shared" si="28"/>
        <v>480126.48527485237</v>
      </c>
      <c r="K228" s="25"/>
    </row>
    <row r="229" spans="1:11" x14ac:dyDescent="0.25">
      <c r="A229" s="73">
        <v>41538</v>
      </c>
      <c r="B229" s="25" t="s">
        <v>571</v>
      </c>
      <c r="C229" s="25"/>
      <c r="D229" s="34">
        <f>6*4.4</f>
        <v>26.400000000000002</v>
      </c>
      <c r="E229" s="27">
        <f t="shared" si="25"/>
        <v>25061.639999999978</v>
      </c>
      <c r="F229" s="35"/>
      <c r="G229" s="63">
        <f t="shared" si="26"/>
        <v>19.137664212702656</v>
      </c>
      <c r="H229" s="26"/>
      <c r="I229" s="29">
        <f t="shared" si="27"/>
        <v>505.23433521535014</v>
      </c>
      <c r="J229" s="31">
        <f t="shared" si="28"/>
        <v>479621.25093963702</v>
      </c>
      <c r="K229" s="25"/>
    </row>
    <row r="230" spans="1:11" x14ac:dyDescent="0.25">
      <c r="A230" s="73">
        <v>41541</v>
      </c>
      <c r="B230" s="25" t="s">
        <v>572</v>
      </c>
      <c r="C230" s="25"/>
      <c r="D230" s="34">
        <f>10*5.5+1*5</f>
        <v>60</v>
      </c>
      <c r="E230" s="27">
        <f t="shared" si="25"/>
        <v>25001.639999999978</v>
      </c>
      <c r="F230" s="35"/>
      <c r="G230" s="63">
        <f t="shared" si="26"/>
        <v>19.137664212702656</v>
      </c>
      <c r="H230" s="26"/>
      <c r="I230" s="29">
        <f t="shared" si="27"/>
        <v>1148.2598527621594</v>
      </c>
      <c r="J230" s="31">
        <f t="shared" si="28"/>
        <v>478472.99108687486</v>
      </c>
      <c r="K230" s="25"/>
    </row>
    <row r="231" spans="1:11" x14ac:dyDescent="0.25">
      <c r="A231" s="73">
        <v>41542</v>
      </c>
      <c r="B231" s="25" t="s">
        <v>573</v>
      </c>
      <c r="C231" s="25"/>
      <c r="D231" s="34">
        <f>4*4.05</f>
        <v>16.2</v>
      </c>
      <c r="E231" s="27">
        <f t="shared" si="25"/>
        <v>24985.439999999977</v>
      </c>
      <c r="F231" s="35"/>
      <c r="G231" s="63">
        <f t="shared" si="26"/>
        <v>19.137664212702656</v>
      </c>
      <c r="H231" s="26"/>
      <c r="I231" s="29">
        <f t="shared" si="27"/>
        <v>310.03016024578301</v>
      </c>
      <c r="J231" s="31">
        <f t="shared" si="28"/>
        <v>478162.96092662908</v>
      </c>
      <c r="K231" s="25"/>
    </row>
    <row r="232" spans="1:11" x14ac:dyDescent="0.25">
      <c r="A232" s="73">
        <v>41545</v>
      </c>
      <c r="B232" s="25" t="s">
        <v>574</v>
      </c>
      <c r="C232" s="25"/>
      <c r="D232" s="34">
        <f>8*5</f>
        <v>40</v>
      </c>
      <c r="E232" s="27">
        <f t="shared" si="25"/>
        <v>24945.439999999977</v>
      </c>
      <c r="F232" s="35"/>
      <c r="G232" s="63">
        <f t="shared" si="26"/>
        <v>19.13766421270266</v>
      </c>
      <c r="H232" s="26"/>
      <c r="I232" s="29">
        <f t="shared" si="27"/>
        <v>765.5065685081064</v>
      </c>
      <c r="J232" s="31">
        <f t="shared" si="28"/>
        <v>477397.45435812097</v>
      </c>
      <c r="K232" s="25"/>
    </row>
    <row r="233" spans="1:11" x14ac:dyDescent="0.25">
      <c r="A233" s="73">
        <v>41545</v>
      </c>
      <c r="B233" s="25" t="s">
        <v>575</v>
      </c>
      <c r="C233" s="25"/>
      <c r="D233" s="34">
        <f>7*6.2+13*5.6</f>
        <v>116.19999999999999</v>
      </c>
      <c r="E233" s="27">
        <f t="shared" si="25"/>
        <v>24829.239999999976</v>
      </c>
      <c r="F233" s="35"/>
      <c r="G233" s="63">
        <f t="shared" si="26"/>
        <v>19.13766421270266</v>
      </c>
      <c r="H233" s="26"/>
      <c r="I233" s="29">
        <f t="shared" si="27"/>
        <v>2223.7965815160487</v>
      </c>
      <c r="J233" s="31">
        <f t="shared" si="28"/>
        <v>475173.65777660493</v>
      </c>
      <c r="K233" s="25"/>
    </row>
    <row r="234" spans="1:11" x14ac:dyDescent="0.25">
      <c r="A234" s="73">
        <v>41547</v>
      </c>
      <c r="B234" s="25" t="s">
        <v>139</v>
      </c>
      <c r="C234" s="25"/>
      <c r="D234" s="34">
        <v>0</v>
      </c>
      <c r="E234" s="27">
        <f t="shared" si="25"/>
        <v>24829.239999999976</v>
      </c>
      <c r="F234" s="35"/>
      <c r="G234" s="63">
        <f t="shared" si="26"/>
        <v>19.13766421270266</v>
      </c>
      <c r="H234" s="26"/>
      <c r="I234" s="29">
        <f t="shared" si="27"/>
        <v>0</v>
      </c>
      <c r="J234" s="31">
        <f t="shared" si="28"/>
        <v>475173.65777660493</v>
      </c>
      <c r="K234" s="25"/>
    </row>
    <row r="235" spans="1:11" x14ac:dyDescent="0.25">
      <c r="A235" s="73">
        <v>41547</v>
      </c>
      <c r="B235" s="25" t="s">
        <v>576</v>
      </c>
      <c r="C235" s="25"/>
      <c r="D235" s="34">
        <f>2.2+1.8+7*2.8</f>
        <v>23.599999999999998</v>
      </c>
      <c r="E235" s="27">
        <f t="shared" si="25"/>
        <v>24805.639999999978</v>
      </c>
      <c r="F235" s="35"/>
      <c r="G235" s="63">
        <f t="shared" si="26"/>
        <v>19.13766421270266</v>
      </c>
      <c r="H235" s="26"/>
      <c r="I235" s="29">
        <f t="shared" si="27"/>
        <v>451.64887541978271</v>
      </c>
      <c r="J235" s="31">
        <f t="shared" si="28"/>
        <v>474722.00890118512</v>
      </c>
      <c r="K235" s="25"/>
    </row>
    <row r="236" spans="1:11" x14ac:dyDescent="0.25">
      <c r="A236" s="73">
        <v>41547</v>
      </c>
      <c r="B236" s="25" t="s">
        <v>577</v>
      </c>
      <c r="C236" s="25"/>
      <c r="D236" s="34">
        <f>58*4.7+7*2</f>
        <v>286.60000000000002</v>
      </c>
      <c r="E236" s="27">
        <f t="shared" si="25"/>
        <v>24519.039999999979</v>
      </c>
      <c r="F236" s="35"/>
      <c r="G236" s="63">
        <f t="shared" si="26"/>
        <v>19.137664212702656</v>
      </c>
      <c r="H236" s="26"/>
      <c r="I236" s="29">
        <f t="shared" si="27"/>
        <v>5484.8545633605818</v>
      </c>
      <c r="J236" s="31">
        <f t="shared" si="28"/>
        <v>469237.15433782456</v>
      </c>
      <c r="K236" s="25"/>
    </row>
    <row r="237" spans="1:11" x14ac:dyDescent="0.25">
      <c r="A237" s="73">
        <v>41548</v>
      </c>
      <c r="B237" s="25" t="s">
        <v>578</v>
      </c>
      <c r="C237" s="25"/>
      <c r="D237" s="34">
        <f>22*4.1</f>
        <v>90.199999999999989</v>
      </c>
      <c r="E237" s="27">
        <f t="shared" si="25"/>
        <v>24428.839999999978</v>
      </c>
      <c r="F237" s="35"/>
      <c r="G237" s="63">
        <f t="shared" si="26"/>
        <v>19.137664212702656</v>
      </c>
      <c r="H237" s="26"/>
      <c r="I237" s="29">
        <f t="shared" si="27"/>
        <v>1726.2173119857794</v>
      </c>
      <c r="J237" s="31">
        <f t="shared" si="28"/>
        <v>467510.93702583876</v>
      </c>
      <c r="K237" s="25"/>
    </row>
    <row r="238" spans="1:11" x14ac:dyDescent="0.25">
      <c r="A238" s="73">
        <v>41548</v>
      </c>
      <c r="B238" s="25" t="s">
        <v>150</v>
      </c>
      <c r="C238" s="25"/>
      <c r="D238" s="34">
        <v>0</v>
      </c>
      <c r="E238" s="27">
        <f t="shared" si="25"/>
        <v>24428.839999999978</v>
      </c>
      <c r="F238" s="35"/>
      <c r="G238" s="63">
        <f t="shared" si="26"/>
        <v>19.137664212702656</v>
      </c>
      <c r="H238" s="26"/>
      <c r="I238" s="29">
        <f t="shared" si="27"/>
        <v>0</v>
      </c>
      <c r="J238" s="31">
        <f t="shared" si="28"/>
        <v>467510.93702583876</v>
      </c>
      <c r="K238" s="25"/>
    </row>
    <row r="239" spans="1:11" x14ac:dyDescent="0.25">
      <c r="A239" s="73">
        <v>41551</v>
      </c>
      <c r="B239" s="25" t="s">
        <v>579</v>
      </c>
      <c r="C239" s="25"/>
      <c r="D239" s="34">
        <f>2*5.2</f>
        <v>10.4</v>
      </c>
      <c r="E239" s="27">
        <f t="shared" si="25"/>
        <v>24418.439999999977</v>
      </c>
      <c r="F239" s="35"/>
      <c r="G239" s="63">
        <f t="shared" si="26"/>
        <v>19.137664212702656</v>
      </c>
      <c r="H239" s="26"/>
      <c r="I239" s="29">
        <f t="shared" si="27"/>
        <v>199.03170781210764</v>
      </c>
      <c r="J239" s="31">
        <f t="shared" si="28"/>
        <v>467311.90531802666</v>
      </c>
      <c r="K239" s="25"/>
    </row>
    <row r="240" spans="1:11" x14ac:dyDescent="0.25">
      <c r="A240" s="73">
        <v>41551</v>
      </c>
      <c r="B240" s="25" t="s">
        <v>580</v>
      </c>
      <c r="C240" s="25"/>
      <c r="D240" s="34">
        <f>13*8</f>
        <v>104</v>
      </c>
      <c r="E240" s="27">
        <f t="shared" si="25"/>
        <v>24314.439999999977</v>
      </c>
      <c r="F240" s="35"/>
      <c r="G240" s="63">
        <f t="shared" si="26"/>
        <v>19.13766421270266</v>
      </c>
      <c r="H240" s="26"/>
      <c r="I240" s="29">
        <f t="shared" si="27"/>
        <v>1990.3170781210765</v>
      </c>
      <c r="J240" s="31">
        <f t="shared" si="28"/>
        <v>465321.5882399056</v>
      </c>
      <c r="K240" s="25"/>
    </row>
    <row r="241" spans="1:11" x14ac:dyDescent="0.25">
      <c r="A241" s="73">
        <v>41551</v>
      </c>
      <c r="B241" s="25" t="s">
        <v>581</v>
      </c>
      <c r="C241" s="25"/>
      <c r="D241" s="34">
        <f>2.7</f>
        <v>2.7</v>
      </c>
      <c r="E241" s="27">
        <f t="shared" si="25"/>
        <v>24311.739999999976</v>
      </c>
      <c r="F241" s="35"/>
      <c r="G241" s="63">
        <f t="shared" si="26"/>
        <v>19.13766421270266</v>
      </c>
      <c r="H241" s="26"/>
      <c r="I241" s="29">
        <f t="shared" si="27"/>
        <v>51.671693374297185</v>
      </c>
      <c r="J241" s="31">
        <f t="shared" si="28"/>
        <v>465269.91654653131</v>
      </c>
      <c r="K241" s="25"/>
    </row>
    <row r="242" spans="1:11" x14ac:dyDescent="0.25">
      <c r="A242" s="73">
        <v>41552</v>
      </c>
      <c r="B242" s="25" t="s">
        <v>582</v>
      </c>
      <c r="C242" s="25"/>
      <c r="D242" s="34">
        <f>20*3</f>
        <v>60</v>
      </c>
      <c r="E242" s="27">
        <f t="shared" si="25"/>
        <v>24251.739999999976</v>
      </c>
      <c r="F242" s="35"/>
      <c r="G242" s="63">
        <f t="shared" si="26"/>
        <v>19.13766421270266</v>
      </c>
      <c r="H242" s="26"/>
      <c r="I242" s="29">
        <f t="shared" si="27"/>
        <v>1148.2598527621597</v>
      </c>
      <c r="J242" s="31">
        <f t="shared" si="28"/>
        <v>464121.65669376915</v>
      </c>
      <c r="K242" s="25"/>
    </row>
    <row r="243" spans="1:11" x14ac:dyDescent="0.25">
      <c r="A243" s="73">
        <v>41552</v>
      </c>
      <c r="B243" s="25" t="s">
        <v>583</v>
      </c>
      <c r="C243" s="25"/>
      <c r="D243" s="34">
        <f>20*6+20*5.5+4*2</f>
        <v>238</v>
      </c>
      <c r="E243" s="27">
        <f t="shared" si="25"/>
        <v>24013.739999999976</v>
      </c>
      <c r="F243" s="35"/>
      <c r="G243" s="63">
        <f t="shared" si="26"/>
        <v>19.13766421270266</v>
      </c>
      <c r="H243" s="26"/>
      <c r="I243" s="29">
        <f t="shared" si="27"/>
        <v>4554.7640826232328</v>
      </c>
      <c r="J243" s="31">
        <f t="shared" si="28"/>
        <v>459566.89261114591</v>
      </c>
      <c r="K243" s="25"/>
    </row>
    <row r="244" spans="1:11" x14ac:dyDescent="0.25">
      <c r="A244" s="73">
        <v>41556</v>
      </c>
      <c r="B244" s="25" t="s">
        <v>584</v>
      </c>
      <c r="C244" s="25"/>
      <c r="D244" s="34">
        <f>22*5.6+22*4.6+7*1.5+5*2</f>
        <v>244.89999999999998</v>
      </c>
      <c r="E244" s="27">
        <f t="shared" si="25"/>
        <v>23768.839999999975</v>
      </c>
      <c r="F244" s="35"/>
      <c r="G244" s="63">
        <f t="shared" si="26"/>
        <v>19.13766421270266</v>
      </c>
      <c r="H244" s="26"/>
      <c r="I244" s="29">
        <f t="shared" si="27"/>
        <v>4686.8139656908807</v>
      </c>
      <c r="J244" s="31">
        <f t="shared" si="28"/>
        <v>454880.07864545501</v>
      </c>
      <c r="K244" s="25"/>
    </row>
    <row r="245" spans="1:11" x14ac:dyDescent="0.25">
      <c r="A245" s="73">
        <v>41558</v>
      </c>
      <c r="B245" s="25" t="s">
        <v>585</v>
      </c>
      <c r="C245" s="25"/>
      <c r="D245" s="34">
        <f>8*7.5</f>
        <v>60</v>
      </c>
      <c r="E245" s="27">
        <f t="shared" si="25"/>
        <v>23708.839999999975</v>
      </c>
      <c r="F245" s="35"/>
      <c r="G245" s="63">
        <f t="shared" si="26"/>
        <v>19.13766421270266</v>
      </c>
      <c r="H245" s="26"/>
      <c r="I245" s="29">
        <f t="shared" si="27"/>
        <v>1148.2598527621597</v>
      </c>
      <c r="J245" s="31">
        <f t="shared" si="28"/>
        <v>453731.81879269285</v>
      </c>
      <c r="K245" s="25"/>
    </row>
    <row r="246" spans="1:11" x14ac:dyDescent="0.25">
      <c r="A246" s="73">
        <v>41558</v>
      </c>
      <c r="B246" s="25" t="s">
        <v>586</v>
      </c>
      <c r="C246" s="25"/>
      <c r="D246" s="34">
        <f>25*3</f>
        <v>75</v>
      </c>
      <c r="E246" s="27">
        <f t="shared" ref="E246:E247" si="29">E245-D246</f>
        <v>23633.839999999975</v>
      </c>
      <c r="F246" s="35"/>
      <c r="G246" s="63">
        <f t="shared" ref="G246:G247" si="30">J245/E245</f>
        <v>19.13766421270266</v>
      </c>
      <c r="H246" s="26"/>
      <c r="I246" s="29">
        <f t="shared" ref="I246" si="31">D246*G246</f>
        <v>1435.3248159526995</v>
      </c>
      <c r="J246" s="31">
        <f t="shared" ref="J246:J247" si="32">J245-I246</f>
        <v>452296.49397674017</v>
      </c>
      <c r="K246" s="25"/>
    </row>
    <row r="247" spans="1:11" x14ac:dyDescent="0.25">
      <c r="A247" s="73">
        <v>41558</v>
      </c>
      <c r="B247" s="25" t="s">
        <v>587</v>
      </c>
      <c r="C247" s="25"/>
      <c r="D247" s="34">
        <f>4*3.05+10*3+8*3.2+2*2.95+3*2.1</f>
        <v>80.000000000000014</v>
      </c>
      <c r="E247" s="27">
        <f t="shared" si="29"/>
        <v>23553.839999999975</v>
      </c>
      <c r="F247" s="35"/>
      <c r="G247" s="63">
        <f t="shared" si="30"/>
        <v>19.13766421270266</v>
      </c>
      <c r="H247" s="26"/>
      <c r="I247" s="29">
        <f t="shared" si="27"/>
        <v>1531.013137016213</v>
      </c>
      <c r="J247" s="31">
        <f t="shared" si="32"/>
        <v>450765.48083972395</v>
      </c>
      <c r="K247" s="25"/>
    </row>
    <row r="248" spans="1:11" x14ac:dyDescent="0.25">
      <c r="A248" s="73">
        <v>41559</v>
      </c>
      <c r="B248" s="25" t="s">
        <v>588</v>
      </c>
      <c r="C248" s="25"/>
      <c r="D248" s="34">
        <f>6*0.9+2*1.8+2*0.8</f>
        <v>10.6</v>
      </c>
      <c r="E248" s="27">
        <f t="shared" si="25"/>
        <v>23543.239999999976</v>
      </c>
      <c r="F248" s="35"/>
      <c r="G248" s="63">
        <f t="shared" si="26"/>
        <v>19.13766421270266</v>
      </c>
      <c r="H248" s="26"/>
      <c r="I248" s="29">
        <f t="shared" si="27"/>
        <v>202.85924065464818</v>
      </c>
      <c r="J248" s="31">
        <f t="shared" si="28"/>
        <v>450562.62159906933</v>
      </c>
      <c r="K248" s="25"/>
    </row>
    <row r="249" spans="1:11" x14ac:dyDescent="0.25">
      <c r="A249" s="73">
        <v>41559</v>
      </c>
      <c r="B249" s="25" t="s">
        <v>589</v>
      </c>
      <c r="C249" s="25"/>
      <c r="D249" s="34">
        <f>5*4.5</f>
        <v>22.5</v>
      </c>
      <c r="E249" s="27">
        <f t="shared" si="25"/>
        <v>23520.739999999976</v>
      </c>
      <c r="F249" s="35"/>
      <c r="G249" s="63">
        <f t="shared" si="26"/>
        <v>19.13766421270266</v>
      </c>
      <c r="H249" s="26"/>
      <c r="I249" s="29">
        <f t="shared" si="27"/>
        <v>430.59744478580984</v>
      </c>
      <c r="J249" s="31">
        <f t="shared" si="28"/>
        <v>450132.02415428351</v>
      </c>
      <c r="K249" s="25"/>
    </row>
    <row r="250" spans="1:11" x14ac:dyDescent="0.25">
      <c r="A250" s="73">
        <v>41561</v>
      </c>
      <c r="B250" s="25" t="s">
        <v>590</v>
      </c>
      <c r="C250" s="25"/>
      <c r="D250" s="34">
        <f>11*6.2</f>
        <v>68.2</v>
      </c>
      <c r="E250" s="27">
        <f t="shared" si="25"/>
        <v>23452.539999999975</v>
      </c>
      <c r="F250" s="35"/>
      <c r="G250" s="63">
        <f t="shared" si="26"/>
        <v>19.13766421270266</v>
      </c>
      <c r="H250" s="26"/>
      <c r="I250" s="29">
        <f t="shared" si="27"/>
        <v>1305.1886993063215</v>
      </c>
      <c r="J250" s="31">
        <f t="shared" si="28"/>
        <v>448826.83545497718</v>
      </c>
      <c r="K250" s="25"/>
    </row>
    <row r="251" spans="1:11" x14ac:dyDescent="0.25">
      <c r="A251" s="73">
        <v>41562</v>
      </c>
      <c r="B251" s="25" t="s">
        <v>591</v>
      </c>
      <c r="C251" s="25"/>
      <c r="D251" s="34">
        <f>50*2.5</f>
        <v>125</v>
      </c>
      <c r="E251" s="27">
        <f t="shared" si="25"/>
        <v>23327.539999999975</v>
      </c>
      <c r="F251" s="35"/>
      <c r="G251" s="63">
        <f t="shared" si="26"/>
        <v>19.13766421270266</v>
      </c>
      <c r="H251" s="26"/>
      <c r="I251" s="29">
        <f t="shared" si="27"/>
        <v>2392.2080265878326</v>
      </c>
      <c r="J251" s="31">
        <f t="shared" si="28"/>
        <v>446434.62742838933</v>
      </c>
      <c r="K251" s="25"/>
    </row>
    <row r="252" spans="1:11" x14ac:dyDescent="0.25">
      <c r="A252" s="73">
        <v>41564</v>
      </c>
      <c r="B252" s="25" t="s">
        <v>592</v>
      </c>
      <c r="C252" s="25"/>
      <c r="D252" s="34">
        <f>12*2.5+6*1.8+18*3.5+7*3+1*13</f>
        <v>137.80000000000001</v>
      </c>
      <c r="E252" s="27">
        <f t="shared" si="25"/>
        <v>23189.739999999976</v>
      </c>
      <c r="F252" s="35"/>
      <c r="G252" s="63">
        <f t="shared" si="26"/>
        <v>19.13766421270266</v>
      </c>
      <c r="H252" s="26"/>
      <c r="I252" s="29">
        <f t="shared" si="27"/>
        <v>2637.1701285104268</v>
      </c>
      <c r="J252" s="31">
        <f t="shared" si="28"/>
        <v>443797.45729987888</v>
      </c>
      <c r="K252" s="25"/>
    </row>
    <row r="253" spans="1:11" x14ac:dyDescent="0.25">
      <c r="A253" s="73">
        <v>41565</v>
      </c>
      <c r="B253" s="25" t="s">
        <v>593</v>
      </c>
      <c r="C253" s="25"/>
      <c r="D253" s="34">
        <f>4*2.25+4*2.4</f>
        <v>18.600000000000001</v>
      </c>
      <c r="E253" s="27">
        <f t="shared" si="25"/>
        <v>23171.139999999978</v>
      </c>
      <c r="F253" s="35"/>
      <c r="G253" s="63">
        <f t="shared" si="26"/>
        <v>19.137664212702656</v>
      </c>
      <c r="H253" s="26"/>
      <c r="I253" s="29">
        <f t="shared" si="27"/>
        <v>355.96055435626943</v>
      </c>
      <c r="J253" s="31">
        <f t="shared" si="28"/>
        <v>443441.4967455226</v>
      </c>
      <c r="K253" s="25"/>
    </row>
    <row r="254" spans="1:11" x14ac:dyDescent="0.25">
      <c r="A254" s="73">
        <v>41565</v>
      </c>
      <c r="B254" s="25" t="s">
        <v>594</v>
      </c>
      <c r="C254" s="25"/>
      <c r="D254" s="34">
        <f>20*3+10*2.15+20*5</f>
        <v>181.5</v>
      </c>
      <c r="E254" s="27">
        <f t="shared" si="25"/>
        <v>22989.639999999978</v>
      </c>
      <c r="F254" s="35"/>
      <c r="G254" s="63">
        <f t="shared" si="26"/>
        <v>19.137664212702656</v>
      </c>
      <c r="H254" s="26"/>
      <c r="I254" s="29">
        <f t="shared" si="27"/>
        <v>3473.486054605532</v>
      </c>
      <c r="J254" s="31">
        <f t="shared" si="28"/>
        <v>439968.01069091709</v>
      </c>
      <c r="K254" s="25"/>
    </row>
    <row r="255" spans="1:11" x14ac:dyDescent="0.25">
      <c r="A255" s="73">
        <v>41565</v>
      </c>
      <c r="B255" s="25" t="s">
        <v>595</v>
      </c>
      <c r="C255" s="25"/>
      <c r="D255" s="34">
        <f>6*4.8</f>
        <v>28.799999999999997</v>
      </c>
      <c r="E255" s="27">
        <f t="shared" si="25"/>
        <v>22960.839999999978</v>
      </c>
      <c r="F255" s="35"/>
      <c r="G255" s="63">
        <f t="shared" si="26"/>
        <v>19.137664212702656</v>
      </c>
      <c r="H255" s="26"/>
      <c r="I255" s="29">
        <f t="shared" si="27"/>
        <v>551.16472932583645</v>
      </c>
      <c r="J255" s="31">
        <f t="shared" si="28"/>
        <v>439416.84596159123</v>
      </c>
      <c r="K255" s="25"/>
    </row>
    <row r="256" spans="1:11" x14ac:dyDescent="0.25">
      <c r="A256" s="73">
        <v>41566</v>
      </c>
      <c r="B256" s="25" t="s">
        <v>596</v>
      </c>
      <c r="C256" s="25"/>
      <c r="D256" s="34">
        <f>5*4.05</f>
        <v>20.25</v>
      </c>
      <c r="E256" s="27">
        <f t="shared" si="25"/>
        <v>22940.589999999978</v>
      </c>
      <c r="F256" s="35"/>
      <c r="G256" s="63">
        <f t="shared" si="26"/>
        <v>19.137664212702656</v>
      </c>
      <c r="H256" s="26"/>
      <c r="I256" s="29">
        <f t="shared" si="27"/>
        <v>387.53770030722882</v>
      </c>
      <c r="J256" s="31">
        <f t="shared" si="28"/>
        <v>439029.30826128402</v>
      </c>
      <c r="K256" s="25"/>
    </row>
    <row r="257" spans="1:11" x14ac:dyDescent="0.25">
      <c r="A257" s="73">
        <v>41566</v>
      </c>
      <c r="B257" s="25" t="s">
        <v>597</v>
      </c>
      <c r="C257" s="25"/>
      <c r="D257" s="34">
        <f>2*3</f>
        <v>6</v>
      </c>
      <c r="E257" s="27">
        <f t="shared" si="25"/>
        <v>22934.589999999978</v>
      </c>
      <c r="F257" s="35"/>
      <c r="G257" s="63">
        <f t="shared" si="26"/>
        <v>19.137664212702656</v>
      </c>
      <c r="H257" s="26"/>
      <c r="I257" s="29">
        <f t="shared" si="27"/>
        <v>114.82598527621593</v>
      </c>
      <c r="J257" s="31">
        <f t="shared" si="28"/>
        <v>438914.48227600782</v>
      </c>
      <c r="K257" s="25"/>
    </row>
    <row r="258" spans="1:11" x14ac:dyDescent="0.25">
      <c r="A258" s="73">
        <v>41569</v>
      </c>
      <c r="B258" s="25" t="s">
        <v>598</v>
      </c>
      <c r="C258" s="25"/>
      <c r="D258" s="34">
        <f>15*2.44</f>
        <v>36.6</v>
      </c>
      <c r="E258" s="27">
        <f t="shared" si="25"/>
        <v>22897.98999999998</v>
      </c>
      <c r="F258" s="35"/>
      <c r="G258" s="63">
        <f t="shared" si="26"/>
        <v>19.137664212702656</v>
      </c>
      <c r="H258" s="26"/>
      <c r="I258" s="29">
        <f t="shared" si="27"/>
        <v>700.43851018491728</v>
      </c>
      <c r="J258" s="31">
        <f t="shared" si="28"/>
        <v>438214.04376582289</v>
      </c>
      <c r="K258" s="25"/>
    </row>
    <row r="259" spans="1:11" x14ac:dyDescent="0.25">
      <c r="A259" s="73">
        <v>41570</v>
      </c>
      <c r="B259" s="25" t="s">
        <v>599</v>
      </c>
      <c r="C259" s="25"/>
      <c r="D259" s="34">
        <f>3*2.45</f>
        <v>7.3500000000000005</v>
      </c>
      <c r="E259" s="27">
        <f t="shared" si="25"/>
        <v>22890.639999999981</v>
      </c>
      <c r="F259" s="35"/>
      <c r="G259" s="63">
        <f t="shared" si="26"/>
        <v>19.137664212702656</v>
      </c>
      <c r="H259" s="26"/>
      <c r="I259" s="29">
        <f t="shared" si="27"/>
        <v>140.66183196336453</v>
      </c>
      <c r="J259" s="31">
        <f t="shared" si="28"/>
        <v>438073.38193385955</v>
      </c>
      <c r="K259" s="25"/>
    </row>
    <row r="260" spans="1:11" x14ac:dyDescent="0.25">
      <c r="A260" s="73">
        <v>41570</v>
      </c>
      <c r="B260" s="25" t="s">
        <v>600</v>
      </c>
      <c r="C260" s="25"/>
      <c r="D260" s="34">
        <f>4*2+6*2.3</f>
        <v>21.799999999999997</v>
      </c>
      <c r="E260" s="27">
        <f t="shared" si="25"/>
        <v>22868.839999999982</v>
      </c>
      <c r="F260" s="35"/>
      <c r="G260" s="63">
        <f t="shared" si="26"/>
        <v>19.137664212702656</v>
      </c>
      <c r="H260" s="26"/>
      <c r="I260" s="29">
        <f t="shared" si="27"/>
        <v>417.20107983691787</v>
      </c>
      <c r="J260" s="31">
        <f t="shared" si="28"/>
        <v>437656.18085402262</v>
      </c>
      <c r="K260" s="25"/>
    </row>
    <row r="261" spans="1:11" x14ac:dyDescent="0.25">
      <c r="A261" s="73">
        <v>41571</v>
      </c>
      <c r="B261" s="25" t="s">
        <v>601</v>
      </c>
      <c r="C261" s="25"/>
      <c r="D261" s="34">
        <f>7*5.55</f>
        <v>38.85</v>
      </c>
      <c r="E261" s="27">
        <f t="shared" si="25"/>
        <v>22829.989999999983</v>
      </c>
      <c r="F261" s="35"/>
      <c r="G261" s="63">
        <f t="shared" si="26"/>
        <v>19.137664212702653</v>
      </c>
      <c r="H261" s="26"/>
      <c r="I261" s="29">
        <f t="shared" si="27"/>
        <v>743.49825466349807</v>
      </c>
      <c r="J261" s="31">
        <f t="shared" si="28"/>
        <v>436912.68259935913</v>
      </c>
      <c r="K261" s="25"/>
    </row>
    <row r="262" spans="1:11" x14ac:dyDescent="0.25">
      <c r="A262" s="73">
        <v>41571</v>
      </c>
      <c r="B262" s="25" t="s">
        <v>602</v>
      </c>
      <c r="C262" s="25"/>
      <c r="D262" s="34">
        <f>2*3</f>
        <v>6</v>
      </c>
      <c r="E262" s="27">
        <f t="shared" si="25"/>
        <v>22823.989999999983</v>
      </c>
      <c r="F262" s="35"/>
      <c r="G262" s="63">
        <f t="shared" si="26"/>
        <v>19.137664212702653</v>
      </c>
      <c r="H262" s="26"/>
      <c r="I262" s="29">
        <f t="shared" si="27"/>
        <v>114.82598527621592</v>
      </c>
      <c r="J262" s="31">
        <f t="shared" si="28"/>
        <v>436797.85661408294</v>
      </c>
      <c r="K262" s="25"/>
    </row>
    <row r="263" spans="1:11" x14ac:dyDescent="0.25">
      <c r="A263" s="73">
        <v>41572</v>
      </c>
      <c r="B263" s="25" t="s">
        <v>603</v>
      </c>
      <c r="C263" s="25"/>
      <c r="D263" s="34">
        <f>2*2.5+2*3+8*1.8</f>
        <v>25.4</v>
      </c>
      <c r="E263" s="27">
        <f t="shared" si="25"/>
        <v>22798.589999999982</v>
      </c>
      <c r="F263" s="35"/>
      <c r="G263" s="63">
        <f t="shared" si="26"/>
        <v>19.137664212702653</v>
      </c>
      <c r="H263" s="26"/>
      <c r="I263" s="29">
        <f t="shared" si="27"/>
        <v>486.09667100264733</v>
      </c>
      <c r="J263" s="31">
        <f t="shared" si="28"/>
        <v>436311.75994308031</v>
      </c>
      <c r="K263" s="25"/>
    </row>
    <row r="264" spans="1:11" x14ac:dyDescent="0.25">
      <c r="A264" s="73">
        <v>41572</v>
      </c>
      <c r="B264" s="25" t="s">
        <v>604</v>
      </c>
      <c r="C264" s="25"/>
      <c r="D264" s="34">
        <f>2*3+2.5</f>
        <v>8.5</v>
      </c>
      <c r="E264" s="27">
        <f t="shared" si="25"/>
        <v>22790.089999999982</v>
      </c>
      <c r="F264" s="35"/>
      <c r="G264" s="63">
        <f t="shared" si="26"/>
        <v>19.137664212702656</v>
      </c>
      <c r="H264" s="26"/>
      <c r="I264" s="29">
        <f t="shared" si="27"/>
        <v>162.67014580797257</v>
      </c>
      <c r="J264" s="31">
        <f t="shared" si="28"/>
        <v>436149.08979727235</v>
      </c>
      <c r="K264" s="25"/>
    </row>
    <row r="265" spans="1:11" x14ac:dyDescent="0.25">
      <c r="A265" s="73">
        <v>41573</v>
      </c>
      <c r="B265" s="25" t="s">
        <v>605</v>
      </c>
      <c r="C265" s="25"/>
      <c r="D265" s="34">
        <f>10*6</f>
        <v>60</v>
      </c>
      <c r="E265" s="27">
        <f t="shared" si="25"/>
        <v>22730.089999999982</v>
      </c>
      <c r="F265" s="35"/>
      <c r="G265" s="63">
        <f t="shared" si="26"/>
        <v>19.137664212702656</v>
      </c>
      <c r="H265" s="26"/>
      <c r="I265" s="29">
        <f t="shared" si="27"/>
        <v>1148.2598527621594</v>
      </c>
      <c r="J265" s="31">
        <f t="shared" si="28"/>
        <v>435000.82994451019</v>
      </c>
      <c r="K265" s="25"/>
    </row>
    <row r="266" spans="1:11" x14ac:dyDescent="0.25">
      <c r="A266" s="73">
        <v>41573</v>
      </c>
      <c r="B266" s="25" t="s">
        <v>606</v>
      </c>
      <c r="C266" s="25"/>
      <c r="D266" s="34">
        <f>6*5</f>
        <v>30</v>
      </c>
      <c r="E266" s="27">
        <f t="shared" si="25"/>
        <v>22700.089999999982</v>
      </c>
      <c r="F266" s="35"/>
      <c r="G266" s="63">
        <f t="shared" si="26"/>
        <v>19.137664212702656</v>
      </c>
      <c r="H266" s="26"/>
      <c r="I266" s="29">
        <f t="shared" si="27"/>
        <v>574.12992638107971</v>
      </c>
      <c r="J266" s="31">
        <f t="shared" si="28"/>
        <v>434426.70001812908</v>
      </c>
      <c r="K266" s="25"/>
    </row>
    <row r="267" spans="1:11" x14ac:dyDescent="0.25">
      <c r="A267" s="73">
        <v>41575</v>
      </c>
      <c r="B267" s="25" t="s">
        <v>607</v>
      </c>
      <c r="C267" s="25"/>
      <c r="D267" s="34">
        <f>4*5</f>
        <v>20</v>
      </c>
      <c r="E267" s="27">
        <f t="shared" si="25"/>
        <v>22680.089999999982</v>
      </c>
      <c r="F267" s="35"/>
      <c r="G267" s="63">
        <f t="shared" si="26"/>
        <v>19.137664212702656</v>
      </c>
      <c r="H267" s="26"/>
      <c r="I267" s="29">
        <f t="shared" si="27"/>
        <v>382.75328425405314</v>
      </c>
      <c r="J267" s="31">
        <f t="shared" si="28"/>
        <v>434043.94673387503</v>
      </c>
      <c r="K267" s="25"/>
    </row>
    <row r="268" spans="1:11" x14ac:dyDescent="0.25">
      <c r="A268" s="73">
        <v>41576</v>
      </c>
      <c r="B268" s="25" t="s">
        <v>608</v>
      </c>
      <c r="C268" s="25"/>
      <c r="D268" s="34">
        <f>5*3+5*2.7</f>
        <v>28.5</v>
      </c>
      <c r="E268" s="27">
        <f t="shared" si="25"/>
        <v>22651.589999999982</v>
      </c>
      <c r="F268" s="35"/>
      <c r="G268" s="63">
        <f t="shared" si="26"/>
        <v>19.137664212702656</v>
      </c>
      <c r="H268" s="26"/>
      <c r="I268" s="29">
        <f t="shared" si="27"/>
        <v>545.42343006202566</v>
      </c>
      <c r="J268" s="31">
        <f t="shared" si="28"/>
        <v>433498.52330381301</v>
      </c>
      <c r="K268" s="25"/>
    </row>
    <row r="269" spans="1:11" x14ac:dyDescent="0.25">
      <c r="A269" s="73">
        <v>41577</v>
      </c>
      <c r="B269" s="25" t="s">
        <v>609</v>
      </c>
      <c r="C269" s="25"/>
      <c r="D269" s="34">
        <f>10*5.5</f>
        <v>55</v>
      </c>
      <c r="E269" s="27">
        <f t="shared" ref="E269:E271" si="33">E268-D269</f>
        <v>22596.589999999982</v>
      </c>
      <c r="F269" s="35"/>
      <c r="G269" s="63">
        <f t="shared" ref="G269:G271" si="34">J268/E268</f>
        <v>19.137664212702656</v>
      </c>
      <c r="H269" s="26"/>
      <c r="I269" s="29">
        <f t="shared" ref="I269:I271" si="35">D269*G269</f>
        <v>1052.5715316986461</v>
      </c>
      <c r="J269" s="31">
        <f t="shared" ref="J269:J271" si="36">J268-I269</f>
        <v>432445.95177211438</v>
      </c>
      <c r="K269" s="25"/>
    </row>
    <row r="270" spans="1:11" x14ac:dyDescent="0.25">
      <c r="A270" s="73">
        <v>41579</v>
      </c>
      <c r="B270" s="25" t="s">
        <v>610</v>
      </c>
      <c r="C270" s="25"/>
      <c r="D270" s="34">
        <f>16*6.3+3*3+32*1.3+4*2+4*1.6+4*1.4</f>
        <v>171.4</v>
      </c>
      <c r="E270" s="27">
        <f t="shared" si="33"/>
        <v>22425.189999999981</v>
      </c>
      <c r="F270" s="35"/>
      <c r="G270" s="63">
        <f t="shared" si="34"/>
        <v>19.137664212702656</v>
      </c>
      <c r="H270" s="26"/>
      <c r="I270" s="29">
        <f t="shared" si="35"/>
        <v>3280.1956460572355</v>
      </c>
      <c r="J270" s="31">
        <f t="shared" si="36"/>
        <v>429165.75612605712</v>
      </c>
      <c r="K270" s="25"/>
    </row>
    <row r="271" spans="1:11" x14ac:dyDescent="0.25">
      <c r="A271" s="73">
        <v>41579</v>
      </c>
      <c r="B271" s="25" t="s">
        <v>611</v>
      </c>
      <c r="C271" s="25"/>
      <c r="D271" s="34">
        <f>10*4.6</f>
        <v>46</v>
      </c>
      <c r="E271" s="27">
        <f t="shared" si="33"/>
        <v>22379.189999999981</v>
      </c>
      <c r="F271" s="35"/>
      <c r="G271" s="63">
        <f t="shared" si="34"/>
        <v>19.137664212702656</v>
      </c>
      <c r="H271" s="26"/>
      <c r="I271" s="29">
        <f t="shared" si="35"/>
        <v>880.33255378432216</v>
      </c>
      <c r="J271" s="31">
        <f t="shared" si="36"/>
        <v>428285.42357227282</v>
      </c>
      <c r="K271" s="25"/>
    </row>
    <row r="272" spans="1:11" x14ac:dyDescent="0.25">
      <c r="A272" s="73">
        <v>41582</v>
      </c>
      <c r="B272" s="25" t="s">
        <v>612</v>
      </c>
      <c r="C272" s="25"/>
      <c r="D272" s="34">
        <f>10*6.4</f>
        <v>64</v>
      </c>
      <c r="E272" s="27">
        <f t="shared" ref="E272:E295" si="37">E271-D272</f>
        <v>22315.189999999981</v>
      </c>
      <c r="F272" s="35"/>
      <c r="G272" s="63">
        <f t="shared" ref="G272:G295" si="38">J271/E271</f>
        <v>19.137664212702656</v>
      </c>
      <c r="H272" s="26"/>
      <c r="I272" s="29">
        <f t="shared" ref="I272:I295" si="39">D272*G272</f>
        <v>1224.81050961297</v>
      </c>
      <c r="J272" s="31">
        <f t="shared" ref="J272:J295" si="40">J271-I272</f>
        <v>427060.61306265986</v>
      </c>
      <c r="K272" s="25"/>
    </row>
    <row r="273" spans="1:11" x14ac:dyDescent="0.25">
      <c r="A273" s="73">
        <v>41584</v>
      </c>
      <c r="B273" s="25" t="s">
        <v>613</v>
      </c>
      <c r="C273" s="25"/>
      <c r="D273" s="34">
        <f>32*7.25+32*5.65</f>
        <v>412.8</v>
      </c>
      <c r="E273" s="27">
        <f t="shared" si="37"/>
        <v>21902.389999999981</v>
      </c>
      <c r="F273" s="35"/>
      <c r="G273" s="63">
        <f t="shared" si="38"/>
        <v>19.13766421270266</v>
      </c>
      <c r="H273" s="26"/>
      <c r="I273" s="29">
        <f t="shared" si="39"/>
        <v>7900.027787003658</v>
      </c>
      <c r="J273" s="31">
        <f t="shared" si="40"/>
        <v>419160.58527565619</v>
      </c>
      <c r="K273" s="25"/>
    </row>
    <row r="274" spans="1:11" x14ac:dyDescent="0.25">
      <c r="A274" s="73">
        <v>41585</v>
      </c>
      <c r="B274" s="25" t="s">
        <v>614</v>
      </c>
      <c r="C274" s="25"/>
      <c r="D274" s="34">
        <f>5</f>
        <v>5</v>
      </c>
      <c r="E274" s="27">
        <f t="shared" si="37"/>
        <v>21897.389999999981</v>
      </c>
      <c r="F274" s="35"/>
      <c r="G274" s="63">
        <f t="shared" si="38"/>
        <v>19.137664212702656</v>
      </c>
      <c r="H274" s="26"/>
      <c r="I274" s="29">
        <f t="shared" si="39"/>
        <v>95.688321063513285</v>
      </c>
      <c r="J274" s="31">
        <f t="shared" si="40"/>
        <v>419064.89695459267</v>
      </c>
      <c r="K274" s="25"/>
    </row>
    <row r="275" spans="1:11" x14ac:dyDescent="0.25">
      <c r="A275" s="73">
        <v>41585</v>
      </c>
      <c r="B275" s="25" t="s">
        <v>615</v>
      </c>
      <c r="C275" s="25"/>
      <c r="D275" s="34">
        <f>3*7+5*6.8+2*6.5+8.05</f>
        <v>76.05</v>
      </c>
      <c r="E275" s="27">
        <f t="shared" si="37"/>
        <v>21821.339999999982</v>
      </c>
      <c r="F275" s="35"/>
      <c r="G275" s="63">
        <f t="shared" si="38"/>
        <v>19.137664212702656</v>
      </c>
      <c r="H275" s="26"/>
      <c r="I275" s="29">
        <f t="shared" si="39"/>
        <v>1455.4193633760369</v>
      </c>
      <c r="J275" s="31">
        <f t="shared" si="40"/>
        <v>417609.47759121662</v>
      </c>
      <c r="K275" s="25"/>
    </row>
    <row r="276" spans="1:11" x14ac:dyDescent="0.25">
      <c r="A276" s="73">
        <v>41585</v>
      </c>
      <c r="B276" s="25" t="s">
        <v>616</v>
      </c>
      <c r="C276" s="25"/>
      <c r="D276" s="34">
        <f>6*3.2+7*4.7</f>
        <v>52.1</v>
      </c>
      <c r="E276" s="27">
        <f t="shared" si="37"/>
        <v>21769.239999999983</v>
      </c>
      <c r="F276" s="35"/>
      <c r="G276" s="63">
        <f t="shared" si="38"/>
        <v>19.137664212702656</v>
      </c>
      <c r="H276" s="26"/>
      <c r="I276" s="29">
        <f t="shared" si="39"/>
        <v>997.07230548180837</v>
      </c>
      <c r="J276" s="31">
        <f t="shared" si="40"/>
        <v>416612.4052857348</v>
      </c>
      <c r="K276" s="25"/>
    </row>
    <row r="277" spans="1:11" x14ac:dyDescent="0.25">
      <c r="A277" s="73">
        <v>41589</v>
      </c>
      <c r="B277" s="25" t="s">
        <v>617</v>
      </c>
      <c r="C277" s="25"/>
      <c r="D277" s="34">
        <f>3*1.6</f>
        <v>4.8000000000000007</v>
      </c>
      <c r="E277" s="27">
        <f t="shared" si="37"/>
        <v>21764.439999999984</v>
      </c>
      <c r="F277" s="35"/>
      <c r="G277" s="63">
        <f t="shared" si="38"/>
        <v>19.137664212702653</v>
      </c>
      <c r="H277" s="26"/>
      <c r="I277" s="29">
        <f t="shared" si="39"/>
        <v>91.860788220972751</v>
      </c>
      <c r="J277" s="31">
        <f t="shared" si="40"/>
        <v>416520.54449751385</v>
      </c>
      <c r="K277" s="25"/>
    </row>
    <row r="278" spans="1:11" x14ac:dyDescent="0.25">
      <c r="A278" s="73">
        <v>41589</v>
      </c>
      <c r="B278" s="25" t="s">
        <v>618</v>
      </c>
      <c r="C278" s="25"/>
      <c r="D278" s="34">
        <f>19*6.1</f>
        <v>115.89999999999999</v>
      </c>
      <c r="E278" s="27">
        <f t="shared" si="37"/>
        <v>21648.539999999983</v>
      </c>
      <c r="F278" s="35"/>
      <c r="G278" s="63">
        <f t="shared" si="38"/>
        <v>19.137664212702653</v>
      </c>
      <c r="H278" s="26"/>
      <c r="I278" s="29">
        <f t="shared" si="39"/>
        <v>2218.0552822522372</v>
      </c>
      <c r="J278" s="31">
        <f t="shared" si="40"/>
        <v>414302.48921526159</v>
      </c>
      <c r="K278" s="25"/>
    </row>
    <row r="279" spans="1:11" x14ac:dyDescent="0.25">
      <c r="A279" s="73">
        <v>41591</v>
      </c>
      <c r="B279" s="25" t="s">
        <v>619</v>
      </c>
      <c r="C279" s="25"/>
      <c r="D279" s="34">
        <f>3*3.2+30.5</f>
        <v>40.1</v>
      </c>
      <c r="E279" s="27">
        <f t="shared" si="37"/>
        <v>21608.439999999984</v>
      </c>
      <c r="F279" s="35"/>
      <c r="G279" s="63">
        <f t="shared" si="38"/>
        <v>19.137664212702653</v>
      </c>
      <c r="H279" s="26"/>
      <c r="I279" s="29">
        <f t="shared" si="39"/>
        <v>767.42033492937639</v>
      </c>
      <c r="J279" s="31">
        <f t="shared" si="40"/>
        <v>413535.06888033223</v>
      </c>
      <c r="K279" s="25"/>
    </row>
    <row r="280" spans="1:11" x14ac:dyDescent="0.25">
      <c r="A280" s="73">
        <v>41591</v>
      </c>
      <c r="B280" s="25" t="s">
        <v>620</v>
      </c>
      <c r="C280" s="25"/>
      <c r="D280" s="34">
        <f>13*4.85</f>
        <v>63.05</v>
      </c>
      <c r="E280" s="27">
        <f t="shared" si="37"/>
        <v>21545.389999999985</v>
      </c>
      <c r="F280" s="35"/>
      <c r="G280" s="63">
        <f t="shared" si="38"/>
        <v>19.137664212702653</v>
      </c>
      <c r="H280" s="26"/>
      <c r="I280" s="29">
        <f t="shared" si="39"/>
        <v>1206.6297286109022</v>
      </c>
      <c r="J280" s="31">
        <f t="shared" si="40"/>
        <v>412328.43915172131</v>
      </c>
      <c r="K280" s="25"/>
    </row>
    <row r="281" spans="1:11" x14ac:dyDescent="0.25">
      <c r="A281" s="73">
        <v>41591</v>
      </c>
      <c r="B281" s="25" t="s">
        <v>621</v>
      </c>
      <c r="C281" s="25"/>
      <c r="D281" s="34">
        <f>3.2</f>
        <v>3.2</v>
      </c>
      <c r="E281" s="27">
        <f t="shared" si="37"/>
        <v>21542.189999999984</v>
      </c>
      <c r="F281" s="35"/>
      <c r="G281" s="63">
        <f t="shared" si="38"/>
        <v>19.137664212702653</v>
      </c>
      <c r="H281" s="26"/>
      <c r="I281" s="29">
        <f t="shared" si="39"/>
        <v>61.240525480648493</v>
      </c>
      <c r="J281" s="31">
        <f t="shared" si="40"/>
        <v>412267.19862624066</v>
      </c>
      <c r="K281" s="25"/>
    </row>
    <row r="282" spans="1:11" x14ac:dyDescent="0.25">
      <c r="A282" s="73">
        <v>41592</v>
      </c>
      <c r="B282" s="25" t="s">
        <v>181</v>
      </c>
      <c r="C282" s="25"/>
      <c r="D282" s="34">
        <v>0</v>
      </c>
      <c r="E282" s="27">
        <f t="shared" si="37"/>
        <v>21542.189999999984</v>
      </c>
      <c r="F282" s="35"/>
      <c r="G282" s="63">
        <f t="shared" si="38"/>
        <v>19.137664212702653</v>
      </c>
      <c r="H282" s="26"/>
      <c r="I282" s="29">
        <f t="shared" si="39"/>
        <v>0</v>
      </c>
      <c r="J282" s="31">
        <f t="shared" si="40"/>
        <v>412267.19862624066</v>
      </c>
      <c r="K282" s="25"/>
    </row>
    <row r="283" spans="1:11" x14ac:dyDescent="0.25">
      <c r="A283" s="73">
        <v>41594</v>
      </c>
      <c r="B283" s="25" t="s">
        <v>622</v>
      </c>
      <c r="C283" s="25"/>
      <c r="D283" s="34">
        <f>5*1.8</f>
        <v>9</v>
      </c>
      <c r="E283" s="27">
        <f t="shared" si="37"/>
        <v>21533.189999999984</v>
      </c>
      <c r="F283" s="35"/>
      <c r="G283" s="63">
        <f t="shared" si="38"/>
        <v>19.137664212702653</v>
      </c>
      <c r="H283" s="26"/>
      <c r="I283" s="29">
        <f t="shared" si="39"/>
        <v>172.23897791432387</v>
      </c>
      <c r="J283" s="31">
        <f t="shared" si="40"/>
        <v>412094.95964832633</v>
      </c>
      <c r="K283" s="25"/>
    </row>
    <row r="284" spans="1:11" x14ac:dyDescent="0.25">
      <c r="A284" s="73">
        <v>41596</v>
      </c>
      <c r="B284" s="25" t="s">
        <v>623</v>
      </c>
      <c r="C284" s="25"/>
      <c r="D284" s="34">
        <f>25*5</f>
        <v>125</v>
      </c>
      <c r="E284" s="27">
        <f t="shared" si="37"/>
        <v>21408.189999999984</v>
      </c>
      <c r="F284" s="35"/>
      <c r="G284" s="63">
        <f t="shared" si="38"/>
        <v>19.137664212702653</v>
      </c>
      <c r="H284" s="26"/>
      <c r="I284" s="29">
        <f t="shared" si="39"/>
        <v>2392.2080265878317</v>
      </c>
      <c r="J284" s="31">
        <f t="shared" si="40"/>
        <v>409702.75162173848</v>
      </c>
      <c r="K284" s="25"/>
    </row>
    <row r="285" spans="1:11" x14ac:dyDescent="0.25">
      <c r="A285" s="73">
        <v>41596</v>
      </c>
      <c r="B285" s="25" t="s">
        <v>624</v>
      </c>
      <c r="C285" s="25"/>
      <c r="D285" s="34">
        <f>8*3.4</f>
        <v>27.2</v>
      </c>
      <c r="E285" s="27">
        <f t="shared" si="37"/>
        <v>21380.989999999983</v>
      </c>
      <c r="F285" s="35"/>
      <c r="G285" s="63">
        <f t="shared" si="38"/>
        <v>19.137664212702653</v>
      </c>
      <c r="H285" s="26"/>
      <c r="I285" s="29">
        <f t="shared" si="39"/>
        <v>520.54446658551217</v>
      </c>
      <c r="J285" s="31">
        <f t="shared" si="40"/>
        <v>409182.20715515298</v>
      </c>
      <c r="K285" s="25"/>
    </row>
    <row r="286" spans="1:11" x14ac:dyDescent="0.25">
      <c r="A286" s="73">
        <v>41597</v>
      </c>
      <c r="B286" s="25" t="s">
        <v>625</v>
      </c>
      <c r="C286" s="25"/>
      <c r="D286" s="34">
        <f>32*5.4+12*1.9+19*0.5</f>
        <v>205.10000000000002</v>
      </c>
      <c r="E286" s="27">
        <f t="shared" si="37"/>
        <v>21175.889999999985</v>
      </c>
      <c r="F286" s="35"/>
      <c r="G286" s="63">
        <f t="shared" si="38"/>
        <v>19.137664212702653</v>
      </c>
      <c r="H286" s="26"/>
      <c r="I286" s="29">
        <f t="shared" si="39"/>
        <v>3925.1349300253146</v>
      </c>
      <c r="J286" s="31">
        <f t="shared" si="40"/>
        <v>405257.07222512766</v>
      </c>
      <c r="K286" s="25"/>
    </row>
    <row r="287" spans="1:11" x14ac:dyDescent="0.25">
      <c r="A287" s="73">
        <v>41597</v>
      </c>
      <c r="B287" s="25" t="s">
        <v>626</v>
      </c>
      <c r="C287" s="25"/>
      <c r="D287" s="34">
        <f>3</f>
        <v>3</v>
      </c>
      <c r="E287" s="27">
        <f t="shared" si="37"/>
        <v>21172.889999999985</v>
      </c>
      <c r="F287" s="35"/>
      <c r="G287" s="63">
        <f t="shared" si="38"/>
        <v>19.137664212702653</v>
      </c>
      <c r="H287" s="26"/>
      <c r="I287" s="29">
        <f t="shared" si="39"/>
        <v>57.412992638107958</v>
      </c>
      <c r="J287" s="31">
        <f t="shared" si="40"/>
        <v>405199.65923248953</v>
      </c>
      <c r="K287" s="25"/>
    </row>
    <row r="288" spans="1:11" x14ac:dyDescent="0.25">
      <c r="A288" s="73">
        <v>41597</v>
      </c>
      <c r="B288" s="25" t="s">
        <v>627</v>
      </c>
      <c r="C288" s="25"/>
      <c r="D288" s="34">
        <f>10*4.5+3.5</f>
        <v>48.5</v>
      </c>
      <c r="E288" s="27">
        <f t="shared" si="37"/>
        <v>21124.389999999985</v>
      </c>
      <c r="F288" s="35"/>
      <c r="G288" s="63">
        <f t="shared" si="38"/>
        <v>19.137664212702649</v>
      </c>
      <c r="H288" s="26"/>
      <c r="I288" s="29">
        <f t="shared" si="39"/>
        <v>928.17671431607846</v>
      </c>
      <c r="J288" s="31">
        <f t="shared" si="40"/>
        <v>404271.48251817346</v>
      </c>
      <c r="K288" s="25"/>
    </row>
    <row r="289" spans="1:11" x14ac:dyDescent="0.25">
      <c r="A289" s="73">
        <v>41598</v>
      </c>
      <c r="B289" s="25" t="s">
        <v>628</v>
      </c>
      <c r="C289" s="25"/>
      <c r="D289" s="34">
        <f>4*4+4*2.5</f>
        <v>26</v>
      </c>
      <c r="E289" s="27">
        <f t="shared" si="37"/>
        <v>21098.389999999985</v>
      </c>
      <c r="F289" s="35"/>
      <c r="G289" s="63">
        <f t="shared" si="38"/>
        <v>19.137664212702649</v>
      </c>
      <c r="H289" s="26"/>
      <c r="I289" s="29">
        <f t="shared" si="39"/>
        <v>497.5792695302689</v>
      </c>
      <c r="J289" s="31">
        <f t="shared" si="40"/>
        <v>403773.90324864321</v>
      </c>
      <c r="K289" s="25"/>
    </row>
    <row r="290" spans="1:11" x14ac:dyDescent="0.25">
      <c r="A290" s="73">
        <v>41598</v>
      </c>
      <c r="B290" s="25" t="s">
        <v>629</v>
      </c>
      <c r="C290" s="25"/>
      <c r="D290" s="34">
        <f>104*3.3</f>
        <v>343.2</v>
      </c>
      <c r="E290" s="27">
        <f t="shared" si="37"/>
        <v>20755.189999999984</v>
      </c>
      <c r="F290" s="35"/>
      <c r="G290" s="63">
        <f t="shared" si="38"/>
        <v>19.137664212702653</v>
      </c>
      <c r="H290" s="26"/>
      <c r="I290" s="29">
        <f t="shared" si="39"/>
        <v>6568.0463577995506</v>
      </c>
      <c r="J290" s="31">
        <f t="shared" si="40"/>
        <v>397205.85689084366</v>
      </c>
      <c r="K290" s="25"/>
    </row>
    <row r="291" spans="1:11" x14ac:dyDescent="0.25">
      <c r="A291" s="73">
        <v>41599</v>
      </c>
      <c r="B291" s="25" t="s">
        <v>630</v>
      </c>
      <c r="C291" s="25"/>
      <c r="D291" s="34">
        <f>19*5</f>
        <v>95</v>
      </c>
      <c r="E291" s="27">
        <f t="shared" si="37"/>
        <v>20660.189999999984</v>
      </c>
      <c r="F291" s="35"/>
      <c r="G291" s="63">
        <f t="shared" si="38"/>
        <v>19.137664212702653</v>
      </c>
      <c r="H291" s="26"/>
      <c r="I291" s="29">
        <f t="shared" si="39"/>
        <v>1818.078100206752</v>
      </c>
      <c r="J291" s="31">
        <f t="shared" si="40"/>
        <v>395387.77879063692</v>
      </c>
      <c r="K291" s="25"/>
    </row>
    <row r="292" spans="1:11" x14ac:dyDescent="0.25">
      <c r="A292" s="73">
        <v>41599</v>
      </c>
      <c r="B292" s="25" t="s">
        <v>631</v>
      </c>
      <c r="C292" s="25"/>
      <c r="D292" s="34">
        <f>50*3</f>
        <v>150</v>
      </c>
      <c r="E292" s="27">
        <f t="shared" si="37"/>
        <v>20510.189999999984</v>
      </c>
      <c r="F292" s="35"/>
      <c r="G292" s="63">
        <f t="shared" si="38"/>
        <v>19.137664212702653</v>
      </c>
      <c r="H292" s="26"/>
      <c r="I292" s="29">
        <f t="shared" si="39"/>
        <v>2870.6496319053981</v>
      </c>
      <c r="J292" s="31">
        <f t="shared" si="40"/>
        <v>392517.12915873155</v>
      </c>
      <c r="K292" s="25"/>
    </row>
    <row r="293" spans="1:11" x14ac:dyDescent="0.25">
      <c r="A293" s="73">
        <v>41600</v>
      </c>
      <c r="B293" s="25" t="s">
        <v>632</v>
      </c>
      <c r="C293" s="25"/>
      <c r="D293" s="34">
        <f>2*5.1+2*3.5</f>
        <v>17.2</v>
      </c>
      <c r="E293" s="27">
        <f t="shared" si="37"/>
        <v>20492.989999999983</v>
      </c>
      <c r="F293" s="35"/>
      <c r="G293" s="63">
        <f t="shared" si="38"/>
        <v>19.137664212702653</v>
      </c>
      <c r="H293" s="26"/>
      <c r="I293" s="29">
        <f t="shared" si="39"/>
        <v>329.1678244584856</v>
      </c>
      <c r="J293" s="31">
        <f t="shared" si="40"/>
        <v>392187.96133427304</v>
      </c>
      <c r="K293" s="25"/>
    </row>
    <row r="294" spans="1:11" x14ac:dyDescent="0.25">
      <c r="A294" s="73">
        <v>41600</v>
      </c>
      <c r="B294" s="25" t="s">
        <v>633</v>
      </c>
      <c r="C294" s="25"/>
      <c r="D294" s="34">
        <f>10*5.4</f>
        <v>54</v>
      </c>
      <c r="E294" s="27">
        <f t="shared" si="37"/>
        <v>20438.989999999983</v>
      </c>
      <c r="F294" s="35"/>
      <c r="G294" s="63">
        <f t="shared" si="38"/>
        <v>19.137664212702653</v>
      </c>
      <c r="H294" s="26"/>
      <c r="I294" s="29">
        <f t="shared" si="39"/>
        <v>1033.4338674859432</v>
      </c>
      <c r="J294" s="31">
        <f t="shared" si="40"/>
        <v>391154.52746678708</v>
      </c>
      <c r="K294" s="25"/>
    </row>
    <row r="295" spans="1:11" x14ac:dyDescent="0.25">
      <c r="A295" s="73">
        <v>41601</v>
      </c>
      <c r="B295" s="25" t="s">
        <v>634</v>
      </c>
      <c r="C295" s="25"/>
      <c r="D295" s="34">
        <f>28*3+14*0.5</f>
        <v>91</v>
      </c>
      <c r="E295" s="27">
        <f t="shared" si="37"/>
        <v>20347.989999999983</v>
      </c>
      <c r="F295" s="35"/>
      <c r="G295" s="63">
        <f t="shared" si="38"/>
        <v>19.137664212702653</v>
      </c>
      <c r="H295" s="26"/>
      <c r="I295" s="29">
        <f t="shared" si="39"/>
        <v>1741.5274433559414</v>
      </c>
      <c r="J295" s="31">
        <f t="shared" si="40"/>
        <v>389413.00002343114</v>
      </c>
      <c r="K295" s="25"/>
    </row>
    <row r="296" spans="1:11" x14ac:dyDescent="0.25">
      <c r="A296" s="73">
        <v>41601</v>
      </c>
      <c r="B296" s="25" t="s">
        <v>635</v>
      </c>
      <c r="C296" s="25"/>
      <c r="D296" s="34">
        <f>100*5.5+50*0.5</f>
        <v>575</v>
      </c>
      <c r="E296" s="27">
        <f t="shared" ref="E296:E336" si="41">E295-D296</f>
        <v>19772.989999999983</v>
      </c>
      <c r="F296" s="35"/>
      <c r="G296" s="63">
        <f t="shared" ref="G296:G336" si="42">J295/E295</f>
        <v>19.137664212702653</v>
      </c>
      <c r="H296" s="26"/>
      <c r="I296" s="29">
        <f t="shared" ref="I296:I336" si="43">D296*G296</f>
        <v>11004.156922304026</v>
      </c>
      <c r="J296" s="31">
        <f t="shared" ref="J296:J336" si="44">J295-I296</f>
        <v>378408.84310112713</v>
      </c>
      <c r="K296" s="25"/>
    </row>
    <row r="297" spans="1:11" x14ac:dyDescent="0.25">
      <c r="A297" s="73">
        <v>41601</v>
      </c>
      <c r="B297" s="25" t="s">
        <v>636</v>
      </c>
      <c r="C297" s="25"/>
      <c r="D297" s="34">
        <f>4*2.45</f>
        <v>9.8000000000000007</v>
      </c>
      <c r="E297" s="27">
        <f t="shared" si="41"/>
        <v>19763.189999999984</v>
      </c>
      <c r="F297" s="35"/>
      <c r="G297" s="63">
        <f t="shared" si="42"/>
        <v>19.137664212702653</v>
      </c>
      <c r="H297" s="26"/>
      <c r="I297" s="29">
        <f t="shared" si="43"/>
        <v>187.54910928448601</v>
      </c>
      <c r="J297" s="31">
        <f t="shared" si="44"/>
        <v>378221.29399184266</v>
      </c>
      <c r="K297" s="25"/>
    </row>
    <row r="298" spans="1:11" x14ac:dyDescent="0.25">
      <c r="A298" s="73">
        <v>41601</v>
      </c>
      <c r="B298" s="25" t="s">
        <v>637</v>
      </c>
      <c r="C298" s="25"/>
      <c r="D298" s="34">
        <f>4*7.5+2*8</f>
        <v>46</v>
      </c>
      <c r="E298" s="27">
        <f t="shared" si="41"/>
        <v>19717.189999999984</v>
      </c>
      <c r="F298" s="35"/>
      <c r="G298" s="63">
        <f t="shared" si="42"/>
        <v>19.137664212702653</v>
      </c>
      <c r="H298" s="26"/>
      <c r="I298" s="29">
        <f t="shared" si="43"/>
        <v>880.33255378432204</v>
      </c>
      <c r="J298" s="31">
        <f t="shared" si="44"/>
        <v>377340.96143805835</v>
      </c>
      <c r="K298" s="25"/>
    </row>
    <row r="299" spans="1:11" x14ac:dyDescent="0.25">
      <c r="A299" s="73">
        <v>41603</v>
      </c>
      <c r="B299" s="25" t="s">
        <v>638</v>
      </c>
      <c r="C299" s="25"/>
      <c r="D299" s="34">
        <f>14*2.45</f>
        <v>34.300000000000004</v>
      </c>
      <c r="E299" s="27">
        <f t="shared" si="41"/>
        <v>19682.889999999985</v>
      </c>
      <c r="F299" s="35"/>
      <c r="G299" s="63">
        <f t="shared" si="42"/>
        <v>19.137664212702656</v>
      </c>
      <c r="H299" s="26"/>
      <c r="I299" s="29">
        <f t="shared" si="43"/>
        <v>656.4218824957012</v>
      </c>
      <c r="J299" s="31">
        <f t="shared" si="44"/>
        <v>376684.53955556266</v>
      </c>
      <c r="K299" s="25"/>
    </row>
    <row r="300" spans="1:11" x14ac:dyDescent="0.25">
      <c r="A300" s="73">
        <v>41603</v>
      </c>
      <c r="B300" s="25" t="s">
        <v>639</v>
      </c>
      <c r="C300" s="25"/>
      <c r="D300" s="34">
        <f>2.5</f>
        <v>2.5</v>
      </c>
      <c r="E300" s="27">
        <f t="shared" si="41"/>
        <v>19680.389999999985</v>
      </c>
      <c r="F300" s="35"/>
      <c r="G300" s="63">
        <f t="shared" si="42"/>
        <v>19.137664212702653</v>
      </c>
      <c r="H300" s="26"/>
      <c r="I300" s="29">
        <f t="shared" si="43"/>
        <v>47.844160531756629</v>
      </c>
      <c r="J300" s="31">
        <f t="shared" si="44"/>
        <v>376636.6953950309</v>
      </c>
      <c r="K300" s="25"/>
    </row>
    <row r="301" spans="1:11" x14ac:dyDescent="0.25">
      <c r="A301" s="73">
        <v>41604</v>
      </c>
      <c r="B301" s="25" t="s">
        <v>640</v>
      </c>
      <c r="C301" s="25"/>
      <c r="D301" s="34">
        <f>3*3</f>
        <v>9</v>
      </c>
      <c r="E301" s="27">
        <f t="shared" si="41"/>
        <v>19671.389999999985</v>
      </c>
      <c r="F301" s="35"/>
      <c r="G301" s="63">
        <f t="shared" si="42"/>
        <v>19.137664212702653</v>
      </c>
      <c r="H301" s="26"/>
      <c r="I301" s="29">
        <f t="shared" si="43"/>
        <v>172.23897791432387</v>
      </c>
      <c r="J301" s="31">
        <f t="shared" si="44"/>
        <v>376464.45641711657</v>
      </c>
      <c r="K301" s="25"/>
    </row>
    <row r="302" spans="1:11" x14ac:dyDescent="0.25">
      <c r="A302" s="73">
        <v>41604</v>
      </c>
      <c r="B302" s="25" t="s">
        <v>297</v>
      </c>
      <c r="C302" s="25"/>
      <c r="D302" s="34">
        <v>0</v>
      </c>
      <c r="E302" s="27">
        <f t="shared" si="41"/>
        <v>19671.389999999985</v>
      </c>
      <c r="F302" s="35"/>
      <c r="G302" s="63">
        <f t="shared" si="42"/>
        <v>19.137664212702653</v>
      </c>
      <c r="H302" s="26"/>
      <c r="I302" s="29">
        <f t="shared" si="43"/>
        <v>0</v>
      </c>
      <c r="J302" s="31">
        <f t="shared" si="44"/>
        <v>376464.45641711657</v>
      </c>
      <c r="K302" s="25"/>
    </row>
    <row r="303" spans="1:11" x14ac:dyDescent="0.25">
      <c r="A303" s="73">
        <v>41605</v>
      </c>
      <c r="B303" s="25" t="s">
        <v>641</v>
      </c>
      <c r="C303" s="25"/>
      <c r="D303" s="34">
        <f>6*5.08+8*4.3</f>
        <v>64.88</v>
      </c>
      <c r="E303" s="27">
        <f t="shared" si="41"/>
        <v>19606.509999999984</v>
      </c>
      <c r="F303" s="35"/>
      <c r="G303" s="63">
        <f t="shared" si="42"/>
        <v>19.137664212702653</v>
      </c>
      <c r="H303" s="26"/>
      <c r="I303" s="29">
        <f t="shared" si="43"/>
        <v>1241.6516541201481</v>
      </c>
      <c r="J303" s="31">
        <f t="shared" si="44"/>
        <v>375222.80476299644</v>
      </c>
      <c r="K303" s="25"/>
    </row>
    <row r="304" spans="1:11" x14ac:dyDescent="0.25">
      <c r="A304" s="73">
        <v>41605</v>
      </c>
      <c r="B304" s="25" t="s">
        <v>642</v>
      </c>
      <c r="C304" s="25"/>
      <c r="D304" s="34">
        <f>1.8+2</f>
        <v>3.8</v>
      </c>
      <c r="E304" s="27">
        <f t="shared" si="41"/>
        <v>19602.709999999985</v>
      </c>
      <c r="F304" s="35"/>
      <c r="G304" s="63">
        <f t="shared" si="42"/>
        <v>19.137664212702656</v>
      </c>
      <c r="H304" s="26"/>
      <c r="I304" s="29">
        <f t="shared" si="43"/>
        <v>72.723124008270091</v>
      </c>
      <c r="J304" s="31">
        <f t="shared" si="44"/>
        <v>375150.08163898817</v>
      </c>
      <c r="K304" s="25"/>
    </row>
    <row r="305" spans="1:11" x14ac:dyDescent="0.25">
      <c r="A305" s="73">
        <v>41605</v>
      </c>
      <c r="B305" s="25" t="s">
        <v>643</v>
      </c>
      <c r="C305" s="25"/>
      <c r="D305" s="34">
        <f>68*5.25+41*5.65+5.55+5.45+5.35+5.25+5.05+4.9+4.7+4.5+4.3+4.1+3.9+5.45+5.25+5.05+4.85+4.65+4+3.8</f>
        <v>674.74999999999989</v>
      </c>
      <c r="E305" s="27">
        <f t="shared" si="41"/>
        <v>18927.959999999985</v>
      </c>
      <c r="F305" s="35"/>
      <c r="G305" s="63">
        <f t="shared" si="42"/>
        <v>19.137664212702656</v>
      </c>
      <c r="H305" s="26"/>
      <c r="I305" s="29">
        <f t="shared" si="43"/>
        <v>12913.138927521115</v>
      </c>
      <c r="J305" s="31">
        <f t="shared" si="44"/>
        <v>362236.94271146704</v>
      </c>
      <c r="K305" s="25"/>
    </row>
    <row r="306" spans="1:11" x14ac:dyDescent="0.25">
      <c r="A306" s="73">
        <v>41605</v>
      </c>
      <c r="B306" s="25" t="s">
        <v>644</v>
      </c>
      <c r="C306" s="25"/>
      <c r="D306" s="34">
        <f>3.6+3.4+3.2+3+2.7+2.5+2.3+2.1+1.9+1.7</f>
        <v>26.4</v>
      </c>
      <c r="E306" s="27">
        <f t="shared" si="41"/>
        <v>18901.559999999983</v>
      </c>
      <c r="F306" s="35"/>
      <c r="G306" s="63">
        <f t="shared" si="42"/>
        <v>19.137664212702653</v>
      </c>
      <c r="H306" s="26"/>
      <c r="I306" s="29">
        <f t="shared" si="43"/>
        <v>505.23433521535003</v>
      </c>
      <c r="J306" s="31">
        <f t="shared" si="44"/>
        <v>361731.70837625168</v>
      </c>
      <c r="K306" s="25"/>
    </row>
    <row r="307" spans="1:11" x14ac:dyDescent="0.25">
      <c r="A307" s="73">
        <v>41607</v>
      </c>
      <c r="B307" s="25" t="s">
        <v>645</v>
      </c>
      <c r="C307" s="25"/>
      <c r="D307" s="34">
        <f>31*11.4</f>
        <v>353.40000000000003</v>
      </c>
      <c r="E307" s="27">
        <f t="shared" si="41"/>
        <v>18548.159999999982</v>
      </c>
      <c r="F307" s="35"/>
      <c r="G307" s="63">
        <f t="shared" si="42"/>
        <v>19.137664212702656</v>
      </c>
      <c r="H307" s="26"/>
      <c r="I307" s="29">
        <f t="shared" si="43"/>
        <v>6763.2505327691197</v>
      </c>
      <c r="J307" s="31">
        <f t="shared" si="44"/>
        <v>354968.45784348255</v>
      </c>
      <c r="K307" s="25"/>
    </row>
    <row r="308" spans="1:11" x14ac:dyDescent="0.25">
      <c r="A308" s="73">
        <v>41607</v>
      </c>
      <c r="B308" s="25" t="s">
        <v>646</v>
      </c>
      <c r="C308" s="25"/>
      <c r="D308" s="34">
        <f>14*5.5</f>
        <v>77</v>
      </c>
      <c r="E308" s="27">
        <f t="shared" si="41"/>
        <v>18471.159999999982</v>
      </c>
      <c r="F308" s="35"/>
      <c r="G308" s="63">
        <f t="shared" si="42"/>
        <v>19.137664212702656</v>
      </c>
      <c r="H308" s="26"/>
      <c r="I308" s="29">
        <f t="shared" si="43"/>
        <v>1473.6001443781045</v>
      </c>
      <c r="J308" s="31">
        <f t="shared" si="44"/>
        <v>353494.85769910447</v>
      </c>
      <c r="K308" s="25"/>
    </row>
    <row r="309" spans="1:11" x14ac:dyDescent="0.25">
      <c r="A309" s="73">
        <v>41607</v>
      </c>
      <c r="B309" s="25" t="s">
        <v>647</v>
      </c>
      <c r="C309" s="25"/>
      <c r="D309" s="34">
        <f>9*6</f>
        <v>54</v>
      </c>
      <c r="E309" s="27">
        <f t="shared" si="41"/>
        <v>18417.159999999982</v>
      </c>
      <c r="F309" s="35"/>
      <c r="G309" s="63">
        <f t="shared" si="42"/>
        <v>19.137664212702656</v>
      </c>
      <c r="H309" s="26"/>
      <c r="I309" s="29">
        <f t="shared" si="43"/>
        <v>1033.4338674859434</v>
      </c>
      <c r="J309" s="31">
        <f t="shared" si="44"/>
        <v>352461.42383161851</v>
      </c>
      <c r="K309" s="25"/>
    </row>
    <row r="310" spans="1:11" x14ac:dyDescent="0.25">
      <c r="A310" s="73">
        <v>41607</v>
      </c>
      <c r="B310" s="25" t="s">
        <v>648</v>
      </c>
      <c r="C310" s="25"/>
      <c r="D310" s="34">
        <f>5*2.5</f>
        <v>12.5</v>
      </c>
      <c r="E310" s="27">
        <f t="shared" si="41"/>
        <v>18404.659999999982</v>
      </c>
      <c r="F310" s="35"/>
      <c r="G310" s="63">
        <f t="shared" si="42"/>
        <v>19.137664212702656</v>
      </c>
      <c r="H310" s="26"/>
      <c r="I310" s="29">
        <f t="shared" si="43"/>
        <v>239.22080265878321</v>
      </c>
      <c r="J310" s="31">
        <f t="shared" si="44"/>
        <v>352222.20302895975</v>
      </c>
      <c r="K310" s="25"/>
    </row>
    <row r="311" spans="1:11" x14ac:dyDescent="0.25">
      <c r="A311" s="73">
        <v>41607</v>
      </c>
      <c r="B311" s="25" t="s">
        <v>649</v>
      </c>
      <c r="C311" s="25"/>
      <c r="D311" s="34">
        <f>14*8.9</f>
        <v>124.60000000000001</v>
      </c>
      <c r="E311" s="27">
        <f t="shared" si="41"/>
        <v>18280.059999999983</v>
      </c>
      <c r="F311" s="35"/>
      <c r="G311" s="63">
        <f t="shared" si="42"/>
        <v>19.137664212702656</v>
      </c>
      <c r="H311" s="26"/>
      <c r="I311" s="29">
        <f t="shared" si="43"/>
        <v>2384.5529609027512</v>
      </c>
      <c r="J311" s="31">
        <f t="shared" si="44"/>
        <v>349837.650068057</v>
      </c>
      <c r="K311" s="25"/>
    </row>
    <row r="312" spans="1:11" x14ac:dyDescent="0.25">
      <c r="A312" s="73">
        <v>41607</v>
      </c>
      <c r="B312" s="25" t="s">
        <v>650</v>
      </c>
      <c r="C312" s="25"/>
      <c r="D312" s="34">
        <f>8*2.4+2</f>
        <v>21.2</v>
      </c>
      <c r="E312" s="27">
        <f t="shared" si="41"/>
        <v>18258.859999999982</v>
      </c>
      <c r="F312" s="35"/>
      <c r="G312" s="63">
        <f t="shared" si="42"/>
        <v>19.137664212702656</v>
      </c>
      <c r="H312" s="26"/>
      <c r="I312" s="29">
        <f t="shared" si="43"/>
        <v>405.71848130929629</v>
      </c>
      <c r="J312" s="31">
        <f t="shared" si="44"/>
        <v>349431.9315867477</v>
      </c>
      <c r="K312" s="25"/>
    </row>
    <row r="313" spans="1:11" x14ac:dyDescent="0.25">
      <c r="A313" s="73">
        <v>41608</v>
      </c>
      <c r="B313" s="25" t="s">
        <v>651</v>
      </c>
      <c r="C313" s="25"/>
      <c r="D313" s="34">
        <f>82*8.67+82*7.5+30</f>
        <v>1355.94</v>
      </c>
      <c r="E313" s="27">
        <f t="shared" si="41"/>
        <v>16902.919999999984</v>
      </c>
      <c r="F313" s="35"/>
      <c r="G313" s="63">
        <f t="shared" si="42"/>
        <v>19.137664212702656</v>
      </c>
      <c r="H313" s="26"/>
      <c r="I313" s="29">
        <f t="shared" si="43"/>
        <v>25949.524412572042</v>
      </c>
      <c r="J313" s="31">
        <f t="shared" si="44"/>
        <v>323482.40717417566</v>
      </c>
      <c r="K313" s="25"/>
    </row>
    <row r="314" spans="1:11" x14ac:dyDescent="0.25">
      <c r="A314" s="73">
        <v>41608</v>
      </c>
      <c r="B314" s="25" t="s">
        <v>652</v>
      </c>
      <c r="C314" s="25"/>
      <c r="D314" s="34">
        <f>3*3.75+6*1.2</f>
        <v>18.45</v>
      </c>
      <c r="E314" s="27">
        <f t="shared" si="41"/>
        <v>16884.469999999983</v>
      </c>
      <c r="F314" s="35"/>
      <c r="G314" s="63">
        <f t="shared" si="42"/>
        <v>19.137664212702656</v>
      </c>
      <c r="H314" s="26"/>
      <c r="I314" s="29">
        <f t="shared" si="43"/>
        <v>353.08990472436398</v>
      </c>
      <c r="J314" s="31">
        <f t="shared" si="44"/>
        <v>323129.31726945128</v>
      </c>
      <c r="K314" s="25"/>
    </row>
    <row r="315" spans="1:11" x14ac:dyDescent="0.25">
      <c r="A315" s="73">
        <v>41609</v>
      </c>
      <c r="B315" s="25" t="s">
        <v>653</v>
      </c>
      <c r="C315" s="25"/>
      <c r="D315" s="34">
        <f>78*8.3+78*7+16.5</f>
        <v>1209.9000000000001</v>
      </c>
      <c r="E315" s="27">
        <f t="shared" si="41"/>
        <v>15674.569999999983</v>
      </c>
      <c r="F315" s="35"/>
      <c r="G315" s="63">
        <f t="shared" si="42"/>
        <v>19.137664212702656</v>
      </c>
      <c r="H315" s="26"/>
      <c r="I315" s="29">
        <f t="shared" si="43"/>
        <v>23154.659930948947</v>
      </c>
      <c r="J315" s="31">
        <f t="shared" si="44"/>
        <v>299974.65733850235</v>
      </c>
      <c r="K315" s="25"/>
    </row>
    <row r="316" spans="1:11" x14ac:dyDescent="0.25">
      <c r="A316" s="73">
        <v>41610</v>
      </c>
      <c r="B316" s="25" t="s">
        <v>654</v>
      </c>
      <c r="C316" s="25"/>
      <c r="D316" s="34">
        <f>18*4</f>
        <v>72</v>
      </c>
      <c r="E316" s="27">
        <f t="shared" si="41"/>
        <v>15602.569999999983</v>
      </c>
      <c r="F316" s="35"/>
      <c r="G316" s="63">
        <f t="shared" si="42"/>
        <v>19.137664212702656</v>
      </c>
      <c r="H316" s="26"/>
      <c r="I316" s="29">
        <f t="shared" si="43"/>
        <v>1377.9118233145912</v>
      </c>
      <c r="J316" s="31">
        <f t="shared" si="44"/>
        <v>298596.74551518774</v>
      </c>
      <c r="K316" s="25"/>
    </row>
    <row r="317" spans="1:11" x14ac:dyDescent="0.25">
      <c r="A317" s="73">
        <v>41612</v>
      </c>
      <c r="B317" s="25" t="s">
        <v>655</v>
      </c>
      <c r="C317" s="25"/>
      <c r="D317" s="34">
        <f>14*6.5</f>
        <v>91</v>
      </c>
      <c r="E317" s="27">
        <f t="shared" si="41"/>
        <v>15511.569999999983</v>
      </c>
      <c r="F317" s="35"/>
      <c r="G317" s="63">
        <f t="shared" si="42"/>
        <v>19.137664212702653</v>
      </c>
      <c r="H317" s="26"/>
      <c r="I317" s="29">
        <f t="shared" si="43"/>
        <v>1741.5274433559414</v>
      </c>
      <c r="J317" s="31">
        <f t="shared" si="44"/>
        <v>296855.2180718318</v>
      </c>
      <c r="K317" s="25"/>
    </row>
    <row r="318" spans="1:11" x14ac:dyDescent="0.25">
      <c r="A318" s="73">
        <v>41613</v>
      </c>
      <c r="B318" s="25" t="s">
        <v>656</v>
      </c>
      <c r="C318" s="25"/>
      <c r="D318" s="34">
        <f>5*1.4</f>
        <v>7</v>
      </c>
      <c r="E318" s="27">
        <f t="shared" si="41"/>
        <v>15504.569999999983</v>
      </c>
      <c r="F318" s="35"/>
      <c r="G318" s="63">
        <f t="shared" si="42"/>
        <v>19.137664212702656</v>
      </c>
      <c r="H318" s="26"/>
      <c r="I318" s="29">
        <f t="shared" si="43"/>
        <v>133.96364948891861</v>
      </c>
      <c r="J318" s="31">
        <f t="shared" si="44"/>
        <v>296721.25442234287</v>
      </c>
      <c r="K318" s="25"/>
    </row>
    <row r="319" spans="1:11" x14ac:dyDescent="0.25">
      <c r="A319" s="73">
        <v>41613</v>
      </c>
      <c r="B319" s="25" t="s">
        <v>657</v>
      </c>
      <c r="C319" s="25"/>
      <c r="D319" s="34">
        <f>5*4.25</f>
        <v>21.25</v>
      </c>
      <c r="E319" s="27">
        <f t="shared" si="41"/>
        <v>15483.319999999983</v>
      </c>
      <c r="F319" s="35"/>
      <c r="G319" s="63">
        <f t="shared" si="42"/>
        <v>19.137664212702653</v>
      </c>
      <c r="H319" s="26"/>
      <c r="I319" s="29">
        <f t="shared" si="43"/>
        <v>406.67536451993135</v>
      </c>
      <c r="J319" s="31">
        <f t="shared" si="44"/>
        <v>296314.57905782294</v>
      </c>
      <c r="K319" s="25"/>
    </row>
    <row r="320" spans="1:11" x14ac:dyDescent="0.25">
      <c r="A320" s="73">
        <v>41614</v>
      </c>
      <c r="B320" s="25" t="s">
        <v>658</v>
      </c>
      <c r="C320" s="25"/>
      <c r="D320" s="34">
        <f>5*3.1</f>
        <v>15.5</v>
      </c>
      <c r="E320" s="27">
        <f t="shared" si="41"/>
        <v>15467.819999999983</v>
      </c>
      <c r="F320" s="35"/>
      <c r="G320" s="63">
        <f t="shared" si="42"/>
        <v>19.137664212702653</v>
      </c>
      <c r="H320" s="26"/>
      <c r="I320" s="29">
        <f t="shared" si="43"/>
        <v>296.63379529689109</v>
      </c>
      <c r="J320" s="31">
        <f t="shared" si="44"/>
        <v>296017.94526252605</v>
      </c>
      <c r="K320" s="25"/>
    </row>
    <row r="321" spans="1:11" x14ac:dyDescent="0.25">
      <c r="A321" s="73">
        <v>41618</v>
      </c>
      <c r="B321" s="25" t="s">
        <v>659</v>
      </c>
      <c r="C321" s="25"/>
      <c r="D321" s="34">
        <f>5*3.7+5*2.1</f>
        <v>29</v>
      </c>
      <c r="E321" s="27">
        <f t="shared" si="41"/>
        <v>15438.819999999983</v>
      </c>
      <c r="F321" s="35"/>
      <c r="G321" s="63">
        <f t="shared" si="42"/>
        <v>19.137664212702653</v>
      </c>
      <c r="H321" s="26"/>
      <c r="I321" s="29">
        <f t="shared" si="43"/>
        <v>554.9922621683769</v>
      </c>
      <c r="J321" s="31">
        <f t="shared" si="44"/>
        <v>295462.95300035767</v>
      </c>
      <c r="K321" s="25"/>
    </row>
    <row r="322" spans="1:11" x14ac:dyDescent="0.25">
      <c r="A322" s="73">
        <v>41618</v>
      </c>
      <c r="B322" s="25" t="s">
        <v>660</v>
      </c>
      <c r="C322" s="25"/>
      <c r="D322" s="34">
        <f>20*4.4+20*5.5</f>
        <v>198</v>
      </c>
      <c r="E322" s="27">
        <f t="shared" si="41"/>
        <v>15240.819999999983</v>
      </c>
      <c r="F322" s="35"/>
      <c r="G322" s="63">
        <f t="shared" si="42"/>
        <v>19.137664212702653</v>
      </c>
      <c r="H322" s="26"/>
      <c r="I322" s="29">
        <f t="shared" si="43"/>
        <v>3789.2575141151251</v>
      </c>
      <c r="J322" s="31">
        <f t="shared" si="44"/>
        <v>291673.69548624253</v>
      </c>
      <c r="K322" s="25"/>
    </row>
    <row r="323" spans="1:11" x14ac:dyDescent="0.25">
      <c r="A323" s="73">
        <v>41619</v>
      </c>
      <c r="B323" s="25" t="s">
        <v>661</v>
      </c>
      <c r="C323" s="25"/>
      <c r="D323" s="34">
        <f>106*5.9+49*7.8</f>
        <v>1007.6000000000001</v>
      </c>
      <c r="E323" s="27">
        <f t="shared" si="41"/>
        <v>14233.219999999983</v>
      </c>
      <c r="F323" s="35"/>
      <c r="G323" s="63">
        <f t="shared" si="42"/>
        <v>19.137664212702653</v>
      </c>
      <c r="H323" s="26"/>
      <c r="I323" s="29">
        <f t="shared" si="43"/>
        <v>19283.110460719196</v>
      </c>
      <c r="J323" s="31">
        <f t="shared" si="44"/>
        <v>272390.58502552332</v>
      </c>
      <c r="K323" s="25"/>
    </row>
    <row r="324" spans="1:11" x14ac:dyDescent="0.25">
      <c r="A324" s="73">
        <v>41619</v>
      </c>
      <c r="B324" s="25" t="s">
        <v>662</v>
      </c>
      <c r="C324" s="25"/>
      <c r="D324" s="34">
        <f>3*3.2</f>
        <v>9.6000000000000014</v>
      </c>
      <c r="E324" s="27">
        <f t="shared" si="41"/>
        <v>14223.619999999983</v>
      </c>
      <c r="F324" s="35"/>
      <c r="G324" s="63">
        <f t="shared" si="42"/>
        <v>19.137664212702653</v>
      </c>
      <c r="H324" s="26"/>
      <c r="I324" s="29">
        <f t="shared" si="43"/>
        <v>183.7215764419455</v>
      </c>
      <c r="J324" s="31">
        <f t="shared" si="44"/>
        <v>272206.86344908137</v>
      </c>
      <c r="K324" s="25"/>
    </row>
    <row r="325" spans="1:11" x14ac:dyDescent="0.25">
      <c r="A325" s="73">
        <v>41619</v>
      </c>
      <c r="B325" s="25" t="s">
        <v>663</v>
      </c>
      <c r="C325" s="25"/>
      <c r="D325" s="34">
        <f>8*4</f>
        <v>32</v>
      </c>
      <c r="E325" s="27">
        <f t="shared" si="41"/>
        <v>14191.619999999983</v>
      </c>
      <c r="F325" s="35"/>
      <c r="G325" s="63">
        <f t="shared" si="42"/>
        <v>19.137664212702653</v>
      </c>
      <c r="H325" s="26"/>
      <c r="I325" s="29">
        <f t="shared" si="43"/>
        <v>612.40525480648489</v>
      </c>
      <c r="J325" s="31">
        <f t="shared" si="44"/>
        <v>271594.45819427486</v>
      </c>
      <c r="K325" s="25"/>
    </row>
    <row r="326" spans="1:11" x14ac:dyDescent="0.25">
      <c r="A326" s="73">
        <v>41619</v>
      </c>
      <c r="B326" s="25" t="s">
        <v>664</v>
      </c>
      <c r="C326" s="25"/>
      <c r="D326" s="34">
        <f>16*6.25+2*5.25</f>
        <v>110.5</v>
      </c>
      <c r="E326" s="27">
        <f t="shared" si="41"/>
        <v>14081.119999999983</v>
      </c>
      <c r="F326" s="35"/>
      <c r="G326" s="63">
        <f t="shared" si="42"/>
        <v>19.137664212702649</v>
      </c>
      <c r="H326" s="26"/>
      <c r="I326" s="29">
        <f t="shared" si="43"/>
        <v>2114.7118955036426</v>
      </c>
      <c r="J326" s="31">
        <f t="shared" si="44"/>
        <v>269479.74629877124</v>
      </c>
      <c r="K326" s="25"/>
    </row>
    <row r="327" spans="1:11" x14ac:dyDescent="0.25">
      <c r="A327" s="73">
        <v>41620</v>
      </c>
      <c r="B327" s="25" t="s">
        <v>665</v>
      </c>
      <c r="C327" s="25"/>
      <c r="D327" s="34">
        <f>48*3</f>
        <v>144</v>
      </c>
      <c r="E327" s="27">
        <f t="shared" si="41"/>
        <v>13937.119999999983</v>
      </c>
      <c r="F327" s="35"/>
      <c r="G327" s="63">
        <f t="shared" si="42"/>
        <v>19.137664212702653</v>
      </c>
      <c r="H327" s="26"/>
      <c r="I327" s="29">
        <f t="shared" si="43"/>
        <v>2755.8236466291819</v>
      </c>
      <c r="J327" s="31">
        <f t="shared" si="44"/>
        <v>266723.92265214206</v>
      </c>
      <c r="K327" s="25"/>
    </row>
    <row r="328" spans="1:11" x14ac:dyDescent="0.25">
      <c r="A328" s="73">
        <v>41620</v>
      </c>
      <c r="B328" s="25" t="s">
        <v>666</v>
      </c>
      <c r="C328" s="25"/>
      <c r="D328" s="34">
        <f>20*6.2</f>
        <v>124</v>
      </c>
      <c r="E328" s="27">
        <f t="shared" si="41"/>
        <v>13813.119999999983</v>
      </c>
      <c r="F328" s="35"/>
      <c r="G328" s="63">
        <f t="shared" si="42"/>
        <v>19.137664212702653</v>
      </c>
      <c r="H328" s="26"/>
      <c r="I328" s="29">
        <f t="shared" si="43"/>
        <v>2373.0703623751288</v>
      </c>
      <c r="J328" s="31">
        <f t="shared" si="44"/>
        <v>264350.85228976695</v>
      </c>
      <c r="K328" s="25"/>
    </row>
    <row r="329" spans="1:11" x14ac:dyDescent="0.25">
      <c r="A329" s="73">
        <v>41620</v>
      </c>
      <c r="B329" s="25" t="s">
        <v>667</v>
      </c>
      <c r="C329" s="25"/>
      <c r="D329" s="34">
        <f>4*4.1</f>
        <v>16.399999999999999</v>
      </c>
      <c r="E329" s="27">
        <f t="shared" si="41"/>
        <v>13796.719999999983</v>
      </c>
      <c r="F329" s="35"/>
      <c r="G329" s="63">
        <f t="shared" si="42"/>
        <v>19.137664212702653</v>
      </c>
      <c r="H329" s="26"/>
      <c r="I329" s="29">
        <f t="shared" si="43"/>
        <v>313.85769308832346</v>
      </c>
      <c r="J329" s="31">
        <f t="shared" si="44"/>
        <v>264036.99459667865</v>
      </c>
      <c r="K329" s="25"/>
    </row>
    <row r="330" spans="1:11" x14ac:dyDescent="0.25">
      <c r="A330" s="73">
        <v>41620</v>
      </c>
      <c r="B330" s="25" t="s">
        <v>668</v>
      </c>
      <c r="C330" s="25"/>
      <c r="D330" s="34">
        <f>4.7+4.8</f>
        <v>9.5</v>
      </c>
      <c r="E330" s="27">
        <f t="shared" si="41"/>
        <v>13787.219999999983</v>
      </c>
      <c r="F330" s="35"/>
      <c r="G330" s="63">
        <f t="shared" si="42"/>
        <v>19.137664212702656</v>
      </c>
      <c r="H330" s="26"/>
      <c r="I330" s="29">
        <f t="shared" si="43"/>
        <v>181.80781002067525</v>
      </c>
      <c r="J330" s="31">
        <f t="shared" si="44"/>
        <v>263855.18678665796</v>
      </c>
      <c r="K330" s="25"/>
    </row>
    <row r="331" spans="1:11" x14ac:dyDescent="0.25">
      <c r="A331" s="73">
        <v>41622</v>
      </c>
      <c r="B331" s="25" t="s">
        <v>669</v>
      </c>
      <c r="C331" s="25"/>
      <c r="D331" s="34">
        <f>4*2.6</f>
        <v>10.4</v>
      </c>
      <c r="E331" s="27">
        <f t="shared" si="41"/>
        <v>13776.819999999983</v>
      </c>
      <c r="F331" s="35"/>
      <c r="G331" s="63">
        <f t="shared" si="42"/>
        <v>19.137664212702653</v>
      </c>
      <c r="H331" s="26"/>
      <c r="I331" s="29">
        <f t="shared" si="43"/>
        <v>199.03170781210758</v>
      </c>
      <c r="J331" s="31">
        <f t="shared" si="44"/>
        <v>263656.15507884586</v>
      </c>
      <c r="K331" s="25"/>
    </row>
    <row r="332" spans="1:11" x14ac:dyDescent="0.25">
      <c r="A332" s="73">
        <v>41622</v>
      </c>
      <c r="B332" s="25" t="s">
        <v>670</v>
      </c>
      <c r="C332" s="25"/>
      <c r="D332" s="34">
        <f>11*6</f>
        <v>66</v>
      </c>
      <c r="E332" s="27">
        <f t="shared" si="41"/>
        <v>13710.819999999983</v>
      </c>
      <c r="F332" s="35"/>
      <c r="G332" s="63">
        <f t="shared" si="42"/>
        <v>19.137664212702653</v>
      </c>
      <c r="H332" s="26"/>
      <c r="I332" s="29">
        <f t="shared" si="43"/>
        <v>1263.0858380383752</v>
      </c>
      <c r="J332" s="31">
        <f t="shared" si="44"/>
        <v>262393.0692408075</v>
      </c>
      <c r="K332" s="25"/>
    </row>
    <row r="333" spans="1:11" x14ac:dyDescent="0.25">
      <c r="A333" s="73">
        <v>41624</v>
      </c>
      <c r="B333" s="25" t="s">
        <v>671</v>
      </c>
      <c r="C333" s="25"/>
      <c r="D333" s="34">
        <f>5*4.5</f>
        <v>22.5</v>
      </c>
      <c r="E333" s="27">
        <f t="shared" si="41"/>
        <v>13688.319999999983</v>
      </c>
      <c r="F333" s="35"/>
      <c r="G333" s="63">
        <f t="shared" si="42"/>
        <v>19.137664212702656</v>
      </c>
      <c r="H333" s="26"/>
      <c r="I333" s="29">
        <f t="shared" si="43"/>
        <v>430.59744478580978</v>
      </c>
      <c r="J333" s="31">
        <f t="shared" si="44"/>
        <v>261962.47179602168</v>
      </c>
      <c r="K333" s="25"/>
    </row>
    <row r="334" spans="1:11" x14ac:dyDescent="0.25">
      <c r="A334" s="73">
        <v>41625</v>
      </c>
      <c r="B334" s="25" t="s">
        <v>672</v>
      </c>
      <c r="C334" s="25"/>
      <c r="D334" s="34">
        <f>20*3</f>
        <v>60</v>
      </c>
      <c r="E334" s="27">
        <f t="shared" si="41"/>
        <v>13628.319999999983</v>
      </c>
      <c r="F334" s="35"/>
      <c r="G334" s="63">
        <f t="shared" si="42"/>
        <v>19.137664212702653</v>
      </c>
      <c r="H334" s="26"/>
      <c r="I334" s="29">
        <f t="shared" si="43"/>
        <v>1148.2598527621592</v>
      </c>
      <c r="J334" s="31">
        <f t="shared" si="44"/>
        <v>260814.21194325952</v>
      </c>
      <c r="K334" s="25"/>
    </row>
    <row r="335" spans="1:11" x14ac:dyDescent="0.25">
      <c r="A335" s="73">
        <v>41625</v>
      </c>
      <c r="B335" s="25" t="s">
        <v>673</v>
      </c>
      <c r="C335" s="25"/>
      <c r="D335" s="34">
        <f>3</f>
        <v>3</v>
      </c>
      <c r="E335" s="27">
        <f t="shared" si="41"/>
        <v>13625.319999999983</v>
      </c>
      <c r="F335" s="35"/>
      <c r="G335" s="63">
        <f t="shared" si="42"/>
        <v>19.137664212702653</v>
      </c>
      <c r="H335" s="26"/>
      <c r="I335" s="29">
        <f t="shared" si="43"/>
        <v>57.412992638107958</v>
      </c>
      <c r="J335" s="31">
        <f t="shared" si="44"/>
        <v>260756.79895062142</v>
      </c>
      <c r="K335" s="25"/>
    </row>
    <row r="336" spans="1:11" x14ac:dyDescent="0.25">
      <c r="A336" s="73">
        <v>41625</v>
      </c>
      <c r="B336" s="25" t="s">
        <v>674</v>
      </c>
      <c r="C336" s="25"/>
      <c r="D336" s="34">
        <f>12*8.3+2*7</f>
        <v>113.60000000000001</v>
      </c>
      <c r="E336" s="27">
        <f t="shared" si="41"/>
        <v>13511.719999999983</v>
      </c>
      <c r="F336" s="35"/>
      <c r="G336" s="63">
        <f t="shared" si="42"/>
        <v>19.137664212702656</v>
      </c>
      <c r="H336" s="26"/>
      <c r="I336" s="29">
        <f t="shared" si="43"/>
        <v>2174.0386545630217</v>
      </c>
      <c r="J336" s="31">
        <f t="shared" si="44"/>
        <v>258582.7602960584</v>
      </c>
      <c r="K336" s="25"/>
    </row>
    <row r="337" spans="1:11" x14ac:dyDescent="0.25">
      <c r="A337" s="73">
        <v>41625</v>
      </c>
      <c r="B337" s="25" t="s">
        <v>675</v>
      </c>
      <c r="C337" s="25"/>
      <c r="D337" s="34">
        <f>13*5.5+13*6</f>
        <v>149.5</v>
      </c>
      <c r="E337" s="27">
        <f t="shared" ref="E337:E366" si="45">E336-D337</f>
        <v>13362.219999999983</v>
      </c>
      <c r="F337" s="35"/>
      <c r="G337" s="63">
        <f t="shared" ref="G337:G366" si="46">J336/E336</f>
        <v>19.137664212702656</v>
      </c>
      <c r="H337" s="26"/>
      <c r="I337" s="29">
        <f t="shared" ref="I337:I366" si="47">D337*G337</f>
        <v>2861.0807997990473</v>
      </c>
      <c r="J337" s="31">
        <f t="shared" ref="J337:J366" si="48">J336-I337</f>
        <v>255721.67949625937</v>
      </c>
      <c r="K337" s="25"/>
    </row>
    <row r="338" spans="1:11" x14ac:dyDescent="0.25">
      <c r="A338" s="73">
        <v>41626</v>
      </c>
      <c r="B338" s="25" t="s">
        <v>676</v>
      </c>
      <c r="C338" s="25"/>
      <c r="D338" s="34">
        <f>8*3.5+4*0.5</f>
        <v>30</v>
      </c>
      <c r="E338" s="27">
        <f t="shared" si="45"/>
        <v>13332.219999999983</v>
      </c>
      <c r="F338" s="35"/>
      <c r="G338" s="63">
        <f t="shared" si="46"/>
        <v>19.137664212702656</v>
      </c>
      <c r="H338" s="26"/>
      <c r="I338" s="29">
        <f t="shared" si="47"/>
        <v>574.12992638107971</v>
      </c>
      <c r="J338" s="31">
        <f t="shared" si="48"/>
        <v>255147.54956987829</v>
      </c>
      <c r="K338" s="25"/>
    </row>
    <row r="339" spans="1:11" x14ac:dyDescent="0.25">
      <c r="A339" s="73">
        <v>41626</v>
      </c>
      <c r="B339" s="25" t="s">
        <v>677</v>
      </c>
      <c r="C339" s="25"/>
      <c r="D339" s="34">
        <f>5*3</f>
        <v>15</v>
      </c>
      <c r="E339" s="27">
        <f t="shared" si="45"/>
        <v>13317.219999999983</v>
      </c>
      <c r="F339" s="35"/>
      <c r="G339" s="63">
        <f t="shared" si="46"/>
        <v>19.137664212702656</v>
      </c>
      <c r="H339" s="26"/>
      <c r="I339" s="29">
        <f t="shared" si="47"/>
        <v>287.06496319053986</v>
      </c>
      <c r="J339" s="31">
        <f t="shared" si="48"/>
        <v>254860.48460668774</v>
      </c>
      <c r="K339" s="25"/>
    </row>
    <row r="340" spans="1:11" x14ac:dyDescent="0.25">
      <c r="A340" s="73">
        <v>41627</v>
      </c>
      <c r="B340" s="25" t="s">
        <v>678</v>
      </c>
      <c r="C340" s="25"/>
      <c r="D340" s="34">
        <f>25*4.1+26*4.2+26*4+25*3.75</f>
        <v>409.45</v>
      </c>
      <c r="E340" s="27">
        <f t="shared" si="45"/>
        <v>12907.769999999982</v>
      </c>
      <c r="F340" s="35"/>
      <c r="G340" s="63">
        <f t="shared" si="46"/>
        <v>19.137664212702656</v>
      </c>
      <c r="H340" s="26"/>
      <c r="I340" s="29">
        <f t="shared" si="47"/>
        <v>7835.9166118911025</v>
      </c>
      <c r="J340" s="31">
        <f t="shared" si="48"/>
        <v>247024.56799479664</v>
      </c>
      <c r="K340" s="25"/>
    </row>
    <row r="341" spans="1:11" x14ac:dyDescent="0.25">
      <c r="A341" s="73">
        <v>41627</v>
      </c>
      <c r="B341" s="25" t="s">
        <v>679</v>
      </c>
      <c r="C341" s="25"/>
      <c r="D341" s="34">
        <f>31*3</f>
        <v>93</v>
      </c>
      <c r="E341" s="27">
        <f t="shared" si="45"/>
        <v>12814.769999999982</v>
      </c>
      <c r="F341" s="35"/>
      <c r="G341" s="63">
        <f t="shared" si="46"/>
        <v>19.137664212702656</v>
      </c>
      <c r="H341" s="26"/>
      <c r="I341" s="29">
        <f t="shared" si="47"/>
        <v>1779.802771781347</v>
      </c>
      <c r="J341" s="31">
        <f t="shared" si="48"/>
        <v>245244.7652230153</v>
      </c>
      <c r="K341" s="25"/>
    </row>
    <row r="342" spans="1:11" x14ac:dyDescent="0.25">
      <c r="A342" s="73">
        <v>41627</v>
      </c>
      <c r="B342" s="25" t="s">
        <v>680</v>
      </c>
      <c r="C342" s="25"/>
      <c r="D342" s="34">
        <f>4*1.8+2*2.5</f>
        <v>12.2</v>
      </c>
      <c r="E342" s="27">
        <f t="shared" si="45"/>
        <v>12802.569999999982</v>
      </c>
      <c r="F342" s="35"/>
      <c r="G342" s="63">
        <f t="shared" si="46"/>
        <v>19.13766421270266</v>
      </c>
      <c r="H342" s="26"/>
      <c r="I342" s="29">
        <f t="shared" si="47"/>
        <v>233.47950339497243</v>
      </c>
      <c r="J342" s="31">
        <f t="shared" si="48"/>
        <v>245011.28571962033</v>
      </c>
      <c r="K342" s="25"/>
    </row>
    <row r="343" spans="1:11" x14ac:dyDescent="0.25">
      <c r="A343" s="73">
        <v>41628</v>
      </c>
      <c r="B343" s="25" t="s">
        <v>681</v>
      </c>
      <c r="C343" s="25"/>
      <c r="D343" s="34">
        <f>12*5.3</f>
        <v>63.599999999999994</v>
      </c>
      <c r="E343" s="27">
        <f t="shared" si="45"/>
        <v>12738.969999999981</v>
      </c>
      <c r="F343" s="35"/>
      <c r="G343" s="63">
        <f t="shared" si="46"/>
        <v>19.13766421270266</v>
      </c>
      <c r="H343" s="26"/>
      <c r="I343" s="29">
        <f t="shared" si="47"/>
        <v>1217.1554439278891</v>
      </c>
      <c r="J343" s="31">
        <f t="shared" si="48"/>
        <v>243794.13027569244</v>
      </c>
      <c r="K343" s="25"/>
    </row>
    <row r="344" spans="1:11" x14ac:dyDescent="0.25">
      <c r="A344" s="73">
        <v>41628</v>
      </c>
      <c r="B344" s="25" t="s">
        <v>682</v>
      </c>
      <c r="C344" s="25"/>
      <c r="D344" s="34">
        <f>46*3.6</f>
        <v>165.6</v>
      </c>
      <c r="E344" s="27">
        <f t="shared" si="45"/>
        <v>12573.369999999981</v>
      </c>
      <c r="F344" s="35"/>
      <c r="G344" s="63">
        <f t="shared" si="46"/>
        <v>19.13766421270266</v>
      </c>
      <c r="H344" s="26"/>
      <c r="I344" s="29">
        <f t="shared" si="47"/>
        <v>3169.1971936235605</v>
      </c>
      <c r="J344" s="31">
        <f t="shared" si="48"/>
        <v>240624.93308206889</v>
      </c>
      <c r="K344" s="25"/>
    </row>
    <row r="345" spans="1:11" x14ac:dyDescent="0.25">
      <c r="A345" s="73">
        <v>41629</v>
      </c>
      <c r="B345" s="25" t="s">
        <v>683</v>
      </c>
      <c r="C345" s="25"/>
      <c r="D345" s="34">
        <f>1.5</f>
        <v>1.5</v>
      </c>
      <c r="E345" s="27">
        <f t="shared" si="45"/>
        <v>12571.869999999981</v>
      </c>
      <c r="F345" s="35"/>
      <c r="G345" s="63">
        <f t="shared" si="46"/>
        <v>19.13766421270266</v>
      </c>
      <c r="H345" s="26"/>
      <c r="I345" s="29">
        <f t="shared" si="47"/>
        <v>28.70649631905399</v>
      </c>
      <c r="J345" s="31">
        <f t="shared" si="48"/>
        <v>240596.22658574983</v>
      </c>
      <c r="K345" s="25"/>
    </row>
    <row r="346" spans="1:11" x14ac:dyDescent="0.25">
      <c r="A346" s="73">
        <v>41629</v>
      </c>
      <c r="B346" s="25" t="s">
        <v>684</v>
      </c>
      <c r="C346" s="25"/>
      <c r="D346" s="34">
        <f>9*3.35+5*2.45</f>
        <v>42.400000000000006</v>
      </c>
      <c r="E346" s="27">
        <f t="shared" si="45"/>
        <v>12529.469999999981</v>
      </c>
      <c r="F346" s="35"/>
      <c r="G346" s="63">
        <f t="shared" si="46"/>
        <v>19.13766421270266</v>
      </c>
      <c r="H346" s="26"/>
      <c r="I346" s="29">
        <f t="shared" si="47"/>
        <v>811.43696261859293</v>
      </c>
      <c r="J346" s="31">
        <f t="shared" si="48"/>
        <v>239784.78962313125</v>
      </c>
      <c r="K346" s="25"/>
    </row>
    <row r="347" spans="1:11" x14ac:dyDescent="0.25">
      <c r="A347" s="73">
        <v>41629</v>
      </c>
      <c r="B347" s="25" t="s">
        <v>685</v>
      </c>
      <c r="C347" s="25"/>
      <c r="D347" s="34">
        <f>3*0.6</f>
        <v>1.7999999999999998</v>
      </c>
      <c r="E347" s="27">
        <f t="shared" si="45"/>
        <v>12527.669999999982</v>
      </c>
      <c r="F347" s="35"/>
      <c r="G347" s="63">
        <f t="shared" si="46"/>
        <v>19.13766421270266</v>
      </c>
      <c r="H347" s="26"/>
      <c r="I347" s="29">
        <f t="shared" si="47"/>
        <v>34.447795582864785</v>
      </c>
      <c r="J347" s="31">
        <f t="shared" si="48"/>
        <v>239750.34182754837</v>
      </c>
      <c r="K347" s="25"/>
    </row>
    <row r="348" spans="1:11" x14ac:dyDescent="0.25">
      <c r="A348" s="73">
        <v>41629</v>
      </c>
      <c r="B348" s="25" t="s">
        <v>686</v>
      </c>
      <c r="C348" s="25"/>
      <c r="D348" s="34">
        <f>20*5+12*4.5</f>
        <v>154</v>
      </c>
      <c r="E348" s="27">
        <f t="shared" si="45"/>
        <v>12373.669999999982</v>
      </c>
      <c r="F348" s="35"/>
      <c r="G348" s="63">
        <f t="shared" si="46"/>
        <v>19.13766421270266</v>
      </c>
      <c r="H348" s="26"/>
      <c r="I348" s="29">
        <f t="shared" si="47"/>
        <v>2947.2002887562098</v>
      </c>
      <c r="J348" s="31">
        <f t="shared" si="48"/>
        <v>236803.14153879217</v>
      </c>
      <c r="K348" s="25"/>
    </row>
    <row r="349" spans="1:11" x14ac:dyDescent="0.25">
      <c r="A349" s="73">
        <v>41629</v>
      </c>
      <c r="B349" s="25" t="s">
        <v>687</v>
      </c>
      <c r="C349" s="25"/>
      <c r="D349" s="34">
        <f>9*4.5</f>
        <v>40.5</v>
      </c>
      <c r="E349" s="27">
        <f t="shared" si="45"/>
        <v>12333.169999999982</v>
      </c>
      <c r="F349" s="35"/>
      <c r="G349" s="63">
        <f t="shared" si="46"/>
        <v>19.13766421270266</v>
      </c>
      <c r="H349" s="26"/>
      <c r="I349" s="29">
        <f t="shared" si="47"/>
        <v>775.07540061445775</v>
      </c>
      <c r="J349" s="31">
        <f t="shared" si="48"/>
        <v>236028.0661381777</v>
      </c>
      <c r="K349" s="25"/>
    </row>
    <row r="350" spans="1:11" x14ac:dyDescent="0.25">
      <c r="A350" s="73">
        <v>41629</v>
      </c>
      <c r="B350" s="25" t="s">
        <v>688</v>
      </c>
      <c r="C350" s="25"/>
      <c r="D350" s="34">
        <f>4.5</f>
        <v>4.5</v>
      </c>
      <c r="E350" s="27">
        <f t="shared" si="45"/>
        <v>12328.669999999982</v>
      </c>
      <c r="F350" s="35"/>
      <c r="G350" s="63">
        <f t="shared" si="46"/>
        <v>19.13766421270266</v>
      </c>
      <c r="H350" s="26"/>
      <c r="I350" s="29">
        <f t="shared" si="47"/>
        <v>86.119488957161963</v>
      </c>
      <c r="J350" s="31">
        <f t="shared" si="48"/>
        <v>235941.94664922054</v>
      </c>
      <c r="K350" s="25"/>
    </row>
    <row r="351" spans="1:11" x14ac:dyDescent="0.25">
      <c r="A351" s="73">
        <v>41631</v>
      </c>
      <c r="B351" s="25" t="s">
        <v>689</v>
      </c>
      <c r="C351" s="25"/>
      <c r="D351" s="34">
        <f>3*4</f>
        <v>12</v>
      </c>
      <c r="E351" s="27">
        <f t="shared" si="45"/>
        <v>12316.669999999982</v>
      </c>
      <c r="F351" s="35"/>
      <c r="G351" s="63">
        <f t="shared" si="46"/>
        <v>19.13766421270266</v>
      </c>
      <c r="H351" s="26"/>
      <c r="I351" s="29">
        <f t="shared" si="47"/>
        <v>229.65197055243192</v>
      </c>
      <c r="J351" s="31">
        <f t="shared" si="48"/>
        <v>235712.29467866811</v>
      </c>
      <c r="K351" s="25"/>
    </row>
    <row r="352" spans="1:11" x14ac:dyDescent="0.25">
      <c r="A352" s="73">
        <v>41631</v>
      </c>
      <c r="B352" s="25" t="s">
        <v>690</v>
      </c>
      <c r="C352" s="25"/>
      <c r="D352" s="34">
        <f>10*5</f>
        <v>50</v>
      </c>
      <c r="E352" s="27">
        <f t="shared" si="45"/>
        <v>12266.669999999982</v>
      </c>
      <c r="F352" s="35"/>
      <c r="G352" s="63">
        <f t="shared" si="46"/>
        <v>19.13766421270266</v>
      </c>
      <c r="H352" s="26"/>
      <c r="I352" s="29">
        <f t="shared" si="47"/>
        <v>956.88321063513297</v>
      </c>
      <c r="J352" s="31">
        <f t="shared" si="48"/>
        <v>234755.41146803298</v>
      </c>
      <c r="K352" s="25"/>
    </row>
    <row r="353" spans="1:11" x14ac:dyDescent="0.25">
      <c r="A353" s="73">
        <v>41632</v>
      </c>
      <c r="B353" s="25" t="s">
        <v>691</v>
      </c>
      <c r="C353" s="25"/>
      <c r="D353" s="34">
        <f>6*1.8</f>
        <v>10.8</v>
      </c>
      <c r="E353" s="27">
        <f t="shared" si="45"/>
        <v>12255.869999999983</v>
      </c>
      <c r="F353" s="35"/>
      <c r="G353" s="63">
        <f t="shared" si="46"/>
        <v>19.13766421270266</v>
      </c>
      <c r="H353" s="26"/>
      <c r="I353" s="29">
        <f t="shared" si="47"/>
        <v>206.68677349718874</v>
      </c>
      <c r="J353" s="31">
        <f t="shared" si="48"/>
        <v>234548.72469453581</v>
      </c>
      <c r="K353" s="25"/>
    </row>
    <row r="354" spans="1:11" x14ac:dyDescent="0.25">
      <c r="A354" s="73">
        <v>41632</v>
      </c>
      <c r="B354" s="25" t="s">
        <v>692</v>
      </c>
      <c r="C354" s="25"/>
      <c r="D354" s="34">
        <f>5*1.9</f>
        <v>9.5</v>
      </c>
      <c r="E354" s="27">
        <f t="shared" si="45"/>
        <v>12246.369999999983</v>
      </c>
      <c r="F354" s="35"/>
      <c r="G354" s="63">
        <f t="shared" si="46"/>
        <v>19.13766421270266</v>
      </c>
      <c r="H354" s="26"/>
      <c r="I354" s="29">
        <f t="shared" si="47"/>
        <v>181.80781002067528</v>
      </c>
      <c r="J354" s="31">
        <f t="shared" si="48"/>
        <v>234366.91688451514</v>
      </c>
      <c r="K354" s="25"/>
    </row>
    <row r="355" spans="1:11" x14ac:dyDescent="0.25">
      <c r="A355" s="73">
        <v>41632</v>
      </c>
      <c r="B355" s="25" t="s">
        <v>693</v>
      </c>
      <c r="C355" s="25"/>
      <c r="D355" s="34">
        <f>80*8.67+80*7.5+2.5</f>
        <v>1296.0999999999999</v>
      </c>
      <c r="E355" s="27">
        <f t="shared" si="45"/>
        <v>10950.269999999982</v>
      </c>
      <c r="F355" s="35"/>
      <c r="G355" s="63">
        <f t="shared" si="46"/>
        <v>19.13766421270266</v>
      </c>
      <c r="H355" s="26"/>
      <c r="I355" s="29">
        <f t="shared" si="47"/>
        <v>24804.326586083916</v>
      </c>
      <c r="J355" s="31">
        <f t="shared" si="48"/>
        <v>209562.59029843123</v>
      </c>
      <c r="K355" s="25"/>
    </row>
    <row r="356" spans="1:11" x14ac:dyDescent="0.25">
      <c r="A356" s="73">
        <v>41634</v>
      </c>
      <c r="B356" s="25" t="s">
        <v>694</v>
      </c>
      <c r="C356" s="25"/>
      <c r="D356" s="34">
        <f>2*4.5</f>
        <v>9</v>
      </c>
      <c r="E356" s="27">
        <f t="shared" si="45"/>
        <v>10941.269999999982</v>
      </c>
      <c r="F356" s="35"/>
      <c r="G356" s="63">
        <f t="shared" si="46"/>
        <v>19.13766421270266</v>
      </c>
      <c r="H356" s="26"/>
      <c r="I356" s="29">
        <f t="shared" si="47"/>
        <v>172.23897791432393</v>
      </c>
      <c r="J356" s="31">
        <f t="shared" si="48"/>
        <v>209390.3513205169</v>
      </c>
      <c r="K356" s="25"/>
    </row>
    <row r="357" spans="1:11" x14ac:dyDescent="0.25">
      <c r="A357" s="73">
        <v>41634</v>
      </c>
      <c r="B357" s="25" t="s">
        <v>695</v>
      </c>
      <c r="C357" s="25"/>
      <c r="D357" s="34">
        <f>19</f>
        <v>19</v>
      </c>
      <c r="E357" s="27">
        <f t="shared" si="45"/>
        <v>10922.269999999982</v>
      </c>
      <c r="F357" s="35"/>
      <c r="G357" s="63">
        <f t="shared" si="46"/>
        <v>19.13766421270266</v>
      </c>
      <c r="H357" s="26"/>
      <c r="I357" s="29">
        <f t="shared" si="47"/>
        <v>363.61562004135055</v>
      </c>
      <c r="J357" s="31">
        <f t="shared" si="48"/>
        <v>209026.73570047555</v>
      </c>
      <c r="K357" s="25"/>
    </row>
    <row r="358" spans="1:11" x14ac:dyDescent="0.25">
      <c r="A358" s="73">
        <v>41635</v>
      </c>
      <c r="B358" s="25" t="s">
        <v>696</v>
      </c>
      <c r="C358" s="25"/>
      <c r="D358" s="34">
        <f>8*4.8</f>
        <v>38.4</v>
      </c>
      <c r="E358" s="27">
        <f t="shared" si="45"/>
        <v>10883.869999999983</v>
      </c>
      <c r="F358" s="35"/>
      <c r="G358" s="63">
        <f t="shared" si="46"/>
        <v>19.13766421270266</v>
      </c>
      <c r="H358" s="26"/>
      <c r="I358" s="29">
        <f t="shared" si="47"/>
        <v>734.88630576778212</v>
      </c>
      <c r="J358" s="31">
        <f t="shared" si="48"/>
        <v>208291.84939470777</v>
      </c>
      <c r="K358" s="25"/>
    </row>
    <row r="359" spans="1:11" x14ac:dyDescent="0.25">
      <c r="A359" s="73">
        <v>41635</v>
      </c>
      <c r="B359" s="25" t="s">
        <v>697</v>
      </c>
      <c r="C359" s="25"/>
      <c r="D359" s="34">
        <f>6*4.5</f>
        <v>27</v>
      </c>
      <c r="E359" s="27">
        <f t="shared" si="45"/>
        <v>10856.869999999983</v>
      </c>
      <c r="F359" s="35"/>
      <c r="G359" s="63">
        <f t="shared" si="46"/>
        <v>19.13766421270266</v>
      </c>
      <c r="H359" s="26"/>
      <c r="I359" s="29">
        <f t="shared" si="47"/>
        <v>516.71693374297183</v>
      </c>
      <c r="J359" s="31">
        <f t="shared" si="48"/>
        <v>207775.13246096479</v>
      </c>
      <c r="K359" s="25"/>
    </row>
    <row r="360" spans="1:11" x14ac:dyDescent="0.25">
      <c r="A360" s="73">
        <v>41636</v>
      </c>
      <c r="B360" s="25" t="s">
        <v>698</v>
      </c>
      <c r="C360" s="25"/>
      <c r="D360" s="34">
        <f>10*5+2*2.1</f>
        <v>54.2</v>
      </c>
      <c r="E360" s="27">
        <f t="shared" si="45"/>
        <v>10802.669999999982</v>
      </c>
      <c r="F360" s="35"/>
      <c r="G360" s="63">
        <f t="shared" si="46"/>
        <v>19.13766421270266</v>
      </c>
      <c r="H360" s="26"/>
      <c r="I360" s="29">
        <f t="shared" si="47"/>
        <v>1037.2614003284841</v>
      </c>
      <c r="J360" s="31">
        <f t="shared" si="48"/>
        <v>206737.8710606363</v>
      </c>
      <c r="K360" s="25"/>
    </row>
    <row r="361" spans="1:11" x14ac:dyDescent="0.25">
      <c r="A361" s="73">
        <v>41636</v>
      </c>
      <c r="B361" s="25" t="s">
        <v>699</v>
      </c>
      <c r="C361" s="25"/>
      <c r="D361" s="34">
        <v>0</v>
      </c>
      <c r="E361" s="27">
        <f t="shared" si="45"/>
        <v>10802.669999999982</v>
      </c>
      <c r="F361" s="35"/>
      <c r="G361" s="63">
        <v>0</v>
      </c>
      <c r="H361" s="26"/>
      <c r="I361" s="29">
        <f t="shared" si="47"/>
        <v>0</v>
      </c>
      <c r="J361" s="31">
        <f t="shared" si="48"/>
        <v>206737.8710606363</v>
      </c>
      <c r="K361" s="51"/>
    </row>
    <row r="362" spans="1:11" x14ac:dyDescent="0.25">
      <c r="A362" s="73">
        <v>41638</v>
      </c>
      <c r="B362" s="25" t="s">
        <v>700</v>
      </c>
      <c r="C362" s="25"/>
      <c r="D362" s="34">
        <f>4*1.25</f>
        <v>5</v>
      </c>
      <c r="E362" s="27">
        <f t="shared" si="45"/>
        <v>10797.669999999982</v>
      </c>
      <c r="F362" s="35"/>
      <c r="G362" s="63">
        <f t="shared" si="46"/>
        <v>19.13766421270266</v>
      </c>
      <c r="H362" s="26"/>
      <c r="I362" s="29">
        <f t="shared" si="47"/>
        <v>95.6883210635133</v>
      </c>
      <c r="J362" s="31">
        <f t="shared" si="48"/>
        <v>206642.18273957277</v>
      </c>
      <c r="K362" s="25"/>
    </row>
    <row r="363" spans="1:11" x14ac:dyDescent="0.25">
      <c r="A363" s="73">
        <v>41639</v>
      </c>
      <c r="B363" s="25" t="s">
        <v>701</v>
      </c>
      <c r="C363" s="25"/>
      <c r="D363" s="34">
        <f>4*1.7</f>
        <v>6.8</v>
      </c>
      <c r="E363" s="27">
        <f t="shared" si="45"/>
        <v>10790.869999999983</v>
      </c>
      <c r="F363" s="35"/>
      <c r="G363" s="63">
        <f t="shared" si="46"/>
        <v>19.13766421270266</v>
      </c>
      <c r="H363" s="26"/>
      <c r="I363" s="29">
        <f t="shared" si="47"/>
        <v>130.13611664637807</v>
      </c>
      <c r="J363" s="31">
        <f t="shared" si="48"/>
        <v>206512.0466229264</v>
      </c>
      <c r="K363" s="25"/>
    </row>
    <row r="364" spans="1:11" x14ac:dyDescent="0.25">
      <c r="A364" s="73">
        <v>41639</v>
      </c>
      <c r="B364" s="25" t="s">
        <v>702</v>
      </c>
      <c r="C364" s="25"/>
      <c r="D364" s="34">
        <f>5*2.3+3*3.5</f>
        <v>22</v>
      </c>
      <c r="E364" s="27">
        <f t="shared" si="45"/>
        <v>10768.869999999983</v>
      </c>
      <c r="F364" s="35"/>
      <c r="G364" s="63">
        <f t="shared" si="46"/>
        <v>19.137664212702656</v>
      </c>
      <c r="H364" s="26"/>
      <c r="I364" s="29">
        <f t="shared" si="47"/>
        <v>421.02861267945843</v>
      </c>
      <c r="J364" s="31">
        <f t="shared" si="48"/>
        <v>206091.01801024695</v>
      </c>
      <c r="K364" s="25"/>
    </row>
    <row r="365" spans="1:11" x14ac:dyDescent="0.25">
      <c r="A365" s="73">
        <v>41639</v>
      </c>
      <c r="B365" s="25" t="s">
        <v>703</v>
      </c>
      <c r="C365" s="25"/>
      <c r="D365" s="34">
        <f>1.5</f>
        <v>1.5</v>
      </c>
      <c r="E365" s="27">
        <f t="shared" si="45"/>
        <v>10767.369999999983</v>
      </c>
      <c r="F365" s="35"/>
      <c r="G365" s="63">
        <f t="shared" si="46"/>
        <v>19.13766421270266</v>
      </c>
      <c r="H365" s="26"/>
      <c r="I365" s="29">
        <f t="shared" si="47"/>
        <v>28.70649631905399</v>
      </c>
      <c r="J365" s="31">
        <f t="shared" si="48"/>
        <v>206062.31151392788</v>
      </c>
      <c r="K365" s="25"/>
    </row>
    <row r="366" spans="1:11" x14ac:dyDescent="0.25">
      <c r="A366" s="73">
        <v>41639</v>
      </c>
      <c r="B366" s="25" t="s">
        <v>704</v>
      </c>
      <c r="C366" s="25"/>
      <c r="D366" s="34">
        <f>8*1.4</f>
        <v>11.2</v>
      </c>
      <c r="E366" s="27">
        <f t="shared" si="45"/>
        <v>10756.169999999982</v>
      </c>
      <c r="F366" s="35"/>
      <c r="G366" s="63">
        <f t="shared" si="46"/>
        <v>19.137664212702656</v>
      </c>
      <c r="H366" s="26"/>
      <c r="I366" s="29">
        <f t="shared" si="47"/>
        <v>214.34183918226975</v>
      </c>
      <c r="J366" s="31">
        <f t="shared" si="48"/>
        <v>205847.9696747456</v>
      </c>
      <c r="K366" s="25"/>
    </row>
    <row r="367" spans="1:11" x14ac:dyDescent="0.25">
      <c r="A367" s="73">
        <v>41639</v>
      </c>
      <c r="B367" s="25" t="s">
        <v>705</v>
      </c>
      <c r="C367" s="25"/>
      <c r="D367" s="34">
        <f>10*7.4+9*5.2</f>
        <v>120.80000000000001</v>
      </c>
      <c r="E367" s="27">
        <f t="shared" ref="E367" si="49">E366-D367</f>
        <v>10635.369999999983</v>
      </c>
      <c r="F367" s="35"/>
      <c r="G367" s="63">
        <f t="shared" ref="G367" si="50">J366/E366</f>
        <v>19.137664212702656</v>
      </c>
      <c r="H367" s="26"/>
      <c r="I367" s="29">
        <f t="shared" ref="I367" si="51">D367*G367</f>
        <v>2311.8298368944811</v>
      </c>
      <c r="J367" s="31">
        <f t="shared" ref="J367" si="52">J366-I367</f>
        <v>203536.13983785114</v>
      </c>
      <c r="K367" s="25"/>
    </row>
    <row r="368" spans="1:11" x14ac:dyDescent="0.25">
      <c r="A368" s="71"/>
      <c r="B368" s="71" t="s">
        <v>351</v>
      </c>
      <c r="C368" s="71">
        <f>SUM(C9:C367)</f>
        <v>37556.020000000004</v>
      </c>
      <c r="D368" s="71">
        <f t="shared" ref="D368" si="53">SUM(D9:D367)</f>
        <v>26920.65</v>
      </c>
      <c r="E368" s="71">
        <f>+C368-D368</f>
        <v>10635.370000000003</v>
      </c>
      <c r="F368" s="71"/>
      <c r="G368" s="71"/>
      <c r="H368" s="71">
        <f>SUM(H9:H367)</f>
        <v>704293.78</v>
      </c>
      <c r="I368" s="72">
        <f>SUM(I9:I367)</f>
        <v>500757.64061798109</v>
      </c>
      <c r="J368" s="72">
        <f>+H368-I368</f>
        <v>203536.13938201894</v>
      </c>
      <c r="K368" s="71"/>
    </row>
    <row r="1048560" spans="1:1" x14ac:dyDescent="0.25">
      <c r="A1048560" s="73">
        <v>41631</v>
      </c>
    </row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4" r:id="rId1"/>
  <ignoredErrors>
    <ignoredError sqref="E172 J17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L67"/>
  <sheetViews>
    <sheetView topLeftCell="A46" workbookViewId="0">
      <selection activeCell="L7" sqref="L7:L67"/>
    </sheetView>
  </sheetViews>
  <sheetFormatPr baseColWidth="10" defaultRowHeight="15" x14ac:dyDescent="0.25"/>
  <cols>
    <col min="1" max="1" width="13" customWidth="1"/>
    <col min="2" max="2" width="23.28515625" customWidth="1"/>
    <col min="3" max="10" width="11.42578125" customWidth="1"/>
    <col min="11" max="11" width="13.85546875" customWidth="1"/>
  </cols>
  <sheetData>
    <row r="1" spans="1:12" x14ac:dyDescent="0.25">
      <c r="A1" s="1" t="s">
        <v>24</v>
      </c>
      <c r="B1" s="2"/>
      <c r="C1" s="37"/>
      <c r="D1" s="37"/>
      <c r="E1" s="37"/>
      <c r="F1" s="37"/>
      <c r="G1" s="37"/>
      <c r="H1" s="38" t="s">
        <v>16</v>
      </c>
      <c r="I1" s="37"/>
      <c r="J1" s="37"/>
      <c r="K1" s="39"/>
    </row>
    <row r="2" spans="1:12" x14ac:dyDescent="0.25">
      <c r="A2" s="5" t="s">
        <v>17</v>
      </c>
      <c r="B2" s="6"/>
      <c r="C2" s="40"/>
      <c r="D2" s="40"/>
      <c r="E2" s="40"/>
      <c r="F2" s="40"/>
      <c r="G2" s="40"/>
      <c r="H2" s="36" t="s">
        <v>25</v>
      </c>
      <c r="I2" s="40"/>
      <c r="J2" s="40"/>
      <c r="K2" s="41"/>
    </row>
    <row r="3" spans="1:12" x14ac:dyDescent="0.25">
      <c r="A3" s="9" t="s">
        <v>15</v>
      </c>
      <c r="B3" s="10"/>
      <c r="C3" s="40"/>
      <c r="D3" s="40"/>
      <c r="E3" s="40"/>
      <c r="F3" s="40"/>
      <c r="G3" s="40"/>
      <c r="H3" s="36" t="s">
        <v>18</v>
      </c>
      <c r="I3" s="40"/>
      <c r="J3" s="40"/>
      <c r="K3" s="41"/>
    </row>
    <row r="4" spans="1:12" x14ac:dyDescent="0.25">
      <c r="A4" s="56"/>
      <c r="B4" s="40"/>
      <c r="C4" s="40"/>
      <c r="D4" s="137" t="s">
        <v>19</v>
      </c>
      <c r="E4" s="137"/>
      <c r="F4" s="137"/>
      <c r="G4" s="137"/>
      <c r="H4" s="137"/>
      <c r="I4" s="40"/>
      <c r="J4" s="40"/>
      <c r="K4" s="41"/>
    </row>
    <row r="5" spans="1:12" x14ac:dyDescent="0.25">
      <c r="A5" s="56"/>
      <c r="B5" s="42"/>
      <c r="C5" s="40"/>
      <c r="D5" s="36" t="s">
        <v>352</v>
      </c>
      <c r="E5" s="42"/>
      <c r="F5" s="42"/>
      <c r="G5" s="40"/>
      <c r="H5" s="40"/>
      <c r="I5" s="40"/>
      <c r="J5" s="40"/>
      <c r="K5" s="41"/>
    </row>
    <row r="6" spans="1:12" x14ac:dyDescent="0.25">
      <c r="A6" s="56"/>
      <c r="B6" s="42"/>
      <c r="C6" s="40"/>
      <c r="D6" s="40" t="s">
        <v>353</v>
      </c>
      <c r="E6" s="42"/>
      <c r="F6" s="42"/>
      <c r="G6" s="40"/>
      <c r="H6" s="40"/>
      <c r="I6" s="40"/>
      <c r="J6" s="40"/>
      <c r="K6" s="41"/>
    </row>
    <row r="7" spans="1:12" x14ac:dyDescent="0.25">
      <c r="A7" s="57" t="s">
        <v>0</v>
      </c>
      <c r="B7" s="43" t="s">
        <v>1</v>
      </c>
      <c r="C7" s="138" t="s">
        <v>2</v>
      </c>
      <c r="D7" s="138"/>
      <c r="E7" s="139"/>
      <c r="F7" s="140" t="s">
        <v>3</v>
      </c>
      <c r="G7" s="140"/>
      <c r="H7" s="141" t="s">
        <v>4</v>
      </c>
      <c r="I7" s="142"/>
      <c r="J7" s="142"/>
      <c r="K7" s="54" t="s">
        <v>5</v>
      </c>
      <c r="L7" s="130" t="s">
        <v>707</v>
      </c>
    </row>
    <row r="8" spans="1:12" x14ac:dyDescent="0.25">
      <c r="A8" s="58"/>
      <c r="B8" s="44"/>
      <c r="C8" s="44" t="s">
        <v>6</v>
      </c>
      <c r="D8" s="45" t="s">
        <v>7</v>
      </c>
      <c r="E8" s="46" t="s">
        <v>11</v>
      </c>
      <c r="F8" s="47" t="s">
        <v>12</v>
      </c>
      <c r="G8" s="47" t="s">
        <v>13</v>
      </c>
      <c r="H8" s="45" t="s">
        <v>8</v>
      </c>
      <c r="I8" s="48" t="s">
        <v>9</v>
      </c>
      <c r="J8" s="49" t="s">
        <v>14</v>
      </c>
      <c r="K8" s="55"/>
    </row>
    <row r="9" spans="1:12" x14ac:dyDescent="0.25">
      <c r="A9" s="24">
        <v>41276</v>
      </c>
      <c r="B9" s="25" t="s">
        <v>26</v>
      </c>
      <c r="C9" s="26">
        <v>8398.85</v>
      </c>
      <c r="D9" s="26"/>
      <c r="E9" s="27">
        <f>+[1]BLUE2012!E42</f>
        <v>8398.85</v>
      </c>
      <c r="F9" s="28"/>
      <c r="G9" s="28">
        <f>+[1]BLUE2012!G19</f>
        <v>22.480349764778069</v>
      </c>
      <c r="H9" s="50">
        <v>188809.09</v>
      </c>
      <c r="I9" s="26"/>
      <c r="J9" s="29">
        <f>+[1]BLUE2012!J42</f>
        <v>188809.08562190633</v>
      </c>
      <c r="K9" s="30"/>
    </row>
    <row r="10" spans="1:12" x14ac:dyDescent="0.25">
      <c r="A10" s="24">
        <v>41278</v>
      </c>
      <c r="B10" s="25" t="s">
        <v>28</v>
      </c>
      <c r="C10" s="26"/>
      <c r="D10" s="26">
        <f>14*4.4+5*3.5+5*5</f>
        <v>104.10000000000001</v>
      </c>
      <c r="E10" s="27">
        <f>E9-D10</f>
        <v>8294.75</v>
      </c>
      <c r="F10" s="28"/>
      <c r="G10" s="28">
        <f>J9/E9</f>
        <v>22.480349764778072</v>
      </c>
      <c r="H10" s="50"/>
      <c r="I10" s="29">
        <f>D10*G9</f>
        <v>2340.2044105133973</v>
      </c>
      <c r="J10" s="31">
        <f>J9-I10</f>
        <v>186468.88121139293</v>
      </c>
      <c r="K10" s="32"/>
    </row>
    <row r="11" spans="1:12" x14ac:dyDescent="0.25">
      <c r="A11" s="24">
        <v>41288</v>
      </c>
      <c r="B11" s="25" t="s">
        <v>32</v>
      </c>
      <c r="C11" s="26"/>
      <c r="D11" s="26">
        <f>5*4.03+14*4.1+8*3.3+6*4</f>
        <v>127.94999999999999</v>
      </c>
      <c r="E11" s="27">
        <f t="shared" ref="E11:E29" si="0">E10-D11</f>
        <v>8166.8</v>
      </c>
      <c r="F11" s="28"/>
      <c r="G11" s="28">
        <f t="shared" ref="G11:G29" si="1">J10/E10</f>
        <v>22.480349764778076</v>
      </c>
      <c r="H11" s="50"/>
      <c r="I11" s="29">
        <f t="shared" ref="I11:I65" si="2">D11*G10</f>
        <v>2876.3607524033541</v>
      </c>
      <c r="J11" s="31">
        <f t="shared" ref="J11:J29" si="3">J10-I11</f>
        <v>183592.52045898957</v>
      </c>
      <c r="K11" s="32"/>
    </row>
    <row r="12" spans="1:12" x14ac:dyDescent="0.25">
      <c r="A12" s="24">
        <v>41291</v>
      </c>
      <c r="B12" s="25" t="s">
        <v>33</v>
      </c>
      <c r="C12" s="26"/>
      <c r="D12" s="26">
        <f>6*5+4*4.8</f>
        <v>49.2</v>
      </c>
      <c r="E12" s="27">
        <f t="shared" si="0"/>
        <v>8117.6</v>
      </c>
      <c r="F12" s="28"/>
      <c r="G12" s="28">
        <f t="shared" si="1"/>
        <v>22.480349764778072</v>
      </c>
      <c r="H12" s="50"/>
      <c r="I12" s="29">
        <f t="shared" si="2"/>
        <v>1106.0332084270815</v>
      </c>
      <c r="J12" s="31">
        <f t="shared" si="3"/>
        <v>182486.4872505625</v>
      </c>
      <c r="K12" s="32"/>
    </row>
    <row r="13" spans="1:12" x14ac:dyDescent="0.25">
      <c r="A13" s="24">
        <v>41304</v>
      </c>
      <c r="B13" s="25" t="s">
        <v>39</v>
      </c>
      <c r="C13" s="26"/>
      <c r="D13" s="26">
        <f>9*1.5</f>
        <v>13.5</v>
      </c>
      <c r="E13" s="27">
        <f t="shared" si="0"/>
        <v>8104.1</v>
      </c>
      <c r="F13" s="28"/>
      <c r="G13" s="28">
        <f t="shared" si="1"/>
        <v>22.480349764778072</v>
      </c>
      <c r="H13" s="50"/>
      <c r="I13" s="29">
        <f t="shared" si="2"/>
        <v>303.48472182450399</v>
      </c>
      <c r="J13" s="31">
        <f t="shared" si="3"/>
        <v>182183.002528738</v>
      </c>
      <c r="K13" s="32"/>
      <c r="L13" s="129">
        <f>SUM(I10:I13)</f>
        <v>6626.0830931683367</v>
      </c>
    </row>
    <row r="14" spans="1:12" x14ac:dyDescent="0.25">
      <c r="A14" s="24">
        <v>41312</v>
      </c>
      <c r="B14" s="25" t="s">
        <v>40</v>
      </c>
      <c r="C14" s="26"/>
      <c r="D14" s="26">
        <f>6*5</f>
        <v>30</v>
      </c>
      <c r="E14" s="27">
        <f t="shared" si="0"/>
        <v>8074.1</v>
      </c>
      <c r="F14" s="28"/>
      <c r="G14" s="28">
        <f t="shared" si="1"/>
        <v>22.480349764778072</v>
      </c>
      <c r="H14" s="50"/>
      <c r="I14" s="29">
        <f t="shared" si="2"/>
        <v>674.41049294334221</v>
      </c>
      <c r="J14" s="31">
        <f t="shared" si="3"/>
        <v>181508.59203579466</v>
      </c>
      <c r="K14" s="33"/>
    </row>
    <row r="15" spans="1:12" x14ac:dyDescent="0.25">
      <c r="A15" s="24">
        <v>41314</v>
      </c>
      <c r="B15" s="25" t="s">
        <v>41</v>
      </c>
      <c r="C15" s="25"/>
      <c r="D15" s="34">
        <f>4*4.15</f>
        <v>16.600000000000001</v>
      </c>
      <c r="E15" s="27">
        <f t="shared" si="0"/>
        <v>8057.5</v>
      </c>
      <c r="F15" s="28"/>
      <c r="G15" s="28">
        <f t="shared" si="1"/>
        <v>22.480349764778076</v>
      </c>
      <c r="H15" s="26"/>
      <c r="I15" s="29">
        <f t="shared" si="2"/>
        <v>373.17380609531602</v>
      </c>
      <c r="J15" s="31">
        <f t="shared" si="3"/>
        <v>181135.41822969934</v>
      </c>
      <c r="K15" s="32"/>
    </row>
    <row r="16" spans="1:12" x14ac:dyDescent="0.25">
      <c r="A16" s="24">
        <v>41314</v>
      </c>
      <c r="B16" s="25" t="s">
        <v>42</v>
      </c>
      <c r="C16" s="25"/>
      <c r="D16" s="34">
        <f>6*3.2</f>
        <v>19.200000000000003</v>
      </c>
      <c r="E16" s="27">
        <f t="shared" si="0"/>
        <v>8038.3</v>
      </c>
      <c r="F16" s="28"/>
      <c r="G16" s="28">
        <f t="shared" si="1"/>
        <v>22.480349764778076</v>
      </c>
      <c r="H16" s="26"/>
      <c r="I16" s="29">
        <f t="shared" si="2"/>
        <v>431.62271548373911</v>
      </c>
      <c r="J16" s="31">
        <f t="shared" si="3"/>
        <v>180703.7955142156</v>
      </c>
      <c r="K16" s="32"/>
    </row>
    <row r="17" spans="1:12" x14ac:dyDescent="0.25">
      <c r="A17" s="24">
        <v>41321</v>
      </c>
      <c r="B17" s="25" t="s">
        <v>43</v>
      </c>
      <c r="C17" s="25"/>
      <c r="D17" s="34">
        <f>7*4+3*2.7</f>
        <v>36.1</v>
      </c>
      <c r="E17" s="27">
        <f t="shared" si="0"/>
        <v>8002.2</v>
      </c>
      <c r="F17" s="28"/>
      <c r="G17" s="28">
        <f t="shared" si="1"/>
        <v>22.480349764778076</v>
      </c>
      <c r="H17" s="26"/>
      <c r="I17" s="29">
        <f t="shared" si="2"/>
        <v>811.54062650848857</v>
      </c>
      <c r="J17" s="31">
        <f t="shared" si="3"/>
        <v>179892.25488770712</v>
      </c>
      <c r="K17" s="32"/>
    </row>
    <row r="18" spans="1:12" x14ac:dyDescent="0.25">
      <c r="A18" s="24">
        <v>41321</v>
      </c>
      <c r="B18" s="25" t="s">
        <v>44</v>
      </c>
      <c r="C18" s="26"/>
      <c r="D18" s="26">
        <f>7*4.3</f>
        <v>30.099999999999998</v>
      </c>
      <c r="E18" s="27">
        <f t="shared" si="0"/>
        <v>7972.0999999999995</v>
      </c>
      <c r="F18" s="28"/>
      <c r="G18" s="28">
        <f t="shared" si="1"/>
        <v>22.480349764778076</v>
      </c>
      <c r="H18" s="26"/>
      <c r="I18" s="29">
        <f t="shared" si="2"/>
        <v>676.65852791982002</v>
      </c>
      <c r="J18" s="31">
        <f t="shared" si="3"/>
        <v>179215.59635978731</v>
      </c>
      <c r="K18" s="32"/>
    </row>
    <row r="19" spans="1:12" x14ac:dyDescent="0.25">
      <c r="A19" s="24">
        <v>41327</v>
      </c>
      <c r="B19" s="25" t="s">
        <v>48</v>
      </c>
      <c r="C19" s="25"/>
      <c r="D19" s="34">
        <f>6*4.95+8*7.15</f>
        <v>86.9</v>
      </c>
      <c r="E19" s="27">
        <f t="shared" si="0"/>
        <v>7885.2</v>
      </c>
      <c r="F19" s="28"/>
      <c r="G19" s="28">
        <f t="shared" si="1"/>
        <v>22.480349764778079</v>
      </c>
      <c r="H19" s="26"/>
      <c r="I19" s="29">
        <f t="shared" si="2"/>
        <v>1953.5423945592149</v>
      </c>
      <c r="J19" s="31">
        <f t="shared" si="3"/>
        <v>177262.05396522809</v>
      </c>
      <c r="K19" s="32"/>
    </row>
    <row r="20" spans="1:12" x14ac:dyDescent="0.25">
      <c r="A20" s="24">
        <v>41327</v>
      </c>
      <c r="B20" s="25" t="s">
        <v>49</v>
      </c>
      <c r="C20" s="25"/>
      <c r="D20" s="34">
        <f>1*3.2</f>
        <v>3.2</v>
      </c>
      <c r="E20" s="27">
        <f t="shared" si="0"/>
        <v>7882</v>
      </c>
      <c r="F20" s="28"/>
      <c r="G20" s="28">
        <f t="shared" si="1"/>
        <v>22.480349764778076</v>
      </c>
      <c r="H20" s="26"/>
      <c r="I20" s="29">
        <f t="shared" si="2"/>
        <v>71.937119247289857</v>
      </c>
      <c r="J20" s="31">
        <f t="shared" si="3"/>
        <v>177190.11684598081</v>
      </c>
      <c r="K20" s="32"/>
    </row>
    <row r="21" spans="1:12" x14ac:dyDescent="0.25">
      <c r="A21" s="24">
        <v>41332</v>
      </c>
      <c r="B21" s="25" t="s">
        <v>50</v>
      </c>
      <c r="C21" s="25"/>
      <c r="D21" s="34">
        <f>9*5</f>
        <v>45</v>
      </c>
      <c r="E21" s="27">
        <f t="shared" si="0"/>
        <v>7837</v>
      </c>
      <c r="F21" s="28"/>
      <c r="G21" s="28">
        <f t="shared" si="1"/>
        <v>22.480349764778079</v>
      </c>
      <c r="H21" s="26"/>
      <c r="I21" s="29">
        <f t="shared" si="2"/>
        <v>1011.6157394150134</v>
      </c>
      <c r="J21" s="31">
        <f t="shared" si="3"/>
        <v>176178.50110656579</v>
      </c>
      <c r="K21" s="32"/>
    </row>
    <row r="22" spans="1:12" x14ac:dyDescent="0.25">
      <c r="A22" s="24">
        <v>41332</v>
      </c>
      <c r="B22" s="25" t="s">
        <v>51</v>
      </c>
      <c r="C22" s="25"/>
      <c r="D22" s="34">
        <f>7*10.2+7*6.3+7*7.3</f>
        <v>166.6</v>
      </c>
      <c r="E22" s="27">
        <f t="shared" si="0"/>
        <v>7670.4</v>
      </c>
      <c r="F22" s="28"/>
      <c r="G22" s="28">
        <f t="shared" si="1"/>
        <v>22.480349764778076</v>
      </c>
      <c r="H22" s="26"/>
      <c r="I22" s="29">
        <f t="shared" si="2"/>
        <v>3745.2262708120279</v>
      </c>
      <c r="J22" s="31">
        <f t="shared" si="3"/>
        <v>172433.27483575375</v>
      </c>
      <c r="K22" s="32"/>
    </row>
    <row r="23" spans="1:12" x14ac:dyDescent="0.25">
      <c r="A23" s="24">
        <v>41333</v>
      </c>
      <c r="B23" s="25" t="s">
        <v>52</v>
      </c>
      <c r="C23" s="25"/>
      <c r="D23" s="34">
        <f>5*3.65+5*2.64</f>
        <v>31.450000000000003</v>
      </c>
      <c r="E23" s="27">
        <f t="shared" si="0"/>
        <v>7638.95</v>
      </c>
      <c r="F23" s="28"/>
      <c r="G23" s="28">
        <f t="shared" si="1"/>
        <v>22.480349764778076</v>
      </c>
      <c r="H23" s="26"/>
      <c r="I23" s="29">
        <f t="shared" si="2"/>
        <v>707.00700010227058</v>
      </c>
      <c r="J23" s="31">
        <f t="shared" si="3"/>
        <v>171726.26783565147</v>
      </c>
      <c r="K23" s="32"/>
      <c r="L23" s="129">
        <f>SUM(I14:I23)</f>
        <v>10456.734693086522</v>
      </c>
    </row>
    <row r="24" spans="1:12" x14ac:dyDescent="0.25">
      <c r="A24" s="24">
        <v>41335</v>
      </c>
      <c r="B24" s="25" t="s">
        <v>53</v>
      </c>
      <c r="C24" s="25"/>
      <c r="D24" s="34">
        <f>5*2.6+1*2</f>
        <v>15</v>
      </c>
      <c r="E24" s="27">
        <f t="shared" si="0"/>
        <v>7623.95</v>
      </c>
      <c r="F24" s="28"/>
      <c r="G24" s="28">
        <f t="shared" si="1"/>
        <v>22.480349764778076</v>
      </c>
      <c r="H24" s="26"/>
      <c r="I24" s="29">
        <f t="shared" si="2"/>
        <v>337.20524647167116</v>
      </c>
      <c r="J24" s="31">
        <f t="shared" si="3"/>
        <v>171389.06258917978</v>
      </c>
      <c r="K24" s="32"/>
    </row>
    <row r="25" spans="1:12" x14ac:dyDescent="0.25">
      <c r="A25" s="24">
        <v>41335</v>
      </c>
      <c r="B25" s="25" t="s">
        <v>55</v>
      </c>
      <c r="C25" s="25"/>
      <c r="D25" s="34">
        <f>6*4+5*2.2+3*2.5</f>
        <v>42.5</v>
      </c>
      <c r="E25" s="27">
        <f t="shared" si="0"/>
        <v>7581.45</v>
      </c>
      <c r="F25" s="28"/>
      <c r="G25" s="28">
        <f t="shared" si="1"/>
        <v>22.480349764778072</v>
      </c>
      <c r="H25" s="26"/>
      <c r="I25" s="29">
        <f t="shared" si="2"/>
        <v>955.41486500306826</v>
      </c>
      <c r="J25" s="31">
        <f t="shared" si="3"/>
        <v>170433.64772417673</v>
      </c>
      <c r="K25" s="32"/>
    </row>
    <row r="26" spans="1:12" x14ac:dyDescent="0.25">
      <c r="A26" s="24">
        <v>41335</v>
      </c>
      <c r="B26" s="25" t="s">
        <v>56</v>
      </c>
      <c r="C26" s="25"/>
      <c r="D26" s="34">
        <f>3*4</f>
        <v>12</v>
      </c>
      <c r="E26" s="27">
        <f t="shared" si="0"/>
        <v>7569.45</v>
      </c>
      <c r="F26" s="28"/>
      <c r="G26" s="28">
        <f t="shared" si="1"/>
        <v>22.480349764778076</v>
      </c>
      <c r="H26" s="26"/>
      <c r="I26" s="29">
        <f t="shared" si="2"/>
        <v>269.76419717733688</v>
      </c>
      <c r="J26" s="31">
        <f t="shared" si="3"/>
        <v>170163.88352699939</v>
      </c>
      <c r="K26" s="32"/>
    </row>
    <row r="27" spans="1:12" x14ac:dyDescent="0.25">
      <c r="A27" s="24">
        <v>41335</v>
      </c>
      <c r="B27" s="25" t="s">
        <v>57</v>
      </c>
      <c r="C27" s="25"/>
      <c r="D27" s="34">
        <f>4*3.5+1*3.3+2*2.7+2*2.4</f>
        <v>27.500000000000004</v>
      </c>
      <c r="E27" s="27">
        <f t="shared" si="0"/>
        <v>7541.95</v>
      </c>
      <c r="F27" s="28"/>
      <c r="G27" s="28">
        <f t="shared" si="1"/>
        <v>22.480349764778072</v>
      </c>
      <c r="H27" s="26"/>
      <c r="I27" s="29">
        <f t="shared" si="2"/>
        <v>618.20961853139715</v>
      </c>
      <c r="J27" s="31">
        <f t="shared" si="3"/>
        <v>169545.67390846799</v>
      </c>
      <c r="K27" s="32"/>
    </row>
    <row r="28" spans="1:12" x14ac:dyDescent="0.25">
      <c r="A28" s="24">
        <v>41337</v>
      </c>
      <c r="B28" s="25" t="s">
        <v>58</v>
      </c>
      <c r="C28" s="25"/>
      <c r="D28" s="34">
        <f>13*5</f>
        <v>65</v>
      </c>
      <c r="E28" s="27">
        <f t="shared" si="0"/>
        <v>7476.95</v>
      </c>
      <c r="F28" s="28"/>
      <c r="G28" s="28">
        <f t="shared" si="1"/>
        <v>22.480349764778072</v>
      </c>
      <c r="H28" s="26"/>
      <c r="I28" s="29">
        <f t="shared" si="2"/>
        <v>1461.2227347105747</v>
      </c>
      <c r="J28" s="31">
        <f t="shared" si="3"/>
        <v>168084.45117375741</v>
      </c>
      <c r="K28" s="32"/>
    </row>
    <row r="29" spans="1:12" x14ac:dyDescent="0.25">
      <c r="A29" s="24">
        <v>41340</v>
      </c>
      <c r="B29" s="25" t="s">
        <v>60</v>
      </c>
      <c r="C29" s="25"/>
      <c r="D29" s="34">
        <f>6*0.6+1*3.26</f>
        <v>6.8599999999999994</v>
      </c>
      <c r="E29" s="27">
        <f t="shared" si="0"/>
        <v>7470.09</v>
      </c>
      <c r="F29" s="28"/>
      <c r="G29" s="28">
        <f t="shared" si="1"/>
        <v>22.480349764778072</v>
      </c>
      <c r="H29" s="26"/>
      <c r="I29" s="29">
        <f t="shared" si="2"/>
        <v>154.21519938637758</v>
      </c>
      <c r="J29" s="31">
        <f t="shared" si="3"/>
        <v>167930.23597437103</v>
      </c>
      <c r="K29" s="32"/>
    </row>
    <row r="30" spans="1:12" x14ac:dyDescent="0.25">
      <c r="A30" s="24">
        <v>41342</v>
      </c>
      <c r="B30" s="25" t="s">
        <v>61</v>
      </c>
      <c r="C30" s="25"/>
      <c r="D30" s="34">
        <f>1*2.6</f>
        <v>2.6</v>
      </c>
      <c r="E30" s="27">
        <f t="shared" ref="E30:E65" si="4">E29-D30</f>
        <v>7467.49</v>
      </c>
      <c r="F30" s="28"/>
      <c r="G30" s="28">
        <f t="shared" ref="G30:G65" si="5">J29/E29</f>
        <v>22.480349764778072</v>
      </c>
      <c r="H30" s="26"/>
      <c r="I30" s="29">
        <f t="shared" si="2"/>
        <v>58.44890938842299</v>
      </c>
      <c r="J30" s="31">
        <f t="shared" ref="J30:J65" si="6">J29-I30</f>
        <v>167871.78706498261</v>
      </c>
      <c r="K30" s="32"/>
    </row>
    <row r="31" spans="1:12" x14ac:dyDescent="0.25">
      <c r="A31" s="24">
        <v>41344</v>
      </c>
      <c r="B31" s="25" t="s">
        <v>62</v>
      </c>
      <c r="C31" s="25"/>
      <c r="D31" s="34">
        <f>5*5.8</f>
        <v>29</v>
      </c>
      <c r="E31" s="27">
        <f t="shared" si="4"/>
        <v>7438.49</v>
      </c>
      <c r="F31" s="28"/>
      <c r="G31" s="28">
        <f t="shared" si="5"/>
        <v>22.480349764778072</v>
      </c>
      <c r="H31" s="26"/>
      <c r="I31" s="29">
        <f t="shared" si="2"/>
        <v>651.93014317856409</v>
      </c>
      <c r="J31" s="31">
        <f t="shared" si="6"/>
        <v>167219.85692180405</v>
      </c>
      <c r="K31" s="32"/>
    </row>
    <row r="32" spans="1:12" x14ac:dyDescent="0.25">
      <c r="A32" s="24">
        <v>41348</v>
      </c>
      <c r="B32" s="25" t="s">
        <v>63</v>
      </c>
      <c r="C32" s="25"/>
      <c r="D32" s="34">
        <f>10*5.3+7*5+5*4.5+2*3.5+2*3+4*2+4*2.5+4*1+1*1</f>
        <v>146.5</v>
      </c>
      <c r="E32" s="27">
        <f t="shared" si="4"/>
        <v>7291.99</v>
      </c>
      <c r="F32" s="28"/>
      <c r="G32" s="28">
        <f t="shared" si="5"/>
        <v>22.480349764778072</v>
      </c>
      <c r="H32" s="26"/>
      <c r="I32" s="29">
        <f t="shared" si="2"/>
        <v>3293.3712405399874</v>
      </c>
      <c r="J32" s="31">
        <f t="shared" si="6"/>
        <v>163926.48568126405</v>
      </c>
      <c r="K32" s="32"/>
    </row>
    <row r="33" spans="1:12" x14ac:dyDescent="0.25">
      <c r="A33" s="24">
        <v>41349</v>
      </c>
      <c r="B33" s="25" t="s">
        <v>64</v>
      </c>
      <c r="C33" s="25"/>
      <c r="D33" s="34">
        <f>3*5</f>
        <v>15</v>
      </c>
      <c r="E33" s="27">
        <f t="shared" si="4"/>
        <v>7276.99</v>
      </c>
      <c r="F33" s="28"/>
      <c r="G33" s="28">
        <f t="shared" si="5"/>
        <v>22.480349764778072</v>
      </c>
      <c r="H33" s="26"/>
      <c r="I33" s="29">
        <f t="shared" si="2"/>
        <v>337.2052464716711</v>
      </c>
      <c r="J33" s="31">
        <f t="shared" si="6"/>
        <v>163589.28043479237</v>
      </c>
      <c r="K33" s="32"/>
    </row>
    <row r="34" spans="1:12" x14ac:dyDescent="0.25">
      <c r="A34" s="24">
        <v>41352</v>
      </c>
      <c r="B34" s="25" t="s">
        <v>66</v>
      </c>
      <c r="C34" s="25"/>
      <c r="D34" s="34">
        <f>1*5</f>
        <v>5</v>
      </c>
      <c r="E34" s="27">
        <f t="shared" si="4"/>
        <v>7271.99</v>
      </c>
      <c r="F34" s="28"/>
      <c r="G34" s="28">
        <f t="shared" si="5"/>
        <v>22.480349764778069</v>
      </c>
      <c r="H34" s="26"/>
      <c r="I34" s="29">
        <f t="shared" si="2"/>
        <v>112.40174882389036</v>
      </c>
      <c r="J34" s="31">
        <f t="shared" si="6"/>
        <v>163476.87868596846</v>
      </c>
      <c r="K34" s="32"/>
    </row>
    <row r="35" spans="1:12" x14ac:dyDescent="0.25">
      <c r="A35" s="24">
        <v>41363</v>
      </c>
      <c r="B35" s="25" t="s">
        <v>68</v>
      </c>
      <c r="C35" s="25"/>
      <c r="D35" s="34">
        <f>4*2.1</f>
        <v>8.4</v>
      </c>
      <c r="E35" s="27">
        <f t="shared" si="4"/>
        <v>7263.59</v>
      </c>
      <c r="F35" s="28"/>
      <c r="G35" s="28">
        <f t="shared" si="5"/>
        <v>22.480349764778069</v>
      </c>
      <c r="H35" s="26"/>
      <c r="I35" s="29">
        <f t="shared" si="2"/>
        <v>188.83493802413579</v>
      </c>
      <c r="J35" s="31">
        <f t="shared" si="6"/>
        <v>163288.04374794432</v>
      </c>
      <c r="K35" s="32"/>
    </row>
    <row r="36" spans="1:12" x14ac:dyDescent="0.25">
      <c r="A36" s="24">
        <v>41363</v>
      </c>
      <c r="B36" s="25" t="s">
        <v>69</v>
      </c>
      <c r="C36" s="25"/>
      <c r="D36" s="34">
        <f>2*3</f>
        <v>6</v>
      </c>
      <c r="E36" s="27">
        <f t="shared" si="4"/>
        <v>7257.59</v>
      </c>
      <c r="F36" s="28"/>
      <c r="G36" s="28">
        <f t="shared" si="5"/>
        <v>22.480349764778065</v>
      </c>
      <c r="H36" s="26"/>
      <c r="I36" s="29">
        <f t="shared" si="2"/>
        <v>134.88209858866841</v>
      </c>
      <c r="J36" s="31">
        <f t="shared" si="6"/>
        <v>163153.16164935566</v>
      </c>
      <c r="K36" s="32"/>
      <c r="L36" s="129">
        <f>SUM(I24:I36)</f>
        <v>8573.1061862957649</v>
      </c>
    </row>
    <row r="37" spans="1:12" x14ac:dyDescent="0.25">
      <c r="A37" s="24">
        <v>41365</v>
      </c>
      <c r="B37" s="25" t="s">
        <v>70</v>
      </c>
      <c r="C37" s="25"/>
      <c r="D37" s="34">
        <f>3*5.1+3*3.9+3*7.5+3*4.35+7*4.2+1*2.7+5*3.65+6*3.55</f>
        <v>134.19999999999999</v>
      </c>
      <c r="E37" s="27">
        <f t="shared" si="4"/>
        <v>7123.39</v>
      </c>
      <c r="F37" s="28"/>
      <c r="G37" s="28">
        <f t="shared" si="5"/>
        <v>22.480349764778069</v>
      </c>
      <c r="H37" s="26"/>
      <c r="I37" s="29">
        <f t="shared" si="2"/>
        <v>3016.8629384332162</v>
      </c>
      <c r="J37" s="31">
        <f t="shared" si="6"/>
        <v>160136.29871092245</v>
      </c>
      <c r="K37" s="32"/>
    </row>
    <row r="38" spans="1:12" x14ac:dyDescent="0.25">
      <c r="A38" s="24">
        <v>41365</v>
      </c>
      <c r="B38" s="25" t="s">
        <v>71</v>
      </c>
      <c r="C38" s="25"/>
      <c r="D38" s="34">
        <f>54*4.8+54*4.8+58*5.8+58*5.8+58*0.5+11*4.8+12*5.8</f>
        <v>1342.5999999999997</v>
      </c>
      <c r="E38" s="27">
        <f t="shared" si="4"/>
        <v>5780.7900000000009</v>
      </c>
      <c r="F38" s="28"/>
      <c r="G38" s="28">
        <f t="shared" si="5"/>
        <v>22.480349764778069</v>
      </c>
      <c r="H38" s="26"/>
      <c r="I38" s="29">
        <f t="shared" si="2"/>
        <v>30182.11759419103</v>
      </c>
      <c r="J38" s="31">
        <f t="shared" si="6"/>
        <v>129954.18111673142</v>
      </c>
      <c r="K38" s="32"/>
    </row>
    <row r="39" spans="1:12" x14ac:dyDescent="0.25">
      <c r="A39" s="24">
        <v>41377</v>
      </c>
      <c r="B39" s="25" t="s">
        <v>77</v>
      </c>
      <c r="C39" s="25"/>
      <c r="D39" s="34">
        <f>2*5.4+1*2.5</f>
        <v>13.3</v>
      </c>
      <c r="E39" s="27">
        <f t="shared" si="4"/>
        <v>5767.4900000000007</v>
      </c>
      <c r="F39" s="28"/>
      <c r="G39" s="28">
        <f t="shared" si="5"/>
        <v>22.480349764778065</v>
      </c>
      <c r="H39" s="26"/>
      <c r="I39" s="29">
        <f t="shared" si="2"/>
        <v>298.98865187154831</v>
      </c>
      <c r="J39" s="31">
        <f t="shared" si="6"/>
        <v>129655.19246485987</v>
      </c>
      <c r="K39" s="32"/>
    </row>
    <row r="40" spans="1:12" x14ac:dyDescent="0.25">
      <c r="A40" s="24">
        <v>41384</v>
      </c>
      <c r="B40" s="25" t="s">
        <v>79</v>
      </c>
      <c r="C40" s="25"/>
      <c r="D40" s="34">
        <f>10*4.6</f>
        <v>46</v>
      </c>
      <c r="E40" s="27">
        <f t="shared" si="4"/>
        <v>5721.4900000000007</v>
      </c>
      <c r="F40" s="28"/>
      <c r="G40" s="28">
        <f t="shared" si="5"/>
        <v>22.480349764778065</v>
      </c>
      <c r="H40" s="26"/>
      <c r="I40" s="29">
        <f t="shared" si="2"/>
        <v>1034.0960891797911</v>
      </c>
      <c r="J40" s="31">
        <f t="shared" si="6"/>
        <v>128621.09637568008</v>
      </c>
      <c r="K40" s="32"/>
    </row>
    <row r="41" spans="1:12" x14ac:dyDescent="0.25">
      <c r="A41" s="24">
        <v>41389</v>
      </c>
      <c r="B41" s="25" t="s">
        <v>80</v>
      </c>
      <c r="C41" s="25"/>
      <c r="D41" s="34">
        <f>2*2</f>
        <v>4</v>
      </c>
      <c r="E41" s="27">
        <f t="shared" si="4"/>
        <v>5717.4900000000007</v>
      </c>
      <c r="F41" s="28"/>
      <c r="G41" s="28">
        <f t="shared" si="5"/>
        <v>22.480349764778065</v>
      </c>
      <c r="H41" s="26"/>
      <c r="I41" s="29">
        <f t="shared" si="2"/>
        <v>89.921399059112261</v>
      </c>
      <c r="J41" s="31">
        <f t="shared" si="6"/>
        <v>128531.17497662097</v>
      </c>
      <c r="K41" s="32"/>
      <c r="L41" s="129">
        <f>SUM(I37:I41)</f>
        <v>34621.986672734696</v>
      </c>
    </row>
    <row r="42" spans="1:12" x14ac:dyDescent="0.25">
      <c r="A42" s="24">
        <v>41397</v>
      </c>
      <c r="B42" s="25" t="s">
        <v>83</v>
      </c>
      <c r="C42" s="25"/>
      <c r="D42" s="34">
        <f>10*0.3</f>
        <v>3</v>
      </c>
      <c r="E42" s="27">
        <f t="shared" si="4"/>
        <v>5714.4900000000007</v>
      </c>
      <c r="F42" s="28"/>
      <c r="G42" s="28">
        <f t="shared" si="5"/>
        <v>22.480349764778069</v>
      </c>
      <c r="H42" s="26"/>
      <c r="I42" s="29">
        <f t="shared" si="2"/>
        <v>67.441049294334192</v>
      </c>
      <c r="J42" s="31">
        <f t="shared" si="6"/>
        <v>128463.73392732664</v>
      </c>
      <c r="K42" s="32"/>
    </row>
    <row r="43" spans="1:12" x14ac:dyDescent="0.25">
      <c r="A43" s="24">
        <v>41405</v>
      </c>
      <c r="B43" s="25" t="s">
        <v>84</v>
      </c>
      <c r="C43" s="25"/>
      <c r="D43" s="34">
        <f>22*4.5</f>
        <v>99</v>
      </c>
      <c r="E43" s="27">
        <f t="shared" si="4"/>
        <v>5615.4900000000007</v>
      </c>
      <c r="F43" s="28"/>
      <c r="G43" s="28">
        <f t="shared" si="5"/>
        <v>22.480349764778069</v>
      </c>
      <c r="H43" s="26"/>
      <c r="I43" s="29">
        <f t="shared" si="2"/>
        <v>2225.5546267130289</v>
      </c>
      <c r="J43" s="31">
        <f t="shared" si="6"/>
        <v>126238.17930061361</v>
      </c>
      <c r="K43" s="32"/>
    </row>
    <row r="44" spans="1:12" x14ac:dyDescent="0.25">
      <c r="A44" s="24">
        <v>41405</v>
      </c>
      <c r="B44" s="25" t="s">
        <v>85</v>
      </c>
      <c r="C44" s="25"/>
      <c r="D44" s="34">
        <f>10*6</f>
        <v>60</v>
      </c>
      <c r="E44" s="27">
        <f t="shared" si="4"/>
        <v>5555.4900000000007</v>
      </c>
      <c r="F44" s="28"/>
      <c r="G44" s="28">
        <f t="shared" si="5"/>
        <v>22.480349764778069</v>
      </c>
      <c r="H44" s="26"/>
      <c r="I44" s="29">
        <f t="shared" si="2"/>
        <v>1348.8209858866842</v>
      </c>
      <c r="J44" s="31">
        <f t="shared" si="6"/>
        <v>124889.35831472692</v>
      </c>
      <c r="K44" s="32"/>
    </row>
    <row r="45" spans="1:12" x14ac:dyDescent="0.25">
      <c r="A45" s="24">
        <v>41410</v>
      </c>
      <c r="B45" s="25" t="s">
        <v>88</v>
      </c>
      <c r="C45" s="25"/>
      <c r="D45" s="34">
        <f>12*3.35+5*3.8</f>
        <v>59.2</v>
      </c>
      <c r="E45" s="27">
        <f t="shared" si="4"/>
        <v>5496.2900000000009</v>
      </c>
      <c r="F45" s="28"/>
      <c r="G45" s="28">
        <f t="shared" si="5"/>
        <v>22.480349764778069</v>
      </c>
      <c r="H45" s="26"/>
      <c r="I45" s="29">
        <f t="shared" si="2"/>
        <v>1330.8367060748617</v>
      </c>
      <c r="J45" s="31">
        <f t="shared" si="6"/>
        <v>123558.52160865207</v>
      </c>
      <c r="K45" s="32"/>
    </row>
    <row r="46" spans="1:12" x14ac:dyDescent="0.25">
      <c r="A46" s="24">
        <v>41412</v>
      </c>
      <c r="B46" s="25" t="s">
        <v>90</v>
      </c>
      <c r="C46" s="25"/>
      <c r="D46" s="34">
        <f>6*3.35</f>
        <v>20.100000000000001</v>
      </c>
      <c r="E46" s="27">
        <f t="shared" si="4"/>
        <v>5476.1900000000005</v>
      </c>
      <c r="F46" s="28"/>
      <c r="G46" s="28">
        <f t="shared" si="5"/>
        <v>22.480349764778069</v>
      </c>
      <c r="H46" s="26"/>
      <c r="I46" s="29">
        <f t="shared" si="2"/>
        <v>451.85503027203919</v>
      </c>
      <c r="J46" s="31">
        <f t="shared" si="6"/>
        <v>123106.66657838003</v>
      </c>
      <c r="K46" s="32"/>
    </row>
    <row r="47" spans="1:12" x14ac:dyDescent="0.25">
      <c r="A47" s="24">
        <v>41425</v>
      </c>
      <c r="B47" s="25" t="s">
        <v>93</v>
      </c>
      <c r="C47" s="25"/>
      <c r="D47" s="34">
        <f>26*5.3+29*6+6*2</f>
        <v>323.79999999999995</v>
      </c>
      <c r="E47" s="27">
        <f t="shared" si="4"/>
        <v>5152.3900000000003</v>
      </c>
      <c r="F47" s="28"/>
      <c r="G47" s="28">
        <f t="shared" si="5"/>
        <v>22.480349764778069</v>
      </c>
      <c r="H47" s="26"/>
      <c r="I47" s="29">
        <f t="shared" si="2"/>
        <v>7279.1372538351379</v>
      </c>
      <c r="J47" s="31">
        <f t="shared" si="6"/>
        <v>115827.52932454488</v>
      </c>
      <c r="K47" s="32"/>
    </row>
    <row r="48" spans="1:12" x14ac:dyDescent="0.25">
      <c r="A48" s="24">
        <v>41445</v>
      </c>
      <c r="B48" s="25" t="s">
        <v>99</v>
      </c>
      <c r="C48" s="25"/>
      <c r="D48" s="34">
        <f>12*5.7</f>
        <v>68.400000000000006</v>
      </c>
      <c r="E48" s="27">
        <f t="shared" si="4"/>
        <v>5083.9900000000007</v>
      </c>
      <c r="F48" s="28"/>
      <c r="G48" s="28">
        <f t="shared" si="5"/>
        <v>22.480349764778069</v>
      </c>
      <c r="H48" s="26"/>
      <c r="I48" s="29">
        <f t="shared" si="2"/>
        <v>1537.6559239108201</v>
      </c>
      <c r="J48" s="31">
        <f t="shared" si="6"/>
        <v>114289.87340063407</v>
      </c>
      <c r="K48" s="32"/>
    </row>
    <row r="49" spans="1:12" x14ac:dyDescent="0.25">
      <c r="A49" s="24">
        <v>41445</v>
      </c>
      <c r="B49" s="25" t="s">
        <v>100</v>
      </c>
      <c r="C49" s="25"/>
      <c r="D49" s="34">
        <f>18*5.7</f>
        <v>102.60000000000001</v>
      </c>
      <c r="E49" s="27">
        <f t="shared" si="4"/>
        <v>4981.3900000000003</v>
      </c>
      <c r="F49" s="28"/>
      <c r="G49" s="28">
        <f t="shared" si="5"/>
        <v>22.480349764778069</v>
      </c>
      <c r="H49" s="26"/>
      <c r="I49" s="29">
        <f t="shared" si="2"/>
        <v>2306.4838858662301</v>
      </c>
      <c r="J49" s="31">
        <f t="shared" si="6"/>
        <v>111983.38951476784</v>
      </c>
      <c r="K49" s="32"/>
    </row>
    <row r="50" spans="1:12" x14ac:dyDescent="0.25">
      <c r="A50" s="24">
        <v>41445</v>
      </c>
      <c r="B50" s="25" t="s">
        <v>101</v>
      </c>
      <c r="C50" s="25"/>
      <c r="D50" s="34">
        <f>9*5.7</f>
        <v>51.300000000000004</v>
      </c>
      <c r="E50" s="27">
        <f t="shared" si="4"/>
        <v>4930.09</v>
      </c>
      <c r="F50" s="28"/>
      <c r="G50" s="28">
        <f t="shared" si="5"/>
        <v>22.480349764778072</v>
      </c>
      <c r="H50" s="26"/>
      <c r="I50" s="29">
        <f t="shared" si="2"/>
        <v>1153.2419429331151</v>
      </c>
      <c r="J50" s="31">
        <f t="shared" si="6"/>
        <v>110830.14757183472</v>
      </c>
      <c r="K50" s="32"/>
    </row>
    <row r="51" spans="1:12" x14ac:dyDescent="0.25">
      <c r="A51" s="24">
        <v>41447</v>
      </c>
      <c r="B51" s="25" t="s">
        <v>102</v>
      </c>
      <c r="C51" s="25"/>
      <c r="D51" s="34">
        <f>1*4.26</f>
        <v>4.26</v>
      </c>
      <c r="E51" s="27">
        <f t="shared" si="4"/>
        <v>4925.83</v>
      </c>
      <c r="F51" s="28"/>
      <c r="G51" s="28">
        <f t="shared" si="5"/>
        <v>22.480349764778069</v>
      </c>
      <c r="H51" s="26"/>
      <c r="I51" s="29">
        <f t="shared" si="2"/>
        <v>95.766289997954587</v>
      </c>
      <c r="J51" s="31">
        <f t="shared" si="6"/>
        <v>110734.38128183677</v>
      </c>
      <c r="K51" s="32"/>
      <c r="L51" s="129">
        <f>SUM(I42:I51)</f>
        <v>17796.79369478421</v>
      </c>
    </row>
    <row r="52" spans="1:12" x14ac:dyDescent="0.25">
      <c r="A52" s="24">
        <v>41459</v>
      </c>
      <c r="B52" s="25" t="s">
        <v>113</v>
      </c>
      <c r="C52" s="25"/>
      <c r="D52" s="34">
        <f>8*3.9+7*4.1</f>
        <v>59.899999999999991</v>
      </c>
      <c r="E52" s="27">
        <f t="shared" si="4"/>
        <v>4865.93</v>
      </c>
      <c r="F52" s="28"/>
      <c r="G52" s="28">
        <f t="shared" si="5"/>
        <v>22.480349764778072</v>
      </c>
      <c r="H52" s="26"/>
      <c r="I52" s="29">
        <f t="shared" si="2"/>
        <v>1346.5729509102061</v>
      </c>
      <c r="J52" s="31">
        <f t="shared" si="6"/>
        <v>109387.80833092656</v>
      </c>
      <c r="K52" s="32"/>
    </row>
    <row r="53" spans="1:12" x14ac:dyDescent="0.25">
      <c r="A53" s="24">
        <v>41482</v>
      </c>
      <c r="B53" s="25" t="s">
        <v>126</v>
      </c>
      <c r="C53" s="25"/>
      <c r="D53" s="34">
        <f>1*4.6</f>
        <v>4.5999999999999996</v>
      </c>
      <c r="E53" s="27">
        <f t="shared" si="4"/>
        <v>4861.33</v>
      </c>
      <c r="F53" s="28"/>
      <c r="G53" s="28">
        <f t="shared" si="5"/>
        <v>22.480349764778072</v>
      </c>
      <c r="H53" s="26"/>
      <c r="I53" s="29">
        <f t="shared" si="2"/>
        <v>103.40960891797913</v>
      </c>
      <c r="J53" s="31">
        <f t="shared" si="6"/>
        <v>109284.39872200858</v>
      </c>
      <c r="K53" s="32"/>
      <c r="L53" s="129">
        <f>SUM(I52:I53)</f>
        <v>1449.9825598281852</v>
      </c>
    </row>
    <row r="54" spans="1:12" x14ac:dyDescent="0.25">
      <c r="A54" s="24">
        <v>41491</v>
      </c>
      <c r="B54" s="25" t="s">
        <v>128</v>
      </c>
      <c r="C54" s="25"/>
      <c r="D54" s="34">
        <f>3*4.04</f>
        <v>12.120000000000001</v>
      </c>
      <c r="E54" s="27">
        <f t="shared" si="4"/>
        <v>4849.21</v>
      </c>
      <c r="F54" s="28"/>
      <c r="G54" s="28">
        <f t="shared" si="5"/>
        <v>22.480349764778072</v>
      </c>
      <c r="H54" s="26"/>
      <c r="I54" s="29">
        <f t="shared" si="2"/>
        <v>272.46183914911023</v>
      </c>
      <c r="J54" s="31">
        <f t="shared" si="6"/>
        <v>109011.93688285947</v>
      </c>
      <c r="K54" s="32"/>
    </row>
    <row r="55" spans="1:12" x14ac:dyDescent="0.25">
      <c r="A55" s="24">
        <v>41499</v>
      </c>
      <c r="B55" s="25" t="s">
        <v>130</v>
      </c>
      <c r="C55" s="25"/>
      <c r="D55" s="34">
        <f>39*5.15+39*3.6+39*6+39*3.7+8*2</f>
        <v>735.55</v>
      </c>
      <c r="E55" s="27">
        <f t="shared" si="4"/>
        <v>4113.66</v>
      </c>
      <c r="F55" s="28"/>
      <c r="G55" s="28">
        <f t="shared" si="5"/>
        <v>22.480349764778072</v>
      </c>
      <c r="H55" s="26"/>
      <c r="I55" s="29">
        <f t="shared" si="2"/>
        <v>16535.421269482511</v>
      </c>
      <c r="J55" s="31">
        <f t="shared" si="6"/>
        <v>92476.515613376963</v>
      </c>
      <c r="K55" s="32"/>
    </row>
    <row r="56" spans="1:12" x14ac:dyDescent="0.25">
      <c r="A56" s="24">
        <v>41501</v>
      </c>
      <c r="B56" s="25" t="s">
        <v>131</v>
      </c>
      <c r="C56" s="25"/>
      <c r="D56" s="34">
        <f>49*6.4+4*2</f>
        <v>321.60000000000002</v>
      </c>
      <c r="E56" s="27">
        <f t="shared" si="4"/>
        <v>3792.06</v>
      </c>
      <c r="F56" s="28"/>
      <c r="G56" s="28">
        <f t="shared" si="5"/>
        <v>22.480349764778072</v>
      </c>
      <c r="H56" s="26"/>
      <c r="I56" s="29">
        <f t="shared" si="2"/>
        <v>7229.6804843526288</v>
      </c>
      <c r="J56" s="31">
        <f t="shared" si="6"/>
        <v>85246.83512902433</v>
      </c>
      <c r="K56" s="32"/>
    </row>
    <row r="57" spans="1:12" x14ac:dyDescent="0.25">
      <c r="A57" s="24">
        <v>41513</v>
      </c>
      <c r="B57" s="25" t="s">
        <v>132</v>
      </c>
      <c r="C57" s="25"/>
      <c r="D57" s="34">
        <f>13*7.5</f>
        <v>97.5</v>
      </c>
      <c r="E57" s="27">
        <f t="shared" si="4"/>
        <v>3694.56</v>
      </c>
      <c r="F57" s="28"/>
      <c r="G57" s="28">
        <f t="shared" si="5"/>
        <v>22.480349764778072</v>
      </c>
      <c r="H57" s="26"/>
      <c r="I57" s="29">
        <f t="shared" si="2"/>
        <v>2191.8341020658622</v>
      </c>
      <c r="J57" s="31">
        <f t="shared" si="6"/>
        <v>83055.001026958475</v>
      </c>
      <c r="K57" s="32"/>
    </row>
    <row r="58" spans="1:12" x14ac:dyDescent="0.25">
      <c r="A58" s="24">
        <v>41515</v>
      </c>
      <c r="B58" s="25" t="s">
        <v>133</v>
      </c>
      <c r="C58" s="25"/>
      <c r="D58" s="34">
        <f>9*4.15</f>
        <v>37.35</v>
      </c>
      <c r="E58" s="27">
        <f t="shared" si="4"/>
        <v>3657.21</v>
      </c>
      <c r="F58" s="28"/>
      <c r="G58" s="28">
        <f t="shared" si="5"/>
        <v>22.480349764778072</v>
      </c>
      <c r="H58" s="26"/>
      <c r="I58" s="29">
        <f t="shared" si="2"/>
        <v>839.64106371446098</v>
      </c>
      <c r="J58" s="31">
        <f t="shared" si="6"/>
        <v>82215.359963244016</v>
      </c>
      <c r="K58" s="32"/>
      <c r="L58" s="129">
        <f>SUM(I54:I58)</f>
        <v>27069.038758764575</v>
      </c>
    </row>
    <row r="59" spans="1:12" x14ac:dyDescent="0.25">
      <c r="A59" s="24">
        <v>41570</v>
      </c>
      <c r="B59" s="25" t="s">
        <v>160</v>
      </c>
      <c r="C59" s="25"/>
      <c r="D59" s="34">
        <f>11*4.92</f>
        <v>54.12</v>
      </c>
      <c r="E59" s="27">
        <f t="shared" si="4"/>
        <v>3603.09</v>
      </c>
      <c r="F59" s="28"/>
      <c r="G59" s="28">
        <f t="shared" si="5"/>
        <v>22.480349764778072</v>
      </c>
      <c r="H59" s="26"/>
      <c r="I59" s="29">
        <f t="shared" si="2"/>
        <v>1216.6365292697892</v>
      </c>
      <c r="J59" s="31">
        <f t="shared" si="6"/>
        <v>80998.723433974228</v>
      </c>
      <c r="K59" s="32"/>
    </row>
    <row r="60" spans="1:12" x14ac:dyDescent="0.25">
      <c r="A60" s="24">
        <v>41572</v>
      </c>
      <c r="B60" s="25" t="s">
        <v>161</v>
      </c>
      <c r="C60" s="25"/>
      <c r="D60" s="34">
        <f>24*4.93+16*3.36</f>
        <v>172.07999999999998</v>
      </c>
      <c r="E60" s="27">
        <f t="shared" si="4"/>
        <v>3431.01</v>
      </c>
      <c r="F60" s="28"/>
      <c r="G60" s="28">
        <f t="shared" si="5"/>
        <v>22.480349764778072</v>
      </c>
      <c r="H60" s="26"/>
      <c r="I60" s="29">
        <f t="shared" si="2"/>
        <v>3868.4185875230105</v>
      </c>
      <c r="J60" s="31">
        <f t="shared" si="6"/>
        <v>77130.30484645121</v>
      </c>
      <c r="K60" s="32"/>
      <c r="L60" s="129">
        <f>SUM(I59:I60)</f>
        <v>5085.0551167927997</v>
      </c>
    </row>
    <row r="61" spans="1:12" x14ac:dyDescent="0.25">
      <c r="A61" s="24">
        <v>41591</v>
      </c>
      <c r="B61" s="25" t="s">
        <v>177</v>
      </c>
      <c r="C61" s="25"/>
      <c r="D61" s="34">
        <f>46*6.55+23*6.75+23*4.2+69*6.8+23*5.1</f>
        <v>1139.6499999999999</v>
      </c>
      <c r="E61" s="27">
        <f t="shared" si="4"/>
        <v>2291.3600000000006</v>
      </c>
      <c r="F61" s="28"/>
      <c r="G61" s="28">
        <f t="shared" si="5"/>
        <v>22.480349764778069</v>
      </c>
      <c r="H61" s="26"/>
      <c r="I61" s="29">
        <f t="shared" si="2"/>
        <v>25619.730609429327</v>
      </c>
      <c r="J61" s="31">
        <f t="shared" si="6"/>
        <v>51510.57423702188</v>
      </c>
      <c r="K61" s="32"/>
    </row>
    <row r="62" spans="1:12" x14ac:dyDescent="0.25">
      <c r="A62" s="24">
        <v>41597</v>
      </c>
      <c r="B62" s="25" t="s">
        <v>184</v>
      </c>
      <c r="C62" s="25"/>
      <c r="D62" s="34">
        <f>50*1.5</f>
        <v>75</v>
      </c>
      <c r="E62" s="27">
        <f t="shared" si="4"/>
        <v>2216.3600000000006</v>
      </c>
      <c r="F62" s="28"/>
      <c r="G62" s="28">
        <f t="shared" si="5"/>
        <v>22.480349764778065</v>
      </c>
      <c r="H62" s="26"/>
      <c r="I62" s="29">
        <f t="shared" si="2"/>
        <v>1686.0262323583552</v>
      </c>
      <c r="J62" s="31">
        <f t="shared" si="6"/>
        <v>49824.548004663528</v>
      </c>
      <c r="K62" s="32"/>
    </row>
    <row r="63" spans="1:12" x14ac:dyDescent="0.25">
      <c r="A63" s="24">
        <v>41601</v>
      </c>
      <c r="B63" s="25" t="s">
        <v>294</v>
      </c>
      <c r="C63" s="25"/>
      <c r="D63" s="34">
        <f>4*7.5+4*2.35</f>
        <v>39.4</v>
      </c>
      <c r="E63" s="27">
        <f t="shared" si="4"/>
        <v>2176.9600000000005</v>
      </c>
      <c r="F63" s="28"/>
      <c r="G63" s="28">
        <f t="shared" si="5"/>
        <v>22.480349764778065</v>
      </c>
      <c r="H63" s="26"/>
      <c r="I63" s="29">
        <f t="shared" si="2"/>
        <v>885.72578073225577</v>
      </c>
      <c r="J63" s="31">
        <f t="shared" si="6"/>
        <v>48938.822223931274</v>
      </c>
      <c r="K63" s="32"/>
    </row>
    <row r="64" spans="1:12" x14ac:dyDescent="0.25">
      <c r="A64" s="24">
        <v>41603</v>
      </c>
      <c r="B64" s="25" t="s">
        <v>295</v>
      </c>
      <c r="C64" s="25"/>
      <c r="D64" s="34">
        <f>20*7+21</f>
        <v>161</v>
      </c>
      <c r="E64" s="27">
        <f t="shared" si="4"/>
        <v>2015.9600000000005</v>
      </c>
      <c r="F64" s="28"/>
      <c r="G64" s="28">
        <f t="shared" si="5"/>
        <v>22.480349764778069</v>
      </c>
      <c r="H64" s="26"/>
      <c r="I64" s="29">
        <f t="shared" si="2"/>
        <v>3619.3363121292687</v>
      </c>
      <c r="J64" s="31">
        <f t="shared" si="6"/>
        <v>45319.485911802003</v>
      </c>
      <c r="K64" s="32"/>
      <c r="L64" s="129">
        <f>SUM(I61:I64)</f>
        <v>31810.818934649207</v>
      </c>
    </row>
    <row r="65" spans="1:12" x14ac:dyDescent="0.25">
      <c r="A65" s="24">
        <v>41629</v>
      </c>
      <c r="B65" s="25" t="s">
        <v>325</v>
      </c>
      <c r="C65" s="25"/>
      <c r="D65" s="34">
        <f>12*4.3</f>
        <v>51.599999999999994</v>
      </c>
      <c r="E65" s="27">
        <f t="shared" si="4"/>
        <v>1964.3600000000006</v>
      </c>
      <c r="F65" s="28"/>
      <c r="G65" s="28">
        <f t="shared" si="5"/>
        <v>22.480349764778069</v>
      </c>
      <c r="H65" s="26"/>
      <c r="I65" s="29">
        <f t="shared" si="2"/>
        <v>1159.9860478625483</v>
      </c>
      <c r="J65" s="31">
        <f t="shared" si="6"/>
        <v>44159.499863939454</v>
      </c>
      <c r="K65" s="32"/>
    </row>
    <row r="66" spans="1:12" x14ac:dyDescent="0.25">
      <c r="A66" s="24">
        <v>41635</v>
      </c>
      <c r="B66" s="25" t="s">
        <v>329</v>
      </c>
      <c r="C66" s="25"/>
      <c r="D66" s="34">
        <f>5*2.45+2*1.7+16*0.6</f>
        <v>25.25</v>
      </c>
      <c r="E66" s="27">
        <f t="shared" ref="E66" si="7">E65-D66</f>
        <v>1939.1100000000006</v>
      </c>
      <c r="F66" s="28"/>
      <c r="G66" s="28">
        <f t="shared" ref="G66" si="8">J65/E65</f>
        <v>22.480349764778065</v>
      </c>
      <c r="H66" s="26"/>
      <c r="I66" s="29">
        <f t="shared" ref="I66" si="9">D66*G65</f>
        <v>567.62883156064629</v>
      </c>
      <c r="J66" s="31">
        <f t="shared" ref="J66" si="10">J65-I66</f>
        <v>43591.871032378811</v>
      </c>
      <c r="K66" s="32"/>
      <c r="L66" s="129">
        <f>SUM(I65:I66)</f>
        <v>1727.6148794231945</v>
      </c>
    </row>
    <row r="67" spans="1:12" x14ac:dyDescent="0.25">
      <c r="A67" s="71"/>
      <c r="B67" s="121" t="s">
        <v>351</v>
      </c>
      <c r="C67" s="71">
        <f>SUM(C9:C66)</f>
        <v>8398.85</v>
      </c>
      <c r="D67" s="71">
        <f>SUM(D9:D66)</f>
        <v>6459.7400000000007</v>
      </c>
      <c r="E67" s="71">
        <f>+C67-D67</f>
        <v>1939.1099999999997</v>
      </c>
      <c r="F67" s="71"/>
      <c r="G67" s="71"/>
      <c r="H67" s="71">
        <f>SUM(H9:H66)</f>
        <v>188809.09</v>
      </c>
      <c r="I67" s="72">
        <f>SUM(I9:I66)</f>
        <v>145217.21458952746</v>
      </c>
      <c r="J67" s="72">
        <f>+H67-I67</f>
        <v>43591.875410472538</v>
      </c>
      <c r="K67" s="71"/>
      <c r="L67" s="70">
        <f>SUM(L9:L66)</f>
        <v>145217.21458952752</v>
      </c>
    </row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5"/>
  <sheetViews>
    <sheetView topLeftCell="B94" workbookViewId="0">
      <selection activeCell="N115" sqref="N115"/>
    </sheetView>
  </sheetViews>
  <sheetFormatPr baseColWidth="10" defaultRowHeight="15" x14ac:dyDescent="0.25"/>
  <cols>
    <col min="2" max="2" width="27.85546875" customWidth="1"/>
    <col min="11" max="11" width="13.42578125" customWidth="1"/>
    <col min="14" max="14" width="11.7109375" bestFit="1" customWidth="1"/>
  </cols>
  <sheetData>
    <row r="1" spans="1:14" x14ac:dyDescent="0.25">
      <c r="A1" s="1" t="s">
        <v>24</v>
      </c>
      <c r="B1" s="2"/>
      <c r="C1" s="37"/>
      <c r="D1" s="37"/>
      <c r="E1" s="37"/>
      <c r="F1" s="37"/>
      <c r="G1" s="37"/>
      <c r="H1" s="38" t="s">
        <v>16</v>
      </c>
      <c r="I1" s="37"/>
      <c r="J1" s="37"/>
      <c r="K1" s="39"/>
    </row>
    <row r="2" spans="1:14" x14ac:dyDescent="0.25">
      <c r="A2" s="5" t="s">
        <v>17</v>
      </c>
      <c r="B2" s="6"/>
      <c r="C2" s="40"/>
      <c r="D2" s="40"/>
      <c r="E2" s="40"/>
      <c r="F2" s="40"/>
      <c r="G2" s="40"/>
      <c r="H2" s="36" t="s">
        <v>362</v>
      </c>
      <c r="I2" s="40"/>
      <c r="J2" s="40"/>
      <c r="K2" s="41"/>
    </row>
    <row r="3" spans="1:14" x14ac:dyDescent="0.25">
      <c r="A3" s="9" t="s">
        <v>15</v>
      </c>
      <c r="B3" s="10"/>
      <c r="C3" s="40"/>
      <c r="D3" s="40"/>
      <c r="E3" s="40"/>
      <c r="F3" s="40"/>
      <c r="G3" s="40"/>
      <c r="H3" s="36" t="s">
        <v>18</v>
      </c>
      <c r="I3" s="40"/>
      <c r="J3" s="40"/>
      <c r="K3" s="41"/>
    </row>
    <row r="4" spans="1:14" x14ac:dyDescent="0.25">
      <c r="A4" s="56"/>
      <c r="B4" s="40"/>
      <c r="C4" s="40"/>
      <c r="D4" s="137" t="s">
        <v>19</v>
      </c>
      <c r="E4" s="137"/>
      <c r="F4" s="137"/>
      <c r="G4" s="137"/>
      <c r="H4" s="137"/>
      <c r="I4" s="40"/>
      <c r="J4" s="40"/>
      <c r="K4" s="41"/>
    </row>
    <row r="5" spans="1:14" x14ac:dyDescent="0.25">
      <c r="A5" s="56"/>
      <c r="B5" s="42"/>
      <c r="C5" s="40"/>
      <c r="D5" s="36" t="s">
        <v>354</v>
      </c>
      <c r="E5" s="42"/>
      <c r="F5" s="42"/>
      <c r="G5" s="40"/>
      <c r="H5" s="40"/>
      <c r="I5" s="40"/>
      <c r="J5" s="40"/>
      <c r="K5" s="41"/>
    </row>
    <row r="6" spans="1:14" x14ac:dyDescent="0.25">
      <c r="A6" s="56"/>
      <c r="B6" s="42"/>
      <c r="C6" s="40"/>
      <c r="D6" s="40" t="s">
        <v>355</v>
      </c>
      <c r="E6" s="42"/>
      <c r="F6" s="42"/>
      <c r="G6" s="40"/>
      <c r="H6" s="40"/>
      <c r="I6" s="40"/>
      <c r="J6" s="40"/>
      <c r="K6" s="41"/>
    </row>
    <row r="7" spans="1:14" x14ac:dyDescent="0.25">
      <c r="A7" s="57" t="s">
        <v>0</v>
      </c>
      <c r="B7" s="43" t="s">
        <v>1</v>
      </c>
      <c r="C7" s="138" t="s">
        <v>2</v>
      </c>
      <c r="D7" s="138"/>
      <c r="E7" s="139"/>
      <c r="F7" s="140" t="s">
        <v>3</v>
      </c>
      <c r="G7" s="140"/>
      <c r="H7" s="141" t="s">
        <v>4</v>
      </c>
      <c r="I7" s="142"/>
      <c r="J7" s="142"/>
      <c r="K7" s="54" t="s">
        <v>5</v>
      </c>
      <c r="N7" s="110" t="s">
        <v>707</v>
      </c>
    </row>
    <row r="8" spans="1:14" x14ac:dyDescent="0.25">
      <c r="A8" s="58"/>
      <c r="B8" s="44"/>
      <c r="C8" s="44" t="s">
        <v>6</v>
      </c>
      <c r="D8" s="45" t="s">
        <v>7</v>
      </c>
      <c r="E8" s="46" t="s">
        <v>11</v>
      </c>
      <c r="F8" s="47" t="s">
        <v>12</v>
      </c>
      <c r="G8" s="47" t="s">
        <v>13</v>
      </c>
      <c r="H8" s="45" t="s">
        <v>8</v>
      </c>
      <c r="I8" s="48" t="s">
        <v>9</v>
      </c>
      <c r="J8" s="49" t="s">
        <v>14</v>
      </c>
      <c r="K8" s="55"/>
    </row>
    <row r="9" spans="1:14" x14ac:dyDescent="0.25">
      <c r="A9" s="24">
        <v>41276</v>
      </c>
      <c r="B9" s="25" t="s">
        <v>30</v>
      </c>
      <c r="C9" s="26">
        <v>8309.6</v>
      </c>
      <c r="D9" s="25"/>
      <c r="E9" s="27">
        <f>+[1]RAL2012!E42</f>
        <v>8309.6</v>
      </c>
      <c r="F9" s="28"/>
      <c r="G9" s="28">
        <f>+[1]RAL2012!G18</f>
        <v>22.480312646920545</v>
      </c>
      <c r="H9" s="52">
        <v>186802.41</v>
      </c>
      <c r="I9" s="26"/>
      <c r="J9" s="29">
        <f>+[1]RAL2012!J42</f>
        <v>186802.40597085096</v>
      </c>
      <c r="K9" s="30"/>
    </row>
    <row r="10" spans="1:14" x14ac:dyDescent="0.25">
      <c r="A10" s="24">
        <v>41288</v>
      </c>
      <c r="B10" s="25" t="s">
        <v>31</v>
      </c>
      <c r="C10" s="26"/>
      <c r="D10" s="34">
        <f>(13*6.2)*1.05</f>
        <v>84.63000000000001</v>
      </c>
      <c r="E10" s="27">
        <f>E9-D10</f>
        <v>8224.9700000000012</v>
      </c>
      <c r="F10" s="28"/>
      <c r="G10" s="28">
        <f>+J9/E9</f>
        <v>22.480312646920545</v>
      </c>
      <c r="H10" s="52"/>
      <c r="I10" s="29">
        <f>D10*G9</f>
        <v>1902.508859308886</v>
      </c>
      <c r="J10" s="31">
        <f>J9-I10</f>
        <v>184899.89711154209</v>
      </c>
      <c r="K10" s="32"/>
    </row>
    <row r="11" spans="1:14" s="110" customFormat="1" x14ac:dyDescent="0.25">
      <c r="A11" s="24">
        <v>41291</v>
      </c>
      <c r="B11" s="25" t="s">
        <v>370</v>
      </c>
      <c r="C11" s="26"/>
      <c r="D11" s="34">
        <f>(1+3+0.9+2+1.9+2.9+7*3.9)</f>
        <v>39</v>
      </c>
      <c r="E11" s="27">
        <f>E10-D11</f>
        <v>8185.9700000000012</v>
      </c>
      <c r="F11" s="28"/>
      <c r="G11" s="28">
        <f>+J10/E10</f>
        <v>22.480312646920542</v>
      </c>
      <c r="H11" s="52"/>
      <c r="I11" s="29">
        <f>D11*G10</f>
        <v>876.73219322990121</v>
      </c>
      <c r="J11" s="31">
        <f>J10-I11</f>
        <v>184023.16491831219</v>
      </c>
      <c r="K11" s="32"/>
    </row>
    <row r="12" spans="1:14" x14ac:dyDescent="0.25">
      <c r="A12" s="24">
        <v>41292</v>
      </c>
      <c r="B12" s="25" t="s">
        <v>36</v>
      </c>
      <c r="C12" s="26"/>
      <c r="D12" s="34">
        <f>(26*5.4+1*5)*1.05</f>
        <v>152.67000000000002</v>
      </c>
      <c r="E12" s="27">
        <f>E11-D12</f>
        <v>8033.3000000000011</v>
      </c>
      <c r="F12" s="28"/>
      <c r="G12" s="28">
        <f>+J11/E11</f>
        <v>22.480312646920545</v>
      </c>
      <c r="H12" s="52"/>
      <c r="I12" s="29">
        <f>D12*G11</f>
        <v>3432.0693318053595</v>
      </c>
      <c r="J12" s="31">
        <f>J11-I12</f>
        <v>180591.09558650682</v>
      </c>
      <c r="K12" s="32"/>
    </row>
    <row r="13" spans="1:14" x14ac:dyDescent="0.25">
      <c r="A13" s="24">
        <v>41299</v>
      </c>
      <c r="B13" s="25" t="s">
        <v>38</v>
      </c>
      <c r="C13" s="26"/>
      <c r="D13" s="34">
        <f>(5*6.6+5*2.4)*1.05</f>
        <v>47.25</v>
      </c>
      <c r="E13" s="27">
        <f t="shared" ref="E13:E21" si="0">E12-D13</f>
        <v>7986.0500000000011</v>
      </c>
      <c r="F13" s="28"/>
      <c r="G13" s="28">
        <f t="shared" ref="G13:G75" si="1">+J12/E12</f>
        <v>22.480312646920542</v>
      </c>
      <c r="H13" s="52"/>
      <c r="I13" s="29">
        <f t="shared" ref="I13:I29" si="2">D13*G12</f>
        <v>1062.1947725669957</v>
      </c>
      <c r="J13" s="31">
        <f t="shared" ref="J13:J21" si="3">J12-I13</f>
        <v>179528.90081393984</v>
      </c>
      <c r="K13" s="32"/>
      <c r="N13" s="129">
        <f>SUM(I10:I13)</f>
        <v>7273.505156911142</v>
      </c>
    </row>
    <row r="14" spans="1:14" x14ac:dyDescent="0.25">
      <c r="A14" s="24">
        <v>41325</v>
      </c>
      <c r="B14" s="25" t="s">
        <v>47</v>
      </c>
      <c r="C14" s="26"/>
      <c r="D14" s="34">
        <f>(9*4.6)*1.05</f>
        <v>43.47</v>
      </c>
      <c r="E14" s="27">
        <f t="shared" si="0"/>
        <v>7942.5800000000008</v>
      </c>
      <c r="F14" s="28"/>
      <c r="G14" s="28">
        <f t="shared" si="1"/>
        <v>22.480312646920545</v>
      </c>
      <c r="H14" s="52"/>
      <c r="I14" s="29">
        <f t="shared" si="2"/>
        <v>977.2191907616359</v>
      </c>
      <c r="J14" s="31">
        <f t="shared" si="3"/>
        <v>178551.68162317821</v>
      </c>
      <c r="K14" s="32"/>
      <c r="N14" s="129">
        <f>+I14</f>
        <v>977.2191907616359</v>
      </c>
    </row>
    <row r="15" spans="1:14" x14ac:dyDescent="0.25">
      <c r="A15" s="24">
        <v>41335</v>
      </c>
      <c r="B15" s="25" t="s">
        <v>54</v>
      </c>
      <c r="C15" s="26"/>
      <c r="D15" s="34">
        <f>(3*4.4)*1.05</f>
        <v>13.860000000000001</v>
      </c>
      <c r="E15" s="27">
        <f t="shared" si="0"/>
        <v>7928.7200000000012</v>
      </c>
      <c r="F15" s="28"/>
      <c r="G15" s="28">
        <f t="shared" si="1"/>
        <v>22.480312646920545</v>
      </c>
      <c r="H15" s="52"/>
      <c r="I15" s="29">
        <f t="shared" si="2"/>
        <v>311.57713328631877</v>
      </c>
      <c r="J15" s="31">
        <f t="shared" si="3"/>
        <v>178240.10448989191</v>
      </c>
      <c r="K15" s="33"/>
    </row>
    <row r="16" spans="1:14" x14ac:dyDescent="0.25">
      <c r="A16" s="24">
        <v>41338</v>
      </c>
      <c r="B16" s="25" t="s">
        <v>59</v>
      </c>
      <c r="C16" s="25"/>
      <c r="D16" s="34">
        <f>(11*3.2+11*4.8+1*4)*1.05</f>
        <v>96.600000000000009</v>
      </c>
      <c r="E16" s="27">
        <f t="shared" si="0"/>
        <v>7832.1200000000008</v>
      </c>
      <c r="F16" s="28"/>
      <c r="G16" s="28">
        <f t="shared" si="1"/>
        <v>22.480312646920549</v>
      </c>
      <c r="H16" s="26"/>
      <c r="I16" s="29">
        <f t="shared" si="2"/>
        <v>2171.598201692525</v>
      </c>
      <c r="J16" s="31">
        <f t="shared" si="3"/>
        <v>176068.50628819939</v>
      </c>
      <c r="K16" s="32"/>
    </row>
    <row r="17" spans="1:14" x14ac:dyDescent="0.25">
      <c r="A17" s="24">
        <v>41359</v>
      </c>
      <c r="B17" s="25" t="s">
        <v>67</v>
      </c>
      <c r="C17" s="25"/>
      <c r="D17" s="34">
        <f>(10*6+27*3+2*5)*1.05</f>
        <v>158.55000000000001</v>
      </c>
      <c r="E17" s="27">
        <f t="shared" si="0"/>
        <v>7673.5700000000006</v>
      </c>
      <c r="F17" s="28"/>
      <c r="G17" s="28">
        <f t="shared" si="1"/>
        <v>22.480312646920549</v>
      </c>
      <c r="H17" s="26"/>
      <c r="I17" s="29">
        <f t="shared" si="2"/>
        <v>3564.2535701692532</v>
      </c>
      <c r="J17" s="31">
        <f t="shared" si="3"/>
        <v>172504.25271803015</v>
      </c>
      <c r="K17" s="32"/>
      <c r="N17" s="129">
        <f>SUM(I15:I17)</f>
        <v>6047.4289051480973</v>
      </c>
    </row>
    <row r="18" spans="1:14" x14ac:dyDescent="0.25">
      <c r="A18" s="24">
        <v>41366</v>
      </c>
      <c r="B18" s="25" t="s">
        <v>72</v>
      </c>
      <c r="C18" s="25"/>
      <c r="D18" s="34">
        <f>(8*6+8*5.8+8*6.2+14*5.2+1*2.2+14*0.6+1*5)*1.05</f>
        <v>244.02</v>
      </c>
      <c r="E18" s="27">
        <f t="shared" si="0"/>
        <v>7429.55</v>
      </c>
      <c r="F18" s="28"/>
      <c r="G18" s="28">
        <f t="shared" si="1"/>
        <v>22.480312646920552</v>
      </c>
      <c r="H18" s="26"/>
      <c r="I18" s="29">
        <f t="shared" si="2"/>
        <v>5485.6458921015528</v>
      </c>
      <c r="J18" s="31">
        <f t="shared" si="3"/>
        <v>167018.60682592861</v>
      </c>
      <c r="K18" s="32"/>
    </row>
    <row r="19" spans="1:14" x14ac:dyDescent="0.25">
      <c r="A19" s="24">
        <v>41372</v>
      </c>
      <c r="B19" s="25" t="s">
        <v>76</v>
      </c>
      <c r="C19" s="25"/>
      <c r="D19" s="34">
        <f>(1*6.2+1*5.8+1*5.2+1*4.8+1*4.4+1*3.8+3*5.4+3*3.2)*1.05</f>
        <v>58.800000000000011</v>
      </c>
      <c r="E19" s="27">
        <f t="shared" si="0"/>
        <v>7370.75</v>
      </c>
      <c r="F19" s="28"/>
      <c r="G19" s="28">
        <f t="shared" si="1"/>
        <v>22.480312646920556</v>
      </c>
      <c r="H19" s="26"/>
      <c r="I19" s="29">
        <f t="shared" si="2"/>
        <v>1321.8423836389288</v>
      </c>
      <c r="J19" s="31">
        <f t="shared" si="3"/>
        <v>165696.76444228968</v>
      </c>
      <c r="K19" s="32"/>
    </row>
    <row r="20" spans="1:14" x14ac:dyDescent="0.25">
      <c r="A20" s="24">
        <v>41381</v>
      </c>
      <c r="B20" s="25" t="s">
        <v>78</v>
      </c>
      <c r="C20" s="25"/>
      <c r="D20" s="34">
        <f>(72*5.8)*1.05</f>
        <v>438.47999999999996</v>
      </c>
      <c r="E20" s="27">
        <f t="shared" si="0"/>
        <v>6932.27</v>
      </c>
      <c r="F20" s="28"/>
      <c r="G20" s="28">
        <f t="shared" si="1"/>
        <v>22.480312646920556</v>
      </c>
      <c r="H20" s="26"/>
      <c r="I20" s="29">
        <f t="shared" si="2"/>
        <v>9857.1674894217249</v>
      </c>
      <c r="J20" s="31">
        <f t="shared" si="3"/>
        <v>155839.59695286796</v>
      </c>
      <c r="K20" s="32"/>
    </row>
    <row r="21" spans="1:14" x14ac:dyDescent="0.25">
      <c r="A21" s="24">
        <v>41389</v>
      </c>
      <c r="B21" s="25" t="s">
        <v>81</v>
      </c>
      <c r="C21" s="25"/>
      <c r="D21" s="34">
        <f>1*17</f>
        <v>17</v>
      </c>
      <c r="E21" s="27">
        <f t="shared" si="0"/>
        <v>6915.27</v>
      </c>
      <c r="F21" s="28"/>
      <c r="G21" s="28">
        <f t="shared" si="1"/>
        <v>22.480312646920552</v>
      </c>
      <c r="H21" s="26"/>
      <c r="I21" s="29">
        <f t="shared" si="2"/>
        <v>382.16531499764943</v>
      </c>
      <c r="J21" s="31">
        <f t="shared" si="3"/>
        <v>155457.43163787029</v>
      </c>
      <c r="K21" s="32" t="s">
        <v>141</v>
      </c>
      <c r="N21" s="129">
        <f>SUM(I18:I21)</f>
        <v>17046.821080159854</v>
      </c>
    </row>
    <row r="22" spans="1:14" x14ac:dyDescent="0.25">
      <c r="A22" s="24">
        <v>41397</v>
      </c>
      <c r="B22" s="25" t="s">
        <v>82</v>
      </c>
      <c r="C22" s="25"/>
      <c r="D22" s="34">
        <f>(8*3+8*2.4)*1.05</f>
        <v>45.360000000000007</v>
      </c>
      <c r="E22" s="27">
        <f t="shared" ref="E22" si="4">E21-D22</f>
        <v>6869.9100000000008</v>
      </c>
      <c r="F22" s="28"/>
      <c r="G22" s="28">
        <f t="shared" si="1"/>
        <v>22.480312646920552</v>
      </c>
      <c r="H22" s="26"/>
      <c r="I22" s="29">
        <f t="shared" ref="I22" si="5">D22*G21</f>
        <v>1019.7069816643163</v>
      </c>
      <c r="J22" s="31">
        <f t="shared" ref="J22" si="6">J21-I22</f>
        <v>154437.72465620597</v>
      </c>
      <c r="K22" s="32"/>
    </row>
    <row r="23" spans="1:14" x14ac:dyDescent="0.25">
      <c r="A23" s="24">
        <v>41408</v>
      </c>
      <c r="B23" s="25" t="s">
        <v>191</v>
      </c>
      <c r="C23" s="25"/>
      <c r="D23" s="34">
        <v>0</v>
      </c>
      <c r="E23" s="27">
        <f t="shared" ref="E23" si="7">E22-D23</f>
        <v>6869.9100000000008</v>
      </c>
      <c r="F23" s="28"/>
      <c r="G23" s="28">
        <f t="shared" si="1"/>
        <v>22.480312646920549</v>
      </c>
      <c r="H23" s="26"/>
      <c r="I23" s="29">
        <f t="shared" ref="I23" si="8">D23*G22</f>
        <v>0</v>
      </c>
      <c r="J23" s="31">
        <f t="shared" ref="J23" si="9">J22-I23</f>
        <v>154437.72465620597</v>
      </c>
      <c r="K23" s="32"/>
    </row>
    <row r="24" spans="1:14" x14ac:dyDescent="0.25">
      <c r="A24" s="24">
        <v>41410</v>
      </c>
      <c r="B24" s="25" t="s">
        <v>192</v>
      </c>
      <c r="C24" s="25"/>
      <c r="D24" s="34">
        <v>0</v>
      </c>
      <c r="E24" s="27">
        <f t="shared" ref="E24" si="10">E23-D24</f>
        <v>6869.9100000000008</v>
      </c>
      <c r="F24" s="28"/>
      <c r="G24" s="28">
        <f t="shared" si="1"/>
        <v>22.480312646920549</v>
      </c>
      <c r="H24" s="26"/>
      <c r="I24" s="29">
        <f t="shared" ref="I24" si="11">D24*G23</f>
        <v>0</v>
      </c>
      <c r="J24" s="31">
        <f t="shared" ref="J24" si="12">J23-I24</f>
        <v>154437.72465620597</v>
      </c>
      <c r="K24" s="32"/>
    </row>
    <row r="25" spans="1:14" x14ac:dyDescent="0.25">
      <c r="A25" s="24">
        <v>41410</v>
      </c>
      <c r="B25" s="25" t="s">
        <v>87</v>
      </c>
      <c r="C25" s="25"/>
      <c r="D25" s="34">
        <f>(5*4.8+8*5.4+4*5.6)*1.05</f>
        <v>94.08</v>
      </c>
      <c r="E25" s="27">
        <f>+E24-D25</f>
        <v>6775.8300000000008</v>
      </c>
      <c r="F25" s="28"/>
      <c r="G25" s="28">
        <f t="shared" si="1"/>
        <v>22.480312646920549</v>
      </c>
      <c r="H25" s="26"/>
      <c r="I25" s="29">
        <f t="shared" ref="I25" si="13">D25*G23</f>
        <v>2114.9478138222853</v>
      </c>
      <c r="J25" s="31">
        <f>+J24-I25</f>
        <v>152322.7768423837</v>
      </c>
      <c r="K25" s="32"/>
    </row>
    <row r="26" spans="1:14" x14ac:dyDescent="0.25">
      <c r="A26" s="24">
        <v>41412</v>
      </c>
      <c r="B26" s="25" t="s">
        <v>89</v>
      </c>
      <c r="C26" s="25"/>
      <c r="D26" s="34">
        <f>17*1</f>
        <v>17</v>
      </c>
      <c r="E26" s="27">
        <f t="shared" ref="E26:E53" si="14">+E25-D26</f>
        <v>6758.8300000000008</v>
      </c>
      <c r="F26" s="28"/>
      <c r="G26" s="28">
        <f t="shared" si="1"/>
        <v>22.480312646920552</v>
      </c>
      <c r="H26" s="26"/>
      <c r="I26" s="29">
        <f t="shared" ref="I26" si="15">D26*G24</f>
        <v>382.16531499764932</v>
      </c>
      <c r="J26" s="31">
        <f t="shared" ref="J26:J53" si="16">+J25-I26</f>
        <v>151940.61152738603</v>
      </c>
      <c r="K26" s="32"/>
    </row>
    <row r="27" spans="1:14" x14ac:dyDescent="0.25">
      <c r="A27" s="24">
        <v>41414</v>
      </c>
      <c r="B27" s="25" t="s">
        <v>91</v>
      </c>
      <c r="C27" s="25"/>
      <c r="D27" s="34">
        <f>14*5.4+14*3</f>
        <v>117.60000000000001</v>
      </c>
      <c r="E27" s="27">
        <f t="shared" si="14"/>
        <v>6641.2300000000005</v>
      </c>
      <c r="F27" s="28"/>
      <c r="G27" s="28">
        <f t="shared" si="1"/>
        <v>22.480312646920549</v>
      </c>
      <c r="H27" s="26"/>
      <c r="I27" s="29">
        <f t="shared" si="2"/>
        <v>2643.6847672778572</v>
      </c>
      <c r="J27" s="31">
        <f t="shared" si="16"/>
        <v>149296.92676010818</v>
      </c>
      <c r="K27" s="32"/>
    </row>
    <row r="28" spans="1:14" x14ac:dyDescent="0.25">
      <c r="A28" s="24">
        <v>41425</v>
      </c>
      <c r="B28" s="25" t="s">
        <v>92</v>
      </c>
      <c r="C28" s="25"/>
      <c r="D28" s="34">
        <f>1*8.5</f>
        <v>8.5</v>
      </c>
      <c r="E28" s="27">
        <f t="shared" si="14"/>
        <v>6632.7300000000005</v>
      </c>
      <c r="F28" s="28"/>
      <c r="G28" s="28">
        <f t="shared" si="1"/>
        <v>22.480312646920552</v>
      </c>
      <c r="H28" s="26"/>
      <c r="I28" s="29">
        <f t="shared" si="2"/>
        <v>191.08265749882466</v>
      </c>
      <c r="J28" s="31">
        <f t="shared" si="16"/>
        <v>149105.84410260935</v>
      </c>
      <c r="K28" s="32" t="s">
        <v>141</v>
      </c>
      <c r="N28" s="129">
        <f>SUM(I22:I28)</f>
        <v>6351.5875352609337</v>
      </c>
    </row>
    <row r="29" spans="1:14" x14ac:dyDescent="0.25">
      <c r="A29" s="24">
        <v>41436</v>
      </c>
      <c r="B29" s="25" t="s">
        <v>94</v>
      </c>
      <c r="C29" s="25"/>
      <c r="D29" s="34">
        <f>(10*2.4+1*3)*1.05</f>
        <v>28.35</v>
      </c>
      <c r="E29" s="27">
        <f t="shared" si="14"/>
        <v>6604.38</v>
      </c>
      <c r="F29" s="28"/>
      <c r="G29" s="28">
        <f t="shared" si="1"/>
        <v>22.480312646920549</v>
      </c>
      <c r="H29" s="26"/>
      <c r="I29" s="29">
        <f t="shared" si="2"/>
        <v>637.31686354019769</v>
      </c>
      <c r="J29" s="31">
        <f t="shared" si="16"/>
        <v>148468.52723906914</v>
      </c>
      <c r="K29" s="32"/>
    </row>
    <row r="30" spans="1:14" x14ac:dyDescent="0.25">
      <c r="A30" s="24">
        <v>41436</v>
      </c>
      <c r="B30" s="25" t="s">
        <v>95</v>
      </c>
      <c r="C30" s="25"/>
      <c r="D30" s="34">
        <f>(6*2.4)*1.05+1*0.5</f>
        <v>15.62</v>
      </c>
      <c r="E30" s="27">
        <f t="shared" si="14"/>
        <v>6588.76</v>
      </c>
      <c r="F30" s="28"/>
      <c r="G30" s="28">
        <f t="shared" si="1"/>
        <v>22.480312646920549</v>
      </c>
      <c r="H30" s="26"/>
      <c r="I30" s="29">
        <f t="shared" ref="I30:I85" si="17">D30*G29</f>
        <v>351.14248354489894</v>
      </c>
      <c r="J30" s="31">
        <f t="shared" si="16"/>
        <v>148117.38475552425</v>
      </c>
      <c r="K30" s="32"/>
    </row>
    <row r="31" spans="1:14" x14ac:dyDescent="0.25">
      <c r="A31" s="24">
        <v>41439</v>
      </c>
      <c r="B31" s="25" t="s">
        <v>96</v>
      </c>
      <c r="C31" s="25"/>
      <c r="D31" s="34">
        <f>(38*6.2+8*7)*1.05</f>
        <v>306.18000000000006</v>
      </c>
      <c r="E31" s="27">
        <f t="shared" si="14"/>
        <v>6282.58</v>
      </c>
      <c r="F31" s="28"/>
      <c r="G31" s="28">
        <f t="shared" si="1"/>
        <v>22.480312646920552</v>
      </c>
      <c r="H31" s="26"/>
      <c r="I31" s="29">
        <f t="shared" si="17"/>
        <v>6883.0221262341347</v>
      </c>
      <c r="J31" s="31">
        <f t="shared" si="16"/>
        <v>141234.36262929012</v>
      </c>
      <c r="K31" s="32"/>
    </row>
    <row r="32" spans="1:14" x14ac:dyDescent="0.25">
      <c r="A32" s="24">
        <v>41442</v>
      </c>
      <c r="B32" s="25" t="s">
        <v>97</v>
      </c>
      <c r="C32" s="25"/>
      <c r="D32" s="34">
        <f>(4*4.6+8*3.8+18*2.6+6*2)*1.05</f>
        <v>112.98</v>
      </c>
      <c r="E32" s="27">
        <f t="shared" si="14"/>
        <v>6169.6</v>
      </c>
      <c r="F32" s="28"/>
      <c r="G32" s="28">
        <f t="shared" si="1"/>
        <v>22.480312646920552</v>
      </c>
      <c r="H32" s="26"/>
      <c r="I32" s="29">
        <f t="shared" si="17"/>
        <v>2539.8257228490843</v>
      </c>
      <c r="J32" s="31">
        <f t="shared" si="16"/>
        <v>138694.53690644103</v>
      </c>
      <c r="K32" s="32"/>
    </row>
    <row r="33" spans="1:14" x14ac:dyDescent="0.25">
      <c r="A33" s="24">
        <v>41445</v>
      </c>
      <c r="B33" s="25" t="s">
        <v>98</v>
      </c>
      <c r="C33" s="25"/>
      <c r="D33" s="34">
        <f>(5*3.4+5*5.4+30*4.6)*1.05</f>
        <v>191.1</v>
      </c>
      <c r="E33" s="27">
        <f t="shared" si="14"/>
        <v>5978.5</v>
      </c>
      <c r="F33" s="28"/>
      <c r="G33" s="28">
        <f t="shared" si="1"/>
        <v>22.480312646920549</v>
      </c>
      <c r="H33" s="26"/>
      <c r="I33" s="29">
        <f t="shared" si="17"/>
        <v>4295.9877468265177</v>
      </c>
      <c r="J33" s="31">
        <f t="shared" si="16"/>
        <v>134398.54915961451</v>
      </c>
      <c r="K33" s="32"/>
    </row>
    <row r="34" spans="1:14" x14ac:dyDescent="0.25">
      <c r="A34" s="24">
        <v>41447</v>
      </c>
      <c r="B34" s="25" t="s">
        <v>103</v>
      </c>
      <c r="C34" s="25"/>
      <c r="D34" s="34">
        <f>(3*4.6+2*3.6)*1.05</f>
        <v>22.05</v>
      </c>
      <c r="E34" s="27">
        <f t="shared" si="14"/>
        <v>5956.45</v>
      </c>
      <c r="F34" s="28"/>
      <c r="G34" s="28">
        <f t="shared" si="1"/>
        <v>22.480312646920552</v>
      </c>
      <c r="H34" s="26"/>
      <c r="I34" s="29">
        <f t="shared" si="17"/>
        <v>495.69089386459814</v>
      </c>
      <c r="J34" s="31">
        <f t="shared" si="16"/>
        <v>133902.85826574991</v>
      </c>
      <c r="K34" s="32"/>
    </row>
    <row r="35" spans="1:14" x14ac:dyDescent="0.25">
      <c r="A35" s="24">
        <v>41449</v>
      </c>
      <c r="B35" s="25" t="s">
        <v>104</v>
      </c>
      <c r="C35" s="25"/>
      <c r="D35" s="34">
        <f>(1*6.4)*1.05</f>
        <v>6.7200000000000006</v>
      </c>
      <c r="E35" s="27">
        <f t="shared" si="14"/>
        <v>5949.73</v>
      </c>
      <c r="F35" s="28"/>
      <c r="G35" s="28">
        <f t="shared" si="1"/>
        <v>22.480312646920549</v>
      </c>
      <c r="H35" s="26"/>
      <c r="I35" s="29">
        <f t="shared" si="17"/>
        <v>151.06770098730613</v>
      </c>
      <c r="J35" s="31">
        <f t="shared" si="16"/>
        <v>133751.7905647626</v>
      </c>
      <c r="K35" s="32"/>
    </row>
    <row r="36" spans="1:14" x14ac:dyDescent="0.25">
      <c r="A36" s="24">
        <v>41451</v>
      </c>
      <c r="B36" s="25" t="s">
        <v>105</v>
      </c>
      <c r="C36" s="25"/>
      <c r="D36" s="34">
        <f>(10*4.4)*1.05</f>
        <v>46.2</v>
      </c>
      <c r="E36" s="27">
        <f t="shared" si="14"/>
        <v>5903.53</v>
      </c>
      <c r="F36" s="28"/>
      <c r="G36" s="28">
        <f t="shared" si="1"/>
        <v>22.480312646920552</v>
      </c>
      <c r="H36" s="26"/>
      <c r="I36" s="29">
        <f t="shared" si="17"/>
        <v>1038.5904442877295</v>
      </c>
      <c r="J36" s="31">
        <f t="shared" si="16"/>
        <v>132713.20012047488</v>
      </c>
      <c r="K36" s="32"/>
    </row>
    <row r="37" spans="1:14" x14ac:dyDescent="0.25">
      <c r="A37" s="24">
        <v>41452</v>
      </c>
      <c r="B37" s="25" t="s">
        <v>106</v>
      </c>
      <c r="C37" s="25"/>
      <c r="D37" s="34">
        <f>(24*4+12*2.4+12*1.2)*1.05+1*4.25</f>
        <v>150.41</v>
      </c>
      <c r="E37" s="27">
        <f t="shared" si="14"/>
        <v>5753.12</v>
      </c>
      <c r="F37" s="28"/>
      <c r="G37" s="28">
        <f t="shared" si="1"/>
        <v>22.480312646920552</v>
      </c>
      <c r="H37" s="26"/>
      <c r="I37" s="29">
        <f t="shared" si="17"/>
        <v>3381.2638252233201</v>
      </c>
      <c r="J37" s="31">
        <f t="shared" si="16"/>
        <v>129331.93629525157</v>
      </c>
      <c r="K37" s="32"/>
    </row>
    <row r="38" spans="1:14" x14ac:dyDescent="0.25">
      <c r="A38" s="24">
        <v>41454</v>
      </c>
      <c r="B38" s="25" t="s">
        <v>107</v>
      </c>
      <c r="C38" s="25"/>
      <c r="D38" s="34">
        <f>(4*5.8+1*4.2+1*2.6+2*4.8+1*3.8+1*3.4+1*2.2+1*1.8+1*1.2+5*5+1*3.2+6*6+7*8.2+2*2+2*1.4+2*0.5+2*0.5+2*0.6)*1.05+1*8.5</f>
        <v>201.28</v>
      </c>
      <c r="E38" s="27">
        <f t="shared" si="14"/>
        <v>5551.84</v>
      </c>
      <c r="F38" s="28"/>
      <c r="G38" s="28">
        <f t="shared" si="1"/>
        <v>22.480312646920552</v>
      </c>
      <c r="H38" s="26"/>
      <c r="I38" s="29">
        <f t="shared" si="17"/>
        <v>4524.8373295721685</v>
      </c>
      <c r="J38" s="31">
        <f t="shared" si="16"/>
        <v>124807.0989656794</v>
      </c>
      <c r="K38" s="32"/>
    </row>
    <row r="39" spans="1:14" x14ac:dyDescent="0.25">
      <c r="A39" s="24">
        <v>41454</v>
      </c>
      <c r="B39" s="25" t="s">
        <v>108</v>
      </c>
      <c r="C39" s="25"/>
      <c r="D39" s="34">
        <f>(1*3.4+1*2.8+1*2.4+1*2+1*1.4+1*1+1*1.6+1*2.2+1*3.2+1*4.4+2*5.2+6*3.4+1*3)*1.05</f>
        <v>61.11</v>
      </c>
      <c r="E39" s="27">
        <f t="shared" si="14"/>
        <v>5490.7300000000005</v>
      </c>
      <c r="F39" s="28"/>
      <c r="G39" s="28">
        <f t="shared" si="1"/>
        <v>22.480312646920552</v>
      </c>
      <c r="H39" s="26"/>
      <c r="I39" s="29">
        <f t="shared" si="17"/>
        <v>1373.771905853315</v>
      </c>
      <c r="J39" s="31">
        <f t="shared" si="16"/>
        <v>123433.32705982609</v>
      </c>
      <c r="K39" s="32"/>
      <c r="N39" s="129">
        <f>SUM(I29:I39)</f>
        <v>25672.517042783271</v>
      </c>
    </row>
    <row r="40" spans="1:14" x14ac:dyDescent="0.25">
      <c r="A40" s="24">
        <v>41457</v>
      </c>
      <c r="B40" s="25" t="s">
        <v>110</v>
      </c>
      <c r="C40" s="25"/>
      <c r="D40" s="34">
        <f>(27*7+27*7.8+6*2)*1.05</f>
        <v>432.18000000000006</v>
      </c>
      <c r="E40" s="27">
        <f t="shared" si="14"/>
        <v>5058.55</v>
      </c>
      <c r="F40" s="28"/>
      <c r="G40" s="28">
        <f t="shared" si="1"/>
        <v>22.480312646920552</v>
      </c>
      <c r="H40" s="26"/>
      <c r="I40" s="29">
        <f t="shared" si="17"/>
        <v>9715.5415197461261</v>
      </c>
      <c r="J40" s="31">
        <f t="shared" si="16"/>
        <v>113717.78554007996</v>
      </c>
      <c r="K40" s="32"/>
    </row>
    <row r="41" spans="1:14" x14ac:dyDescent="0.25">
      <c r="A41" s="24">
        <v>41459</v>
      </c>
      <c r="B41" s="25" t="s">
        <v>111</v>
      </c>
      <c r="C41" s="25"/>
      <c r="D41" s="34">
        <f>82*8.62+41*7.54</f>
        <v>1015.9799999999999</v>
      </c>
      <c r="E41" s="27">
        <f t="shared" si="14"/>
        <v>4042.57</v>
      </c>
      <c r="F41" s="28"/>
      <c r="G41" s="28">
        <f t="shared" si="1"/>
        <v>22.480312646920552</v>
      </c>
      <c r="H41" s="26"/>
      <c r="I41" s="29">
        <f t="shared" si="17"/>
        <v>22839.548043018342</v>
      </c>
      <c r="J41" s="31">
        <f t="shared" si="16"/>
        <v>90878.237497061622</v>
      </c>
      <c r="K41" s="32" t="s">
        <v>142</v>
      </c>
    </row>
    <row r="42" spans="1:14" x14ac:dyDescent="0.25">
      <c r="A42" s="24">
        <v>41459</v>
      </c>
      <c r="B42" s="25" t="s">
        <v>112</v>
      </c>
      <c r="C42" s="25"/>
      <c r="D42" s="34">
        <f>(24*8.6)*1.05</f>
        <v>216.72</v>
      </c>
      <c r="E42" s="27">
        <f t="shared" si="14"/>
        <v>3825.8500000000004</v>
      </c>
      <c r="F42" s="28"/>
      <c r="G42" s="28">
        <f t="shared" si="1"/>
        <v>22.480312646920552</v>
      </c>
      <c r="H42" s="26"/>
      <c r="I42" s="29">
        <f t="shared" si="17"/>
        <v>4871.9333568406219</v>
      </c>
      <c r="J42" s="31">
        <f t="shared" si="16"/>
        <v>86006.304140221007</v>
      </c>
      <c r="K42" s="32"/>
    </row>
    <row r="43" spans="1:14" x14ac:dyDescent="0.25">
      <c r="A43" s="24">
        <v>41461</v>
      </c>
      <c r="B43" s="25" t="s">
        <v>114</v>
      </c>
      <c r="C43" s="25"/>
      <c r="D43" s="34">
        <f>(13*5.6+2*4.8+1*3.6+3*2.4+3*2.6+1*3.8+2*5+2*4.2+2*3.4+1*2+3*1.2+1*0.4+4*0.6+3*1+2*1.6+4*1.4+2*0.8+1*5.8+1*1.8+2*3.2)*1.05+1*6.5</f>
        <v>180.59000000000003</v>
      </c>
      <c r="E43" s="27">
        <f t="shared" si="14"/>
        <v>3645.26</v>
      </c>
      <c r="F43" s="28"/>
      <c r="G43" s="28">
        <f t="shared" si="1"/>
        <v>22.480312646920552</v>
      </c>
      <c r="H43" s="26"/>
      <c r="I43" s="29">
        <f t="shared" si="17"/>
        <v>4059.7196609073831</v>
      </c>
      <c r="J43" s="31">
        <f t="shared" si="16"/>
        <v>81946.58447931362</v>
      </c>
      <c r="K43" s="32"/>
    </row>
    <row r="44" spans="1:14" x14ac:dyDescent="0.25">
      <c r="A44" s="24">
        <v>41461</v>
      </c>
      <c r="B44" s="25" t="s">
        <v>115</v>
      </c>
      <c r="C44" s="25"/>
      <c r="D44" s="34">
        <f>1*5</f>
        <v>5</v>
      </c>
      <c r="E44" s="27">
        <f t="shared" si="14"/>
        <v>3640.26</v>
      </c>
      <c r="F44" s="28"/>
      <c r="G44" s="28">
        <f t="shared" si="1"/>
        <v>22.480312646920552</v>
      </c>
      <c r="H44" s="26"/>
      <c r="I44" s="29">
        <f t="shared" si="17"/>
        <v>112.40156323460276</v>
      </c>
      <c r="J44" s="31">
        <f t="shared" si="16"/>
        <v>81834.182916079022</v>
      </c>
      <c r="K44" s="32"/>
    </row>
    <row r="45" spans="1:14" x14ac:dyDescent="0.25">
      <c r="A45" s="24">
        <v>41461</v>
      </c>
      <c r="B45" s="25" t="s">
        <v>116</v>
      </c>
      <c r="C45" s="25"/>
      <c r="D45" s="34">
        <f>(9*5.4)*1.05+1*2.5</f>
        <v>53.53</v>
      </c>
      <c r="E45" s="27">
        <f t="shared" si="14"/>
        <v>3586.73</v>
      </c>
      <c r="F45" s="28"/>
      <c r="G45" s="28">
        <f t="shared" si="1"/>
        <v>22.480312646920556</v>
      </c>
      <c r="H45" s="26"/>
      <c r="I45" s="29">
        <f t="shared" si="17"/>
        <v>1203.3711359896572</v>
      </c>
      <c r="J45" s="31">
        <f t="shared" si="16"/>
        <v>80630.811780089367</v>
      </c>
      <c r="K45" s="32"/>
    </row>
    <row r="46" spans="1:14" x14ac:dyDescent="0.25">
      <c r="A46" s="24">
        <v>41465</v>
      </c>
      <c r="B46" s="25" t="s">
        <v>117</v>
      </c>
      <c r="C46" s="25"/>
      <c r="D46" s="34">
        <f>1*5.1</f>
        <v>5.0999999999999996</v>
      </c>
      <c r="E46" s="27">
        <f t="shared" si="14"/>
        <v>3581.63</v>
      </c>
      <c r="F46" s="28"/>
      <c r="G46" s="28">
        <f t="shared" si="1"/>
        <v>22.480312646920556</v>
      </c>
      <c r="H46" s="26"/>
      <c r="I46" s="29">
        <f t="shared" si="17"/>
        <v>114.64959449929482</v>
      </c>
      <c r="J46" s="31">
        <f t="shared" si="16"/>
        <v>80516.162185590074</v>
      </c>
      <c r="K46" s="32"/>
    </row>
    <row r="47" spans="1:14" x14ac:dyDescent="0.25">
      <c r="A47" s="24">
        <v>41466</v>
      </c>
      <c r="B47" s="25" t="s">
        <v>119</v>
      </c>
      <c r="C47" s="25"/>
      <c r="D47" s="34">
        <f>(1*3)*1.05</f>
        <v>3.1500000000000004</v>
      </c>
      <c r="E47" s="27">
        <f t="shared" si="14"/>
        <v>3578.48</v>
      </c>
      <c r="F47" s="28"/>
      <c r="G47" s="28">
        <f t="shared" si="1"/>
        <v>22.480312646920556</v>
      </c>
      <c r="H47" s="26"/>
      <c r="I47" s="29">
        <f t="shared" si="17"/>
        <v>70.81298483779976</v>
      </c>
      <c r="J47" s="31">
        <f t="shared" si="16"/>
        <v>80445.349200752273</v>
      </c>
      <c r="K47" s="32"/>
    </row>
    <row r="48" spans="1:14" x14ac:dyDescent="0.25">
      <c r="A48" s="24">
        <v>41468</v>
      </c>
      <c r="B48" s="25" t="s">
        <v>120</v>
      </c>
      <c r="C48" s="25"/>
      <c r="D48" s="34">
        <f>(10*5.3+10*3.2)*1.05</f>
        <v>89.25</v>
      </c>
      <c r="E48" s="27">
        <f t="shared" si="14"/>
        <v>3489.23</v>
      </c>
      <c r="F48" s="28"/>
      <c r="G48" s="28">
        <f t="shared" si="1"/>
        <v>22.480312646920556</v>
      </c>
      <c r="H48" s="26"/>
      <c r="I48" s="29">
        <f t="shared" si="17"/>
        <v>2006.3679037376596</v>
      </c>
      <c r="J48" s="31">
        <f t="shared" si="16"/>
        <v>78438.981297014616</v>
      </c>
      <c r="K48" s="32"/>
    </row>
    <row r="49" spans="1:14" x14ac:dyDescent="0.25">
      <c r="A49" s="24">
        <v>41479</v>
      </c>
      <c r="B49" s="25" t="s">
        <v>122</v>
      </c>
      <c r="C49" s="25"/>
      <c r="D49" s="34">
        <f>(8*2)*1.05</f>
        <v>16.8</v>
      </c>
      <c r="E49" s="27">
        <f t="shared" si="14"/>
        <v>3472.43</v>
      </c>
      <c r="F49" s="28"/>
      <c r="G49" s="28">
        <f t="shared" si="1"/>
        <v>22.480312646920556</v>
      </c>
      <c r="H49" s="26"/>
      <c r="I49" s="29">
        <f t="shared" si="17"/>
        <v>377.66925246826537</v>
      </c>
      <c r="J49" s="31">
        <f t="shared" si="16"/>
        <v>78061.312044546357</v>
      </c>
      <c r="K49" s="32"/>
    </row>
    <row r="50" spans="1:14" x14ac:dyDescent="0.25">
      <c r="A50" s="24">
        <v>41481</v>
      </c>
      <c r="B50" s="25" t="s">
        <v>123</v>
      </c>
      <c r="C50" s="25"/>
      <c r="D50" s="34">
        <f>(7*5.2+5*3.8+7*2.8+8*1.8+9*0.8+8*4+3*3.4+8*2.2+3*1.6+4*1+4*2.4+6*1.4+13*2+5*1.2+3*5.6+1*5+2*4.4+5*3.6+3*3+1*4.8)*1.05</f>
        <v>291.48</v>
      </c>
      <c r="E50" s="27">
        <f t="shared" si="14"/>
        <v>3180.95</v>
      </c>
      <c r="F50" s="28"/>
      <c r="G50" s="28">
        <f t="shared" si="1"/>
        <v>22.480312646920559</v>
      </c>
      <c r="H50" s="26"/>
      <c r="I50" s="29">
        <f t="shared" si="17"/>
        <v>6552.561530324404</v>
      </c>
      <c r="J50" s="31">
        <f t="shared" si="16"/>
        <v>71508.75051422196</v>
      </c>
      <c r="K50" s="32"/>
    </row>
    <row r="51" spans="1:14" x14ac:dyDescent="0.25">
      <c r="A51" s="24">
        <v>41481</v>
      </c>
      <c r="B51" s="25" t="s">
        <v>124</v>
      </c>
      <c r="C51" s="25"/>
      <c r="D51" s="34">
        <f>(3*4.6+1*4.2+1*3.2+2*2.6)*1.05+1*19</f>
        <v>46.72</v>
      </c>
      <c r="E51" s="27">
        <f t="shared" si="14"/>
        <v>3134.23</v>
      </c>
      <c r="F51" s="28"/>
      <c r="G51" s="28">
        <f t="shared" si="1"/>
        <v>22.480312646920563</v>
      </c>
      <c r="H51" s="26"/>
      <c r="I51" s="29">
        <f t="shared" si="17"/>
        <v>1050.2802068641286</v>
      </c>
      <c r="J51" s="31">
        <f t="shared" si="16"/>
        <v>70458.470307357828</v>
      </c>
      <c r="K51" s="32"/>
    </row>
    <row r="52" spans="1:14" x14ac:dyDescent="0.25">
      <c r="A52" s="24">
        <v>41482</v>
      </c>
      <c r="B52" s="25" t="s">
        <v>125</v>
      </c>
      <c r="C52" s="25"/>
      <c r="D52" s="34">
        <f>(19*5+7*5.4)*1.05</f>
        <v>139.44000000000003</v>
      </c>
      <c r="E52" s="27">
        <f t="shared" si="14"/>
        <v>2994.79</v>
      </c>
      <c r="F52" s="28"/>
      <c r="G52" s="28">
        <f t="shared" si="1"/>
        <v>22.480312646920559</v>
      </c>
      <c r="H52" s="26"/>
      <c r="I52" s="29">
        <f t="shared" si="17"/>
        <v>3134.6547954866037</v>
      </c>
      <c r="J52" s="31">
        <f t="shared" si="16"/>
        <v>67323.815511871217</v>
      </c>
      <c r="K52" s="32"/>
      <c r="N52" s="129">
        <f>SUM(I40:I52)</f>
        <v>56109.511547954891</v>
      </c>
    </row>
    <row r="53" spans="1:14" x14ac:dyDescent="0.25">
      <c r="A53" s="24">
        <v>41496</v>
      </c>
      <c r="B53" s="25" t="s">
        <v>129</v>
      </c>
      <c r="C53" s="25"/>
      <c r="D53" s="34">
        <f>(1*4)*1.05</f>
        <v>4.2</v>
      </c>
      <c r="E53" s="27">
        <f t="shared" si="14"/>
        <v>2990.59</v>
      </c>
      <c r="F53" s="28"/>
      <c r="G53" s="28">
        <f t="shared" si="1"/>
        <v>22.480312646920559</v>
      </c>
      <c r="H53" s="26"/>
      <c r="I53" s="29">
        <f t="shared" si="17"/>
        <v>94.417313117066357</v>
      </c>
      <c r="J53" s="31">
        <f t="shared" si="16"/>
        <v>67229.398198754148</v>
      </c>
      <c r="K53" s="32"/>
    </row>
    <row r="54" spans="1:14" x14ac:dyDescent="0.25">
      <c r="A54" s="24">
        <v>41514</v>
      </c>
      <c r="B54" s="100" t="s">
        <v>261</v>
      </c>
      <c r="C54" s="25">
        <v>4978.76</v>
      </c>
      <c r="D54" s="34"/>
      <c r="E54" s="27">
        <f>+E53+C54</f>
        <v>7969.35</v>
      </c>
      <c r="F54" s="28">
        <f>+H54/C54</f>
        <v>28.838491913649179</v>
      </c>
      <c r="G54" s="28"/>
      <c r="H54" s="26">
        <v>143579.93</v>
      </c>
      <c r="I54" s="29"/>
      <c r="J54" s="31">
        <f>+J53+H54</f>
        <v>210809.32819875414</v>
      </c>
      <c r="K54" s="32"/>
      <c r="N54" s="129">
        <f>SUM(I53)</f>
        <v>94.417313117066357</v>
      </c>
    </row>
    <row r="55" spans="1:14" x14ac:dyDescent="0.25">
      <c r="A55" s="24">
        <v>41547</v>
      </c>
      <c r="B55" s="25" t="s">
        <v>143</v>
      </c>
      <c r="C55" s="25"/>
      <c r="D55" s="34">
        <f>(13*2.4+13*2.6)*1.05+18</f>
        <v>86.25</v>
      </c>
      <c r="E55" s="27">
        <f>+E54-D55</f>
        <v>7883.1</v>
      </c>
      <c r="F55" s="28"/>
      <c r="G55" s="28">
        <f t="shared" si="1"/>
        <v>26.452512212257478</v>
      </c>
      <c r="H55" s="26"/>
      <c r="I55" s="29">
        <f>D55*G53</f>
        <v>1938.9269657968982</v>
      </c>
      <c r="J55" s="31">
        <f>+J54-I55</f>
        <v>208870.40123295723</v>
      </c>
      <c r="K55" s="32" t="s">
        <v>144</v>
      </c>
      <c r="N55" s="129">
        <f>+I55</f>
        <v>1938.9269657968982</v>
      </c>
    </row>
    <row r="56" spans="1:14" x14ac:dyDescent="0.25">
      <c r="A56" s="24">
        <v>41551</v>
      </c>
      <c r="B56" s="25" t="s">
        <v>145</v>
      </c>
      <c r="C56" s="25"/>
      <c r="D56" s="34">
        <f>(8*4.8+2*4+4*3+4*2.2+2*1.2+2*4.2+2*3.6+2*1.4+2*1+12*5.2+16*5.8)*1.05</f>
        <v>257.46000000000004</v>
      </c>
      <c r="E56" s="27">
        <f t="shared" ref="E56:E85" si="18">E55-D56</f>
        <v>7625.64</v>
      </c>
      <c r="F56" s="28"/>
      <c r="G56" s="28">
        <f t="shared" si="1"/>
        <v>26.495972553051111</v>
      </c>
      <c r="H56" s="26"/>
      <c r="I56" s="29">
        <f t="shared" si="17"/>
        <v>6810.4637941678111</v>
      </c>
      <c r="J56" s="31">
        <f t="shared" ref="J56:J113" si="19">+J55-I56</f>
        <v>202059.93743878941</v>
      </c>
      <c r="K56" s="32"/>
    </row>
    <row r="57" spans="1:14" x14ac:dyDescent="0.25">
      <c r="A57" s="24">
        <v>41551</v>
      </c>
      <c r="B57" s="25" t="s">
        <v>147</v>
      </c>
      <c r="C57" s="25"/>
      <c r="D57" s="34">
        <f>(1*6.6+2*6.4+2*6.2+3*6+2*5.8+2*5.6+2*5.4+12*5.2+4*5+1*4.6+2*4+2*3.4+1*2.4+1*3+1*2+2*1+2*0.8+1*1.4+1*1.2+1*0.6)*1.05</f>
        <v>209.37</v>
      </c>
      <c r="E57" s="27">
        <f t="shared" si="18"/>
        <v>7416.27</v>
      </c>
      <c r="F57" s="28"/>
      <c r="G57" s="28">
        <f t="shared" si="1"/>
        <v>26.497439878985816</v>
      </c>
      <c r="H57" s="26"/>
      <c r="I57" s="29">
        <f t="shared" si="17"/>
        <v>5547.461773432311</v>
      </c>
      <c r="J57" s="31">
        <f t="shared" si="19"/>
        <v>196512.47566535708</v>
      </c>
      <c r="K57" s="32"/>
    </row>
    <row r="58" spans="1:14" x14ac:dyDescent="0.25">
      <c r="A58" s="24">
        <v>41551</v>
      </c>
      <c r="B58" s="25" t="s">
        <v>148</v>
      </c>
      <c r="C58" s="25"/>
      <c r="D58" s="34">
        <f>(2*0.4)*1.05+7</f>
        <v>7.84</v>
      </c>
      <c r="E58" s="27">
        <f t="shared" si="18"/>
        <v>7408.43</v>
      </c>
      <c r="F58" s="28"/>
      <c r="G58" s="28">
        <f t="shared" si="1"/>
        <v>26.497481303317851</v>
      </c>
      <c r="H58" s="26"/>
      <c r="I58" s="29">
        <f t="shared" si="17"/>
        <v>207.73992865124879</v>
      </c>
      <c r="J58" s="31">
        <f t="shared" si="19"/>
        <v>196304.73573670583</v>
      </c>
      <c r="K58" s="32"/>
    </row>
    <row r="59" spans="1:14" x14ac:dyDescent="0.25">
      <c r="A59" s="24">
        <v>41551</v>
      </c>
      <c r="B59" s="25" t="s">
        <v>149</v>
      </c>
      <c r="C59" s="25"/>
      <c r="D59" s="34">
        <f>(7*3)*1.05+5</f>
        <v>27.05</v>
      </c>
      <c r="E59" s="27">
        <f t="shared" si="18"/>
        <v>7381.38</v>
      </c>
      <c r="F59" s="28"/>
      <c r="G59" s="28">
        <f t="shared" si="1"/>
        <v>26.497481347155311</v>
      </c>
      <c r="H59" s="26"/>
      <c r="I59" s="29">
        <f t="shared" si="17"/>
        <v>716.75686925474793</v>
      </c>
      <c r="J59" s="31">
        <f t="shared" si="19"/>
        <v>195587.97886745108</v>
      </c>
      <c r="K59" s="32"/>
    </row>
    <row r="60" spans="1:14" x14ac:dyDescent="0.25">
      <c r="A60" s="24">
        <v>41558</v>
      </c>
      <c r="B60" s="25" t="s">
        <v>151</v>
      </c>
      <c r="C60" s="25"/>
      <c r="D60" s="34">
        <f>(12*6.4+2*6.2+3*5.2+2*5.8+19*5.4+2+2.8+2*3.4+4.2+5+5.6+5*4.4+3.8+3+2.2+1.4+2*0.8+2*4.6+2*4.8+2*4)*1.05</f>
        <v>321.51</v>
      </c>
      <c r="E60" s="27">
        <f t="shared" si="18"/>
        <v>7059.87</v>
      </c>
      <c r="F60" s="28"/>
      <c r="G60" s="28">
        <f t="shared" si="1"/>
        <v>26.497481347315958</v>
      </c>
      <c r="H60" s="26"/>
      <c r="I60" s="29">
        <f t="shared" si="17"/>
        <v>8519.2052279239033</v>
      </c>
      <c r="J60" s="31">
        <f t="shared" si="19"/>
        <v>187068.77363952718</v>
      </c>
      <c r="K60" s="32"/>
    </row>
    <row r="61" spans="1:14" x14ac:dyDescent="0.25">
      <c r="A61" s="24">
        <v>41558</v>
      </c>
      <c r="B61" s="25" t="s">
        <v>152</v>
      </c>
      <c r="C61" s="25"/>
      <c r="D61" s="34">
        <f>(3.2+2.4+13*1.6+2.6+1.8+13*1)*1.05</f>
        <v>45.99</v>
      </c>
      <c r="E61" s="27">
        <f t="shared" si="18"/>
        <v>7013.88</v>
      </c>
      <c r="F61" s="28"/>
      <c r="G61" s="28">
        <f t="shared" si="1"/>
        <v>26.497481347323276</v>
      </c>
      <c r="H61" s="26"/>
      <c r="I61" s="29">
        <f t="shared" si="17"/>
        <v>1218.6191671630609</v>
      </c>
      <c r="J61" s="31">
        <f t="shared" si="19"/>
        <v>185850.15447236411</v>
      </c>
      <c r="K61" s="32"/>
    </row>
    <row r="62" spans="1:14" x14ac:dyDescent="0.25">
      <c r="A62" s="24">
        <v>41558</v>
      </c>
      <c r="B62" s="25" t="s">
        <v>153</v>
      </c>
      <c r="C62" s="25"/>
      <c r="D62" s="34">
        <f>(2*0.8+2*1.6+2*2.4+3+3.2+4+3.8+4.8+4.6+5.6+5.4+6.4+6+6.8+7.2+8+8.8+9+7.6)*1.05</f>
        <v>108.98999999999998</v>
      </c>
      <c r="E62" s="27">
        <f t="shared" si="18"/>
        <v>6904.89</v>
      </c>
      <c r="F62" s="28"/>
      <c r="G62" s="28">
        <f t="shared" si="1"/>
        <v>26.497481347323323</v>
      </c>
      <c r="H62" s="26"/>
      <c r="I62" s="29">
        <f t="shared" si="17"/>
        <v>2887.9604920447632</v>
      </c>
      <c r="J62" s="31">
        <f t="shared" si="19"/>
        <v>182962.19398031934</v>
      </c>
      <c r="K62" s="32"/>
    </row>
    <row r="63" spans="1:14" x14ac:dyDescent="0.25">
      <c r="A63" s="24">
        <v>41558</v>
      </c>
      <c r="B63" s="25" t="s">
        <v>154</v>
      </c>
      <c r="C63" s="25"/>
      <c r="D63" s="34">
        <f>(8.4)*1.05+6.1</f>
        <v>14.92</v>
      </c>
      <c r="E63" s="27">
        <f t="shared" si="18"/>
        <v>6889.97</v>
      </c>
      <c r="F63" s="28"/>
      <c r="G63" s="28">
        <f t="shared" si="1"/>
        <v>26.497481347323323</v>
      </c>
      <c r="H63" s="26"/>
      <c r="I63" s="29">
        <f t="shared" si="17"/>
        <v>395.34242170206397</v>
      </c>
      <c r="J63" s="31">
        <f t="shared" si="19"/>
        <v>182566.85155861729</v>
      </c>
      <c r="K63" s="32"/>
    </row>
    <row r="64" spans="1:14" x14ac:dyDescent="0.25">
      <c r="A64" s="24">
        <v>41559</v>
      </c>
      <c r="B64" s="25" t="s">
        <v>155</v>
      </c>
      <c r="C64" s="25"/>
      <c r="D64" s="34">
        <f>(7*5.2)*1.05</f>
        <v>38.22</v>
      </c>
      <c r="E64" s="27">
        <f t="shared" si="18"/>
        <v>6851.75</v>
      </c>
      <c r="F64" s="28"/>
      <c r="G64" s="28">
        <f t="shared" si="1"/>
        <v>26.497481347323323</v>
      </c>
      <c r="H64" s="26"/>
      <c r="I64" s="29">
        <f t="shared" si="17"/>
        <v>1012.7337370946974</v>
      </c>
      <c r="J64" s="31">
        <f t="shared" si="19"/>
        <v>181554.11782152258</v>
      </c>
      <c r="K64" s="32"/>
    </row>
    <row r="65" spans="1:14" x14ac:dyDescent="0.25">
      <c r="A65" s="24">
        <v>41559</v>
      </c>
      <c r="B65" s="25" t="s">
        <v>156</v>
      </c>
      <c r="C65" s="25"/>
      <c r="D65" s="34">
        <f>(19*2.8+5*2.4+4*1.6+4*0.8+8*4.8+4.4+4+3.4+1.8+2+1.6+5*1.2+9*1+7*3.8+2*3+3.2+4*0.6+4*1.4+4*0.4)*1.05+17</f>
        <v>217.34</v>
      </c>
      <c r="E65" s="27">
        <f t="shared" si="18"/>
        <v>6634.41</v>
      </c>
      <c r="F65" s="28"/>
      <c r="G65" s="28">
        <f t="shared" si="1"/>
        <v>26.497481347323323</v>
      </c>
      <c r="H65" s="26"/>
      <c r="I65" s="29">
        <f t="shared" si="17"/>
        <v>5758.9625960272506</v>
      </c>
      <c r="J65" s="31">
        <f t="shared" si="19"/>
        <v>175795.15522549534</v>
      </c>
      <c r="K65" s="32"/>
    </row>
    <row r="66" spans="1:14" x14ac:dyDescent="0.25">
      <c r="A66" s="24">
        <v>41559</v>
      </c>
      <c r="B66" s="25" t="s">
        <v>157</v>
      </c>
      <c r="C66" s="25"/>
      <c r="D66" s="34">
        <f>(5*4.8)*1.05</f>
        <v>25.200000000000003</v>
      </c>
      <c r="E66" s="27">
        <f t="shared" si="18"/>
        <v>6609.21</v>
      </c>
      <c r="F66" s="28"/>
      <c r="G66" s="28">
        <f t="shared" si="1"/>
        <v>26.497481347323326</v>
      </c>
      <c r="H66" s="26"/>
      <c r="I66" s="29">
        <f t="shared" si="17"/>
        <v>667.73652995254781</v>
      </c>
      <c r="J66" s="31">
        <f t="shared" si="19"/>
        <v>175127.41869554279</v>
      </c>
      <c r="K66" s="32"/>
    </row>
    <row r="67" spans="1:14" x14ac:dyDescent="0.25">
      <c r="A67" s="24">
        <v>41561</v>
      </c>
      <c r="B67" s="25" t="s">
        <v>158</v>
      </c>
      <c r="C67" s="25"/>
      <c r="D67" s="34">
        <f>(3*1.6)*1.05</f>
        <v>5.0400000000000009</v>
      </c>
      <c r="E67" s="27">
        <f t="shared" si="18"/>
        <v>6604.17</v>
      </c>
      <c r="F67" s="28"/>
      <c r="G67" s="28">
        <f t="shared" si="1"/>
        <v>26.497481347323323</v>
      </c>
      <c r="H67" s="26"/>
      <c r="I67" s="29">
        <f t="shared" si="17"/>
        <v>133.54730599050959</v>
      </c>
      <c r="J67" s="31">
        <f t="shared" si="19"/>
        <v>174993.87138955228</v>
      </c>
      <c r="K67" s="32"/>
    </row>
    <row r="68" spans="1:14" x14ac:dyDescent="0.25">
      <c r="A68" s="24">
        <v>41563</v>
      </c>
      <c r="B68" s="25" t="s">
        <v>159</v>
      </c>
      <c r="C68" s="25"/>
      <c r="D68" s="34">
        <f>(24*3.8)*1.05+2.3</f>
        <v>98.059999999999988</v>
      </c>
      <c r="E68" s="27">
        <f t="shared" si="18"/>
        <v>6506.11</v>
      </c>
      <c r="F68" s="28"/>
      <c r="G68" s="28">
        <f t="shared" si="1"/>
        <v>26.497481347323326</v>
      </c>
      <c r="H68" s="26"/>
      <c r="I68" s="29">
        <f t="shared" si="17"/>
        <v>2598.3430209185249</v>
      </c>
      <c r="J68" s="31">
        <f t="shared" si="19"/>
        <v>172395.52836863376</v>
      </c>
      <c r="K68" s="32"/>
    </row>
    <row r="69" spans="1:14" x14ac:dyDescent="0.25">
      <c r="A69" s="24">
        <v>41573</v>
      </c>
      <c r="B69" s="25" t="s">
        <v>162</v>
      </c>
      <c r="C69" s="25"/>
      <c r="D69" s="34">
        <f>(5.8+2*4.6+2*3.8+2*2.6+2*4.4+2*4+2*3.4+2*2.8+2*2.2+2*1.6+2*1)*1.05+25.5</f>
        <v>95.429999999999993</v>
      </c>
      <c r="E69" s="27">
        <f t="shared" si="18"/>
        <v>6410.6799999999994</v>
      </c>
      <c r="F69" s="28"/>
      <c r="G69" s="28">
        <f t="shared" si="1"/>
        <v>26.497481347323326</v>
      </c>
      <c r="H69" s="26"/>
      <c r="I69" s="29">
        <f t="shared" si="17"/>
        <v>2528.6546449750649</v>
      </c>
      <c r="J69" s="31">
        <f t="shared" si="19"/>
        <v>169866.8737236587</v>
      </c>
      <c r="K69" s="32"/>
    </row>
    <row r="70" spans="1:14" x14ac:dyDescent="0.25">
      <c r="A70" s="24">
        <v>41578</v>
      </c>
      <c r="B70" s="25" t="s">
        <v>164</v>
      </c>
      <c r="C70" s="25"/>
      <c r="D70" s="34">
        <f>(10*9.2+7*8.4+4*2.6+6*1.8+3)*1.05+3.75</f>
        <v>187.50000000000003</v>
      </c>
      <c r="E70" s="27">
        <f t="shared" si="18"/>
        <v>6223.1799999999994</v>
      </c>
      <c r="F70" s="28"/>
      <c r="G70" s="28">
        <f t="shared" si="1"/>
        <v>26.49748134732333</v>
      </c>
      <c r="H70" s="26"/>
      <c r="I70" s="29">
        <f t="shared" si="17"/>
        <v>4968.2777526231248</v>
      </c>
      <c r="J70" s="31">
        <f t="shared" si="19"/>
        <v>164898.59597103557</v>
      </c>
      <c r="K70" s="32"/>
    </row>
    <row r="71" spans="1:14" x14ac:dyDescent="0.25">
      <c r="A71" s="24">
        <v>41578</v>
      </c>
      <c r="B71" s="25" t="s">
        <v>165</v>
      </c>
      <c r="C71" s="25"/>
      <c r="D71" s="34">
        <f>(7*5.6+5*5)*1.05</f>
        <v>67.41</v>
      </c>
      <c r="E71" s="27">
        <f t="shared" si="18"/>
        <v>6155.7699999999995</v>
      </c>
      <c r="F71" s="28"/>
      <c r="G71" s="28">
        <f t="shared" si="1"/>
        <v>26.497481347323326</v>
      </c>
      <c r="H71" s="26"/>
      <c r="I71" s="29">
        <f t="shared" si="17"/>
        <v>1786.1952176230657</v>
      </c>
      <c r="J71" s="31">
        <f t="shared" si="19"/>
        <v>163112.40075341251</v>
      </c>
      <c r="K71" s="32"/>
    </row>
    <row r="72" spans="1:14" x14ac:dyDescent="0.25">
      <c r="A72" s="24">
        <v>41578</v>
      </c>
      <c r="B72" s="25" t="s">
        <v>166</v>
      </c>
      <c r="C72" s="25"/>
      <c r="D72" s="34">
        <f>(6*5+7*2+17*3)*1.05</f>
        <v>99.75</v>
      </c>
      <c r="E72" s="27">
        <f t="shared" si="18"/>
        <v>6056.0199999999995</v>
      </c>
      <c r="F72" s="28"/>
      <c r="G72" s="28">
        <f t="shared" si="1"/>
        <v>26.49748134732333</v>
      </c>
      <c r="H72" s="26"/>
      <c r="I72" s="29">
        <f t="shared" si="17"/>
        <v>2643.1237643955019</v>
      </c>
      <c r="J72" s="31">
        <f t="shared" si="19"/>
        <v>160469.276989017</v>
      </c>
      <c r="K72" s="32"/>
      <c r="N72" s="129">
        <f>SUM(I56:I72)</f>
        <v>48401.124243940205</v>
      </c>
    </row>
    <row r="73" spans="1:14" x14ac:dyDescent="0.25">
      <c r="A73" s="24">
        <v>41579</v>
      </c>
      <c r="B73" s="25" t="s">
        <v>167</v>
      </c>
      <c r="C73" s="25"/>
      <c r="D73" s="34">
        <f>(7*1.2)*1.05</f>
        <v>8.82</v>
      </c>
      <c r="E73" s="27">
        <f t="shared" si="18"/>
        <v>6047.2</v>
      </c>
      <c r="F73" s="28"/>
      <c r="G73" s="28">
        <f t="shared" si="1"/>
        <v>26.497481347323326</v>
      </c>
      <c r="H73" s="26"/>
      <c r="I73" s="29">
        <f t="shared" si="17"/>
        <v>233.70778548339177</v>
      </c>
      <c r="J73" s="31">
        <f t="shared" si="19"/>
        <v>160235.56920353361</v>
      </c>
      <c r="K73" s="32"/>
    </row>
    <row r="74" spans="1:14" x14ac:dyDescent="0.25">
      <c r="A74" s="24">
        <v>41582</v>
      </c>
      <c r="B74" s="25" t="s">
        <v>168</v>
      </c>
      <c r="C74" s="25"/>
      <c r="D74" s="34">
        <f>(5*7.2+6*8.4+11*8.6)*1.05</f>
        <v>190.05</v>
      </c>
      <c r="E74" s="27">
        <f t="shared" si="18"/>
        <v>5857.15</v>
      </c>
      <c r="F74" s="28"/>
      <c r="G74" s="28">
        <f t="shared" si="1"/>
        <v>26.497481347323326</v>
      </c>
      <c r="H74" s="26"/>
      <c r="I74" s="29">
        <f t="shared" si="17"/>
        <v>5035.8463300587982</v>
      </c>
      <c r="J74" s="31">
        <f t="shared" si="19"/>
        <v>155199.72287347482</v>
      </c>
      <c r="K74" s="32"/>
    </row>
    <row r="75" spans="1:14" x14ac:dyDescent="0.25">
      <c r="A75" s="24">
        <v>41583</v>
      </c>
      <c r="B75" s="25" t="s">
        <v>169</v>
      </c>
      <c r="C75" s="25"/>
      <c r="D75" s="34">
        <f>(4*6)*1.05</f>
        <v>25.200000000000003</v>
      </c>
      <c r="E75" s="27">
        <f t="shared" si="18"/>
        <v>5831.95</v>
      </c>
      <c r="F75" s="28"/>
      <c r="G75" s="28">
        <f t="shared" si="1"/>
        <v>26.497481347323326</v>
      </c>
      <c r="H75" s="26"/>
      <c r="I75" s="29">
        <f t="shared" si="17"/>
        <v>667.73652995254793</v>
      </c>
      <c r="J75" s="31">
        <f t="shared" si="19"/>
        <v>154531.98634352227</v>
      </c>
      <c r="K75" s="32"/>
    </row>
    <row r="76" spans="1:14" x14ac:dyDescent="0.25">
      <c r="A76" s="24">
        <v>41586</v>
      </c>
      <c r="B76" s="25" t="s">
        <v>170</v>
      </c>
      <c r="C76" s="25"/>
      <c r="D76" s="34">
        <f>(13*7+13*1)*1.05+5.4</f>
        <v>114.60000000000001</v>
      </c>
      <c r="E76" s="27">
        <f t="shared" si="18"/>
        <v>5717.3499999999995</v>
      </c>
      <c r="F76" s="28"/>
      <c r="G76" s="28">
        <f t="shared" ref="G76:G113" si="20">+J75/E75</f>
        <v>26.497481347323326</v>
      </c>
      <c r="H76" s="26"/>
      <c r="I76" s="29">
        <f t="shared" si="17"/>
        <v>3036.6113624032532</v>
      </c>
      <c r="J76" s="31">
        <f t="shared" si="19"/>
        <v>151495.37498111901</v>
      </c>
      <c r="K76" s="32"/>
    </row>
    <row r="77" spans="1:14" x14ac:dyDescent="0.25">
      <c r="A77" s="24">
        <v>41586</v>
      </c>
      <c r="B77" s="25" t="s">
        <v>171</v>
      </c>
      <c r="C77" s="25"/>
      <c r="D77" s="34">
        <f>(8*4.8)*1.05</f>
        <v>40.32</v>
      </c>
      <c r="E77" s="27">
        <f t="shared" si="18"/>
        <v>5677.03</v>
      </c>
      <c r="F77" s="28"/>
      <c r="G77" s="28">
        <f t="shared" si="20"/>
        <v>26.497481347323326</v>
      </c>
      <c r="H77" s="26"/>
      <c r="I77" s="29">
        <f t="shared" si="17"/>
        <v>1068.3784479240765</v>
      </c>
      <c r="J77" s="31">
        <f t="shared" si="19"/>
        <v>150426.99653319494</v>
      </c>
      <c r="K77" s="32"/>
    </row>
    <row r="78" spans="1:14" x14ac:dyDescent="0.25">
      <c r="A78" s="24">
        <v>41587</v>
      </c>
      <c r="B78" s="25" t="s">
        <v>172</v>
      </c>
      <c r="C78" s="25"/>
      <c r="D78" s="34">
        <f>(5*2)*1.05</f>
        <v>10.5</v>
      </c>
      <c r="E78" s="27">
        <f t="shared" si="18"/>
        <v>5666.53</v>
      </c>
      <c r="F78" s="28"/>
      <c r="G78" s="28">
        <f t="shared" si="20"/>
        <v>26.497481347323326</v>
      </c>
      <c r="H78" s="26"/>
      <c r="I78" s="29">
        <f t="shared" si="17"/>
        <v>278.22355414689491</v>
      </c>
      <c r="J78" s="31">
        <f t="shared" si="19"/>
        <v>150148.77297904805</v>
      </c>
      <c r="K78" s="32"/>
    </row>
    <row r="79" spans="1:14" x14ac:dyDescent="0.25">
      <c r="A79" s="24">
        <v>41589</v>
      </c>
      <c r="B79" s="25" t="s">
        <v>173</v>
      </c>
      <c r="C79" s="25"/>
      <c r="D79" s="34">
        <f>(6*4.8+20*3.8+18*3+2*2.8+2*2.6+2*2+2*1.8+1.4+2*1)*1.05+6*2</f>
        <v>201.63</v>
      </c>
      <c r="E79" s="27">
        <f t="shared" si="18"/>
        <v>5464.9</v>
      </c>
      <c r="F79" s="28"/>
      <c r="G79" s="28">
        <f t="shared" si="20"/>
        <v>26.49748134732333</v>
      </c>
      <c r="H79" s="26"/>
      <c r="I79" s="29">
        <f t="shared" si="17"/>
        <v>5342.6871640608024</v>
      </c>
      <c r="J79" s="31">
        <f t="shared" si="19"/>
        <v>144806.08581498725</v>
      </c>
      <c r="K79" s="32"/>
    </row>
    <row r="80" spans="1:14" x14ac:dyDescent="0.25">
      <c r="A80" s="24">
        <v>41590</v>
      </c>
      <c r="B80" s="25" t="s">
        <v>174</v>
      </c>
      <c r="C80" s="25"/>
      <c r="D80" s="34">
        <f>(5*8.2+6.8+6.6+4.8+3.2+4*1.4+4*3+2.8+2*2.4+2.2+4*2+1.6+1.2+0.8+0.6+10*4.6+3.6+3.4+4.2+2*1)*1.05</f>
        <v>169.26</v>
      </c>
      <c r="E80" s="27">
        <f t="shared" si="18"/>
        <v>5295.6399999999994</v>
      </c>
      <c r="F80" s="28"/>
      <c r="G80" s="28">
        <f t="shared" si="20"/>
        <v>26.49748134732333</v>
      </c>
      <c r="H80" s="26"/>
      <c r="I80" s="29">
        <f t="shared" si="17"/>
        <v>4484.9636928479467</v>
      </c>
      <c r="J80" s="31">
        <f t="shared" si="19"/>
        <v>140321.12212213929</v>
      </c>
      <c r="K80" s="32"/>
    </row>
    <row r="81" spans="1:14" x14ac:dyDescent="0.25">
      <c r="A81" s="24">
        <v>41590</v>
      </c>
      <c r="B81" s="25" t="s">
        <v>175</v>
      </c>
      <c r="C81" s="25"/>
      <c r="D81" s="34">
        <f>(5*2.6)*1.05</f>
        <v>13.65</v>
      </c>
      <c r="E81" s="27">
        <f t="shared" si="18"/>
        <v>5281.99</v>
      </c>
      <c r="F81" s="28"/>
      <c r="G81" s="28">
        <f t="shared" si="20"/>
        <v>26.497481347323326</v>
      </c>
      <c r="H81" s="26"/>
      <c r="I81" s="29">
        <f t="shared" si="17"/>
        <v>361.69062039096349</v>
      </c>
      <c r="J81" s="31">
        <f t="shared" si="19"/>
        <v>139959.43150174833</v>
      </c>
      <c r="K81" s="32"/>
    </row>
    <row r="82" spans="1:14" x14ac:dyDescent="0.25">
      <c r="A82" s="24">
        <v>41591</v>
      </c>
      <c r="B82" s="25" t="s">
        <v>176</v>
      </c>
      <c r="C82" s="25"/>
      <c r="D82" s="34">
        <f>1*8</f>
        <v>8</v>
      </c>
      <c r="E82" s="27">
        <f t="shared" si="18"/>
        <v>5273.99</v>
      </c>
      <c r="F82" s="28"/>
      <c r="G82" s="28">
        <f t="shared" si="20"/>
        <v>26.497481347323326</v>
      </c>
      <c r="H82" s="26"/>
      <c r="I82" s="29">
        <f t="shared" si="17"/>
        <v>211.97985077858661</v>
      </c>
      <c r="J82" s="31">
        <f t="shared" si="19"/>
        <v>139747.45165096974</v>
      </c>
      <c r="K82" s="32"/>
    </row>
    <row r="83" spans="1:14" x14ac:dyDescent="0.25">
      <c r="A83" s="24">
        <v>41592</v>
      </c>
      <c r="B83" s="25" t="s">
        <v>178</v>
      </c>
      <c r="C83" s="25"/>
      <c r="D83" s="34">
        <f>(10*5.4+3*4.6+3*3.8+2*2.8+1.8+2*0.8+2.6+3.2+5+5.6+7*6.2+6+5.2+4.4+3.6+2.2+1.4+0.6+3+2.4)*1.05</f>
        <v>185.63999999999996</v>
      </c>
      <c r="E83" s="27">
        <f t="shared" si="18"/>
        <v>5088.3499999999995</v>
      </c>
      <c r="F83" s="28"/>
      <c r="G83" s="28">
        <f t="shared" si="20"/>
        <v>26.497481347323326</v>
      </c>
      <c r="H83" s="26"/>
      <c r="I83" s="29">
        <f t="shared" si="17"/>
        <v>4918.9924373171016</v>
      </c>
      <c r="J83" s="31">
        <f t="shared" si="19"/>
        <v>134828.45921365265</v>
      </c>
      <c r="K83" s="32"/>
    </row>
    <row r="84" spans="1:14" x14ac:dyDescent="0.25">
      <c r="A84" s="24">
        <v>41592</v>
      </c>
      <c r="B84" s="25" t="s">
        <v>179</v>
      </c>
      <c r="C84" s="25"/>
      <c r="D84" s="34">
        <f>(1*1.6)*1.05+4.35</f>
        <v>6.0299999999999994</v>
      </c>
      <c r="E84" s="27">
        <f t="shared" si="18"/>
        <v>5082.32</v>
      </c>
      <c r="F84" s="28"/>
      <c r="G84" s="28">
        <f t="shared" si="20"/>
        <v>26.49748134732333</v>
      </c>
      <c r="H84" s="26"/>
      <c r="I84" s="29">
        <f t="shared" si="17"/>
        <v>159.77981252435964</v>
      </c>
      <c r="J84" s="31">
        <f t="shared" si="19"/>
        <v>134668.67940112829</v>
      </c>
      <c r="K84" s="32"/>
    </row>
    <row r="85" spans="1:14" x14ac:dyDescent="0.25">
      <c r="A85" s="24">
        <v>41596</v>
      </c>
      <c r="B85" s="25" t="s">
        <v>183</v>
      </c>
      <c r="C85" s="25"/>
      <c r="D85" s="34">
        <f>(18*3+20*4)*1.05+7.3</f>
        <v>148.00000000000003</v>
      </c>
      <c r="E85" s="27">
        <f t="shared" si="18"/>
        <v>4934.32</v>
      </c>
      <c r="F85" s="28"/>
      <c r="G85" s="28">
        <f t="shared" si="20"/>
        <v>26.49748134732333</v>
      </c>
      <c r="H85" s="26"/>
      <c r="I85" s="29">
        <f t="shared" si="17"/>
        <v>3921.6272394038538</v>
      </c>
      <c r="J85" s="31">
        <f t="shared" si="19"/>
        <v>130747.05216172444</v>
      </c>
      <c r="K85" s="32"/>
    </row>
    <row r="86" spans="1:14" x14ac:dyDescent="0.25">
      <c r="A86" s="24">
        <v>41598</v>
      </c>
      <c r="B86" s="25" t="s">
        <v>186</v>
      </c>
      <c r="C86" s="25"/>
      <c r="D86" s="34">
        <f>(26*6+6*1.6+4*1.2+4*0.8+6*0.6+4*2+2*1+6*3.4+5*3.2+5+4.4)*1.05+11</f>
        <v>255.65</v>
      </c>
      <c r="E86" s="27">
        <f t="shared" ref="E86:E113" si="21">E85-D86</f>
        <v>4678.67</v>
      </c>
      <c r="F86" s="28"/>
      <c r="G86" s="28">
        <f t="shared" si="20"/>
        <v>26.49748134732333</v>
      </c>
      <c r="H86" s="26"/>
      <c r="I86" s="29">
        <f t="shared" ref="I86:I113" si="22">D86*G85</f>
        <v>6774.0811064432091</v>
      </c>
      <c r="J86" s="31">
        <f t="shared" si="19"/>
        <v>123972.97105528123</v>
      </c>
      <c r="K86" s="32"/>
    </row>
    <row r="87" spans="1:14" x14ac:dyDescent="0.25">
      <c r="A87" s="24">
        <v>41601</v>
      </c>
      <c r="B87" s="25" t="s">
        <v>293</v>
      </c>
      <c r="C87" s="25"/>
      <c r="D87" s="34">
        <f>(7*5.2)*1.05</f>
        <v>38.22</v>
      </c>
      <c r="E87" s="27">
        <f t="shared" si="21"/>
        <v>4640.45</v>
      </c>
      <c r="F87" s="28"/>
      <c r="G87" s="28">
        <f t="shared" si="20"/>
        <v>26.497481347323326</v>
      </c>
      <c r="H87" s="26"/>
      <c r="I87" s="29">
        <f t="shared" si="22"/>
        <v>1012.7337370946976</v>
      </c>
      <c r="J87" s="31">
        <f t="shared" si="19"/>
        <v>122960.23731818654</v>
      </c>
      <c r="K87" s="32"/>
    </row>
    <row r="88" spans="1:14" x14ac:dyDescent="0.25">
      <c r="A88" s="24">
        <v>41603</v>
      </c>
      <c r="B88" s="25" t="s">
        <v>296</v>
      </c>
      <c r="C88" s="25"/>
      <c r="D88" s="34">
        <f>(1*1)*1.05</f>
        <v>1.05</v>
      </c>
      <c r="E88" s="27">
        <f t="shared" si="21"/>
        <v>4639.3999999999996</v>
      </c>
      <c r="F88" s="28"/>
      <c r="G88" s="28">
        <f t="shared" si="20"/>
        <v>26.49748134732333</v>
      </c>
      <c r="H88" s="26"/>
      <c r="I88" s="29">
        <f t="shared" si="22"/>
        <v>27.822355414689493</v>
      </c>
      <c r="J88" s="31">
        <f t="shared" si="19"/>
        <v>122932.41496277186</v>
      </c>
      <c r="K88" s="32"/>
    </row>
    <row r="89" spans="1:14" x14ac:dyDescent="0.25">
      <c r="A89" s="24">
        <v>41608</v>
      </c>
      <c r="B89" s="25" t="s">
        <v>298</v>
      </c>
      <c r="C89" s="25"/>
      <c r="D89" s="34">
        <f>(17*3.2+18*3)*1.05</f>
        <v>113.82000000000001</v>
      </c>
      <c r="E89" s="27">
        <f t="shared" si="21"/>
        <v>4525.58</v>
      </c>
      <c r="F89" s="28"/>
      <c r="G89" s="28">
        <f t="shared" si="20"/>
        <v>26.497481347323333</v>
      </c>
      <c r="H89" s="26"/>
      <c r="I89" s="29">
        <f t="shared" si="22"/>
        <v>3015.9433269523415</v>
      </c>
      <c r="J89" s="31">
        <f t="shared" si="19"/>
        <v>119916.47163581951</v>
      </c>
      <c r="K89" s="32"/>
      <c r="N89" s="129">
        <f>SUM(I73:I89)</f>
        <v>40552.805353197517</v>
      </c>
    </row>
    <row r="90" spans="1:14" x14ac:dyDescent="0.25">
      <c r="A90" s="24">
        <v>41610</v>
      </c>
      <c r="B90" s="25" t="s">
        <v>299</v>
      </c>
      <c r="C90" s="25"/>
      <c r="D90" s="34">
        <f>(12*5.4+10*5+10*5.2+3*4.8+3.6+4)*1.05+7</f>
        <v>205.24</v>
      </c>
      <c r="E90" s="27">
        <f t="shared" si="21"/>
        <v>4320.34</v>
      </c>
      <c r="F90" s="28"/>
      <c r="G90" s="28">
        <f t="shared" si="20"/>
        <v>26.49748134732333</v>
      </c>
      <c r="H90" s="26"/>
      <c r="I90" s="29">
        <f t="shared" si="22"/>
        <v>5438.343071724641</v>
      </c>
      <c r="J90" s="31">
        <f t="shared" si="19"/>
        <v>114478.12856409488</v>
      </c>
      <c r="K90" s="32"/>
    </row>
    <row r="91" spans="1:14" x14ac:dyDescent="0.25">
      <c r="A91" s="24">
        <v>41612</v>
      </c>
      <c r="B91" s="25" t="s">
        <v>300</v>
      </c>
      <c r="C91" s="25"/>
      <c r="D91" s="34">
        <f>(12*4.8)*1.05</f>
        <v>60.48</v>
      </c>
      <c r="E91" s="27">
        <f t="shared" si="21"/>
        <v>4259.8600000000006</v>
      </c>
      <c r="F91" s="28"/>
      <c r="G91" s="28">
        <f t="shared" si="20"/>
        <v>26.49748134732333</v>
      </c>
      <c r="H91" s="26"/>
      <c r="I91" s="29">
        <f t="shared" si="22"/>
        <v>1602.5676718861148</v>
      </c>
      <c r="J91" s="31">
        <f t="shared" si="19"/>
        <v>112875.56089220876</v>
      </c>
      <c r="K91" s="32"/>
    </row>
    <row r="92" spans="1:14" x14ac:dyDescent="0.25">
      <c r="A92" s="24">
        <v>41613</v>
      </c>
      <c r="B92" s="25" t="s">
        <v>301</v>
      </c>
      <c r="C92" s="25"/>
      <c r="D92" s="34">
        <v>0</v>
      </c>
      <c r="E92" s="27">
        <f t="shared" si="21"/>
        <v>4259.8600000000006</v>
      </c>
      <c r="F92" s="28"/>
      <c r="G92" s="28">
        <f t="shared" si="20"/>
        <v>26.497481347323326</v>
      </c>
      <c r="H92" s="26"/>
      <c r="I92" s="29">
        <f t="shared" si="22"/>
        <v>0</v>
      </c>
      <c r="J92" s="31">
        <f t="shared" si="19"/>
        <v>112875.56089220876</v>
      </c>
      <c r="K92" s="32"/>
    </row>
    <row r="93" spans="1:14" x14ac:dyDescent="0.25">
      <c r="A93" s="24">
        <v>41613</v>
      </c>
      <c r="B93" s="25" t="s">
        <v>302</v>
      </c>
      <c r="C93" s="25"/>
      <c r="D93" s="34">
        <f>(12*5.6+4*5.4+2*5.2+2*6.6+4*4.8+2*4.6+4.4+2*4.2+2*4+5+2*3.6+2*3.4+2*3.2+2*3+3*3.8+2*2.6+3*2.4+2.2+2*2+1.2+10)*1.05</f>
        <v>245.90999999999997</v>
      </c>
      <c r="E93" s="27">
        <f t="shared" si="21"/>
        <v>4013.9500000000007</v>
      </c>
      <c r="F93" s="28"/>
      <c r="G93" s="28">
        <f t="shared" si="20"/>
        <v>26.497481347323326</v>
      </c>
      <c r="H93" s="26"/>
      <c r="I93" s="29">
        <f t="shared" si="22"/>
        <v>6515.9956381202783</v>
      </c>
      <c r="J93" s="31">
        <f t="shared" si="19"/>
        <v>106359.56525408848</v>
      </c>
      <c r="K93" s="32"/>
    </row>
    <row r="94" spans="1:14" x14ac:dyDescent="0.25">
      <c r="A94" s="24">
        <v>41614</v>
      </c>
      <c r="B94" s="25" t="s">
        <v>303</v>
      </c>
      <c r="C94" s="25"/>
      <c r="D94" s="34">
        <f>(2*4.6+7*3.6)*1.05</f>
        <v>36.119999999999997</v>
      </c>
      <c r="E94" s="27">
        <f t="shared" si="21"/>
        <v>3977.8300000000008</v>
      </c>
      <c r="F94" s="28"/>
      <c r="G94" s="28">
        <f t="shared" si="20"/>
        <v>26.497481347323323</v>
      </c>
      <c r="H94" s="26"/>
      <c r="I94" s="29">
        <f t="shared" si="22"/>
        <v>957.08902626531847</v>
      </c>
      <c r="J94" s="31">
        <f t="shared" si="19"/>
        <v>105402.47622782316</v>
      </c>
      <c r="K94" s="32"/>
    </row>
    <row r="95" spans="1:14" x14ac:dyDescent="0.25">
      <c r="A95" s="24">
        <v>41614</v>
      </c>
      <c r="B95" s="25" t="s">
        <v>304</v>
      </c>
      <c r="C95" s="25"/>
      <c r="D95" s="34">
        <f>(5*5)*1.05</f>
        <v>26.25</v>
      </c>
      <c r="E95" s="27">
        <f t="shared" si="21"/>
        <v>3951.5800000000008</v>
      </c>
      <c r="F95" s="28"/>
      <c r="G95" s="28">
        <f t="shared" si="20"/>
        <v>26.497481347323326</v>
      </c>
      <c r="H95" s="26"/>
      <c r="I95" s="29">
        <f t="shared" si="22"/>
        <v>695.55888536723717</v>
      </c>
      <c r="J95" s="31">
        <f t="shared" si="19"/>
        <v>104706.91734245593</v>
      </c>
      <c r="K95" s="32"/>
    </row>
    <row r="96" spans="1:14" x14ac:dyDescent="0.25">
      <c r="A96" s="24">
        <v>41618</v>
      </c>
      <c r="B96" s="25" t="s">
        <v>307</v>
      </c>
      <c r="C96" s="25"/>
      <c r="D96" s="34">
        <f>(7*6.4+5.6+2*4.8+2*4+2*3.4+3*2.4)*1.05+4.5</f>
        <v>90.600000000000009</v>
      </c>
      <c r="E96" s="27">
        <f t="shared" si="21"/>
        <v>3860.9800000000009</v>
      </c>
      <c r="F96" s="28"/>
      <c r="G96" s="28">
        <f t="shared" si="20"/>
        <v>26.497481347323326</v>
      </c>
      <c r="H96" s="26"/>
      <c r="I96" s="29">
        <f t="shared" si="22"/>
        <v>2400.6718100674934</v>
      </c>
      <c r="J96" s="31">
        <f t="shared" si="19"/>
        <v>102306.24553238844</v>
      </c>
      <c r="K96" s="32"/>
    </row>
    <row r="97" spans="1:11" x14ac:dyDescent="0.25">
      <c r="A97" s="24">
        <v>41620</v>
      </c>
      <c r="B97" s="25" t="s">
        <v>313</v>
      </c>
      <c r="C97" s="25"/>
      <c r="D97" s="34">
        <f>(14*2.6)*1.05</f>
        <v>38.22</v>
      </c>
      <c r="E97" s="27">
        <f t="shared" si="21"/>
        <v>3822.7600000000011</v>
      </c>
      <c r="F97" s="28"/>
      <c r="G97" s="28">
        <f t="shared" si="20"/>
        <v>26.497481347323326</v>
      </c>
      <c r="H97" s="26"/>
      <c r="I97" s="29">
        <f t="shared" si="22"/>
        <v>1012.7337370946975</v>
      </c>
      <c r="J97" s="31">
        <f t="shared" si="19"/>
        <v>101293.51179529374</v>
      </c>
      <c r="K97" s="32"/>
    </row>
    <row r="98" spans="1:11" x14ac:dyDescent="0.25">
      <c r="A98" s="24">
        <v>41621</v>
      </c>
      <c r="B98" s="25" t="s">
        <v>315</v>
      </c>
      <c r="C98" s="25"/>
      <c r="D98" s="34">
        <f>(6*2)*1.05</f>
        <v>12.600000000000001</v>
      </c>
      <c r="E98" s="27">
        <f t="shared" si="21"/>
        <v>3810.1600000000012</v>
      </c>
      <c r="F98" s="28"/>
      <c r="G98" s="28">
        <f t="shared" si="20"/>
        <v>26.497481347323326</v>
      </c>
      <c r="H98" s="26"/>
      <c r="I98" s="29">
        <f t="shared" si="22"/>
        <v>333.86826497627396</v>
      </c>
      <c r="J98" s="31">
        <f t="shared" si="19"/>
        <v>100959.64353031747</v>
      </c>
      <c r="K98" s="32"/>
    </row>
    <row r="99" spans="1:11" x14ac:dyDescent="0.25">
      <c r="A99" s="24">
        <v>41622</v>
      </c>
      <c r="B99" s="25" t="s">
        <v>316</v>
      </c>
      <c r="C99" s="25"/>
      <c r="D99" s="34">
        <v>0</v>
      </c>
      <c r="E99" s="27">
        <f t="shared" si="21"/>
        <v>3810.1600000000012</v>
      </c>
      <c r="F99" s="28"/>
      <c r="G99" s="28">
        <f t="shared" si="20"/>
        <v>26.497481347323323</v>
      </c>
      <c r="H99" s="26"/>
      <c r="I99" s="29">
        <f t="shared" si="22"/>
        <v>0</v>
      </c>
      <c r="J99" s="31">
        <f t="shared" si="19"/>
        <v>100959.64353031747</v>
      </c>
      <c r="K99" s="32"/>
    </row>
    <row r="100" spans="1:11" x14ac:dyDescent="0.25">
      <c r="A100" s="24">
        <v>41622</v>
      </c>
      <c r="B100" s="25" t="s">
        <v>317</v>
      </c>
      <c r="C100" s="25"/>
      <c r="D100" s="35">
        <f>(7*3.4+1*2.4)*1.05+2.85</f>
        <v>30.360000000000003</v>
      </c>
      <c r="E100" s="27">
        <f t="shared" si="21"/>
        <v>3779.8000000000011</v>
      </c>
      <c r="F100" s="28"/>
      <c r="G100" s="28">
        <f t="shared" si="20"/>
        <v>26.497481347323323</v>
      </c>
      <c r="H100" s="26"/>
      <c r="I100" s="29">
        <f t="shared" si="22"/>
        <v>804.46353370473616</v>
      </c>
      <c r="J100" s="31">
        <f t="shared" si="19"/>
        <v>100155.17999661273</v>
      </c>
      <c r="K100" s="32"/>
    </row>
    <row r="101" spans="1:11" x14ac:dyDescent="0.25">
      <c r="A101" s="24">
        <v>41622</v>
      </c>
      <c r="B101" s="25" t="s">
        <v>318</v>
      </c>
      <c r="C101" s="25"/>
      <c r="D101" s="34">
        <f>(2.4)*1.05</f>
        <v>2.52</v>
      </c>
      <c r="E101" s="27">
        <f t="shared" si="21"/>
        <v>3777.2800000000011</v>
      </c>
      <c r="F101" s="28"/>
      <c r="G101" s="28">
        <f t="shared" si="20"/>
        <v>26.497481347323323</v>
      </c>
      <c r="H101" s="26"/>
      <c r="I101" s="29">
        <f t="shared" si="22"/>
        <v>66.773652995254778</v>
      </c>
      <c r="J101" s="31">
        <f t="shared" si="19"/>
        <v>100088.40634361748</v>
      </c>
      <c r="K101" s="32"/>
    </row>
    <row r="102" spans="1:11" x14ac:dyDescent="0.25">
      <c r="A102" s="24">
        <v>41624</v>
      </c>
      <c r="B102" s="25" t="s">
        <v>319</v>
      </c>
      <c r="C102" s="25"/>
      <c r="D102" s="34">
        <f>(2*2.4+1*3+2*3.2)*1.05</f>
        <v>14.91</v>
      </c>
      <c r="E102" s="27">
        <f t="shared" si="21"/>
        <v>3762.3700000000013</v>
      </c>
      <c r="F102" s="28"/>
      <c r="G102" s="28">
        <f t="shared" si="20"/>
        <v>26.497481347323326</v>
      </c>
      <c r="H102" s="26"/>
      <c r="I102" s="29">
        <f t="shared" si="22"/>
        <v>395.07744688859077</v>
      </c>
      <c r="J102" s="31">
        <f t="shared" si="19"/>
        <v>99693.328896728883</v>
      </c>
      <c r="K102" s="32"/>
    </row>
    <row r="103" spans="1:11" x14ac:dyDescent="0.25">
      <c r="A103" s="24">
        <v>41626</v>
      </c>
      <c r="B103" s="25" t="s">
        <v>320</v>
      </c>
      <c r="C103" s="25"/>
      <c r="D103" s="34">
        <f>(8*4.8+6*5.4+12*5.6+12*4.6+6*5.8+4*1.6+2*1.2+2*1+2*0.8+2*0.6+2*3.6)*1.05+2.6+2.1</f>
        <v>265.94000000000005</v>
      </c>
      <c r="E103" s="27">
        <f t="shared" si="21"/>
        <v>3496.4300000000012</v>
      </c>
      <c r="F103" s="28"/>
      <c r="G103" s="28">
        <f t="shared" si="20"/>
        <v>26.497481347323323</v>
      </c>
      <c r="H103" s="26"/>
      <c r="I103" s="29">
        <f t="shared" si="22"/>
        <v>7046.7401895071671</v>
      </c>
      <c r="J103" s="31">
        <f t="shared" si="19"/>
        <v>92646.588707221716</v>
      </c>
      <c r="K103" s="32"/>
    </row>
    <row r="104" spans="1:11" x14ac:dyDescent="0.25">
      <c r="A104" s="24">
        <v>41626</v>
      </c>
      <c r="B104" s="25" t="s">
        <v>321</v>
      </c>
      <c r="C104" s="25"/>
      <c r="D104" s="34">
        <f>(14*3.6)*1.05</f>
        <v>52.92</v>
      </c>
      <c r="E104" s="27">
        <f t="shared" si="21"/>
        <v>3443.5100000000011</v>
      </c>
      <c r="F104" s="28"/>
      <c r="G104" s="28">
        <f t="shared" si="20"/>
        <v>26.497481347323323</v>
      </c>
      <c r="H104" s="26"/>
      <c r="I104" s="29">
        <f t="shared" si="22"/>
        <v>1402.2467129003503</v>
      </c>
      <c r="J104" s="31">
        <f t="shared" si="19"/>
        <v>91244.341994321367</v>
      </c>
      <c r="K104" s="32"/>
    </row>
    <row r="105" spans="1:11" x14ac:dyDescent="0.25">
      <c r="A105" s="24">
        <v>41627</v>
      </c>
      <c r="B105" s="25" t="s">
        <v>322</v>
      </c>
      <c r="C105" s="25"/>
      <c r="D105" s="34">
        <f>(2*1.4)*1.05+1.5</f>
        <v>4.4399999999999995</v>
      </c>
      <c r="E105" s="27">
        <f t="shared" si="21"/>
        <v>3439.0700000000011</v>
      </c>
      <c r="F105" s="28"/>
      <c r="G105" s="28">
        <f t="shared" si="20"/>
        <v>26.497481347323323</v>
      </c>
      <c r="H105" s="26"/>
      <c r="I105" s="29">
        <f t="shared" si="22"/>
        <v>117.64881718211554</v>
      </c>
      <c r="J105" s="31">
        <f t="shared" si="19"/>
        <v>91126.693177139256</v>
      </c>
      <c r="K105" s="32"/>
    </row>
    <row r="106" spans="1:11" x14ac:dyDescent="0.25">
      <c r="A106" s="24">
        <v>41628</v>
      </c>
      <c r="B106" s="25" t="s">
        <v>323</v>
      </c>
      <c r="C106" s="25"/>
      <c r="D106" s="34">
        <f>(14*6.2)*1.05</f>
        <v>91.14</v>
      </c>
      <c r="E106" s="27">
        <f t="shared" si="21"/>
        <v>3347.9300000000012</v>
      </c>
      <c r="F106" s="28"/>
      <c r="G106" s="28">
        <f t="shared" si="20"/>
        <v>26.497481347323326</v>
      </c>
      <c r="H106" s="26"/>
      <c r="I106" s="29">
        <f t="shared" si="22"/>
        <v>2414.9804499950478</v>
      </c>
      <c r="J106" s="31">
        <f t="shared" si="19"/>
        <v>88711.712727144215</v>
      </c>
      <c r="K106" s="32"/>
    </row>
    <row r="107" spans="1:11" x14ac:dyDescent="0.25">
      <c r="A107" s="24">
        <v>41631</v>
      </c>
      <c r="B107" s="25" t="s">
        <v>326</v>
      </c>
      <c r="C107" s="25"/>
      <c r="D107" s="34">
        <f>(5*4+5*5.8)*1.05</f>
        <v>51.45</v>
      </c>
      <c r="E107" s="27">
        <f t="shared" si="21"/>
        <v>3296.4800000000014</v>
      </c>
      <c r="F107" s="28"/>
      <c r="G107" s="28">
        <f t="shared" si="20"/>
        <v>26.497481347323326</v>
      </c>
      <c r="H107" s="26"/>
      <c r="I107" s="29">
        <f t="shared" si="22"/>
        <v>1363.2954153197852</v>
      </c>
      <c r="J107" s="31">
        <f t="shared" si="19"/>
        <v>87348.417311824436</v>
      </c>
      <c r="K107" s="32"/>
    </row>
    <row r="108" spans="1:11" x14ac:dyDescent="0.25">
      <c r="A108" s="24">
        <v>41634</v>
      </c>
      <c r="B108" s="25" t="s">
        <v>327</v>
      </c>
      <c r="C108" s="25"/>
      <c r="D108" s="34">
        <f>(20*5.2+10*5.8+10*4.6)*1.05</f>
        <v>218.4</v>
      </c>
      <c r="E108" s="27">
        <f t="shared" si="21"/>
        <v>3078.0800000000013</v>
      </c>
      <c r="F108" s="28"/>
      <c r="G108" s="28">
        <f t="shared" si="20"/>
        <v>26.497481347323326</v>
      </c>
      <c r="H108" s="26"/>
      <c r="I108" s="29">
        <f t="shared" si="22"/>
        <v>5787.0499262554149</v>
      </c>
      <c r="J108" s="31">
        <f t="shared" si="19"/>
        <v>81561.367385569029</v>
      </c>
      <c r="K108" s="32"/>
    </row>
    <row r="109" spans="1:11" x14ac:dyDescent="0.25">
      <c r="A109" s="24">
        <v>41635</v>
      </c>
      <c r="B109" s="25" t="s">
        <v>328</v>
      </c>
      <c r="C109" s="25"/>
      <c r="D109" s="34">
        <f>(20*5.4+20*5.2+10*5.8)*1.05</f>
        <v>283.5</v>
      </c>
      <c r="E109" s="27">
        <f t="shared" si="21"/>
        <v>2794.5800000000013</v>
      </c>
      <c r="F109" s="28"/>
      <c r="G109" s="28">
        <f t="shared" si="20"/>
        <v>26.49748134732333</v>
      </c>
      <c r="H109" s="26"/>
      <c r="I109" s="29">
        <f t="shared" si="22"/>
        <v>7512.0359619661631</v>
      </c>
      <c r="J109" s="31">
        <f t="shared" si="19"/>
        <v>74049.331423602867</v>
      </c>
      <c r="K109" s="32"/>
    </row>
    <row r="110" spans="1:11" x14ac:dyDescent="0.25">
      <c r="A110" s="24">
        <v>41636</v>
      </c>
      <c r="B110" s="25" t="s">
        <v>330</v>
      </c>
      <c r="C110" s="25"/>
      <c r="D110" s="34">
        <f>(5*6+3*5+3*3.6+4*3.8+5*3+5*2.2+6*1.4+10*0.6+11*0.8+6*1.6+2*2.4+3*4.6+5.2+3.8+1*2.4+3+4.4+4.6+5*6.8)*1.05</f>
        <v>216.09000000000006</v>
      </c>
      <c r="E110" s="27">
        <f t="shared" si="21"/>
        <v>2578.4900000000011</v>
      </c>
      <c r="F110" s="28"/>
      <c r="G110" s="28">
        <f t="shared" si="20"/>
        <v>26.49748134732333</v>
      </c>
      <c r="H110" s="26"/>
      <c r="I110" s="29">
        <f t="shared" si="22"/>
        <v>5725.8407443430997</v>
      </c>
      <c r="J110" s="31">
        <f t="shared" si="19"/>
        <v>68323.490679259761</v>
      </c>
      <c r="K110" s="103"/>
    </row>
    <row r="111" spans="1:11" x14ac:dyDescent="0.25">
      <c r="A111" s="24">
        <v>41636</v>
      </c>
      <c r="B111" s="25" t="s">
        <v>331</v>
      </c>
      <c r="C111" s="25"/>
      <c r="D111" s="34">
        <f>(10*5+3*4.2+3.6+2.8+5*2+4*1.2+1*0.4+17*4.8+4+3.2+3*2.6+3*1.8+2*1+2*3.4+3.8+2.4+3+4.4+4.6+2*0.8)*1.05</f>
        <v>225.54000000000005</v>
      </c>
      <c r="E111" s="27">
        <f t="shared" si="21"/>
        <v>2352.9500000000012</v>
      </c>
      <c r="F111" s="28"/>
      <c r="G111" s="28">
        <f t="shared" si="20"/>
        <v>26.49748134732333</v>
      </c>
      <c r="H111" s="26"/>
      <c r="I111" s="29">
        <f t="shared" si="22"/>
        <v>5976.2419430753052</v>
      </c>
      <c r="J111" s="31">
        <f t="shared" si="19"/>
        <v>62347.248736184454</v>
      </c>
      <c r="K111" s="32"/>
    </row>
    <row r="112" spans="1:11" x14ac:dyDescent="0.25">
      <c r="A112" s="24">
        <v>41638</v>
      </c>
      <c r="B112" s="25" t="s">
        <v>332</v>
      </c>
      <c r="C112" s="25"/>
      <c r="D112" s="34">
        <f>(4*4)*1.05</f>
        <v>16.8</v>
      </c>
      <c r="E112" s="27">
        <f t="shared" si="21"/>
        <v>2336.150000000001</v>
      </c>
      <c r="F112" s="28"/>
      <c r="G112" s="28">
        <f t="shared" si="20"/>
        <v>26.497481347323326</v>
      </c>
      <c r="H112" s="26"/>
      <c r="I112" s="29">
        <f t="shared" si="22"/>
        <v>445.15768663503195</v>
      </c>
      <c r="J112" s="31">
        <f t="shared" si="19"/>
        <v>61902.091049549424</v>
      </c>
      <c r="K112" s="32"/>
    </row>
    <row r="113" spans="1:14" x14ac:dyDescent="0.25">
      <c r="A113" s="73">
        <v>41638</v>
      </c>
      <c r="B113" s="25" t="s">
        <v>334</v>
      </c>
      <c r="C113" s="25"/>
      <c r="D113" s="34">
        <f>(3*1)*1.05</f>
        <v>3.1500000000000004</v>
      </c>
      <c r="E113" s="27">
        <f t="shared" si="21"/>
        <v>2333.0000000000009</v>
      </c>
      <c r="F113" s="28"/>
      <c r="G113" s="28">
        <f t="shared" si="20"/>
        <v>26.49748134732333</v>
      </c>
      <c r="H113" s="26"/>
      <c r="I113" s="29">
        <f t="shared" si="22"/>
        <v>83.467066244068491</v>
      </c>
      <c r="J113" s="31">
        <f t="shared" si="19"/>
        <v>61818.623983305355</v>
      </c>
      <c r="K113" s="25"/>
      <c r="N113" s="129">
        <f>SUM(I90:I113)</f>
        <v>58097.847652514189</v>
      </c>
    </row>
    <row r="114" spans="1:14" x14ac:dyDescent="0.25">
      <c r="A114" s="73"/>
      <c r="B114" s="25" t="s">
        <v>351</v>
      </c>
      <c r="C114" s="25">
        <f>SUM(C9:C113)</f>
        <v>13288.36</v>
      </c>
      <c r="D114" s="25">
        <f>SUM(D9:D113)</f>
        <v>10955.36</v>
      </c>
      <c r="E114" s="27">
        <f>+C114-D114</f>
        <v>2333</v>
      </c>
      <c r="F114" s="28"/>
      <c r="G114" s="28"/>
      <c r="H114" s="25">
        <f>SUM(H9:H113)</f>
        <v>330382.33999999997</v>
      </c>
      <c r="I114" s="25">
        <f>SUM(I9:I113)</f>
        <v>268563.71198754571</v>
      </c>
      <c r="J114" s="31">
        <f>+H114-I114</f>
        <v>61818.628012454254</v>
      </c>
      <c r="K114" s="25"/>
      <c r="N114">
        <f>SUM(N9:N113)</f>
        <v>268563.71198754571</v>
      </c>
    </row>
    <row r="115" spans="1:14" x14ac:dyDescent="0.25">
      <c r="A115" s="118"/>
      <c r="B115" s="36"/>
      <c r="C115" s="36"/>
      <c r="D115" s="112"/>
      <c r="E115" s="113"/>
      <c r="F115" s="114"/>
      <c r="G115" s="114"/>
      <c r="H115" s="115"/>
      <c r="I115" s="116"/>
      <c r="J115" s="117"/>
      <c r="K115" s="36"/>
    </row>
    <row r="116" spans="1:14" x14ac:dyDescent="0.25">
      <c r="A116" s="118"/>
      <c r="B116" s="36"/>
      <c r="C116" s="36"/>
      <c r="D116" s="112"/>
      <c r="E116" s="113"/>
      <c r="F116" s="114"/>
      <c r="G116" s="114"/>
      <c r="H116" s="115"/>
      <c r="I116" s="116"/>
      <c r="J116" s="117"/>
      <c r="K116" s="36"/>
    </row>
    <row r="117" spans="1:14" x14ac:dyDescent="0.25">
      <c r="A117" s="118"/>
      <c r="B117" s="36"/>
      <c r="C117" s="36"/>
      <c r="D117" s="112"/>
      <c r="E117" s="113"/>
      <c r="F117" s="114"/>
      <c r="G117" s="114"/>
      <c r="H117" s="115"/>
      <c r="I117" s="116"/>
      <c r="J117" s="117"/>
      <c r="K117" s="36"/>
    </row>
    <row r="118" spans="1:14" x14ac:dyDescent="0.25">
      <c r="A118" s="118"/>
      <c r="B118" s="36"/>
      <c r="C118" s="36"/>
      <c r="D118" s="112"/>
      <c r="E118" s="113"/>
      <c r="F118" s="114"/>
      <c r="G118" s="114"/>
      <c r="H118" s="115"/>
      <c r="I118" s="116"/>
      <c r="J118" s="117"/>
      <c r="K118" s="36"/>
    </row>
    <row r="119" spans="1:14" x14ac:dyDescent="0.25">
      <c r="A119" s="118"/>
      <c r="B119" s="36"/>
      <c r="C119" s="36"/>
      <c r="D119" s="112"/>
      <c r="E119" s="113"/>
      <c r="F119" s="114"/>
      <c r="G119" s="114"/>
      <c r="H119" s="115"/>
      <c r="I119" s="116"/>
      <c r="J119" s="117"/>
      <c r="K119" s="36"/>
    </row>
    <row r="120" spans="1:14" x14ac:dyDescent="0.25">
      <c r="A120" s="118"/>
      <c r="B120" s="36"/>
      <c r="C120" s="36"/>
      <c r="D120" s="112"/>
      <c r="E120" s="113"/>
      <c r="F120" s="114"/>
      <c r="G120" s="114"/>
      <c r="H120" s="115"/>
      <c r="I120" s="116"/>
      <c r="J120" s="117"/>
      <c r="K120" s="36"/>
    </row>
    <row r="121" spans="1:14" x14ac:dyDescent="0.25">
      <c r="A121" s="118"/>
      <c r="B121" s="36"/>
      <c r="C121" s="36"/>
      <c r="D121" s="112"/>
      <c r="E121" s="113"/>
      <c r="F121" s="114"/>
      <c r="G121" s="114"/>
      <c r="H121" s="115"/>
      <c r="I121" s="116"/>
      <c r="J121" s="117"/>
      <c r="K121" s="36"/>
    </row>
    <row r="122" spans="1:14" x14ac:dyDescent="0.25">
      <c r="A122" s="118"/>
      <c r="B122" s="36"/>
      <c r="C122" s="36"/>
      <c r="D122" s="112"/>
      <c r="E122" s="113"/>
      <c r="F122" s="114"/>
      <c r="G122" s="114"/>
      <c r="H122" s="115"/>
      <c r="I122" s="116"/>
      <c r="J122" s="117"/>
      <c r="K122" s="36"/>
    </row>
    <row r="123" spans="1:14" x14ac:dyDescent="0.25">
      <c r="A123" s="118"/>
      <c r="B123" s="36"/>
      <c r="C123" s="36"/>
      <c r="D123" s="112"/>
      <c r="E123" s="113"/>
      <c r="F123" s="114"/>
      <c r="G123" s="114"/>
      <c r="H123" s="115"/>
      <c r="I123" s="116"/>
      <c r="J123" s="117"/>
      <c r="K123" s="36"/>
    </row>
    <row r="124" spans="1:14" x14ac:dyDescent="0.25">
      <c r="A124" s="118"/>
      <c r="B124" s="36"/>
      <c r="C124" s="36"/>
      <c r="D124" s="112"/>
      <c r="E124" s="113"/>
      <c r="F124" s="114"/>
      <c r="G124" s="114"/>
      <c r="H124" s="115"/>
      <c r="I124" s="116"/>
      <c r="J124" s="117"/>
      <c r="K124" s="36"/>
    </row>
    <row r="125" spans="1:14" x14ac:dyDescent="0.25">
      <c r="A125" s="118"/>
      <c r="B125" s="36"/>
      <c r="C125" s="36"/>
      <c r="D125" s="112"/>
      <c r="E125" s="113"/>
      <c r="F125" s="114"/>
      <c r="G125" s="114"/>
      <c r="H125" s="115"/>
      <c r="I125" s="116"/>
      <c r="J125" s="117"/>
      <c r="K125" s="36"/>
    </row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" workbookViewId="0">
      <selection activeCell="C1" sqref="C1:M1048576"/>
    </sheetView>
  </sheetViews>
  <sheetFormatPr baseColWidth="10" defaultRowHeight="15" x14ac:dyDescent="0.25"/>
  <cols>
    <col min="2" max="2" width="27" customWidth="1"/>
    <col min="3" max="13" width="11.42578125" customWidth="1"/>
  </cols>
  <sheetData>
    <row r="1" spans="1:14" x14ac:dyDescent="0.25">
      <c r="A1" s="1" t="s">
        <v>24</v>
      </c>
      <c r="B1" s="2"/>
      <c r="C1" s="37"/>
      <c r="D1" s="37"/>
      <c r="E1" s="37"/>
      <c r="F1" s="37"/>
      <c r="G1" s="37"/>
      <c r="H1" s="38" t="s">
        <v>16</v>
      </c>
      <c r="I1" s="37"/>
      <c r="J1" s="37"/>
      <c r="K1" s="39"/>
    </row>
    <row r="2" spans="1:14" x14ac:dyDescent="0.25">
      <c r="A2" s="5" t="s">
        <v>17</v>
      </c>
      <c r="B2" s="6"/>
      <c r="C2" s="40"/>
      <c r="D2" s="40"/>
      <c r="E2" s="40"/>
      <c r="F2" s="40"/>
      <c r="G2" s="40"/>
      <c r="H2" s="36" t="s">
        <v>245</v>
      </c>
      <c r="I2" s="40"/>
      <c r="J2" s="40"/>
      <c r="K2" s="41"/>
    </row>
    <row r="3" spans="1:14" x14ac:dyDescent="0.25">
      <c r="A3" s="9" t="s">
        <v>15</v>
      </c>
      <c r="B3" s="10"/>
      <c r="C3" s="40"/>
      <c r="D3" s="40"/>
      <c r="E3" s="40"/>
      <c r="F3" s="40"/>
      <c r="G3" s="40"/>
      <c r="H3" s="36" t="s">
        <v>18</v>
      </c>
      <c r="I3" s="40"/>
      <c r="J3" s="40"/>
      <c r="K3" s="41"/>
    </row>
    <row r="4" spans="1:14" x14ac:dyDescent="0.25">
      <c r="A4" s="56"/>
      <c r="B4" s="40"/>
      <c r="C4" s="40"/>
      <c r="D4" s="137" t="s">
        <v>19</v>
      </c>
      <c r="E4" s="137"/>
      <c r="F4" s="137"/>
      <c r="G4" s="137"/>
      <c r="H4" s="137"/>
      <c r="I4" s="40"/>
      <c r="J4" s="40"/>
      <c r="K4" s="41"/>
    </row>
    <row r="5" spans="1:14" x14ac:dyDescent="0.25">
      <c r="A5" s="56"/>
      <c r="B5" s="42"/>
      <c r="C5" s="40"/>
      <c r="D5" s="36" t="s">
        <v>364</v>
      </c>
      <c r="E5" s="42"/>
      <c r="F5" s="42"/>
      <c r="G5" s="40"/>
      <c r="H5" s="40" t="s">
        <v>246</v>
      </c>
      <c r="I5" s="40"/>
      <c r="J5" s="40"/>
      <c r="K5" s="41"/>
    </row>
    <row r="6" spans="1:14" x14ac:dyDescent="0.25">
      <c r="A6" s="56"/>
      <c r="B6" s="42"/>
      <c r="C6" s="40"/>
      <c r="D6" s="40" t="s">
        <v>365</v>
      </c>
      <c r="E6" s="42"/>
      <c r="F6" s="42"/>
      <c r="G6" s="40"/>
      <c r="H6" s="40"/>
      <c r="I6" s="40"/>
      <c r="J6" s="40"/>
      <c r="K6" s="41"/>
    </row>
    <row r="7" spans="1:14" x14ac:dyDescent="0.25">
      <c r="A7" s="57" t="s">
        <v>0</v>
      </c>
      <c r="B7" s="43" t="s">
        <v>1</v>
      </c>
      <c r="C7" s="138" t="s">
        <v>2</v>
      </c>
      <c r="D7" s="138"/>
      <c r="E7" s="139"/>
      <c r="F7" s="140" t="s">
        <v>3</v>
      </c>
      <c r="G7" s="140"/>
      <c r="H7" s="141" t="s">
        <v>4</v>
      </c>
      <c r="I7" s="142"/>
      <c r="J7" s="142"/>
      <c r="K7" s="54" t="s">
        <v>5</v>
      </c>
      <c r="N7" s="110" t="s">
        <v>707</v>
      </c>
    </row>
    <row r="8" spans="1:14" x14ac:dyDescent="0.25">
      <c r="A8" s="58"/>
      <c r="B8" s="44"/>
      <c r="C8" s="44" t="s">
        <v>6</v>
      </c>
      <c r="D8" s="45" t="s">
        <v>7</v>
      </c>
      <c r="E8" s="46" t="s">
        <v>11</v>
      </c>
      <c r="F8" s="47" t="s">
        <v>12</v>
      </c>
      <c r="G8" s="47" t="s">
        <v>13</v>
      </c>
      <c r="H8" s="45" t="s">
        <v>8</v>
      </c>
      <c r="I8" s="48" t="s">
        <v>9</v>
      </c>
      <c r="J8" s="49" t="s">
        <v>14</v>
      </c>
      <c r="K8" s="55"/>
    </row>
    <row r="9" spans="1:14" x14ac:dyDescent="0.25">
      <c r="A9" s="24">
        <v>41514</v>
      </c>
      <c r="B9" s="100" t="s">
        <v>261</v>
      </c>
      <c r="C9" s="26">
        <v>5896.88</v>
      </c>
      <c r="D9" s="25"/>
      <c r="E9" s="27">
        <f>+C9</f>
        <v>5896.88</v>
      </c>
      <c r="F9" s="28"/>
      <c r="G9" s="28">
        <f>+[1]RAL2012!G18</f>
        <v>22.480312646920545</v>
      </c>
      <c r="H9" s="52">
        <v>147633.04999999999</v>
      </c>
      <c r="I9" s="26"/>
      <c r="J9" s="29">
        <f>+H9</f>
        <v>147633.04999999999</v>
      </c>
      <c r="K9" s="30"/>
    </row>
    <row r="10" spans="1:14" x14ac:dyDescent="0.25">
      <c r="A10" s="24">
        <v>41536</v>
      </c>
      <c r="B10" s="25" t="s">
        <v>136</v>
      </c>
      <c r="C10" s="26"/>
      <c r="D10" s="34">
        <f>3*6.7+5.92+5.3+4.5+3.8+3+2.3+1.6+7.5+5.8+4.83+4+2.2+1.2+3.03</f>
        <v>75.080000000000013</v>
      </c>
      <c r="E10" s="27">
        <f>E9-D10</f>
        <v>5821.8</v>
      </c>
      <c r="F10" s="28"/>
      <c r="G10" s="28">
        <f>J10/E10</f>
        <v>25.06874645753361</v>
      </c>
      <c r="H10" s="52"/>
      <c r="I10" s="29">
        <f>D10*G9</f>
        <v>1687.8218735307948</v>
      </c>
      <c r="J10" s="31">
        <f>J9-I10</f>
        <v>145945.22812646918</v>
      </c>
      <c r="K10" s="32"/>
    </row>
    <row r="11" spans="1:14" x14ac:dyDescent="0.25">
      <c r="A11" s="24">
        <v>41541</v>
      </c>
      <c r="B11" s="25" t="s">
        <v>137</v>
      </c>
      <c r="C11" s="26"/>
      <c r="D11" s="34">
        <f>36*6.3+10*6+6*5.85+6*5.8+5.5+5+4.5+14</f>
        <v>385.7</v>
      </c>
      <c r="E11" s="27">
        <f t="shared" ref="E11:E21" si="0">E10-D11</f>
        <v>5436.1</v>
      </c>
      <c r="F11" s="28"/>
      <c r="G11" s="28">
        <f t="shared" ref="G11:G21" si="1">J11/E11</f>
        <v>25.06874645753361</v>
      </c>
      <c r="H11" s="52"/>
      <c r="I11" s="29">
        <f t="shared" ref="I11:I21" si="2">D11*G10</f>
        <v>9669.0155086707127</v>
      </c>
      <c r="J11" s="31">
        <f t="shared" ref="J11:J21" si="3">J10-I11</f>
        <v>136276.21261779848</v>
      </c>
      <c r="K11" s="32"/>
    </row>
    <row r="12" spans="1:14" x14ac:dyDescent="0.25">
      <c r="A12" s="24">
        <v>41547</v>
      </c>
      <c r="B12" s="25" t="s">
        <v>138</v>
      </c>
      <c r="C12" s="26"/>
      <c r="D12" s="34">
        <f>9*3.5</f>
        <v>31.5</v>
      </c>
      <c r="E12" s="27">
        <f t="shared" si="0"/>
        <v>5404.6</v>
      </c>
      <c r="F12" s="28"/>
      <c r="G12" s="28">
        <f t="shared" si="1"/>
        <v>25.068746457533614</v>
      </c>
      <c r="H12" s="52"/>
      <c r="I12" s="29">
        <f t="shared" si="2"/>
        <v>789.66551341230877</v>
      </c>
      <c r="J12" s="31">
        <f t="shared" si="3"/>
        <v>135486.54710438618</v>
      </c>
      <c r="K12" s="32"/>
    </row>
    <row r="13" spans="1:14" x14ac:dyDescent="0.25">
      <c r="A13" s="24">
        <v>41547</v>
      </c>
      <c r="B13" s="25" t="s">
        <v>140</v>
      </c>
      <c r="C13" s="26"/>
      <c r="D13" s="34">
        <f>5*2.7+28*2.6</f>
        <v>86.3</v>
      </c>
      <c r="E13" s="27">
        <f t="shared" si="0"/>
        <v>5318.3</v>
      </c>
      <c r="F13" s="28"/>
      <c r="G13" s="28">
        <f t="shared" si="1"/>
        <v>25.068746457533617</v>
      </c>
      <c r="H13" s="52"/>
      <c r="I13" s="29">
        <f t="shared" si="2"/>
        <v>2163.4328192851508</v>
      </c>
      <c r="J13" s="31">
        <f t="shared" si="3"/>
        <v>133323.11428510104</v>
      </c>
      <c r="K13" s="32"/>
      <c r="N13" s="129">
        <f>SUM(I10:I13)</f>
        <v>14309.935714898966</v>
      </c>
    </row>
    <row r="14" spans="1:14" x14ac:dyDescent="0.25">
      <c r="A14" s="24">
        <v>41551</v>
      </c>
      <c r="B14" s="25" t="s">
        <v>146</v>
      </c>
      <c r="C14" s="26"/>
      <c r="D14" s="34">
        <f>8*4.8+4*0.8</f>
        <v>41.6</v>
      </c>
      <c r="E14" s="27">
        <f t="shared" si="0"/>
        <v>5276.7</v>
      </c>
      <c r="F14" s="28"/>
      <c r="G14" s="28">
        <f t="shared" si="1"/>
        <v>25.068746457533617</v>
      </c>
      <c r="H14" s="52"/>
      <c r="I14" s="29">
        <f t="shared" si="2"/>
        <v>1042.8598526333985</v>
      </c>
      <c r="J14" s="31">
        <f t="shared" si="3"/>
        <v>132280.25443246763</v>
      </c>
      <c r="K14" s="32"/>
    </row>
    <row r="15" spans="1:14" x14ac:dyDescent="0.25">
      <c r="A15" s="24">
        <v>41575</v>
      </c>
      <c r="B15" s="25" t="s">
        <v>163</v>
      </c>
      <c r="C15" s="26"/>
      <c r="D15" s="34">
        <f>2*3.85+2*3.75</f>
        <v>15.2</v>
      </c>
      <c r="E15" s="27">
        <f t="shared" si="0"/>
        <v>5261.5</v>
      </c>
      <c r="F15" s="28"/>
      <c r="G15" s="28">
        <f t="shared" si="1"/>
        <v>25.068746457533614</v>
      </c>
      <c r="H15" s="52"/>
      <c r="I15" s="29">
        <f t="shared" si="2"/>
        <v>381.04494615451097</v>
      </c>
      <c r="J15" s="31">
        <f t="shared" si="3"/>
        <v>131899.20948631311</v>
      </c>
      <c r="K15" s="32"/>
      <c r="N15" s="129">
        <f>SUM(I14:I15)</f>
        <v>1423.9047987879094</v>
      </c>
    </row>
    <row r="16" spans="1:14" x14ac:dyDescent="0.25">
      <c r="A16" s="24">
        <v>41592</v>
      </c>
      <c r="B16" s="25" t="s">
        <v>180</v>
      </c>
      <c r="C16" s="26"/>
      <c r="D16" s="34">
        <f>3*6+18*5.5</f>
        <v>117</v>
      </c>
      <c r="E16" s="27">
        <f t="shared" si="0"/>
        <v>5144.5</v>
      </c>
      <c r="F16" s="28"/>
      <c r="G16" s="28">
        <f t="shared" si="1"/>
        <v>25.068746457533614</v>
      </c>
      <c r="H16" s="52"/>
      <c r="I16" s="29">
        <f t="shared" si="2"/>
        <v>2933.0433355314326</v>
      </c>
      <c r="J16" s="31">
        <f t="shared" si="3"/>
        <v>128966.16615078168</v>
      </c>
      <c r="K16" s="32"/>
    </row>
    <row r="17" spans="1:14" x14ac:dyDescent="0.25">
      <c r="A17" s="24">
        <v>41596</v>
      </c>
      <c r="B17" s="25" t="s">
        <v>182</v>
      </c>
      <c r="C17" s="26"/>
      <c r="D17" s="34">
        <f>19*4.8+19*4</f>
        <v>167.2</v>
      </c>
      <c r="E17" s="27">
        <f t="shared" si="0"/>
        <v>4977.3</v>
      </c>
      <c r="F17" s="28"/>
      <c r="G17" s="28">
        <f t="shared" si="1"/>
        <v>25.068746457533614</v>
      </c>
      <c r="H17" s="52"/>
      <c r="I17" s="29">
        <f t="shared" si="2"/>
        <v>4191.4944076996198</v>
      </c>
      <c r="J17" s="31">
        <f t="shared" si="3"/>
        <v>124774.67174308206</v>
      </c>
      <c r="K17" s="32"/>
    </row>
    <row r="18" spans="1:14" x14ac:dyDescent="0.25">
      <c r="A18" s="24">
        <v>41598</v>
      </c>
      <c r="B18" s="25" t="s">
        <v>185</v>
      </c>
      <c r="C18" s="26"/>
      <c r="D18" s="34">
        <f>1*0.8</f>
        <v>0.8</v>
      </c>
      <c r="E18" s="27">
        <f t="shared" si="0"/>
        <v>4976.5</v>
      </c>
      <c r="F18" s="28"/>
      <c r="G18" s="28">
        <f t="shared" si="1"/>
        <v>25.068746457533614</v>
      </c>
      <c r="H18" s="52"/>
      <c r="I18" s="29">
        <f t="shared" si="2"/>
        <v>20.054997166026894</v>
      </c>
      <c r="J18" s="31">
        <f t="shared" si="3"/>
        <v>124754.61674591604</v>
      </c>
      <c r="K18" s="32"/>
    </row>
    <row r="19" spans="1:14" x14ac:dyDescent="0.25">
      <c r="A19" s="24">
        <v>41600</v>
      </c>
      <c r="B19" s="25" t="s">
        <v>292</v>
      </c>
      <c r="C19" s="26"/>
      <c r="D19" s="34">
        <f>1*5</f>
        <v>5</v>
      </c>
      <c r="E19" s="27">
        <f t="shared" si="0"/>
        <v>4971.5</v>
      </c>
      <c r="F19" s="28"/>
      <c r="G19" s="28">
        <f t="shared" si="1"/>
        <v>25.068746457533614</v>
      </c>
      <c r="H19" s="52"/>
      <c r="I19" s="29">
        <f t="shared" si="2"/>
        <v>125.34373228766808</v>
      </c>
      <c r="J19" s="31">
        <f t="shared" si="3"/>
        <v>124629.27301362836</v>
      </c>
      <c r="K19" s="32"/>
      <c r="N19" s="129">
        <f>SUM(I16:I19)</f>
        <v>7269.9364726847471</v>
      </c>
    </row>
    <row r="20" spans="1:14" x14ac:dyDescent="0.25">
      <c r="A20" s="24">
        <v>41628</v>
      </c>
      <c r="B20" s="25" t="s">
        <v>324</v>
      </c>
      <c r="C20" s="26"/>
      <c r="D20" s="34">
        <f>6*3</f>
        <v>18</v>
      </c>
      <c r="E20" s="27">
        <f t="shared" si="0"/>
        <v>4953.5</v>
      </c>
      <c r="F20" s="28"/>
      <c r="G20" s="28">
        <f t="shared" si="1"/>
        <v>25.068746457533614</v>
      </c>
      <c r="H20" s="52"/>
      <c r="I20" s="29">
        <f t="shared" si="2"/>
        <v>451.23743623560506</v>
      </c>
      <c r="J20" s="31">
        <f t="shared" si="3"/>
        <v>124178.03557739276</v>
      </c>
      <c r="K20" s="32"/>
    </row>
    <row r="21" spans="1:14" x14ac:dyDescent="0.25">
      <c r="A21" s="24">
        <v>41638</v>
      </c>
      <c r="B21" s="25" t="s">
        <v>333</v>
      </c>
      <c r="C21" s="26"/>
      <c r="D21" s="34">
        <f>3*0.9</f>
        <v>2.7</v>
      </c>
      <c r="E21" s="27">
        <f t="shared" si="0"/>
        <v>4950.8</v>
      </c>
      <c r="F21" s="28"/>
      <c r="G21" s="28">
        <f t="shared" si="1"/>
        <v>25.068746457533614</v>
      </c>
      <c r="H21" s="52"/>
      <c r="I21" s="29">
        <f t="shared" si="2"/>
        <v>67.685615435340765</v>
      </c>
      <c r="J21" s="31">
        <f t="shared" si="3"/>
        <v>124110.34996195741</v>
      </c>
      <c r="K21" s="32"/>
      <c r="N21" s="129">
        <f>SUM(I20:I21)</f>
        <v>518.92305167094582</v>
      </c>
    </row>
    <row r="22" spans="1:14" x14ac:dyDescent="0.25">
      <c r="A22" s="24"/>
      <c r="B22" s="25"/>
      <c r="C22" s="26"/>
      <c r="D22" s="34"/>
      <c r="E22" s="27"/>
      <c r="F22" s="28"/>
      <c r="G22" s="28"/>
      <c r="H22" s="52"/>
      <c r="I22" s="29"/>
      <c r="J22" s="31"/>
      <c r="K22" s="32"/>
    </row>
    <row r="23" spans="1:14" x14ac:dyDescent="0.25">
      <c r="A23" s="24"/>
      <c r="B23" s="25"/>
      <c r="C23" s="26"/>
      <c r="D23" s="34"/>
      <c r="E23" s="27"/>
      <c r="F23" s="28"/>
      <c r="G23" s="28"/>
      <c r="H23" s="52"/>
      <c r="I23" s="29"/>
      <c r="J23" s="31"/>
      <c r="K23" s="32"/>
    </row>
    <row r="24" spans="1:14" x14ac:dyDescent="0.25">
      <c r="A24" s="24"/>
      <c r="B24" s="25"/>
      <c r="C24" s="26"/>
      <c r="D24" s="34"/>
      <c r="E24" s="27"/>
      <c r="F24" s="28"/>
      <c r="G24" s="28"/>
      <c r="H24" s="52"/>
      <c r="I24" s="29"/>
      <c r="J24" s="31"/>
      <c r="K24" s="32"/>
    </row>
    <row r="25" spans="1:14" x14ac:dyDescent="0.25">
      <c r="A25" s="24"/>
      <c r="B25" s="25"/>
      <c r="C25" s="26"/>
      <c r="D25" s="34"/>
      <c r="E25" s="27"/>
      <c r="F25" s="28"/>
      <c r="G25" s="28"/>
      <c r="H25" s="52"/>
      <c r="I25" s="29"/>
      <c r="J25" s="31"/>
      <c r="K25" s="32"/>
    </row>
    <row r="26" spans="1:14" x14ac:dyDescent="0.25">
      <c r="A26" s="24"/>
      <c r="B26" s="25"/>
      <c r="C26" s="26"/>
      <c r="D26" s="34"/>
      <c r="E26" s="27"/>
      <c r="F26" s="28"/>
      <c r="G26" s="28"/>
      <c r="H26" s="52"/>
      <c r="I26" s="29"/>
      <c r="J26" s="31"/>
      <c r="K26" s="32"/>
    </row>
    <row r="27" spans="1:14" x14ac:dyDescent="0.25">
      <c r="A27" s="24"/>
      <c r="B27" s="25"/>
      <c r="C27" s="26"/>
      <c r="D27" s="34"/>
      <c r="E27" s="27"/>
      <c r="F27" s="28"/>
      <c r="G27" s="28"/>
      <c r="H27" s="52"/>
      <c r="I27" s="29"/>
      <c r="J27" s="31"/>
      <c r="K27" s="32"/>
    </row>
    <row r="28" spans="1:14" x14ac:dyDescent="0.25">
      <c r="A28" s="24"/>
      <c r="B28" s="25"/>
      <c r="C28" s="26"/>
      <c r="D28" s="34"/>
      <c r="E28" s="27"/>
      <c r="F28" s="28"/>
      <c r="G28" s="28"/>
      <c r="H28" s="52"/>
      <c r="I28" s="29"/>
      <c r="J28" s="31"/>
      <c r="K28" s="32"/>
    </row>
    <row r="29" spans="1:14" x14ac:dyDescent="0.25">
      <c r="A29" s="24"/>
      <c r="B29" s="25"/>
      <c r="C29" s="26"/>
      <c r="D29" s="34"/>
      <c r="E29" s="27"/>
      <c r="F29" s="28"/>
      <c r="G29" s="28"/>
      <c r="H29" s="52"/>
      <c r="I29" s="29"/>
      <c r="J29" s="31"/>
      <c r="K29" s="32"/>
    </row>
    <row r="30" spans="1:14" x14ac:dyDescent="0.25">
      <c r="A30" s="24"/>
      <c r="B30" s="25"/>
      <c r="C30" s="26"/>
      <c r="D30" s="34"/>
      <c r="E30" s="27"/>
      <c r="F30" s="28"/>
      <c r="G30" s="28"/>
      <c r="H30" s="52"/>
      <c r="I30" s="29"/>
      <c r="J30" s="31"/>
      <c r="K30" s="32"/>
    </row>
    <row r="31" spans="1:14" x14ac:dyDescent="0.25">
      <c r="A31" s="24"/>
      <c r="B31" s="25"/>
      <c r="C31" s="26"/>
      <c r="D31" s="34"/>
      <c r="E31" s="27"/>
      <c r="F31" s="28"/>
      <c r="G31" s="28"/>
      <c r="H31" s="52"/>
      <c r="I31" s="29"/>
      <c r="J31" s="31"/>
      <c r="K31" s="32"/>
    </row>
    <row r="32" spans="1:14" x14ac:dyDescent="0.25">
      <c r="A32" s="24"/>
      <c r="B32" s="25"/>
      <c r="C32" s="26"/>
      <c r="D32" s="34"/>
      <c r="E32" s="27"/>
      <c r="F32" s="28"/>
      <c r="G32" s="28"/>
      <c r="H32" s="52"/>
      <c r="I32" s="29"/>
      <c r="J32" s="31"/>
      <c r="K32" s="32"/>
    </row>
    <row r="33" spans="1:14" x14ac:dyDescent="0.25">
      <c r="A33" s="24"/>
      <c r="B33" s="25"/>
      <c r="C33" s="26"/>
      <c r="D33" s="34"/>
      <c r="E33" s="27"/>
      <c r="F33" s="28"/>
      <c r="G33" s="28"/>
      <c r="H33" s="52"/>
      <c r="I33" s="29"/>
      <c r="J33" s="31"/>
      <c r="K33" s="32"/>
    </row>
    <row r="34" spans="1:14" x14ac:dyDescent="0.25">
      <c r="A34" s="24"/>
      <c r="B34" s="25"/>
      <c r="C34" s="26"/>
      <c r="D34" s="34"/>
      <c r="E34" s="27"/>
      <c r="F34" s="28"/>
      <c r="G34" s="28"/>
      <c r="H34" s="52"/>
      <c r="I34" s="29"/>
      <c r="J34" s="31"/>
      <c r="K34" s="32"/>
    </row>
    <row r="35" spans="1:14" x14ac:dyDescent="0.25">
      <c r="A35" s="24"/>
      <c r="B35" s="25"/>
      <c r="C35" s="26"/>
      <c r="D35" s="34"/>
      <c r="E35" s="27"/>
      <c r="F35" s="28"/>
      <c r="G35" s="28"/>
      <c r="H35" s="52"/>
      <c r="I35" s="29"/>
      <c r="J35" s="31"/>
      <c r="K35" s="32"/>
    </row>
    <row r="36" spans="1:14" x14ac:dyDescent="0.25">
      <c r="A36" s="24"/>
      <c r="B36" s="25"/>
      <c r="C36" s="26"/>
      <c r="D36" s="34"/>
      <c r="E36" s="27"/>
      <c r="F36" s="28"/>
      <c r="G36" s="28"/>
      <c r="H36" s="52"/>
      <c r="I36" s="29"/>
      <c r="J36" s="31"/>
      <c r="K36" s="32"/>
    </row>
    <row r="37" spans="1:14" x14ac:dyDescent="0.25">
      <c r="A37" s="24"/>
      <c r="B37" s="25" t="s">
        <v>351</v>
      </c>
      <c r="C37" s="26">
        <f>SUM(C9:C36)</f>
        <v>5896.88</v>
      </c>
      <c r="D37" s="26">
        <f>SUM(D9:D36)</f>
        <v>946.07999999999993</v>
      </c>
      <c r="E37" s="27">
        <f>+C37-D37</f>
        <v>4950.8</v>
      </c>
      <c r="F37" s="28"/>
      <c r="G37" s="28"/>
      <c r="H37" s="26">
        <f>SUM(H9:H36)</f>
        <v>147633.04999999999</v>
      </c>
      <c r="I37" s="111">
        <f>SUM(I9:I36)</f>
        <v>23522.700038042563</v>
      </c>
      <c r="J37" s="70">
        <f>+H37-I37</f>
        <v>124110.34996195743</v>
      </c>
      <c r="K37" s="32"/>
      <c r="N37" s="129">
        <f>SUM(N21,N19,N15,N13)</f>
        <v>23522.700038042567</v>
      </c>
    </row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B49" workbookViewId="0">
      <selection activeCell="E69" sqref="E69"/>
    </sheetView>
  </sheetViews>
  <sheetFormatPr baseColWidth="10" defaultRowHeight="15" x14ac:dyDescent="0.25"/>
  <cols>
    <col min="2" max="2" width="50.28515625" customWidth="1"/>
    <col min="3" max="5" width="11.42578125" customWidth="1"/>
    <col min="6" max="6" width="11.85546875" customWidth="1"/>
    <col min="7" max="12" width="11.42578125" customWidth="1"/>
  </cols>
  <sheetData>
    <row r="1" spans="1:13" x14ac:dyDescent="0.25">
      <c r="A1" s="76"/>
      <c r="B1" s="3"/>
      <c r="C1" s="3"/>
      <c r="D1" s="3"/>
      <c r="E1" s="3"/>
      <c r="F1" s="3"/>
      <c r="G1" s="3"/>
      <c r="H1" s="38" t="s">
        <v>16</v>
      </c>
      <c r="I1" s="37"/>
      <c r="J1" s="124"/>
    </row>
    <row r="2" spans="1:13" x14ac:dyDescent="0.25">
      <c r="A2" s="5" t="s">
        <v>24</v>
      </c>
      <c r="B2" s="6"/>
      <c r="C2" s="7"/>
      <c r="D2" s="7"/>
      <c r="E2" s="7"/>
      <c r="F2" s="7"/>
      <c r="G2" s="7"/>
      <c r="H2" s="36" t="s">
        <v>361</v>
      </c>
      <c r="I2" s="40"/>
      <c r="J2" s="125"/>
    </row>
    <row r="3" spans="1:13" x14ac:dyDescent="0.25">
      <c r="A3" s="5" t="s">
        <v>17</v>
      </c>
      <c r="B3" s="6"/>
      <c r="C3" s="7"/>
      <c r="D3" s="7"/>
      <c r="E3" s="7"/>
      <c r="F3" s="7"/>
      <c r="G3" s="7"/>
      <c r="H3" s="36" t="s">
        <v>359</v>
      </c>
      <c r="I3" s="40"/>
      <c r="J3" s="125"/>
    </row>
    <row r="4" spans="1:13" x14ac:dyDescent="0.25">
      <c r="A4" s="9" t="s">
        <v>15</v>
      </c>
      <c r="B4" s="10"/>
      <c r="C4" s="7"/>
      <c r="D4" s="7"/>
      <c r="E4" s="7"/>
      <c r="F4" s="7"/>
      <c r="G4" s="7"/>
      <c r="H4" s="7"/>
      <c r="I4" s="7"/>
      <c r="J4" s="119"/>
    </row>
    <row r="5" spans="1:13" ht="18" x14ac:dyDescent="0.25">
      <c r="A5" s="11"/>
      <c r="B5" s="7"/>
      <c r="C5" s="7"/>
      <c r="D5" s="131" t="s">
        <v>19</v>
      </c>
      <c r="E5" s="131"/>
      <c r="F5" s="131"/>
      <c r="G5" s="131"/>
      <c r="H5" s="102"/>
      <c r="I5" s="7"/>
      <c r="J5" s="119"/>
    </row>
    <row r="6" spans="1:13" x14ac:dyDescent="0.25">
      <c r="A6" s="11"/>
      <c r="B6" s="12"/>
      <c r="C6" s="7"/>
      <c r="D6" s="8" t="s">
        <v>22</v>
      </c>
      <c r="E6" s="12"/>
      <c r="F6" s="12"/>
      <c r="G6" s="7"/>
      <c r="H6" s="7"/>
      <c r="I6" s="7"/>
      <c r="J6" s="119"/>
    </row>
    <row r="7" spans="1:13" x14ac:dyDescent="0.25">
      <c r="A7" s="122" t="s">
        <v>366</v>
      </c>
      <c r="B7" s="127"/>
      <c r="C7" s="127"/>
      <c r="D7" s="127"/>
      <c r="E7" s="127"/>
      <c r="F7" s="127"/>
      <c r="G7" s="127"/>
      <c r="H7" s="127"/>
      <c r="I7" s="127"/>
      <c r="J7" s="123"/>
    </row>
    <row r="8" spans="1:13" x14ac:dyDescent="0.25">
      <c r="A8" s="11"/>
      <c r="B8" s="7"/>
      <c r="C8" s="7"/>
      <c r="D8" s="7"/>
      <c r="E8" s="7"/>
      <c r="F8" s="7"/>
      <c r="G8" s="7"/>
      <c r="H8" s="7"/>
      <c r="I8" s="7"/>
      <c r="J8" s="119"/>
    </row>
    <row r="9" spans="1:13" x14ac:dyDescent="0.25">
      <c r="A9" s="105" t="s">
        <v>0</v>
      </c>
      <c r="B9" s="104" t="s">
        <v>1</v>
      </c>
      <c r="C9" s="143" t="s">
        <v>2</v>
      </c>
      <c r="D9" s="144"/>
      <c r="E9" s="145"/>
      <c r="F9" s="143" t="s">
        <v>3</v>
      </c>
      <c r="G9" s="145"/>
      <c r="H9" s="143" t="s">
        <v>4</v>
      </c>
      <c r="I9" s="144"/>
      <c r="J9" s="146"/>
    </row>
    <row r="10" spans="1:13" x14ac:dyDescent="0.25">
      <c r="A10" s="80"/>
      <c r="B10" s="81"/>
      <c r="C10" s="106" t="s">
        <v>187</v>
      </c>
      <c r="D10" s="107" t="s">
        <v>7</v>
      </c>
      <c r="E10" s="108" t="s">
        <v>14</v>
      </c>
      <c r="F10" s="107" t="s">
        <v>12</v>
      </c>
      <c r="G10" s="107" t="s">
        <v>13</v>
      </c>
      <c r="H10" s="106" t="s">
        <v>8</v>
      </c>
      <c r="I10" s="107" t="s">
        <v>9</v>
      </c>
      <c r="J10" s="109" t="s">
        <v>14</v>
      </c>
      <c r="M10" s="128" t="s">
        <v>707</v>
      </c>
    </row>
    <row r="11" spans="1:13" x14ac:dyDescent="0.25">
      <c r="A11" s="86">
        <v>41275</v>
      </c>
      <c r="B11" s="71" t="s">
        <v>10</v>
      </c>
      <c r="C11" s="71">
        <v>3000</v>
      </c>
      <c r="D11" s="71"/>
      <c r="E11" s="71">
        <v>3000</v>
      </c>
      <c r="F11" s="72">
        <v>0.41</v>
      </c>
      <c r="G11" s="7"/>
      <c r="H11" s="72">
        <v>1233.1500000000001</v>
      </c>
      <c r="I11" s="72"/>
      <c r="J11" s="87">
        <f>+H11</f>
        <v>1233.1500000000001</v>
      </c>
    </row>
    <row r="12" spans="1:13" x14ac:dyDescent="0.25">
      <c r="A12" s="86">
        <v>41278</v>
      </c>
      <c r="B12" s="71" t="s">
        <v>200</v>
      </c>
      <c r="C12" s="71"/>
      <c r="D12" s="71">
        <v>250</v>
      </c>
      <c r="E12" s="71">
        <f>+E11-D12</f>
        <v>2750</v>
      </c>
      <c r="F12" s="71"/>
      <c r="G12" s="72">
        <f>J11/E11</f>
        <v>0.41105000000000003</v>
      </c>
      <c r="H12" s="7"/>
      <c r="I12" s="72">
        <f t="shared" ref="I12:I27" si="0">D12*G12</f>
        <v>102.7625</v>
      </c>
      <c r="J12" s="87">
        <f>+J11-I12</f>
        <v>1130.3875</v>
      </c>
    </row>
    <row r="13" spans="1:13" x14ac:dyDescent="0.25">
      <c r="A13" s="86">
        <v>40917</v>
      </c>
      <c r="B13" s="71" t="s">
        <v>201</v>
      </c>
      <c r="C13" s="71"/>
      <c r="D13" s="71">
        <v>50</v>
      </c>
      <c r="E13" s="71">
        <f t="shared" ref="E13:E39" si="1">+E12-D13</f>
        <v>2700</v>
      </c>
      <c r="F13" s="72"/>
      <c r="G13" s="72">
        <f t="shared" ref="G13:G39" si="2">J12/E12</f>
        <v>0.41105000000000003</v>
      </c>
      <c r="H13" s="72"/>
      <c r="I13" s="72">
        <f t="shared" si="0"/>
        <v>20.552500000000002</v>
      </c>
      <c r="J13" s="87">
        <f t="shared" ref="J13:J39" si="3">+J12-I13</f>
        <v>1109.835</v>
      </c>
    </row>
    <row r="14" spans="1:13" x14ac:dyDescent="0.25">
      <c r="A14" s="86">
        <v>41284</v>
      </c>
      <c r="B14" s="71" t="s">
        <v>202</v>
      </c>
      <c r="C14" s="71"/>
      <c r="D14" s="71">
        <v>100</v>
      </c>
      <c r="E14" s="71">
        <f t="shared" si="1"/>
        <v>2600</v>
      </c>
      <c r="F14" s="71"/>
      <c r="G14" s="72">
        <f t="shared" si="2"/>
        <v>0.41105000000000003</v>
      </c>
      <c r="H14" s="72"/>
      <c r="I14" s="72">
        <f t="shared" si="0"/>
        <v>41.105000000000004</v>
      </c>
      <c r="J14" s="87">
        <f t="shared" si="3"/>
        <v>1068.73</v>
      </c>
    </row>
    <row r="15" spans="1:13" s="110" customFormat="1" x14ac:dyDescent="0.25">
      <c r="A15" s="86">
        <v>41291</v>
      </c>
      <c r="B15" s="71" t="s">
        <v>706</v>
      </c>
      <c r="C15" s="71"/>
      <c r="D15" s="71">
        <v>18</v>
      </c>
      <c r="E15" s="71">
        <f t="shared" si="1"/>
        <v>2582</v>
      </c>
      <c r="F15" s="71"/>
      <c r="G15" s="72">
        <f t="shared" si="2"/>
        <v>0.41105000000000003</v>
      </c>
      <c r="H15" s="72"/>
      <c r="I15" s="72">
        <f t="shared" si="0"/>
        <v>7.3989000000000003</v>
      </c>
      <c r="J15" s="87">
        <f t="shared" si="3"/>
        <v>1061.3311000000001</v>
      </c>
      <c r="M15" s="70">
        <f>SUM(I12:I15)</f>
        <v>171.81890000000001</v>
      </c>
    </row>
    <row r="16" spans="1:13" x14ac:dyDescent="0.25">
      <c r="A16" s="86">
        <v>41335</v>
      </c>
      <c r="B16" s="71" t="s">
        <v>214</v>
      </c>
      <c r="C16" s="71"/>
      <c r="D16" s="71">
        <v>50</v>
      </c>
      <c r="E16" s="71">
        <f t="shared" si="1"/>
        <v>2532</v>
      </c>
      <c r="F16" s="71"/>
      <c r="G16" s="72">
        <f t="shared" si="2"/>
        <v>0.41105000000000003</v>
      </c>
      <c r="H16" s="72"/>
      <c r="I16" s="72">
        <f t="shared" si="0"/>
        <v>20.552500000000002</v>
      </c>
      <c r="J16" s="87">
        <f t="shared" si="3"/>
        <v>1040.7786000000001</v>
      </c>
    </row>
    <row r="17" spans="1:13" x14ac:dyDescent="0.25">
      <c r="A17" s="86">
        <v>41339</v>
      </c>
      <c r="B17" s="71" t="s">
        <v>216</v>
      </c>
      <c r="C17" s="71"/>
      <c r="D17" s="71">
        <v>200</v>
      </c>
      <c r="E17" s="71">
        <f t="shared" si="1"/>
        <v>2332</v>
      </c>
      <c r="F17" s="71"/>
      <c r="G17" s="72">
        <f t="shared" si="2"/>
        <v>0.41105000000000003</v>
      </c>
      <c r="H17" s="72"/>
      <c r="I17" s="72">
        <f t="shared" si="0"/>
        <v>82.210000000000008</v>
      </c>
      <c r="J17" s="87">
        <f t="shared" si="3"/>
        <v>958.56860000000006</v>
      </c>
      <c r="M17" s="70">
        <f>SUM(I16:I17)</f>
        <v>102.76250000000002</v>
      </c>
    </row>
    <row r="18" spans="1:13" x14ac:dyDescent="0.25">
      <c r="A18" s="86">
        <v>41369</v>
      </c>
      <c r="B18" s="71" t="s">
        <v>218</v>
      </c>
      <c r="C18" s="71"/>
      <c r="D18" s="71">
        <v>50</v>
      </c>
      <c r="E18" s="71">
        <f t="shared" si="1"/>
        <v>2282</v>
      </c>
      <c r="F18" s="71"/>
      <c r="G18" s="72">
        <f t="shared" si="2"/>
        <v>0.41105000000000003</v>
      </c>
      <c r="H18" s="72"/>
      <c r="I18" s="72">
        <f t="shared" si="0"/>
        <v>20.552500000000002</v>
      </c>
      <c r="J18" s="87">
        <f t="shared" si="3"/>
        <v>938.01610000000005</v>
      </c>
    </row>
    <row r="19" spans="1:13" x14ac:dyDescent="0.25">
      <c r="A19" s="93">
        <v>41382</v>
      </c>
      <c r="B19" s="71" t="s">
        <v>241</v>
      </c>
      <c r="C19" s="71">
        <v>2000</v>
      </c>
      <c r="D19" s="71"/>
      <c r="E19" s="71">
        <f>+E18+C19</f>
        <v>4282</v>
      </c>
      <c r="F19" s="72">
        <f>+H19/C19</f>
        <v>0.41107499999999997</v>
      </c>
      <c r="G19" s="72"/>
      <c r="H19" s="72">
        <v>822.15</v>
      </c>
      <c r="I19" s="72"/>
      <c r="J19" s="87">
        <f>+J18+H19</f>
        <v>1760.1660999999999</v>
      </c>
      <c r="M19" s="70">
        <f>+I18</f>
        <v>20.552500000000002</v>
      </c>
    </row>
    <row r="20" spans="1:13" x14ac:dyDescent="0.25">
      <c r="A20" s="93">
        <v>41404</v>
      </c>
      <c r="B20" s="71" t="s">
        <v>222</v>
      </c>
      <c r="C20" s="71"/>
      <c r="D20" s="71">
        <v>750</v>
      </c>
      <c r="E20" s="71">
        <f>+E19-D20</f>
        <v>3532</v>
      </c>
      <c r="F20" s="71"/>
      <c r="G20" s="72">
        <f t="shared" si="2"/>
        <v>0.41106167678654831</v>
      </c>
      <c r="H20" s="72"/>
      <c r="I20" s="72">
        <f>+D20*G20</f>
        <v>308.29625758991125</v>
      </c>
      <c r="J20" s="87">
        <f>+J19-I20</f>
        <v>1451.8698424100887</v>
      </c>
    </row>
    <row r="21" spans="1:13" x14ac:dyDescent="0.25">
      <c r="A21" s="86">
        <v>41405</v>
      </c>
      <c r="B21" s="71" t="s">
        <v>223</v>
      </c>
      <c r="C21" s="71"/>
      <c r="D21" s="71">
        <v>200</v>
      </c>
      <c r="E21" s="71">
        <f t="shared" si="1"/>
        <v>3332</v>
      </c>
      <c r="F21" s="71"/>
      <c r="G21" s="72">
        <f t="shared" si="2"/>
        <v>0.41106167678654831</v>
      </c>
      <c r="H21" s="72"/>
      <c r="I21" s="72">
        <f t="shared" si="0"/>
        <v>82.212335357309669</v>
      </c>
      <c r="J21" s="87">
        <f>+J20-I21</f>
        <v>1369.657507052779</v>
      </c>
    </row>
    <row r="22" spans="1:13" x14ac:dyDescent="0.25">
      <c r="A22" s="86">
        <v>41405</v>
      </c>
      <c r="B22" s="71" t="s">
        <v>224</v>
      </c>
      <c r="C22" s="71"/>
      <c r="D22" s="71">
        <v>700</v>
      </c>
      <c r="E22" s="71">
        <f t="shared" si="1"/>
        <v>2632</v>
      </c>
      <c r="F22" s="71"/>
      <c r="G22" s="72">
        <f t="shared" si="2"/>
        <v>0.41106167678654831</v>
      </c>
      <c r="H22" s="72"/>
      <c r="I22" s="72">
        <f t="shared" si="0"/>
        <v>287.74317375058382</v>
      </c>
      <c r="J22" s="87">
        <f t="shared" ref="J22" si="4">+J21-I22</f>
        <v>1081.9143333021952</v>
      </c>
    </row>
    <row r="23" spans="1:13" x14ac:dyDescent="0.25">
      <c r="A23" s="86">
        <v>41405</v>
      </c>
      <c r="B23" s="71" t="s">
        <v>242</v>
      </c>
      <c r="C23" s="71">
        <v>2000</v>
      </c>
      <c r="D23" s="71"/>
      <c r="E23" s="71">
        <f>+E22+C23</f>
        <v>4632</v>
      </c>
      <c r="F23" s="72">
        <f>+H23/C23</f>
        <v>0.41760000000000003</v>
      </c>
      <c r="G23" s="72"/>
      <c r="H23" s="72">
        <v>835.2</v>
      </c>
      <c r="I23" s="72"/>
      <c r="J23" s="87">
        <f>+J22+H23</f>
        <v>1917.1143333021953</v>
      </c>
    </row>
    <row r="24" spans="1:13" x14ac:dyDescent="0.25">
      <c r="A24" s="86">
        <v>41409</v>
      </c>
      <c r="B24" s="71" t="s">
        <v>225</v>
      </c>
      <c r="C24" s="71"/>
      <c r="D24" s="71">
        <v>100</v>
      </c>
      <c r="E24" s="71">
        <f t="shared" si="1"/>
        <v>4532</v>
      </c>
      <c r="F24" s="71"/>
      <c r="G24" s="72">
        <f t="shared" si="2"/>
        <v>0.41388478698233921</v>
      </c>
      <c r="H24" s="72"/>
      <c r="I24" s="72">
        <f t="shared" si="0"/>
        <v>41.388478698233925</v>
      </c>
      <c r="J24" s="87">
        <f t="shared" si="3"/>
        <v>1875.7258546039614</v>
      </c>
    </row>
    <row r="25" spans="1:13" x14ac:dyDescent="0.25">
      <c r="A25" s="86">
        <v>41412</v>
      </c>
      <c r="B25" s="71" t="s">
        <v>226</v>
      </c>
      <c r="C25" s="71"/>
      <c r="D25" s="71">
        <v>450</v>
      </c>
      <c r="E25" s="71">
        <f t="shared" si="1"/>
        <v>4082</v>
      </c>
      <c r="F25" s="71"/>
      <c r="G25" s="72">
        <f t="shared" si="2"/>
        <v>0.41388478698233921</v>
      </c>
      <c r="H25" s="72"/>
      <c r="I25" s="72">
        <f t="shared" si="0"/>
        <v>186.24815414205264</v>
      </c>
      <c r="J25" s="87">
        <f t="shared" si="3"/>
        <v>1689.4777004619086</v>
      </c>
    </row>
    <row r="26" spans="1:13" x14ac:dyDescent="0.25">
      <c r="A26" s="86">
        <v>41421</v>
      </c>
      <c r="B26" s="71" t="s">
        <v>242</v>
      </c>
      <c r="C26" s="71">
        <v>3000</v>
      </c>
      <c r="D26" s="71"/>
      <c r="E26" s="71">
        <f>+E25+C26</f>
        <v>7082</v>
      </c>
      <c r="F26" s="72">
        <f>+H26/C26</f>
        <v>0.40019999999999994</v>
      </c>
      <c r="G26" s="72"/>
      <c r="H26" s="72">
        <v>1200.5999999999999</v>
      </c>
      <c r="I26" s="72"/>
      <c r="J26" s="87">
        <f>+J25+H26</f>
        <v>2890.0777004619085</v>
      </c>
      <c r="M26" s="70">
        <f>SUM(I20:I25)</f>
        <v>905.88839953809122</v>
      </c>
    </row>
    <row r="27" spans="1:13" x14ac:dyDescent="0.25">
      <c r="A27" s="86">
        <v>41435</v>
      </c>
      <c r="B27" s="71" t="s">
        <v>227</v>
      </c>
      <c r="C27" s="71"/>
      <c r="D27" s="71">
        <v>700</v>
      </c>
      <c r="E27" s="71">
        <f>+E26-D27</f>
        <v>6382</v>
      </c>
      <c r="F27" s="71"/>
      <c r="G27" s="72">
        <f>J25/E25</f>
        <v>0.41388478698233921</v>
      </c>
      <c r="H27" s="72"/>
      <c r="I27" s="72">
        <f t="shared" si="0"/>
        <v>289.71935088763746</v>
      </c>
      <c r="J27" s="87">
        <f>+J26-I27</f>
        <v>2600.358349574271</v>
      </c>
    </row>
    <row r="28" spans="1:13" x14ac:dyDescent="0.25">
      <c r="A28" s="86">
        <v>41446</v>
      </c>
      <c r="B28" s="71" t="s">
        <v>243</v>
      </c>
      <c r="C28" s="71">
        <v>2000</v>
      </c>
      <c r="D28" s="71"/>
      <c r="E28" s="71">
        <f>+E27+C28</f>
        <v>8382</v>
      </c>
      <c r="F28" s="72">
        <f>+H28/C28</f>
        <v>0.41760000000000003</v>
      </c>
      <c r="G28" s="72"/>
      <c r="H28" s="72">
        <v>835.2</v>
      </c>
      <c r="I28" s="72"/>
      <c r="J28" s="87">
        <f>+J27+H28</f>
        <v>3435.5583495742712</v>
      </c>
      <c r="M28" s="70">
        <f>SUM(I27)</f>
        <v>289.71935088763746</v>
      </c>
    </row>
    <row r="29" spans="1:13" x14ac:dyDescent="0.25">
      <c r="A29" s="86">
        <v>41472</v>
      </c>
      <c r="B29" s="71" t="s">
        <v>194</v>
      </c>
      <c r="C29" s="71"/>
      <c r="D29" s="71">
        <v>100</v>
      </c>
      <c r="E29" s="71">
        <f>+E28-D29</f>
        <v>8282</v>
      </c>
      <c r="F29" s="71"/>
      <c r="G29" s="72">
        <f t="shared" si="2"/>
        <v>0.40987334163377132</v>
      </c>
      <c r="H29" s="72"/>
      <c r="I29" s="72">
        <f>+D29*G29</f>
        <v>40.987334163377135</v>
      </c>
      <c r="J29" s="87">
        <f t="shared" si="3"/>
        <v>3394.5710154108942</v>
      </c>
    </row>
    <row r="30" spans="1:13" x14ac:dyDescent="0.25">
      <c r="A30" s="86">
        <v>41482</v>
      </c>
      <c r="B30" s="71" t="s">
        <v>196</v>
      </c>
      <c r="C30" s="71"/>
      <c r="D30" s="71">
        <v>600</v>
      </c>
      <c r="E30" s="71">
        <f t="shared" si="1"/>
        <v>7682</v>
      </c>
      <c r="F30" s="71"/>
      <c r="G30" s="72">
        <f t="shared" si="2"/>
        <v>0.40987334163377132</v>
      </c>
      <c r="H30" s="72"/>
      <c r="I30" s="72">
        <f t="shared" ref="I30:I49" si="5">+D30*G30</f>
        <v>245.92400498026279</v>
      </c>
      <c r="J30" s="87">
        <f t="shared" si="3"/>
        <v>3148.6470104306313</v>
      </c>
    </row>
    <row r="31" spans="1:13" x14ac:dyDescent="0.25">
      <c r="A31" s="86">
        <v>41486</v>
      </c>
      <c r="B31" s="71" t="s">
        <v>199</v>
      </c>
      <c r="C31" s="71"/>
      <c r="D31" s="71">
        <v>250</v>
      </c>
      <c r="E31" s="71">
        <f t="shared" si="1"/>
        <v>7432</v>
      </c>
      <c r="F31" s="71"/>
      <c r="G31" s="72">
        <f t="shared" si="2"/>
        <v>0.40987334163377132</v>
      </c>
      <c r="H31" s="72"/>
      <c r="I31" s="72">
        <f t="shared" si="5"/>
        <v>102.46833540844283</v>
      </c>
      <c r="J31" s="87">
        <f t="shared" si="3"/>
        <v>3046.1786750221886</v>
      </c>
      <c r="M31" s="70">
        <f>SUM(I29:I31)</f>
        <v>389.37967455208275</v>
      </c>
    </row>
    <row r="32" spans="1:13" x14ac:dyDescent="0.25">
      <c r="A32" s="86">
        <v>41489</v>
      </c>
      <c r="B32" s="71" t="s">
        <v>231</v>
      </c>
      <c r="C32" s="71"/>
      <c r="D32" s="71">
        <v>50</v>
      </c>
      <c r="E32" s="71">
        <f t="shared" si="1"/>
        <v>7382</v>
      </c>
      <c r="F32" s="71"/>
      <c r="G32" s="72">
        <f t="shared" ref="G32" si="6">J31/E31</f>
        <v>0.40987334163377132</v>
      </c>
      <c r="H32" s="72"/>
      <c r="I32" s="72">
        <f t="shared" si="5"/>
        <v>20.493667081688567</v>
      </c>
      <c r="J32" s="87">
        <f t="shared" ref="J32" si="7">+J31-I32</f>
        <v>3025.6850079404999</v>
      </c>
    </row>
    <row r="33" spans="1:13" x14ac:dyDescent="0.25">
      <c r="A33" s="86">
        <v>41499</v>
      </c>
      <c r="B33" s="71" t="s">
        <v>232</v>
      </c>
      <c r="C33" s="71"/>
      <c r="D33" s="71">
        <v>1700</v>
      </c>
      <c r="E33" s="71">
        <f t="shared" si="1"/>
        <v>5682</v>
      </c>
      <c r="F33" s="71"/>
      <c r="G33" s="72">
        <f t="shared" si="2"/>
        <v>0.40987334163377132</v>
      </c>
      <c r="H33" s="72"/>
      <c r="I33" s="72">
        <f t="shared" si="5"/>
        <v>696.78468077741127</v>
      </c>
      <c r="J33" s="87">
        <f t="shared" si="3"/>
        <v>2328.9003271630886</v>
      </c>
    </row>
    <row r="34" spans="1:13" x14ac:dyDescent="0.25">
      <c r="A34" s="86">
        <v>41505</v>
      </c>
      <c r="B34" s="71" t="s">
        <v>232</v>
      </c>
      <c r="C34" s="71"/>
      <c r="D34" s="71">
        <v>135</v>
      </c>
      <c r="E34" s="71">
        <f t="shared" si="1"/>
        <v>5547</v>
      </c>
      <c r="F34" s="71"/>
      <c r="G34" s="72">
        <f t="shared" si="2"/>
        <v>0.40987334163377132</v>
      </c>
      <c r="H34" s="72"/>
      <c r="I34" s="72">
        <f t="shared" si="5"/>
        <v>55.332901120559129</v>
      </c>
      <c r="J34" s="87">
        <f t="shared" si="3"/>
        <v>2273.5674260425294</v>
      </c>
    </row>
    <row r="35" spans="1:13" x14ac:dyDescent="0.25">
      <c r="A35" s="86">
        <v>41509</v>
      </c>
      <c r="B35" s="71" t="s">
        <v>234</v>
      </c>
      <c r="C35" s="71"/>
      <c r="D35" s="71">
        <v>100</v>
      </c>
      <c r="E35" s="71">
        <f t="shared" si="1"/>
        <v>5447</v>
      </c>
      <c r="F35" s="71"/>
      <c r="G35" s="72">
        <f t="shared" si="2"/>
        <v>0.40987334163377132</v>
      </c>
      <c r="H35" s="72"/>
      <c r="I35" s="72">
        <f t="shared" si="5"/>
        <v>40.987334163377135</v>
      </c>
      <c r="J35" s="87">
        <f t="shared" si="3"/>
        <v>2232.5800918791524</v>
      </c>
    </row>
    <row r="36" spans="1:13" x14ac:dyDescent="0.25">
      <c r="A36" s="86">
        <v>41513</v>
      </c>
      <c r="B36" s="71" t="s">
        <v>235</v>
      </c>
      <c r="C36" s="71"/>
      <c r="D36" s="71">
        <v>50</v>
      </c>
      <c r="E36" s="71">
        <f t="shared" si="1"/>
        <v>5397</v>
      </c>
      <c r="F36" s="71"/>
      <c r="G36" s="72">
        <f t="shared" si="2"/>
        <v>0.40987334163377132</v>
      </c>
      <c r="H36" s="72"/>
      <c r="I36" s="72">
        <f t="shared" si="5"/>
        <v>20.493667081688567</v>
      </c>
      <c r="J36" s="87">
        <f t="shared" si="3"/>
        <v>2212.0864247974637</v>
      </c>
    </row>
    <row r="37" spans="1:13" x14ac:dyDescent="0.25">
      <c r="A37" s="86">
        <v>41515</v>
      </c>
      <c r="B37" s="71" t="s">
        <v>237</v>
      </c>
      <c r="C37" s="71"/>
      <c r="D37" s="71">
        <v>100</v>
      </c>
      <c r="E37" s="71">
        <f t="shared" si="1"/>
        <v>5297</v>
      </c>
      <c r="F37" s="71"/>
      <c r="G37" s="72">
        <f t="shared" si="2"/>
        <v>0.40987334163377132</v>
      </c>
      <c r="H37" s="72"/>
      <c r="I37" s="72">
        <f t="shared" si="5"/>
        <v>40.987334163377135</v>
      </c>
      <c r="J37" s="87">
        <f t="shared" si="3"/>
        <v>2171.0990906340867</v>
      </c>
    </row>
    <row r="38" spans="1:13" x14ac:dyDescent="0.25">
      <c r="A38" s="86">
        <v>41515</v>
      </c>
      <c r="B38" s="71" t="s">
        <v>238</v>
      </c>
      <c r="C38" s="71"/>
      <c r="D38" s="71">
        <v>250</v>
      </c>
      <c r="E38" s="71">
        <f t="shared" si="1"/>
        <v>5047</v>
      </c>
      <c r="F38" s="71"/>
      <c r="G38" s="72">
        <f t="shared" si="2"/>
        <v>0.40987334163377132</v>
      </c>
      <c r="H38" s="72"/>
      <c r="I38" s="72">
        <f t="shared" si="5"/>
        <v>102.46833540844283</v>
      </c>
      <c r="J38" s="87">
        <f t="shared" si="3"/>
        <v>2068.630755225644</v>
      </c>
      <c r="M38" s="70">
        <f>SUM(I32:I38)</f>
        <v>977.54791979654465</v>
      </c>
    </row>
    <row r="39" spans="1:13" x14ac:dyDescent="0.25">
      <c r="A39" s="86">
        <v>41548</v>
      </c>
      <c r="B39" s="71" t="s">
        <v>251</v>
      </c>
      <c r="C39" s="71"/>
      <c r="D39" s="71">
        <v>200</v>
      </c>
      <c r="E39" s="71">
        <f t="shared" si="1"/>
        <v>4847</v>
      </c>
      <c r="F39" s="71"/>
      <c r="G39" s="72">
        <f t="shared" si="2"/>
        <v>0.40987334163377132</v>
      </c>
      <c r="H39" s="72"/>
      <c r="I39" s="72">
        <f t="shared" si="5"/>
        <v>81.974668326754269</v>
      </c>
      <c r="J39" s="87">
        <f t="shared" si="3"/>
        <v>1986.6560868988897</v>
      </c>
    </row>
    <row r="40" spans="1:13" x14ac:dyDescent="0.25">
      <c r="A40" s="86">
        <v>41552</v>
      </c>
      <c r="B40" s="71" t="s">
        <v>252</v>
      </c>
      <c r="C40" s="71"/>
      <c r="D40" s="71">
        <v>30</v>
      </c>
      <c r="E40" s="71">
        <f t="shared" ref="E40" si="8">+E39-D40</f>
        <v>4817</v>
      </c>
      <c r="F40" s="71"/>
      <c r="G40" s="72">
        <f t="shared" ref="G40" si="9">J39/E39</f>
        <v>0.40987334163377137</v>
      </c>
      <c r="H40" s="72"/>
      <c r="I40" s="72">
        <f t="shared" si="5"/>
        <v>12.296200249013141</v>
      </c>
      <c r="J40" s="87">
        <f t="shared" ref="J40" si="10">+J39-I40</f>
        <v>1974.3598866498767</v>
      </c>
    </row>
    <row r="41" spans="1:13" x14ac:dyDescent="0.25">
      <c r="A41" s="86">
        <v>41552</v>
      </c>
      <c r="B41" s="71" t="s">
        <v>253</v>
      </c>
      <c r="C41" s="71"/>
      <c r="D41" s="71">
        <v>600</v>
      </c>
      <c r="E41" s="71">
        <f t="shared" ref="E41" si="11">+E40-D41</f>
        <v>4217</v>
      </c>
      <c r="F41" s="71"/>
      <c r="G41" s="72">
        <f t="shared" ref="G41" si="12">J40/E40</f>
        <v>0.40987334163377137</v>
      </c>
      <c r="H41" s="72"/>
      <c r="I41" s="72">
        <f t="shared" si="5"/>
        <v>245.92400498026282</v>
      </c>
      <c r="J41" s="87">
        <f t="shared" ref="J41" si="13">+J40-I41</f>
        <v>1728.4358816696138</v>
      </c>
    </row>
    <row r="42" spans="1:13" x14ac:dyDescent="0.25">
      <c r="A42" s="97">
        <v>41559</v>
      </c>
      <c r="B42" s="71" t="s">
        <v>254</v>
      </c>
      <c r="C42" s="79"/>
      <c r="D42" s="79">
        <v>100</v>
      </c>
      <c r="E42" s="71">
        <f t="shared" ref="E42" si="14">+E41-D42</f>
        <v>4117</v>
      </c>
      <c r="F42" s="71"/>
      <c r="G42" s="72">
        <f t="shared" ref="G42" si="15">J41/E41</f>
        <v>0.40987334163377137</v>
      </c>
      <c r="H42" s="72"/>
      <c r="I42" s="72">
        <f t="shared" si="5"/>
        <v>40.987334163377135</v>
      </c>
      <c r="J42" s="87">
        <f t="shared" ref="J42" si="16">+J41-I42</f>
        <v>1687.4485475062365</v>
      </c>
    </row>
    <row r="43" spans="1:13" x14ac:dyDescent="0.25">
      <c r="A43" s="97">
        <v>41563</v>
      </c>
      <c r="B43" s="71" t="s">
        <v>255</v>
      </c>
      <c r="C43" s="79"/>
      <c r="D43" s="79">
        <v>350</v>
      </c>
      <c r="E43" s="71">
        <f t="shared" ref="E43" si="17">+E42-D43</f>
        <v>3767</v>
      </c>
      <c r="F43" s="71"/>
      <c r="G43" s="72">
        <f t="shared" ref="G43" si="18">J42/E42</f>
        <v>0.40987334163377132</v>
      </c>
      <c r="H43" s="72"/>
      <c r="I43" s="72">
        <f t="shared" si="5"/>
        <v>143.45566957181995</v>
      </c>
      <c r="J43" s="87">
        <f t="shared" ref="J43" si="19">+J42-I43</f>
        <v>1543.9928779344166</v>
      </c>
    </row>
    <row r="44" spans="1:13" x14ac:dyDescent="0.25">
      <c r="A44" s="97">
        <v>41564</v>
      </c>
      <c r="B44" s="71" t="s">
        <v>256</v>
      </c>
      <c r="C44" s="79"/>
      <c r="D44" s="79">
        <v>200</v>
      </c>
      <c r="E44" s="71">
        <f t="shared" ref="E44" si="20">+E43-D44</f>
        <v>3567</v>
      </c>
      <c r="F44" s="71"/>
      <c r="G44" s="72">
        <f t="shared" ref="G44" si="21">J43/E43</f>
        <v>0.40987334163377132</v>
      </c>
      <c r="H44" s="72"/>
      <c r="I44" s="72">
        <f t="shared" si="5"/>
        <v>81.974668326754269</v>
      </c>
      <c r="J44" s="87">
        <f t="shared" ref="J44:J49" si="22">+J43-I44</f>
        <v>1462.0182096076624</v>
      </c>
    </row>
    <row r="45" spans="1:13" x14ac:dyDescent="0.25">
      <c r="A45" s="97">
        <v>41564</v>
      </c>
      <c r="B45" s="71" t="s">
        <v>256</v>
      </c>
      <c r="C45" s="79"/>
      <c r="D45" s="79">
        <v>200</v>
      </c>
      <c r="E45" s="71">
        <f t="shared" ref="E45" si="23">+E44-D45</f>
        <v>3367</v>
      </c>
      <c r="F45" s="71"/>
      <c r="G45" s="72">
        <f t="shared" ref="G45" si="24">J44/E44</f>
        <v>0.40987334163377132</v>
      </c>
      <c r="H45" s="72"/>
      <c r="I45" s="72">
        <f t="shared" si="5"/>
        <v>81.974668326754269</v>
      </c>
      <c r="J45" s="87">
        <f t="shared" si="22"/>
        <v>1380.0435412809081</v>
      </c>
    </row>
    <row r="46" spans="1:13" x14ac:dyDescent="0.25">
      <c r="A46" s="97">
        <v>41572</v>
      </c>
      <c r="B46" s="71" t="s">
        <v>257</v>
      </c>
      <c r="C46" s="79"/>
      <c r="D46" s="79">
        <v>50</v>
      </c>
      <c r="E46" s="71">
        <f>+E45-D46</f>
        <v>3317</v>
      </c>
      <c r="F46" s="71"/>
      <c r="G46" s="72">
        <f t="shared" ref="G46" si="25">J44/E44</f>
        <v>0.40987334163377132</v>
      </c>
      <c r="H46" s="72"/>
      <c r="I46" s="72">
        <f t="shared" si="5"/>
        <v>20.493667081688567</v>
      </c>
      <c r="J46" s="87">
        <f t="shared" si="22"/>
        <v>1359.5498741992196</v>
      </c>
    </row>
    <row r="47" spans="1:13" x14ac:dyDescent="0.25">
      <c r="A47" s="97">
        <v>41573</v>
      </c>
      <c r="B47" s="71" t="s">
        <v>258</v>
      </c>
      <c r="C47" s="79"/>
      <c r="D47" s="79">
        <v>100</v>
      </c>
      <c r="E47" s="71">
        <f t="shared" ref="E47:E49" si="26">+E46-D47</f>
        <v>3217</v>
      </c>
      <c r="F47" s="71"/>
      <c r="G47" s="72">
        <f t="shared" ref="G47" si="27">J45/E45</f>
        <v>0.40987334163377137</v>
      </c>
      <c r="H47" s="72"/>
      <c r="I47" s="72">
        <f t="shared" si="5"/>
        <v>40.987334163377135</v>
      </c>
      <c r="J47" s="87">
        <f t="shared" si="22"/>
        <v>1318.5625400358424</v>
      </c>
    </row>
    <row r="48" spans="1:13" x14ac:dyDescent="0.25">
      <c r="A48" s="97">
        <v>41576</v>
      </c>
      <c r="B48" s="71" t="s">
        <v>259</v>
      </c>
      <c r="C48" s="79"/>
      <c r="D48" s="79">
        <v>200</v>
      </c>
      <c r="E48" s="71">
        <f t="shared" si="26"/>
        <v>3017</v>
      </c>
      <c r="F48" s="71"/>
      <c r="G48" s="72">
        <f t="shared" ref="G48" si="28">J46/E46</f>
        <v>0.40987334163377137</v>
      </c>
      <c r="H48" s="72"/>
      <c r="I48" s="72">
        <f t="shared" si="5"/>
        <v>81.974668326754269</v>
      </c>
      <c r="J48" s="87">
        <f t="shared" si="22"/>
        <v>1236.5878717090882</v>
      </c>
    </row>
    <row r="49" spans="1:13" x14ac:dyDescent="0.25">
      <c r="A49" s="97">
        <v>41577</v>
      </c>
      <c r="B49" s="71" t="s">
        <v>260</v>
      </c>
      <c r="C49" s="79"/>
      <c r="D49" s="79">
        <v>150</v>
      </c>
      <c r="E49" s="71">
        <f t="shared" si="26"/>
        <v>2867</v>
      </c>
      <c r="F49" s="71"/>
      <c r="G49" s="72">
        <f t="shared" ref="G49" si="29">J47/E47</f>
        <v>0.40987334163377132</v>
      </c>
      <c r="H49" s="72"/>
      <c r="I49" s="72">
        <f t="shared" si="5"/>
        <v>61.481001245065698</v>
      </c>
      <c r="J49" s="87">
        <f t="shared" si="22"/>
        <v>1175.1068704640224</v>
      </c>
      <c r="M49" s="70">
        <f>SUM(I39:I49)</f>
        <v>893.5238847616215</v>
      </c>
    </row>
    <row r="50" spans="1:13" x14ac:dyDescent="0.25">
      <c r="A50" s="97">
        <v>41579</v>
      </c>
      <c r="B50" s="71" t="s">
        <v>265</v>
      </c>
      <c r="C50" s="79">
        <v>2000</v>
      </c>
      <c r="D50" s="79"/>
      <c r="E50" s="79">
        <f>+E49+C50</f>
        <v>4867</v>
      </c>
      <c r="F50" s="72">
        <f>+H50/C50</f>
        <v>0.41542499999999999</v>
      </c>
      <c r="G50" s="98"/>
      <c r="H50" s="98">
        <v>830.85</v>
      </c>
      <c r="I50" s="98"/>
      <c r="J50" s="99">
        <f>+J49+H50</f>
        <v>2005.9568704640224</v>
      </c>
    </row>
    <row r="51" spans="1:13" x14ac:dyDescent="0.25">
      <c r="A51" s="97">
        <v>41582</v>
      </c>
      <c r="B51" s="71" t="s">
        <v>268</v>
      </c>
      <c r="C51" s="79"/>
      <c r="D51" s="79">
        <v>300</v>
      </c>
      <c r="E51" s="79">
        <f>+E50-D51</f>
        <v>4567</v>
      </c>
      <c r="F51" s="98"/>
      <c r="G51" s="98">
        <f>+J50/E50</f>
        <v>0.41215468881529121</v>
      </c>
      <c r="H51" s="98"/>
      <c r="I51" s="72">
        <f>+D51*G51</f>
        <v>123.64640664458736</v>
      </c>
      <c r="J51" s="99">
        <f>+J50-I51</f>
        <v>1882.310463819435</v>
      </c>
    </row>
    <row r="52" spans="1:13" x14ac:dyDescent="0.25">
      <c r="A52" s="97">
        <v>41582</v>
      </c>
      <c r="B52" s="71" t="s">
        <v>269</v>
      </c>
      <c r="C52" s="79"/>
      <c r="D52" s="79">
        <v>150</v>
      </c>
      <c r="E52" s="79">
        <f>+E51-D52</f>
        <v>4417</v>
      </c>
      <c r="F52" s="98"/>
      <c r="G52" s="98">
        <f>+J51/E51</f>
        <v>0.41215468881529121</v>
      </c>
      <c r="H52" s="98"/>
      <c r="I52" s="72">
        <f t="shared" ref="I52:I63" si="30">+D52*G52</f>
        <v>61.823203322293679</v>
      </c>
      <c r="J52" s="99">
        <f t="shared" ref="J52:J61" si="31">+J51-I52</f>
        <v>1820.4872604971413</v>
      </c>
    </row>
    <row r="53" spans="1:13" x14ac:dyDescent="0.25">
      <c r="A53" s="97">
        <v>41584</v>
      </c>
      <c r="B53" s="71" t="s">
        <v>270</v>
      </c>
      <c r="C53" s="79"/>
      <c r="D53" s="79">
        <v>750</v>
      </c>
      <c r="E53" s="79">
        <f>+E52-D53</f>
        <v>3667</v>
      </c>
      <c r="F53" s="98"/>
      <c r="G53" s="98">
        <f t="shared" ref="G53:G61" si="32">+J52/E52</f>
        <v>0.41215468881529121</v>
      </c>
      <c r="H53" s="98"/>
      <c r="I53" s="72">
        <f t="shared" si="30"/>
        <v>309.11601661146841</v>
      </c>
      <c r="J53" s="99">
        <f t="shared" si="31"/>
        <v>1511.3712438856728</v>
      </c>
    </row>
    <row r="54" spans="1:13" x14ac:dyDescent="0.25">
      <c r="A54" s="97">
        <v>41585</v>
      </c>
      <c r="B54" s="71" t="s">
        <v>271</v>
      </c>
      <c r="C54" s="79"/>
      <c r="D54" s="79">
        <v>150</v>
      </c>
      <c r="E54" s="79">
        <f>+E53-D54</f>
        <v>3517</v>
      </c>
      <c r="F54" s="98"/>
      <c r="G54" s="98">
        <f t="shared" si="32"/>
        <v>0.41215468881529121</v>
      </c>
      <c r="H54" s="98"/>
      <c r="I54" s="72">
        <f t="shared" si="30"/>
        <v>61.823203322293679</v>
      </c>
      <c r="J54" s="99">
        <f t="shared" si="31"/>
        <v>1449.5480405633791</v>
      </c>
    </row>
    <row r="55" spans="1:13" x14ac:dyDescent="0.25">
      <c r="A55" s="97">
        <v>41591</v>
      </c>
      <c r="B55" s="71" t="s">
        <v>274</v>
      </c>
      <c r="C55" s="79"/>
      <c r="D55" s="79">
        <v>150</v>
      </c>
      <c r="E55" s="79">
        <f t="shared" ref="E55:E61" si="33">+E54-D55</f>
        <v>3367</v>
      </c>
      <c r="F55" s="98"/>
      <c r="G55" s="98">
        <f t="shared" si="32"/>
        <v>0.41215468881529121</v>
      </c>
      <c r="H55" s="98"/>
      <c r="I55" s="72">
        <f t="shared" si="30"/>
        <v>61.823203322293679</v>
      </c>
      <c r="J55" s="99">
        <f t="shared" si="31"/>
        <v>1387.7248372410854</v>
      </c>
    </row>
    <row r="56" spans="1:13" x14ac:dyDescent="0.25">
      <c r="A56" s="97">
        <v>41597</v>
      </c>
      <c r="B56" s="71" t="s">
        <v>277</v>
      </c>
      <c r="C56" s="79"/>
      <c r="D56" s="79">
        <v>100</v>
      </c>
      <c r="E56" s="79">
        <f t="shared" si="33"/>
        <v>3267</v>
      </c>
      <c r="F56" s="98"/>
      <c r="G56" s="98">
        <f t="shared" si="32"/>
        <v>0.41215468881529116</v>
      </c>
      <c r="H56" s="98"/>
      <c r="I56" s="72">
        <f t="shared" si="30"/>
        <v>41.215468881529119</v>
      </c>
      <c r="J56" s="99">
        <f t="shared" si="31"/>
        <v>1346.5093683595562</v>
      </c>
    </row>
    <row r="57" spans="1:13" x14ac:dyDescent="0.25">
      <c r="A57" s="97">
        <v>41598</v>
      </c>
      <c r="B57" s="71" t="s">
        <v>280</v>
      </c>
      <c r="C57" s="79"/>
      <c r="D57" s="79">
        <v>1000</v>
      </c>
      <c r="E57" s="79">
        <f t="shared" si="33"/>
        <v>2267</v>
      </c>
      <c r="F57" s="98"/>
      <c r="G57" s="98">
        <f t="shared" si="32"/>
        <v>0.41215468881529116</v>
      </c>
      <c r="H57" s="98"/>
      <c r="I57" s="72">
        <f t="shared" si="30"/>
        <v>412.15468881529114</v>
      </c>
      <c r="J57" s="99">
        <f t="shared" si="31"/>
        <v>934.35467954426508</v>
      </c>
    </row>
    <row r="58" spans="1:13" x14ac:dyDescent="0.25">
      <c r="A58" s="97">
        <v>41599</v>
      </c>
      <c r="B58" s="71" t="s">
        <v>282</v>
      </c>
      <c r="C58" s="79"/>
      <c r="D58" s="79">
        <v>30</v>
      </c>
      <c r="E58" s="79">
        <f t="shared" si="33"/>
        <v>2237</v>
      </c>
      <c r="F58" s="98"/>
      <c r="G58" s="98">
        <f t="shared" si="32"/>
        <v>0.41215468881529116</v>
      </c>
      <c r="H58" s="98"/>
      <c r="I58" s="72">
        <f t="shared" si="30"/>
        <v>12.364640664458735</v>
      </c>
      <c r="J58" s="99">
        <f t="shared" si="31"/>
        <v>921.99003887980632</v>
      </c>
    </row>
    <row r="59" spans="1:13" x14ac:dyDescent="0.25">
      <c r="A59" s="97">
        <v>41601</v>
      </c>
      <c r="B59" s="71" t="s">
        <v>284</v>
      </c>
      <c r="C59" s="79"/>
      <c r="D59" s="79">
        <v>1500</v>
      </c>
      <c r="E59" s="79">
        <f t="shared" si="33"/>
        <v>737</v>
      </c>
      <c r="F59" s="98"/>
      <c r="G59" s="98">
        <f t="shared" si="32"/>
        <v>0.41215468881529116</v>
      </c>
      <c r="H59" s="98"/>
      <c r="I59" s="72">
        <f t="shared" si="30"/>
        <v>618.23203322293671</v>
      </c>
      <c r="J59" s="99">
        <f t="shared" si="31"/>
        <v>303.75800565686961</v>
      </c>
      <c r="M59" s="70">
        <f>SUM(I51:I60)</f>
        <v>1702.1988648071524</v>
      </c>
    </row>
    <row r="60" spans="1:13" x14ac:dyDescent="0.25">
      <c r="A60" s="97">
        <v>41615</v>
      </c>
      <c r="B60" s="71" t="s">
        <v>305</v>
      </c>
      <c r="C60" s="79"/>
      <c r="D60" s="79">
        <v>0</v>
      </c>
      <c r="E60" s="79">
        <f t="shared" si="33"/>
        <v>737</v>
      </c>
      <c r="F60" s="98"/>
      <c r="G60" s="98">
        <f t="shared" si="32"/>
        <v>0.41215468881529121</v>
      </c>
      <c r="H60" s="98"/>
      <c r="I60" s="72">
        <f t="shared" ref="I60:I61" si="34">+D60*G60</f>
        <v>0</v>
      </c>
      <c r="J60" s="99">
        <f t="shared" si="31"/>
        <v>303.75800565686961</v>
      </c>
    </row>
    <row r="61" spans="1:13" x14ac:dyDescent="0.25">
      <c r="A61" s="97">
        <v>41615</v>
      </c>
      <c r="B61" s="71" t="s">
        <v>291</v>
      </c>
      <c r="C61" s="79"/>
      <c r="D61" s="79">
        <v>572</v>
      </c>
      <c r="E61" s="79">
        <f t="shared" si="33"/>
        <v>165</v>
      </c>
      <c r="F61" s="98"/>
      <c r="G61" s="98">
        <f t="shared" si="32"/>
        <v>0.41215468881529121</v>
      </c>
      <c r="H61" s="98"/>
      <c r="I61" s="72">
        <f t="shared" si="34"/>
        <v>235.75248200234657</v>
      </c>
      <c r="J61" s="99">
        <f t="shared" si="31"/>
        <v>68.005523654523046</v>
      </c>
    </row>
    <row r="62" spans="1:13" x14ac:dyDescent="0.25">
      <c r="A62" s="97">
        <v>41619</v>
      </c>
      <c r="B62" s="71" t="s">
        <v>308</v>
      </c>
      <c r="C62" s="79">
        <v>2000</v>
      </c>
      <c r="D62" s="79"/>
      <c r="E62" s="79">
        <f>E61+C62</f>
        <v>2165</v>
      </c>
      <c r="F62" s="72">
        <f>+H62/C62</f>
        <v>0.41760000000000003</v>
      </c>
      <c r="G62" s="98">
        <f t="shared" ref="G62:G63" si="35">+J61/E61</f>
        <v>0.41215468881529116</v>
      </c>
      <c r="H62" s="98">
        <v>835.2</v>
      </c>
      <c r="I62" s="72"/>
      <c r="J62" s="99">
        <f>J61+H62</f>
        <v>903.20552365452306</v>
      </c>
    </row>
    <row r="63" spans="1:13" x14ac:dyDescent="0.25">
      <c r="A63" s="97">
        <v>41619</v>
      </c>
      <c r="B63" s="71" t="s">
        <v>309</v>
      </c>
      <c r="C63" s="79"/>
      <c r="D63" s="79">
        <v>2000</v>
      </c>
      <c r="E63" s="79">
        <f>E62-D63</f>
        <v>165</v>
      </c>
      <c r="F63" s="98"/>
      <c r="G63" s="98">
        <f t="shared" si="35"/>
        <v>0.41718499937853259</v>
      </c>
      <c r="H63" s="98"/>
      <c r="I63" s="72">
        <f t="shared" si="30"/>
        <v>834.36999875706522</v>
      </c>
      <c r="J63" s="99">
        <f>J62-I63</f>
        <v>68.835524897457844</v>
      </c>
    </row>
    <row r="64" spans="1:13" x14ac:dyDescent="0.25">
      <c r="A64" s="97">
        <v>41624</v>
      </c>
      <c r="B64" s="71" t="s">
        <v>337</v>
      </c>
      <c r="C64" s="79">
        <v>2000</v>
      </c>
      <c r="D64" s="79"/>
      <c r="E64" s="79">
        <f>E63+C64</f>
        <v>2165</v>
      </c>
      <c r="F64" s="72">
        <f>+H64/C64</f>
        <v>0.41760000000000003</v>
      </c>
      <c r="G64" s="98"/>
      <c r="H64" s="98">
        <v>835.2</v>
      </c>
      <c r="I64" s="72"/>
      <c r="J64" s="99">
        <f>J63+H64</f>
        <v>904.03552489745789</v>
      </c>
    </row>
    <row r="65" spans="1:13" x14ac:dyDescent="0.25">
      <c r="A65" s="97">
        <v>41627</v>
      </c>
      <c r="B65" s="71" t="s">
        <v>339</v>
      </c>
      <c r="C65" s="79"/>
      <c r="D65" s="79">
        <v>600</v>
      </c>
      <c r="E65" s="79">
        <f>E64-D65</f>
        <v>1565</v>
      </c>
      <c r="F65" s="98"/>
      <c r="G65" s="98">
        <f>+G63</f>
        <v>0.41718499937853259</v>
      </c>
      <c r="H65" s="98"/>
      <c r="I65" s="98">
        <f>D65*G65</f>
        <v>250.31099962711954</v>
      </c>
      <c r="J65" s="99">
        <f>J64-I65</f>
        <v>653.72452527033829</v>
      </c>
    </row>
    <row r="66" spans="1:13" x14ac:dyDescent="0.25">
      <c r="A66" s="97">
        <v>41627</v>
      </c>
      <c r="B66" s="71" t="s">
        <v>340</v>
      </c>
      <c r="C66" s="79"/>
      <c r="D66" s="79">
        <v>300</v>
      </c>
      <c r="E66" s="79">
        <f>E65-D66</f>
        <v>1265</v>
      </c>
      <c r="F66" s="98"/>
      <c r="G66" s="98">
        <f>J65/E65</f>
        <v>0.41771535161043982</v>
      </c>
      <c r="H66" s="98"/>
      <c r="I66" s="98">
        <f t="shared" ref="I66:I67" si="36">D66*G66</f>
        <v>125.31460548313194</v>
      </c>
      <c r="J66" s="99">
        <f t="shared" ref="J66:J67" si="37">J65-I66</f>
        <v>528.40991978720638</v>
      </c>
    </row>
    <row r="67" spans="1:13" x14ac:dyDescent="0.25">
      <c r="A67" s="97">
        <v>41629</v>
      </c>
      <c r="B67" s="71" t="s">
        <v>343</v>
      </c>
      <c r="C67" s="79"/>
      <c r="D67" s="79">
        <v>300</v>
      </c>
      <c r="E67" s="79">
        <f t="shared" ref="E67" si="38">E66-D67</f>
        <v>965</v>
      </c>
      <c r="F67" s="98"/>
      <c r="G67" s="98">
        <f t="shared" ref="G67" si="39">J66/E66</f>
        <v>0.41771535161043982</v>
      </c>
      <c r="H67" s="98"/>
      <c r="I67" s="98">
        <f t="shared" si="36"/>
        <v>125.31460548313194</v>
      </c>
      <c r="J67" s="99">
        <f t="shared" si="37"/>
        <v>403.09531430407446</v>
      </c>
      <c r="M67" s="70">
        <f>SUM(I61:I67)</f>
        <v>1571.0626913527954</v>
      </c>
    </row>
    <row r="68" spans="1:13" x14ac:dyDescent="0.25">
      <c r="A68" s="97"/>
      <c r="B68" s="79"/>
      <c r="C68" s="79"/>
      <c r="D68" s="79"/>
      <c r="E68" s="79"/>
      <c r="F68" s="79"/>
      <c r="G68" s="98"/>
      <c r="H68" s="98"/>
      <c r="I68" s="98"/>
      <c r="J68" s="99"/>
      <c r="M68" s="83"/>
    </row>
    <row r="69" spans="1:13" ht="15.75" thickBot="1" x14ac:dyDescent="0.3">
      <c r="A69" s="89"/>
      <c r="B69" s="90" t="s">
        <v>351</v>
      </c>
      <c r="C69" s="90">
        <f>SUM(C11:C68)</f>
        <v>18000</v>
      </c>
      <c r="D69" s="90">
        <f>SUM(D11:D68)</f>
        <v>17035</v>
      </c>
      <c r="E69" s="90">
        <f>+C69-D69</f>
        <v>965</v>
      </c>
      <c r="F69" s="90"/>
      <c r="G69" s="90"/>
      <c r="H69" s="90">
        <f>SUM(H11:H68)</f>
        <v>7427.55</v>
      </c>
      <c r="I69" s="91">
        <f>SUM(I11:I68)</f>
        <v>7024.454685695925</v>
      </c>
      <c r="J69" s="126">
        <f>+H69-I69</f>
        <v>403.09531430407515</v>
      </c>
      <c r="M69" s="70">
        <f>SUM(M11:M68)</f>
        <v>7024.4546856959259</v>
      </c>
    </row>
    <row r="70" spans="1:13" x14ac:dyDescent="0.25">
      <c r="A70" s="7"/>
      <c r="B70" s="7"/>
      <c r="C70" s="7"/>
      <c r="D70" s="7"/>
      <c r="E70" s="92"/>
      <c r="F70" s="7"/>
      <c r="G70" s="92"/>
      <c r="H70" s="92"/>
      <c r="I70" s="92"/>
      <c r="J70" s="92"/>
    </row>
    <row r="71" spans="1:13" x14ac:dyDescent="0.25">
      <c r="A71" s="7"/>
      <c r="B71" s="7"/>
      <c r="C71" s="7"/>
      <c r="D71" s="7"/>
      <c r="E71" s="92"/>
      <c r="F71" s="7"/>
      <c r="G71" s="92"/>
      <c r="H71" s="92"/>
      <c r="I71" s="92"/>
      <c r="J71" s="92"/>
    </row>
    <row r="73" spans="1:13" x14ac:dyDescent="0.25">
      <c r="H73" s="70"/>
    </row>
    <row r="75" spans="1:13" x14ac:dyDescent="0.25">
      <c r="H75" s="70"/>
    </row>
  </sheetData>
  <mergeCells count="4">
    <mergeCell ref="C9:E9"/>
    <mergeCell ref="F9:G9"/>
    <mergeCell ref="H9:J9"/>
    <mergeCell ref="D5:G5"/>
  </mergeCells>
  <pageMargins left="1.34" right="0.70866141732283472" top="0.74803149606299213" bottom="0.74803149606299213" header="0.31496062992125984" footer="0.31496062992125984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selection activeCell="C1" sqref="C1:L1048576"/>
    </sheetView>
  </sheetViews>
  <sheetFormatPr baseColWidth="10" defaultRowHeight="15" x14ac:dyDescent="0.25"/>
  <cols>
    <col min="2" max="2" width="30.7109375" customWidth="1"/>
    <col min="3" max="12" width="11.42578125" customWidth="1"/>
  </cols>
  <sheetData>
    <row r="1" spans="1:13" x14ac:dyDescent="0.25">
      <c r="A1" s="76"/>
      <c r="B1" s="3"/>
      <c r="C1" s="3"/>
      <c r="D1" s="3"/>
      <c r="E1" s="3"/>
      <c r="F1" s="3"/>
      <c r="G1" s="3"/>
      <c r="H1" s="38" t="s">
        <v>16</v>
      </c>
      <c r="I1" s="37"/>
      <c r="J1" s="37"/>
    </row>
    <row r="2" spans="1:13" x14ac:dyDescent="0.25">
      <c r="A2" s="5" t="s">
        <v>24</v>
      </c>
      <c r="B2" s="6"/>
      <c r="C2" s="7"/>
      <c r="D2" s="7"/>
      <c r="E2" s="7"/>
      <c r="F2" s="7"/>
      <c r="G2" s="7"/>
      <c r="H2" s="36" t="s">
        <v>360</v>
      </c>
      <c r="I2" s="40"/>
      <c r="J2" s="40"/>
    </row>
    <row r="3" spans="1:13" x14ac:dyDescent="0.25">
      <c r="A3" s="5" t="s">
        <v>17</v>
      </c>
      <c r="B3" s="6"/>
      <c r="C3" s="7"/>
      <c r="D3" s="7"/>
      <c r="E3" s="7"/>
      <c r="F3" s="7"/>
      <c r="G3" s="7"/>
      <c r="H3" s="36" t="s">
        <v>359</v>
      </c>
      <c r="I3" s="40"/>
      <c r="J3" s="40"/>
    </row>
    <row r="4" spans="1:13" x14ac:dyDescent="0.25">
      <c r="A4" s="9" t="s">
        <v>15</v>
      </c>
      <c r="B4" s="10"/>
      <c r="C4" s="7"/>
      <c r="D4" s="7"/>
      <c r="E4" s="7"/>
      <c r="F4" s="7"/>
      <c r="G4" s="7"/>
      <c r="H4" s="7"/>
      <c r="I4" s="7"/>
      <c r="J4" s="77"/>
    </row>
    <row r="5" spans="1:13" ht="18" x14ac:dyDescent="0.25">
      <c r="A5" s="11"/>
      <c r="B5" s="7"/>
      <c r="C5" s="7"/>
      <c r="D5" s="131" t="s">
        <v>19</v>
      </c>
      <c r="E5" s="131"/>
      <c r="F5" s="131"/>
      <c r="G5" s="131"/>
      <c r="H5" s="131"/>
      <c r="I5" s="7"/>
      <c r="J5" s="77"/>
    </row>
    <row r="6" spans="1:13" x14ac:dyDescent="0.25">
      <c r="A6" s="11"/>
      <c r="B6" s="12"/>
      <c r="C6" s="7"/>
      <c r="D6" s="8" t="s">
        <v>23</v>
      </c>
      <c r="E6" s="12"/>
      <c r="F6" s="12"/>
      <c r="G6" s="7"/>
      <c r="H6" s="7"/>
      <c r="I6" s="7"/>
      <c r="J6" s="77"/>
    </row>
    <row r="7" spans="1:13" x14ac:dyDescent="0.25">
      <c r="A7" s="11"/>
      <c r="B7" s="12"/>
      <c r="C7" s="7"/>
      <c r="D7" s="7" t="s">
        <v>367</v>
      </c>
      <c r="E7" s="12"/>
      <c r="F7" s="12"/>
      <c r="G7" s="7"/>
      <c r="H7" s="7"/>
      <c r="I7" s="7"/>
      <c r="J7" s="77"/>
    </row>
    <row r="8" spans="1:13" x14ac:dyDescent="0.25">
      <c r="A8" s="11"/>
      <c r="B8" s="7"/>
      <c r="C8" s="7"/>
      <c r="D8" s="7"/>
      <c r="E8" s="7"/>
      <c r="F8" s="7"/>
      <c r="G8" s="7"/>
      <c r="H8" s="7"/>
      <c r="I8" s="7"/>
      <c r="J8" s="77"/>
    </row>
    <row r="9" spans="1:13" x14ac:dyDescent="0.25">
      <c r="A9" s="11"/>
      <c r="B9" s="7"/>
      <c r="C9" s="7"/>
      <c r="D9" s="7"/>
      <c r="E9" s="7"/>
      <c r="F9" s="7"/>
      <c r="G9" s="7"/>
      <c r="H9" s="7"/>
      <c r="I9" s="7"/>
      <c r="J9" s="77"/>
    </row>
    <row r="10" spans="1:13" x14ac:dyDescent="0.25">
      <c r="A10" s="78" t="s">
        <v>0</v>
      </c>
      <c r="B10" s="79" t="s">
        <v>1</v>
      </c>
      <c r="C10" s="143" t="s">
        <v>2</v>
      </c>
      <c r="D10" s="144"/>
      <c r="E10" s="145"/>
      <c r="F10" s="147" t="s">
        <v>3</v>
      </c>
      <c r="G10" s="148"/>
      <c r="H10" s="143" t="s">
        <v>4</v>
      </c>
      <c r="I10" s="144"/>
      <c r="J10" s="146"/>
      <c r="M10" s="110" t="s">
        <v>707</v>
      </c>
    </row>
    <row r="11" spans="1:13" x14ac:dyDescent="0.25">
      <c r="A11" s="80"/>
      <c r="B11" s="81"/>
      <c r="C11" s="82" t="s">
        <v>187</v>
      </c>
      <c r="D11" s="83" t="s">
        <v>7</v>
      </c>
      <c r="E11" s="84" t="s">
        <v>14</v>
      </c>
      <c r="F11" s="83" t="s">
        <v>12</v>
      </c>
      <c r="G11" s="83" t="s">
        <v>13</v>
      </c>
      <c r="H11" s="82" t="s">
        <v>8</v>
      </c>
      <c r="I11" s="83" t="s">
        <v>9</v>
      </c>
      <c r="J11" s="85" t="s">
        <v>14</v>
      </c>
    </row>
    <row r="12" spans="1:13" x14ac:dyDescent="0.25">
      <c r="A12" s="86">
        <v>41275</v>
      </c>
      <c r="B12" s="71" t="s">
        <v>190</v>
      </c>
      <c r="C12" s="71">
        <v>3950</v>
      </c>
      <c r="D12" s="71"/>
      <c r="E12" s="71">
        <v>3950</v>
      </c>
      <c r="F12" s="72">
        <v>0.48</v>
      </c>
      <c r="G12" s="7"/>
      <c r="H12" s="72">
        <v>1910.07</v>
      </c>
      <c r="I12" s="72"/>
      <c r="J12" s="87">
        <v>1910.07</v>
      </c>
    </row>
    <row r="13" spans="1:13" x14ac:dyDescent="0.25">
      <c r="A13" s="86">
        <v>41325</v>
      </c>
      <c r="B13" s="71" t="s">
        <v>212</v>
      </c>
      <c r="C13" s="71"/>
      <c r="D13" s="71">
        <v>150</v>
      </c>
      <c r="E13" s="71">
        <f t="shared" ref="E13:E19" si="0">E12-D13</f>
        <v>3800</v>
      </c>
      <c r="F13" s="71"/>
      <c r="G13" s="72">
        <f t="shared" ref="G13:G21" si="1">J12/E12</f>
        <v>0.4835620253164557</v>
      </c>
      <c r="H13" s="7"/>
      <c r="I13" s="72">
        <f>D13*G13</f>
        <v>72.534303797468354</v>
      </c>
      <c r="J13" s="87">
        <f t="shared" ref="J13:J19" si="2">J12-I13</f>
        <v>1837.5356962025317</v>
      </c>
      <c r="K13" s="120"/>
    </row>
    <row r="14" spans="1:13" x14ac:dyDescent="0.25">
      <c r="A14" s="93">
        <v>41332</v>
      </c>
      <c r="B14" s="71" t="s">
        <v>213</v>
      </c>
      <c r="C14" s="71"/>
      <c r="D14" s="71">
        <v>200</v>
      </c>
      <c r="E14" s="71">
        <f t="shared" si="0"/>
        <v>3600</v>
      </c>
      <c r="F14" s="71"/>
      <c r="G14" s="72">
        <f t="shared" si="1"/>
        <v>0.4835620253164557</v>
      </c>
      <c r="H14" s="7"/>
      <c r="I14" s="72">
        <f t="shared" ref="I14:I19" si="3">D14*G14</f>
        <v>96.712405063291143</v>
      </c>
      <c r="J14" s="87">
        <f t="shared" si="2"/>
        <v>1740.8232911392406</v>
      </c>
      <c r="K14" s="70"/>
      <c r="M14" s="70">
        <f>SUM(I13:I14)</f>
        <v>169.2467088607595</v>
      </c>
    </row>
    <row r="15" spans="1:13" x14ac:dyDescent="0.25">
      <c r="A15" s="86">
        <v>41335</v>
      </c>
      <c r="B15" s="71" t="s">
        <v>215</v>
      </c>
      <c r="C15" s="71"/>
      <c r="D15" s="71">
        <v>135</v>
      </c>
      <c r="E15" s="71">
        <f t="shared" si="0"/>
        <v>3465</v>
      </c>
      <c r="F15" s="71"/>
      <c r="G15" s="72">
        <f t="shared" si="1"/>
        <v>0.4835620253164557</v>
      </c>
      <c r="H15" s="72"/>
      <c r="I15" s="72">
        <f t="shared" si="3"/>
        <v>65.280873417721523</v>
      </c>
      <c r="J15" s="87">
        <f t="shared" si="2"/>
        <v>1675.5424177215191</v>
      </c>
      <c r="K15" s="70"/>
    </row>
    <row r="16" spans="1:13" x14ac:dyDescent="0.25">
      <c r="A16" s="86">
        <v>41340</v>
      </c>
      <c r="B16" s="71" t="s">
        <v>217</v>
      </c>
      <c r="C16" s="71"/>
      <c r="D16" s="71">
        <v>200</v>
      </c>
      <c r="E16" s="71">
        <f t="shared" si="0"/>
        <v>3265</v>
      </c>
      <c r="F16" s="71"/>
      <c r="G16" s="72">
        <f t="shared" si="1"/>
        <v>0.4835620253164557</v>
      </c>
      <c r="H16" s="72"/>
      <c r="I16" s="72">
        <f t="shared" si="3"/>
        <v>96.712405063291143</v>
      </c>
      <c r="J16" s="87">
        <f t="shared" si="2"/>
        <v>1578.830012658228</v>
      </c>
      <c r="K16" s="70"/>
    </row>
    <row r="17" spans="1:13" x14ac:dyDescent="0.25">
      <c r="A17" s="86">
        <v>41341</v>
      </c>
      <c r="B17" s="71" t="s">
        <v>219</v>
      </c>
      <c r="C17" s="71"/>
      <c r="D17" s="71">
        <v>100</v>
      </c>
      <c r="E17" s="71">
        <f t="shared" si="0"/>
        <v>3165</v>
      </c>
      <c r="F17" s="71"/>
      <c r="G17" s="72">
        <f t="shared" si="1"/>
        <v>0.48356202531645576</v>
      </c>
      <c r="H17" s="72"/>
      <c r="I17" s="72">
        <f t="shared" si="3"/>
        <v>48.356202531645579</v>
      </c>
      <c r="J17" s="87">
        <f t="shared" si="2"/>
        <v>1530.4738101265825</v>
      </c>
      <c r="M17" s="70">
        <f>SUM(I15:I17)</f>
        <v>210.34948101265826</v>
      </c>
    </row>
    <row r="18" spans="1:13" x14ac:dyDescent="0.25">
      <c r="A18" s="86">
        <v>41389</v>
      </c>
      <c r="B18" s="71" t="s">
        <v>220</v>
      </c>
      <c r="C18" s="71"/>
      <c r="D18" s="71">
        <v>650</v>
      </c>
      <c r="E18" s="71">
        <f t="shared" si="0"/>
        <v>2515</v>
      </c>
      <c r="F18" s="71"/>
      <c r="G18" s="72">
        <f t="shared" si="1"/>
        <v>0.48356202531645576</v>
      </c>
      <c r="H18" s="72"/>
      <c r="I18" s="72">
        <f t="shared" si="3"/>
        <v>314.31531645569623</v>
      </c>
      <c r="J18" s="87">
        <f t="shared" si="2"/>
        <v>1216.1584936708864</v>
      </c>
    </row>
    <row r="19" spans="1:13" x14ac:dyDescent="0.25">
      <c r="A19" s="86">
        <v>41389</v>
      </c>
      <c r="B19" s="71" t="s">
        <v>221</v>
      </c>
      <c r="C19" s="71"/>
      <c r="D19" s="71">
        <v>30</v>
      </c>
      <c r="E19" s="71">
        <f t="shared" si="0"/>
        <v>2485</v>
      </c>
      <c r="F19" s="71"/>
      <c r="G19" s="72">
        <f t="shared" si="1"/>
        <v>0.48356202531645581</v>
      </c>
      <c r="H19" s="72"/>
      <c r="I19" s="72">
        <f t="shared" si="3"/>
        <v>14.506860759493675</v>
      </c>
      <c r="J19" s="87">
        <f t="shared" si="2"/>
        <v>1201.6516329113927</v>
      </c>
      <c r="M19" s="70">
        <f>SUM(I18:I19)</f>
        <v>328.82217721518992</v>
      </c>
    </row>
    <row r="20" spans="1:13" x14ac:dyDescent="0.25">
      <c r="A20" s="86">
        <v>41436</v>
      </c>
      <c r="B20" s="71" t="s">
        <v>228</v>
      </c>
      <c r="C20" s="71"/>
      <c r="D20" s="71">
        <v>25</v>
      </c>
      <c r="E20" s="71">
        <f t="shared" ref="E20:E26" si="4">+E19-D20</f>
        <v>2460</v>
      </c>
      <c r="F20" s="71"/>
      <c r="G20" s="72">
        <f t="shared" si="1"/>
        <v>0.48356202531645581</v>
      </c>
      <c r="H20" s="72"/>
      <c r="I20" s="72">
        <f t="shared" ref="I20" si="5">D20*G20</f>
        <v>12.089050632911395</v>
      </c>
      <c r="J20" s="87">
        <f t="shared" ref="J20" si="6">J19-I20</f>
        <v>1189.5625822784812</v>
      </c>
    </row>
    <row r="21" spans="1:13" x14ac:dyDescent="0.25">
      <c r="A21" s="86">
        <v>41445</v>
      </c>
      <c r="B21" s="71" t="s">
        <v>229</v>
      </c>
      <c r="C21" s="71"/>
      <c r="D21" s="71">
        <v>450</v>
      </c>
      <c r="E21" s="71">
        <f t="shared" si="4"/>
        <v>2010</v>
      </c>
      <c r="F21" s="71"/>
      <c r="G21" s="72">
        <f t="shared" si="1"/>
        <v>0.48356202531645576</v>
      </c>
      <c r="H21" s="72"/>
      <c r="I21" s="72">
        <f t="shared" ref="I21" si="7">D21*G21</f>
        <v>217.6029113924051</v>
      </c>
      <c r="J21" s="87">
        <f t="shared" ref="J21" si="8">J20-I21</f>
        <v>971.95967088607608</v>
      </c>
    </row>
    <row r="22" spans="1:13" x14ac:dyDescent="0.25">
      <c r="A22" s="86">
        <v>41451</v>
      </c>
      <c r="B22" s="71" t="s">
        <v>230</v>
      </c>
      <c r="C22" s="71"/>
      <c r="D22" s="71">
        <v>100</v>
      </c>
      <c r="E22" s="71">
        <f t="shared" si="4"/>
        <v>1910</v>
      </c>
      <c r="F22" s="71"/>
      <c r="G22" s="72">
        <f t="shared" ref="G22" si="9">J21/E21</f>
        <v>0.48356202531645576</v>
      </c>
      <c r="H22" s="72"/>
      <c r="I22" s="72">
        <f t="shared" ref="I22" si="10">D22*G22</f>
        <v>48.356202531645579</v>
      </c>
      <c r="J22" s="87">
        <f t="shared" ref="J22" si="11">J21-I22</f>
        <v>923.60346835443056</v>
      </c>
      <c r="M22" s="70">
        <f>SUM(I20:I22)</f>
        <v>278.04816455696209</v>
      </c>
    </row>
    <row r="23" spans="1:13" x14ac:dyDescent="0.25">
      <c r="A23" s="86">
        <v>41457</v>
      </c>
      <c r="B23" s="71" t="s">
        <v>193</v>
      </c>
      <c r="C23" s="71"/>
      <c r="D23" s="71">
        <v>700</v>
      </c>
      <c r="E23" s="71">
        <f t="shared" si="4"/>
        <v>1210</v>
      </c>
      <c r="F23" s="71"/>
      <c r="G23" s="72">
        <f t="shared" ref="G23" si="12">J22/E22</f>
        <v>0.48356202531645581</v>
      </c>
      <c r="H23" s="72"/>
      <c r="I23" s="72">
        <f t="shared" ref="I23" si="13">D23*G23</f>
        <v>338.49341772151905</v>
      </c>
      <c r="J23" s="87">
        <f t="shared" ref="J23" si="14">J22-I23</f>
        <v>585.11005063291145</v>
      </c>
    </row>
    <row r="24" spans="1:13" x14ac:dyDescent="0.25">
      <c r="A24" s="86">
        <v>41478</v>
      </c>
      <c r="B24" s="71" t="s">
        <v>195</v>
      </c>
      <c r="C24" s="71"/>
      <c r="D24" s="71">
        <v>100</v>
      </c>
      <c r="E24" s="71">
        <f t="shared" si="4"/>
        <v>1110</v>
      </c>
      <c r="F24" s="71"/>
      <c r="G24" s="72">
        <f t="shared" ref="G24" si="15">J23/E23</f>
        <v>0.48356202531645576</v>
      </c>
      <c r="H24" s="72"/>
      <c r="I24" s="72">
        <f t="shared" ref="I24" si="16">D24*G24</f>
        <v>48.356202531645579</v>
      </c>
      <c r="J24" s="87">
        <f t="shared" ref="J24" si="17">J23-I24</f>
        <v>536.75384810126593</v>
      </c>
    </row>
    <row r="25" spans="1:13" x14ac:dyDescent="0.25">
      <c r="A25" s="86">
        <v>41482</v>
      </c>
      <c r="B25" s="71" t="s">
        <v>197</v>
      </c>
      <c r="C25" s="71"/>
      <c r="D25" s="71">
        <v>75</v>
      </c>
      <c r="E25" s="71">
        <f t="shared" si="4"/>
        <v>1035</v>
      </c>
      <c r="F25" s="71"/>
      <c r="G25" s="72">
        <f t="shared" ref="G25" si="18">J24/E24</f>
        <v>0.48356202531645581</v>
      </c>
      <c r="H25" s="72"/>
      <c r="I25" s="72">
        <f t="shared" ref="I25" si="19">D25*G25</f>
        <v>36.267151898734184</v>
      </c>
      <c r="J25" s="87">
        <f t="shared" ref="J25" si="20">J24-I25</f>
        <v>500.48669620253173</v>
      </c>
    </row>
    <row r="26" spans="1:13" x14ac:dyDescent="0.25">
      <c r="A26" s="86">
        <v>41482</v>
      </c>
      <c r="B26" s="71" t="s">
        <v>198</v>
      </c>
      <c r="C26" s="71"/>
      <c r="D26" s="71">
        <v>850</v>
      </c>
      <c r="E26" s="71">
        <f t="shared" si="4"/>
        <v>185</v>
      </c>
      <c r="F26" s="71"/>
      <c r="G26" s="72">
        <f t="shared" ref="G26:G28" si="21">J25/E25</f>
        <v>0.48356202531645576</v>
      </c>
      <c r="H26" s="72"/>
      <c r="I26" s="72">
        <f t="shared" ref="I26" si="22">D26*G26</f>
        <v>411.02772151898739</v>
      </c>
      <c r="J26" s="87">
        <f t="shared" ref="J26" si="23">J25-I26</f>
        <v>89.458974683544341</v>
      </c>
    </row>
    <row r="27" spans="1:13" x14ac:dyDescent="0.25">
      <c r="A27" s="86">
        <v>41485</v>
      </c>
      <c r="B27" s="71" t="s">
        <v>240</v>
      </c>
      <c r="C27" s="71">
        <v>1000</v>
      </c>
      <c r="D27" s="71"/>
      <c r="E27" s="71">
        <f>+E26+C27</f>
        <v>1185</v>
      </c>
      <c r="F27" s="72">
        <f>+H27/C27</f>
        <v>0.48632999999999998</v>
      </c>
      <c r="G27" s="72"/>
      <c r="H27" s="72">
        <v>486.33</v>
      </c>
      <c r="I27" s="72"/>
      <c r="J27" s="87">
        <f>+J26+H27</f>
        <v>575.78897468354432</v>
      </c>
      <c r="M27" s="70">
        <f>SUM(I23:I26)</f>
        <v>834.14449367088628</v>
      </c>
    </row>
    <row r="28" spans="1:13" x14ac:dyDescent="0.25">
      <c r="A28" s="86">
        <v>41501</v>
      </c>
      <c r="B28" s="71" t="s">
        <v>233</v>
      </c>
      <c r="C28" s="71"/>
      <c r="D28" s="71">
        <v>800</v>
      </c>
      <c r="E28" s="71">
        <f>+E27-D28</f>
        <v>385</v>
      </c>
      <c r="F28" s="71"/>
      <c r="G28" s="72">
        <f t="shared" si="21"/>
        <v>0.48589786893126102</v>
      </c>
      <c r="H28" s="72"/>
      <c r="I28" s="72">
        <f t="shared" ref="I28" si="24">D28*G28</f>
        <v>388.71829514500882</v>
      </c>
      <c r="J28" s="87">
        <f t="shared" ref="J28" si="25">J27-I28</f>
        <v>187.0706795385355</v>
      </c>
    </row>
    <row r="29" spans="1:13" x14ac:dyDescent="0.25">
      <c r="A29" s="86">
        <v>41506</v>
      </c>
      <c r="B29" s="71" t="s">
        <v>239</v>
      </c>
      <c r="C29" s="71">
        <v>1000</v>
      </c>
      <c r="D29" s="71"/>
      <c r="E29" s="71">
        <f>E28+C29</f>
        <v>1385</v>
      </c>
      <c r="F29" s="72">
        <f>+H29/C29</f>
        <v>0.48632999999999998</v>
      </c>
      <c r="G29" s="72"/>
      <c r="H29" s="72">
        <v>486.33</v>
      </c>
      <c r="I29" s="72"/>
      <c r="J29" s="87">
        <f>+J28+H29</f>
        <v>673.40067953853554</v>
      </c>
    </row>
    <row r="30" spans="1:13" x14ac:dyDescent="0.25">
      <c r="A30" s="86">
        <v>41515</v>
      </c>
      <c r="B30" s="71" t="s">
        <v>236</v>
      </c>
      <c r="C30" s="71"/>
      <c r="D30" s="71">
        <v>200</v>
      </c>
      <c r="E30" s="71">
        <f>+E29-D30</f>
        <v>1185</v>
      </c>
      <c r="F30" s="71"/>
      <c r="G30" s="72">
        <f>J28/E28</f>
        <v>0.48589786893126102</v>
      </c>
      <c r="H30" s="72"/>
      <c r="I30" s="72">
        <f t="shared" ref="I30:I40" si="26">D30*G30</f>
        <v>97.179573786252206</v>
      </c>
      <c r="J30" s="87">
        <f>+J29-I30</f>
        <v>576.22110575228339</v>
      </c>
      <c r="M30" s="70">
        <f>SUM(I28:I30)</f>
        <v>485.89786893126103</v>
      </c>
    </row>
    <row r="31" spans="1:13" x14ac:dyDescent="0.25">
      <c r="A31" s="86">
        <v>41530</v>
      </c>
      <c r="B31" s="71" t="s">
        <v>244</v>
      </c>
      <c r="C31" s="71"/>
      <c r="D31" s="71">
        <v>200</v>
      </c>
      <c r="E31" s="71">
        <f t="shared" ref="E31:E34" si="27">+E30-D31</f>
        <v>985</v>
      </c>
      <c r="F31" s="71"/>
      <c r="G31" s="72">
        <f t="shared" ref="G31:G41" si="28">J30/E30</f>
        <v>0.48626253649981721</v>
      </c>
      <c r="H31" s="72"/>
      <c r="I31" s="72">
        <f t="shared" si="26"/>
        <v>97.25250729996344</v>
      </c>
      <c r="J31" s="87">
        <f t="shared" ref="J31:J34" si="29">J30-I31</f>
        <v>478.96859845231995</v>
      </c>
    </row>
    <row r="32" spans="1:13" x14ac:dyDescent="0.25">
      <c r="A32" s="86">
        <v>41541</v>
      </c>
      <c r="B32" s="71" t="s">
        <v>248</v>
      </c>
      <c r="C32" s="71"/>
      <c r="D32" s="71">
        <v>200</v>
      </c>
      <c r="E32" s="71">
        <f t="shared" si="27"/>
        <v>785</v>
      </c>
      <c r="F32" s="71"/>
      <c r="G32" s="72">
        <f t="shared" si="28"/>
        <v>0.48626253649981721</v>
      </c>
      <c r="H32" s="72"/>
      <c r="I32" s="72">
        <f t="shared" si="26"/>
        <v>97.25250729996344</v>
      </c>
      <c r="J32" s="87">
        <f t="shared" si="29"/>
        <v>381.71609115235651</v>
      </c>
    </row>
    <row r="33" spans="1:13" x14ac:dyDescent="0.25">
      <c r="A33" s="86">
        <v>41542</v>
      </c>
      <c r="B33" s="71" t="s">
        <v>247</v>
      </c>
      <c r="C33" s="71"/>
      <c r="D33" s="71">
        <v>50</v>
      </c>
      <c r="E33" s="71">
        <f t="shared" si="27"/>
        <v>735</v>
      </c>
      <c r="F33" s="71"/>
      <c r="G33" s="72">
        <f t="shared" si="28"/>
        <v>0.48626253649981721</v>
      </c>
      <c r="H33" s="72"/>
      <c r="I33" s="72">
        <f t="shared" si="26"/>
        <v>24.31312682499086</v>
      </c>
      <c r="J33" s="87">
        <f t="shared" si="29"/>
        <v>357.40296432736568</v>
      </c>
    </row>
    <row r="34" spans="1:13" x14ac:dyDescent="0.25">
      <c r="A34" s="86">
        <v>41547</v>
      </c>
      <c r="B34" s="71" t="s">
        <v>249</v>
      </c>
      <c r="C34" s="71"/>
      <c r="D34" s="71">
        <v>300</v>
      </c>
      <c r="E34" s="71">
        <f t="shared" si="27"/>
        <v>435</v>
      </c>
      <c r="F34" s="71"/>
      <c r="G34" s="72">
        <f t="shared" si="28"/>
        <v>0.48626253649981727</v>
      </c>
      <c r="H34" s="72"/>
      <c r="I34" s="72">
        <f t="shared" si="26"/>
        <v>145.87876094994519</v>
      </c>
      <c r="J34" s="87">
        <f t="shared" si="29"/>
        <v>211.52420337742049</v>
      </c>
      <c r="M34" s="70">
        <f>SUM(I31:I34)</f>
        <v>364.69690237486293</v>
      </c>
    </row>
    <row r="35" spans="1:13" x14ac:dyDescent="0.25">
      <c r="A35" s="86">
        <v>41554</v>
      </c>
      <c r="B35" s="71" t="s">
        <v>250</v>
      </c>
      <c r="C35" s="71">
        <v>1000</v>
      </c>
      <c r="D35" s="71"/>
      <c r="E35" s="71">
        <f>+E34+C35</f>
        <v>1435</v>
      </c>
      <c r="F35" s="72">
        <f>+H35/C35</f>
        <v>0.48111000000000004</v>
      </c>
      <c r="G35" s="72"/>
      <c r="H35" s="72">
        <v>481.11</v>
      </c>
      <c r="I35" s="72"/>
      <c r="J35" s="87">
        <f>+J34+H35</f>
        <v>692.63420337742048</v>
      </c>
    </row>
    <row r="36" spans="1:13" s="110" customFormat="1" x14ac:dyDescent="0.25">
      <c r="A36" s="86">
        <v>41597</v>
      </c>
      <c r="B36" s="71" t="s">
        <v>350</v>
      </c>
      <c r="C36" s="71"/>
      <c r="D36" s="71">
        <v>400</v>
      </c>
      <c r="E36" s="71">
        <f>+E35-D36</f>
        <v>1035</v>
      </c>
      <c r="F36" s="72"/>
      <c r="G36" s="72">
        <f t="shared" si="28"/>
        <v>0.48267191872990972</v>
      </c>
      <c r="H36" s="72"/>
      <c r="I36" s="72">
        <f t="shared" si="26"/>
        <v>193.06876749196388</v>
      </c>
      <c r="J36" s="87">
        <f>+J35-I36</f>
        <v>499.56543588545662</v>
      </c>
      <c r="M36" s="70">
        <f>+I36</f>
        <v>193.06876749196388</v>
      </c>
    </row>
    <row r="37" spans="1:13" x14ac:dyDescent="0.25">
      <c r="A37" s="86">
        <v>41619</v>
      </c>
      <c r="B37" s="71" t="s">
        <v>311</v>
      </c>
      <c r="C37" s="71"/>
      <c r="D37" s="71">
        <v>100</v>
      </c>
      <c r="E37" s="71">
        <f t="shared" ref="E37:E40" si="30">+E36-D37</f>
        <v>935</v>
      </c>
      <c r="F37" s="71"/>
      <c r="G37" s="72">
        <f t="shared" si="28"/>
        <v>0.48267191872990978</v>
      </c>
      <c r="H37" s="72"/>
      <c r="I37" s="72">
        <f t="shared" si="26"/>
        <v>48.267191872990978</v>
      </c>
      <c r="J37" s="87">
        <f t="shared" ref="J37:J40" si="31">+J36-I37</f>
        <v>451.29824401246566</v>
      </c>
    </row>
    <row r="38" spans="1:13" x14ac:dyDescent="0.25">
      <c r="A38" s="86">
        <v>41620</v>
      </c>
      <c r="B38" s="71" t="s">
        <v>312</v>
      </c>
      <c r="C38" s="71"/>
      <c r="D38" s="71">
        <v>400</v>
      </c>
      <c r="E38" s="71">
        <f t="shared" si="30"/>
        <v>535</v>
      </c>
      <c r="F38" s="71"/>
      <c r="G38" s="72">
        <f t="shared" si="28"/>
        <v>0.48267191872990978</v>
      </c>
      <c r="H38" s="72"/>
      <c r="I38" s="72">
        <f t="shared" si="26"/>
        <v>193.06876749196391</v>
      </c>
      <c r="J38" s="87">
        <f t="shared" si="31"/>
        <v>258.22947652050175</v>
      </c>
    </row>
    <row r="39" spans="1:13" x14ac:dyDescent="0.25">
      <c r="A39" s="86">
        <v>41620</v>
      </c>
      <c r="B39" s="71" t="s">
        <v>314</v>
      </c>
      <c r="C39" s="71"/>
      <c r="D39" s="71">
        <v>50</v>
      </c>
      <c r="E39" s="71">
        <f t="shared" si="30"/>
        <v>485</v>
      </c>
      <c r="F39" s="71"/>
      <c r="G39" s="72">
        <f t="shared" si="28"/>
        <v>0.48267191872990983</v>
      </c>
      <c r="H39" s="72"/>
      <c r="I39" s="72">
        <f t="shared" si="26"/>
        <v>24.133595936495492</v>
      </c>
      <c r="J39" s="87">
        <f t="shared" si="31"/>
        <v>234.09588058400627</v>
      </c>
    </row>
    <row r="40" spans="1:13" x14ac:dyDescent="0.25">
      <c r="A40" s="86">
        <v>41624</v>
      </c>
      <c r="B40" s="71" t="s">
        <v>336</v>
      </c>
      <c r="C40" s="71"/>
      <c r="D40" s="71">
        <v>100</v>
      </c>
      <c r="E40" s="71">
        <f t="shared" si="30"/>
        <v>385</v>
      </c>
      <c r="F40" s="71"/>
      <c r="G40" s="72">
        <f t="shared" si="28"/>
        <v>0.48267191872990983</v>
      </c>
      <c r="H40" s="72"/>
      <c r="I40" s="72">
        <f t="shared" si="26"/>
        <v>48.267191872990985</v>
      </c>
      <c r="J40" s="87">
        <f t="shared" si="31"/>
        <v>185.82868871101527</v>
      </c>
    </row>
    <row r="41" spans="1:13" x14ac:dyDescent="0.25">
      <c r="A41" s="86">
        <v>41624</v>
      </c>
      <c r="B41" s="71" t="s">
        <v>338</v>
      </c>
      <c r="C41" s="71">
        <v>2000</v>
      </c>
      <c r="D41" s="71"/>
      <c r="E41" s="71">
        <f>E40+C41</f>
        <v>2385</v>
      </c>
      <c r="F41" s="72">
        <f>+H41/C41</f>
        <v>0.48719999999999997</v>
      </c>
      <c r="G41" s="72">
        <f t="shared" si="28"/>
        <v>0.48267191872990978</v>
      </c>
      <c r="H41" s="72">
        <v>974.4</v>
      </c>
      <c r="I41" s="72"/>
      <c r="J41" s="87">
        <f>+J40+H41</f>
        <v>1160.2286887110154</v>
      </c>
      <c r="M41" s="70">
        <f>SUM(I37:I40)</f>
        <v>313.73674717444135</v>
      </c>
    </row>
    <row r="42" spans="1:13" x14ac:dyDescent="0.25">
      <c r="A42" s="88"/>
      <c r="B42" s="71"/>
      <c r="C42" s="71"/>
      <c r="D42" s="71"/>
      <c r="E42" s="71"/>
      <c r="F42" s="71"/>
      <c r="G42" s="72"/>
      <c r="H42" s="72"/>
      <c r="I42" s="72"/>
      <c r="J42" s="87"/>
    </row>
    <row r="43" spans="1:13" x14ac:dyDescent="0.25">
      <c r="A43" s="88"/>
      <c r="B43" s="71"/>
      <c r="C43" s="71"/>
      <c r="D43" s="71"/>
      <c r="E43" s="71"/>
      <c r="F43" s="71"/>
      <c r="G43" s="72"/>
      <c r="H43" s="72"/>
      <c r="I43" s="72"/>
      <c r="J43" s="87"/>
    </row>
    <row r="44" spans="1:13" x14ac:dyDescent="0.25">
      <c r="A44" s="88"/>
      <c r="B44" s="71"/>
      <c r="C44" s="71"/>
      <c r="D44" s="71"/>
      <c r="E44" s="71"/>
      <c r="F44" s="71"/>
      <c r="G44" s="72"/>
      <c r="H44" s="72"/>
      <c r="I44" s="72"/>
      <c r="J44" s="87"/>
    </row>
    <row r="45" spans="1:13" x14ac:dyDescent="0.25">
      <c r="A45" s="88"/>
      <c r="B45" s="71"/>
      <c r="C45" s="71"/>
      <c r="D45" s="71"/>
      <c r="E45" s="71"/>
      <c r="F45" s="71"/>
      <c r="G45" s="72"/>
      <c r="H45" s="72"/>
      <c r="I45" s="72"/>
      <c r="J45" s="87"/>
      <c r="M45" s="83"/>
    </row>
    <row r="46" spans="1:13" ht="15.75" thickBot="1" x14ac:dyDescent="0.3">
      <c r="A46" s="94"/>
      <c r="B46" s="94" t="s">
        <v>351</v>
      </c>
      <c r="C46" s="94">
        <f>SUM(C12:C45)</f>
        <v>8950</v>
      </c>
      <c r="D46" s="94">
        <f>SUM(D12:D45)</f>
        <v>6565</v>
      </c>
      <c r="E46" s="94">
        <f>C46-D46</f>
        <v>2385</v>
      </c>
      <c r="F46" s="94"/>
      <c r="G46" s="95"/>
      <c r="H46" s="94">
        <f>SUM(H12:H45)</f>
        <v>4338.24</v>
      </c>
      <c r="I46" s="95">
        <f>SUM(I12:I45)</f>
        <v>3178.0113112889853</v>
      </c>
      <c r="J46" s="95">
        <f>H46-I46</f>
        <v>1160.2286887110145</v>
      </c>
      <c r="M46" s="70">
        <f>SUM(M14:M45)</f>
        <v>3178.0113112889858</v>
      </c>
    </row>
    <row r="47" spans="1:13" s="110" customFormat="1" x14ac:dyDescent="0.25">
      <c r="A47" s="7"/>
      <c r="B47" s="7"/>
      <c r="C47" s="7"/>
      <c r="D47" s="7"/>
      <c r="E47" s="7"/>
      <c r="F47" s="7"/>
      <c r="G47" s="92"/>
      <c r="H47" s="7"/>
      <c r="I47" s="92"/>
      <c r="J47" s="92"/>
    </row>
    <row r="48" spans="1:13" x14ac:dyDescent="0.25">
      <c r="A48" s="7"/>
      <c r="B48" s="7"/>
      <c r="C48" s="7"/>
      <c r="D48" s="7"/>
      <c r="E48" s="92"/>
      <c r="F48" s="7"/>
      <c r="G48" s="92"/>
      <c r="H48" s="92"/>
      <c r="I48" s="92"/>
      <c r="J48" s="92"/>
    </row>
    <row r="49" spans="1:10" x14ac:dyDescent="0.25">
      <c r="A49" s="7"/>
      <c r="B49" s="7"/>
      <c r="C49" s="7"/>
      <c r="D49" s="7"/>
      <c r="E49" s="92"/>
      <c r="F49" s="7"/>
      <c r="G49" s="92"/>
      <c r="H49" s="92"/>
      <c r="I49" s="92"/>
      <c r="J49" s="92"/>
    </row>
    <row r="50" spans="1:10" x14ac:dyDescent="0.25">
      <c r="A50" s="7"/>
      <c r="B50" s="7"/>
      <c r="C50" s="7"/>
      <c r="D50" s="7"/>
      <c r="E50" s="7"/>
      <c r="F50" s="7"/>
      <c r="G50" s="92"/>
      <c r="H50" s="92"/>
      <c r="I50" s="92"/>
      <c r="J50" s="92"/>
    </row>
    <row r="51" spans="1:10" x14ac:dyDescent="0.25">
      <c r="A51" s="7"/>
      <c r="B51" s="7"/>
      <c r="C51" s="7"/>
      <c r="D51" s="7"/>
      <c r="E51" s="7"/>
      <c r="F51" s="7"/>
      <c r="G51" s="92"/>
      <c r="H51" s="92"/>
      <c r="I51" s="92"/>
      <c r="J51" s="92"/>
    </row>
    <row r="52" spans="1:10" x14ac:dyDescent="0.25">
      <c r="A52" s="7"/>
      <c r="B52" s="7"/>
      <c r="C52" s="7"/>
      <c r="D52" s="7"/>
      <c r="E52" s="7"/>
      <c r="F52" s="7"/>
      <c r="G52" s="92"/>
      <c r="H52" s="92"/>
      <c r="I52" s="92"/>
      <c r="J52" s="92"/>
    </row>
    <row r="53" spans="1:10" x14ac:dyDescent="0.25">
      <c r="A53" s="7"/>
      <c r="B53" s="7"/>
      <c r="C53" s="7"/>
      <c r="D53" s="7"/>
      <c r="E53" s="7"/>
      <c r="F53" s="7"/>
      <c r="G53" s="92"/>
      <c r="H53" s="92"/>
      <c r="I53" s="92"/>
      <c r="J53" s="92"/>
    </row>
    <row r="54" spans="1:10" x14ac:dyDescent="0.25">
      <c r="A54" s="7"/>
      <c r="B54" s="7"/>
      <c r="C54" s="7"/>
      <c r="D54" s="7"/>
      <c r="E54" s="7"/>
      <c r="F54" s="7"/>
      <c r="G54" s="92"/>
      <c r="H54" s="92"/>
      <c r="I54" s="92"/>
      <c r="J54" s="92"/>
    </row>
    <row r="55" spans="1:10" x14ac:dyDescent="0.25">
      <c r="A55" s="7"/>
      <c r="B55" s="7"/>
      <c r="C55" s="7"/>
      <c r="D55" s="7"/>
      <c r="E55" s="7"/>
      <c r="F55" s="7"/>
      <c r="G55" s="92"/>
      <c r="H55" s="92"/>
      <c r="I55" s="92"/>
      <c r="J55" s="92"/>
    </row>
    <row r="56" spans="1:10" x14ac:dyDescent="0.25">
      <c r="A56" s="7"/>
      <c r="B56" s="7"/>
      <c r="C56" s="7"/>
      <c r="D56" s="7"/>
      <c r="E56" s="7"/>
      <c r="F56" s="7"/>
      <c r="G56" s="92"/>
      <c r="H56" s="92"/>
      <c r="I56" s="92"/>
      <c r="J56" s="92"/>
    </row>
    <row r="57" spans="1:10" x14ac:dyDescent="0.25">
      <c r="A57" s="7"/>
      <c r="B57" s="7"/>
      <c r="C57" s="7"/>
      <c r="D57" s="7"/>
      <c r="E57" s="7"/>
      <c r="F57" s="7"/>
      <c r="G57" s="92"/>
      <c r="H57" s="92"/>
      <c r="I57" s="92"/>
      <c r="J57" s="92"/>
    </row>
    <row r="58" spans="1:10" x14ac:dyDescent="0.25">
      <c r="A58" s="7"/>
      <c r="B58" s="7"/>
      <c r="C58" s="7"/>
      <c r="D58" s="7"/>
      <c r="E58" s="7"/>
      <c r="F58" s="7"/>
      <c r="G58" s="92"/>
      <c r="H58" s="92"/>
      <c r="I58" s="92"/>
      <c r="J58" s="92"/>
    </row>
    <row r="59" spans="1:10" x14ac:dyDescent="0.25">
      <c r="A59" s="7"/>
      <c r="B59" s="7"/>
      <c r="C59" s="7"/>
      <c r="D59" s="7"/>
      <c r="E59" s="7"/>
      <c r="F59" s="7"/>
      <c r="G59" s="92"/>
      <c r="H59" s="92"/>
      <c r="I59" s="92"/>
      <c r="J59" s="92"/>
    </row>
    <row r="60" spans="1:10" x14ac:dyDescent="0.25">
      <c r="A60" s="7"/>
      <c r="B60" s="7"/>
      <c r="C60" s="7"/>
      <c r="D60" s="7"/>
      <c r="E60" s="7"/>
      <c r="F60" s="7"/>
      <c r="G60" s="92"/>
      <c r="H60" s="92"/>
      <c r="I60" s="92"/>
      <c r="J60" s="92"/>
    </row>
    <row r="61" spans="1:10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</row>
  </sheetData>
  <mergeCells count="4">
    <mergeCell ref="D5:H5"/>
    <mergeCell ref="C10:E10"/>
    <mergeCell ref="F10:G10"/>
    <mergeCell ref="H10:J10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I30" sqref="I30"/>
    </sheetView>
  </sheetViews>
  <sheetFormatPr baseColWidth="10" defaultRowHeight="15" x14ac:dyDescent="0.25"/>
  <cols>
    <col min="2" max="2" width="26" customWidth="1"/>
    <col min="3" max="12" width="11.42578125" customWidth="1"/>
  </cols>
  <sheetData>
    <row r="1" spans="1:13" x14ac:dyDescent="0.25">
      <c r="A1" s="1" t="s">
        <v>24</v>
      </c>
      <c r="B1" s="2"/>
      <c r="C1" s="3"/>
      <c r="D1" s="3"/>
      <c r="E1" s="3"/>
      <c r="F1" s="3"/>
      <c r="G1" s="3"/>
      <c r="H1" s="38" t="s">
        <v>16</v>
      </c>
      <c r="I1" s="37"/>
      <c r="J1" s="124"/>
    </row>
    <row r="2" spans="1:13" x14ac:dyDescent="0.25">
      <c r="A2" s="5" t="s">
        <v>17</v>
      </c>
      <c r="B2" s="6"/>
      <c r="C2" s="7"/>
      <c r="D2" s="7"/>
      <c r="E2" s="7"/>
      <c r="F2" s="7"/>
      <c r="G2" s="7"/>
      <c r="H2" s="36" t="s">
        <v>358</v>
      </c>
      <c r="I2" s="40"/>
      <c r="J2" s="125"/>
    </row>
    <row r="3" spans="1:13" x14ac:dyDescent="0.25">
      <c r="A3" s="9" t="s">
        <v>15</v>
      </c>
      <c r="B3" s="10"/>
      <c r="C3" s="7"/>
      <c r="D3" s="7"/>
      <c r="E3" s="7"/>
      <c r="F3" s="7"/>
      <c r="G3" s="7"/>
      <c r="H3" s="36" t="s">
        <v>359</v>
      </c>
      <c r="I3" s="40"/>
      <c r="J3" s="125"/>
    </row>
    <row r="4" spans="1:13" ht="18" x14ac:dyDescent="0.25">
      <c r="A4" s="11"/>
      <c r="B4" s="7"/>
      <c r="C4" s="7"/>
      <c r="D4" s="131" t="s">
        <v>19</v>
      </c>
      <c r="E4" s="131"/>
      <c r="F4" s="131"/>
      <c r="G4" s="131"/>
      <c r="H4" s="131"/>
      <c r="I4" s="7"/>
      <c r="J4" s="119"/>
    </row>
    <row r="5" spans="1:13" x14ac:dyDescent="0.25">
      <c r="A5" s="11"/>
      <c r="B5" s="12"/>
      <c r="C5" s="7"/>
      <c r="D5" s="8" t="s">
        <v>23</v>
      </c>
      <c r="E5" s="12"/>
      <c r="F5" s="12"/>
      <c r="G5" s="7"/>
      <c r="H5" s="7"/>
      <c r="I5" s="7"/>
      <c r="J5" s="119"/>
    </row>
    <row r="6" spans="1:13" x14ac:dyDescent="0.25">
      <c r="A6" s="11"/>
      <c r="B6" s="12"/>
      <c r="C6" s="7"/>
      <c r="D6" s="7" t="s">
        <v>368</v>
      </c>
      <c r="E6" s="12"/>
      <c r="F6" s="12"/>
      <c r="G6" s="7"/>
      <c r="H6" s="7"/>
      <c r="I6" s="7"/>
      <c r="J6" s="119"/>
    </row>
    <row r="7" spans="1:13" x14ac:dyDescent="0.25">
      <c r="A7" s="11"/>
      <c r="B7" s="7"/>
      <c r="C7" s="7"/>
      <c r="D7" s="7"/>
      <c r="E7" s="7"/>
      <c r="F7" s="7"/>
      <c r="G7" s="7"/>
      <c r="H7" s="7"/>
      <c r="I7" s="7"/>
      <c r="J7" s="119"/>
    </row>
    <row r="8" spans="1:13" x14ac:dyDescent="0.25">
      <c r="A8" s="11"/>
      <c r="B8" s="7"/>
      <c r="C8" s="7"/>
      <c r="D8" s="7"/>
      <c r="E8" s="7"/>
      <c r="F8" s="7"/>
      <c r="G8" s="7"/>
      <c r="H8" s="7"/>
      <c r="I8" s="7"/>
      <c r="J8" s="119"/>
    </row>
    <row r="9" spans="1:13" x14ac:dyDescent="0.25">
      <c r="A9" s="78" t="s">
        <v>0</v>
      </c>
      <c r="B9" s="79" t="s">
        <v>1</v>
      </c>
      <c r="C9" s="143" t="s">
        <v>2</v>
      </c>
      <c r="D9" s="144"/>
      <c r="E9" s="145"/>
      <c r="F9" s="147" t="s">
        <v>3</v>
      </c>
      <c r="G9" s="148"/>
      <c r="H9" s="143" t="s">
        <v>4</v>
      </c>
      <c r="I9" s="144"/>
      <c r="J9" s="146"/>
      <c r="M9" s="110" t="s">
        <v>707</v>
      </c>
    </row>
    <row r="10" spans="1:13" x14ac:dyDescent="0.25">
      <c r="A10" s="80"/>
      <c r="B10" s="81"/>
      <c r="C10" s="82" t="s">
        <v>187</v>
      </c>
      <c r="D10" s="83" t="s">
        <v>7</v>
      </c>
      <c r="E10" s="84" t="s">
        <v>14</v>
      </c>
      <c r="F10" s="83" t="s">
        <v>12</v>
      </c>
      <c r="G10" s="83" t="s">
        <v>13</v>
      </c>
      <c r="H10" s="82" t="s">
        <v>8</v>
      </c>
      <c r="I10" s="83" t="s">
        <v>9</v>
      </c>
      <c r="J10" s="85" t="s">
        <v>14</v>
      </c>
    </row>
    <row r="11" spans="1:13" x14ac:dyDescent="0.25">
      <c r="A11" s="86">
        <v>41275</v>
      </c>
      <c r="B11" s="71" t="s">
        <v>189</v>
      </c>
      <c r="C11" s="71">
        <v>1400</v>
      </c>
      <c r="D11" s="71"/>
      <c r="E11" s="71">
        <v>1400</v>
      </c>
      <c r="F11" s="72">
        <f>H11/E11</f>
        <v>0.51409285714285713</v>
      </c>
      <c r="G11" s="7"/>
      <c r="H11" s="72">
        <v>719.73</v>
      </c>
      <c r="I11" s="72"/>
      <c r="J11" s="87">
        <f>+H11</f>
        <v>719.73</v>
      </c>
      <c r="K11" s="96"/>
    </row>
    <row r="12" spans="1:13" x14ac:dyDescent="0.25">
      <c r="A12" s="86">
        <v>41286</v>
      </c>
      <c r="B12" s="71" t="s">
        <v>203</v>
      </c>
      <c r="C12" s="71"/>
      <c r="D12" s="71">
        <v>150</v>
      </c>
      <c r="E12" s="71">
        <f t="shared" ref="E12:E18" si="0">E11-D12</f>
        <v>1250</v>
      </c>
      <c r="F12" s="71"/>
      <c r="G12" s="72">
        <f t="shared" ref="G12:G18" si="1">J11/E11</f>
        <v>0.51409285714285713</v>
      </c>
      <c r="H12" s="7"/>
      <c r="I12" s="72">
        <f t="shared" ref="I12:I18" si="2">D12*G12</f>
        <v>77.113928571428573</v>
      </c>
      <c r="J12" s="87">
        <f>J11-I12</f>
        <v>642.61607142857144</v>
      </c>
    </row>
    <row r="13" spans="1:13" x14ac:dyDescent="0.25">
      <c r="A13" s="93">
        <v>41288</v>
      </c>
      <c r="B13" s="71" t="s">
        <v>204</v>
      </c>
      <c r="C13" s="71"/>
      <c r="D13" s="71">
        <v>250</v>
      </c>
      <c r="E13" s="71">
        <f t="shared" si="0"/>
        <v>1000</v>
      </c>
      <c r="F13" s="71"/>
      <c r="G13" s="72">
        <f t="shared" si="1"/>
        <v>0.51409285714285713</v>
      </c>
      <c r="H13" s="72"/>
      <c r="I13" s="72">
        <f t="shared" si="2"/>
        <v>128.52321428571429</v>
      </c>
      <c r="J13" s="87">
        <f t="shared" ref="J13:J15" si="3">J12-I13</f>
        <v>514.09285714285716</v>
      </c>
    </row>
    <row r="14" spans="1:13" x14ac:dyDescent="0.25">
      <c r="A14" s="86">
        <v>41291</v>
      </c>
      <c r="B14" s="71" t="s">
        <v>205</v>
      </c>
      <c r="C14" s="71"/>
      <c r="D14" s="71">
        <v>150</v>
      </c>
      <c r="E14" s="71">
        <f t="shared" si="0"/>
        <v>850</v>
      </c>
      <c r="F14" s="71"/>
      <c r="G14" s="72">
        <f t="shared" si="1"/>
        <v>0.51409285714285713</v>
      </c>
      <c r="H14" s="72"/>
      <c r="I14" s="72">
        <f t="shared" si="2"/>
        <v>77.113928571428573</v>
      </c>
      <c r="J14" s="87">
        <f t="shared" si="3"/>
        <v>436.97892857142858</v>
      </c>
    </row>
    <row r="15" spans="1:13" x14ac:dyDescent="0.25">
      <c r="A15" s="86">
        <v>41291</v>
      </c>
      <c r="B15" s="71" t="s">
        <v>206</v>
      </c>
      <c r="C15" s="71"/>
      <c r="D15" s="71">
        <v>50</v>
      </c>
      <c r="E15" s="71">
        <f t="shared" si="0"/>
        <v>800</v>
      </c>
      <c r="F15" s="71"/>
      <c r="G15" s="72">
        <f t="shared" si="1"/>
        <v>0.51409285714285713</v>
      </c>
      <c r="H15" s="72"/>
      <c r="I15" s="72">
        <f t="shared" si="2"/>
        <v>25.704642857142858</v>
      </c>
      <c r="J15" s="87">
        <f t="shared" si="3"/>
        <v>411.27428571428572</v>
      </c>
      <c r="K15" s="70"/>
    </row>
    <row r="16" spans="1:13" x14ac:dyDescent="0.25">
      <c r="A16" s="86">
        <v>41297</v>
      </c>
      <c r="B16" s="71" t="s">
        <v>207</v>
      </c>
      <c r="C16" s="71"/>
      <c r="D16" s="71">
        <v>50</v>
      </c>
      <c r="E16" s="71">
        <f t="shared" si="0"/>
        <v>750</v>
      </c>
      <c r="F16" s="71"/>
      <c r="G16" s="72">
        <f t="shared" si="1"/>
        <v>0.51409285714285713</v>
      </c>
      <c r="H16" s="72"/>
      <c r="I16" s="72">
        <f t="shared" si="2"/>
        <v>25.704642857142858</v>
      </c>
      <c r="J16" s="87">
        <f t="shared" ref="J16" si="4">J15-I16</f>
        <v>385.56964285714287</v>
      </c>
    </row>
    <row r="17" spans="1:13" x14ac:dyDescent="0.25">
      <c r="A17" s="86">
        <v>41299</v>
      </c>
      <c r="B17" s="71" t="s">
        <v>208</v>
      </c>
      <c r="C17" s="71"/>
      <c r="D17" s="71">
        <v>50</v>
      </c>
      <c r="E17" s="71">
        <f t="shared" si="0"/>
        <v>700</v>
      </c>
      <c r="F17" s="71"/>
      <c r="G17" s="72">
        <f t="shared" si="1"/>
        <v>0.51409285714285713</v>
      </c>
      <c r="H17" s="72"/>
      <c r="I17" s="72">
        <f t="shared" si="2"/>
        <v>25.704642857142858</v>
      </c>
      <c r="J17" s="87">
        <f t="shared" ref="J17" si="5">J16-I17</f>
        <v>359.86500000000001</v>
      </c>
      <c r="M17" s="70"/>
    </row>
    <row r="18" spans="1:13" x14ac:dyDescent="0.25">
      <c r="A18" s="86">
        <v>41305</v>
      </c>
      <c r="B18" s="71" t="s">
        <v>209</v>
      </c>
      <c r="C18" s="71"/>
      <c r="D18" s="71">
        <v>50</v>
      </c>
      <c r="E18" s="71">
        <f t="shared" si="0"/>
        <v>650</v>
      </c>
      <c r="F18" s="71"/>
      <c r="G18" s="72">
        <f t="shared" si="1"/>
        <v>0.51409285714285713</v>
      </c>
      <c r="H18" s="72"/>
      <c r="I18" s="72">
        <f t="shared" si="2"/>
        <v>25.704642857142858</v>
      </c>
      <c r="J18" s="87">
        <f t="shared" ref="J18" si="6">J17-I18</f>
        <v>334.16035714285715</v>
      </c>
      <c r="M18" s="70">
        <f>SUM(I12:I18)</f>
        <v>385.56964285714287</v>
      </c>
    </row>
    <row r="19" spans="1:13" x14ac:dyDescent="0.25">
      <c r="A19" s="86">
        <v>41306</v>
      </c>
      <c r="B19" s="71" t="s">
        <v>210</v>
      </c>
      <c r="C19" s="71"/>
      <c r="D19" s="71">
        <v>20</v>
      </c>
      <c r="E19" s="71">
        <f t="shared" ref="E19" si="7">E18-D19</f>
        <v>630</v>
      </c>
      <c r="F19" s="71"/>
      <c r="G19" s="72">
        <f t="shared" ref="G19" si="8">J18/E18</f>
        <v>0.51409285714285713</v>
      </c>
      <c r="H19" s="72"/>
      <c r="I19" s="72">
        <f t="shared" ref="I19" si="9">D19*G19</f>
        <v>10.281857142857142</v>
      </c>
      <c r="J19" s="87">
        <f t="shared" ref="J19" si="10">J18-I19</f>
        <v>323.87850000000003</v>
      </c>
    </row>
    <row r="20" spans="1:13" x14ac:dyDescent="0.25">
      <c r="A20" s="86">
        <v>41325</v>
      </c>
      <c r="B20" s="71" t="s">
        <v>211</v>
      </c>
      <c r="C20" s="71"/>
      <c r="D20" s="71">
        <v>630</v>
      </c>
      <c r="E20" s="71">
        <f t="shared" ref="E20" si="11">E19-D20</f>
        <v>0</v>
      </c>
      <c r="F20" s="71"/>
      <c r="G20" s="72">
        <f t="shared" ref="G20" si="12">J19/E19</f>
        <v>0.51409285714285724</v>
      </c>
      <c r="H20" s="72"/>
      <c r="I20" s="72">
        <f t="shared" ref="I20" si="13">D20*G20</f>
        <v>323.87850000000009</v>
      </c>
      <c r="J20" s="87">
        <f t="shared" ref="J20" si="14">J19-I20</f>
        <v>0</v>
      </c>
      <c r="M20" s="70">
        <f>SUM(I19:I20)</f>
        <v>334.16035714285721</v>
      </c>
    </row>
    <row r="21" spans="1:13" x14ac:dyDescent="0.25">
      <c r="A21" s="88"/>
      <c r="B21" s="71"/>
      <c r="C21" s="71"/>
      <c r="D21" s="71"/>
      <c r="E21" s="71"/>
      <c r="F21" s="71"/>
      <c r="G21" s="72"/>
      <c r="H21" s="72"/>
      <c r="I21" s="72"/>
      <c r="J21" s="87"/>
    </row>
    <row r="22" spans="1:13" x14ac:dyDescent="0.25">
      <c r="A22" s="88"/>
      <c r="B22" s="71"/>
      <c r="C22" s="71"/>
      <c r="D22" s="71"/>
      <c r="E22" s="71"/>
      <c r="F22" s="71"/>
      <c r="G22" s="72"/>
      <c r="H22" s="72"/>
      <c r="I22" s="72"/>
      <c r="J22" s="87"/>
    </row>
    <row r="23" spans="1:13" x14ac:dyDescent="0.25">
      <c r="A23" s="88"/>
      <c r="B23" s="71"/>
      <c r="C23" s="71"/>
      <c r="D23" s="71"/>
      <c r="E23" s="71"/>
      <c r="F23" s="71"/>
      <c r="G23" s="72"/>
      <c r="H23" s="72"/>
      <c r="I23" s="72"/>
      <c r="J23" s="87"/>
    </row>
    <row r="24" spans="1:13" x14ac:dyDescent="0.25">
      <c r="A24" s="88"/>
      <c r="B24" s="71"/>
      <c r="C24" s="71"/>
      <c r="D24" s="71"/>
      <c r="E24" s="71"/>
      <c r="F24" s="71"/>
      <c r="G24" s="72"/>
      <c r="H24" s="72"/>
      <c r="I24" s="72"/>
      <c r="J24" s="87"/>
    </row>
    <row r="25" spans="1:13" x14ac:dyDescent="0.25">
      <c r="A25" s="88"/>
      <c r="B25" s="71"/>
      <c r="C25" s="71"/>
      <c r="D25" s="71"/>
      <c r="E25" s="71"/>
      <c r="F25" s="71"/>
      <c r="G25" s="72"/>
      <c r="H25" s="72"/>
      <c r="I25" s="72"/>
      <c r="J25" s="87"/>
    </row>
    <row r="26" spans="1:13" x14ac:dyDescent="0.25">
      <c r="A26" s="88"/>
      <c r="B26" s="71"/>
      <c r="C26" s="71"/>
      <c r="D26" s="71"/>
      <c r="E26" s="71"/>
      <c r="F26" s="71"/>
      <c r="G26" s="72"/>
      <c r="H26" s="72"/>
      <c r="I26" s="72"/>
      <c r="J26" s="87"/>
    </row>
    <row r="27" spans="1:13" x14ac:dyDescent="0.25">
      <c r="A27" s="88"/>
      <c r="B27" s="71"/>
      <c r="C27" s="71"/>
      <c r="D27" s="71"/>
      <c r="E27" s="71"/>
      <c r="F27" s="71"/>
      <c r="G27" s="72"/>
      <c r="H27" s="72"/>
      <c r="I27" s="72"/>
      <c r="J27" s="87"/>
    </row>
    <row r="28" spans="1:13" x14ac:dyDescent="0.25">
      <c r="A28" s="88"/>
      <c r="B28" s="71"/>
      <c r="C28" s="71"/>
      <c r="D28" s="71"/>
      <c r="E28" s="71"/>
      <c r="F28" s="71"/>
      <c r="G28" s="72"/>
      <c r="H28" s="72"/>
      <c r="I28" s="72"/>
      <c r="J28" s="87"/>
    </row>
    <row r="29" spans="1:13" x14ac:dyDescent="0.25">
      <c r="A29" s="88"/>
      <c r="B29" s="71"/>
      <c r="C29" s="71"/>
      <c r="D29" s="71"/>
      <c r="E29" s="71"/>
      <c r="F29" s="71"/>
      <c r="G29" s="72"/>
      <c r="H29" s="72"/>
      <c r="I29" s="72"/>
      <c r="J29" s="87"/>
    </row>
    <row r="30" spans="1:13" x14ac:dyDescent="0.25">
      <c r="A30" s="88"/>
      <c r="B30" s="71"/>
      <c r="C30" s="71"/>
      <c r="D30" s="71"/>
      <c r="E30" s="71"/>
      <c r="F30" s="71"/>
      <c r="G30" s="72"/>
      <c r="H30" s="72"/>
      <c r="I30" s="72"/>
      <c r="J30" s="87"/>
    </row>
    <row r="31" spans="1:13" x14ac:dyDescent="0.25">
      <c r="A31" s="88"/>
      <c r="B31" s="71"/>
      <c r="C31" s="71"/>
      <c r="D31" s="71"/>
      <c r="E31" s="71"/>
      <c r="F31" s="71"/>
      <c r="G31" s="72"/>
      <c r="H31" s="72"/>
      <c r="I31" s="72"/>
      <c r="J31" s="87"/>
    </row>
    <row r="32" spans="1:13" x14ac:dyDescent="0.25">
      <c r="A32" s="88"/>
      <c r="B32" s="71"/>
      <c r="C32" s="71"/>
      <c r="D32" s="71"/>
      <c r="E32" s="71"/>
      <c r="F32" s="71"/>
      <c r="G32" s="72"/>
      <c r="H32" s="72"/>
      <c r="I32" s="72"/>
      <c r="J32" s="87"/>
    </row>
    <row r="33" spans="1:13" x14ac:dyDescent="0.25">
      <c r="A33" s="88"/>
      <c r="B33" s="71"/>
      <c r="C33" s="71"/>
      <c r="D33" s="71"/>
      <c r="E33" s="71"/>
      <c r="F33" s="71"/>
      <c r="G33" s="72"/>
      <c r="H33" s="72"/>
      <c r="I33" s="72"/>
      <c r="J33" s="87"/>
    </row>
    <row r="34" spans="1:13" x14ac:dyDescent="0.25">
      <c r="A34" s="88"/>
      <c r="B34" s="71"/>
      <c r="C34" s="71"/>
      <c r="D34" s="71"/>
      <c r="E34" s="71"/>
      <c r="F34" s="71"/>
      <c r="G34" s="72"/>
      <c r="H34" s="72"/>
      <c r="I34" s="72"/>
      <c r="J34" s="87"/>
    </row>
    <row r="35" spans="1:13" x14ac:dyDescent="0.25">
      <c r="A35" s="88"/>
      <c r="B35" s="71"/>
      <c r="C35" s="71"/>
      <c r="D35" s="71"/>
      <c r="E35" s="71"/>
      <c r="F35" s="71"/>
      <c r="G35" s="72"/>
      <c r="H35" s="72"/>
      <c r="I35" s="72"/>
      <c r="J35" s="87"/>
    </row>
    <row r="36" spans="1:13" ht="15.75" thickBot="1" x14ac:dyDescent="0.3">
      <c r="A36" s="89"/>
      <c r="B36" s="90" t="s">
        <v>188</v>
      </c>
      <c r="C36" s="90">
        <f>SUM(C11:C35)</f>
        <v>1400</v>
      </c>
      <c r="D36" s="90">
        <f>SUM(D11:D35)</f>
        <v>1400</v>
      </c>
      <c r="E36" s="90">
        <f>+C36-D36</f>
        <v>0</v>
      </c>
      <c r="F36" s="90"/>
      <c r="G36" s="91"/>
      <c r="H36" s="90">
        <f>SUM(H11:H35)</f>
        <v>719.73</v>
      </c>
      <c r="I36" s="91">
        <f>SUM(I11:I35)</f>
        <v>719.73</v>
      </c>
      <c r="J36" s="126"/>
      <c r="M36" s="70">
        <f>SUM(M18:M35)</f>
        <v>719.73</v>
      </c>
    </row>
    <row r="37" spans="1:13" x14ac:dyDescent="0.25">
      <c r="A37" s="7"/>
      <c r="B37" s="7"/>
      <c r="C37" s="7"/>
      <c r="D37" s="7"/>
      <c r="E37" s="7"/>
      <c r="F37" s="7"/>
      <c r="G37" s="92"/>
      <c r="H37" s="92"/>
      <c r="I37" s="92"/>
      <c r="J37" s="92"/>
    </row>
    <row r="38" spans="1:13" x14ac:dyDescent="0.25">
      <c r="A38" s="7"/>
      <c r="B38" s="7"/>
      <c r="C38" s="7"/>
      <c r="D38" s="7"/>
      <c r="E38" s="92"/>
      <c r="F38" s="7"/>
      <c r="G38" s="92"/>
      <c r="H38" s="92"/>
      <c r="I38" s="92"/>
      <c r="J38" s="92"/>
    </row>
    <row r="39" spans="1:13" x14ac:dyDescent="0.25">
      <c r="A39" s="7"/>
      <c r="B39" s="7"/>
      <c r="C39" s="7"/>
      <c r="D39" s="7"/>
      <c r="E39" s="92"/>
      <c r="F39" s="7"/>
      <c r="G39" s="92"/>
      <c r="H39" s="92"/>
      <c r="I39" s="92"/>
      <c r="J39" s="92"/>
    </row>
    <row r="40" spans="1:13" x14ac:dyDescent="0.25">
      <c r="A40" s="7"/>
      <c r="B40" s="7"/>
      <c r="C40" s="7"/>
      <c r="D40" s="7"/>
      <c r="E40" s="7"/>
      <c r="F40" s="7"/>
      <c r="G40" s="92"/>
      <c r="H40" s="92"/>
      <c r="I40" s="92"/>
      <c r="J40" s="92"/>
    </row>
    <row r="41" spans="1:13" x14ac:dyDescent="0.25">
      <c r="A41" s="7"/>
      <c r="B41" s="7"/>
      <c r="C41" s="7"/>
      <c r="D41" s="7"/>
      <c r="E41" s="7"/>
      <c r="F41" s="7"/>
      <c r="G41" s="92"/>
      <c r="H41" s="92"/>
      <c r="I41" s="92"/>
      <c r="J41" s="92"/>
    </row>
    <row r="42" spans="1:13" x14ac:dyDescent="0.25">
      <c r="A42" s="7"/>
      <c r="B42" s="7"/>
      <c r="C42" s="7"/>
      <c r="D42" s="7"/>
      <c r="E42" s="7"/>
      <c r="F42" s="7"/>
      <c r="G42" s="92"/>
      <c r="H42" s="92"/>
      <c r="I42" s="92"/>
      <c r="J42" s="92"/>
    </row>
    <row r="43" spans="1:13" x14ac:dyDescent="0.25">
      <c r="A43" s="7"/>
      <c r="B43" s="7"/>
      <c r="C43" s="7"/>
      <c r="D43" s="7"/>
      <c r="E43" s="7"/>
      <c r="F43" s="7"/>
      <c r="G43" s="92"/>
      <c r="H43" s="92"/>
      <c r="I43" s="92"/>
      <c r="J43" s="92"/>
    </row>
    <row r="44" spans="1:13" x14ac:dyDescent="0.25">
      <c r="A44" s="7"/>
      <c r="B44" s="7"/>
      <c r="C44" s="7"/>
      <c r="D44" s="7"/>
      <c r="E44" s="7"/>
      <c r="F44" s="7"/>
      <c r="G44" s="92"/>
      <c r="H44" s="92"/>
      <c r="I44" s="92"/>
      <c r="J44" s="92"/>
    </row>
    <row r="45" spans="1:13" x14ac:dyDescent="0.25">
      <c r="A45" s="7"/>
      <c r="B45" s="7"/>
      <c r="C45" s="7"/>
      <c r="D45" s="7"/>
      <c r="E45" s="7"/>
      <c r="F45" s="7"/>
      <c r="G45" s="92"/>
      <c r="H45" s="92"/>
      <c r="I45" s="92"/>
      <c r="J45" s="92"/>
    </row>
    <row r="46" spans="1:13" x14ac:dyDescent="0.25">
      <c r="A46" s="7"/>
      <c r="B46" s="7"/>
      <c r="C46" s="7"/>
      <c r="D46" s="7"/>
      <c r="E46" s="7"/>
      <c r="F46" s="7"/>
      <c r="G46" s="92"/>
      <c r="H46" s="92"/>
      <c r="I46" s="92"/>
      <c r="J46" s="92"/>
    </row>
    <row r="47" spans="1:13" x14ac:dyDescent="0.25">
      <c r="A47" s="7"/>
      <c r="B47" s="7"/>
      <c r="C47" s="7"/>
      <c r="D47" s="7"/>
      <c r="E47" s="7"/>
      <c r="F47" s="7"/>
      <c r="G47" s="92"/>
      <c r="H47" s="92"/>
      <c r="I47" s="92"/>
      <c r="J47" s="92"/>
    </row>
    <row r="48" spans="1:13" x14ac:dyDescent="0.25">
      <c r="A48" s="7"/>
      <c r="B48" s="7"/>
      <c r="C48" s="7"/>
      <c r="D48" s="7"/>
      <c r="E48" s="7"/>
      <c r="F48" s="7"/>
      <c r="G48" s="92"/>
      <c r="H48" s="92"/>
      <c r="I48" s="92"/>
      <c r="J48" s="92"/>
    </row>
    <row r="49" spans="1:10" x14ac:dyDescent="0.25">
      <c r="A49" s="7"/>
      <c r="B49" s="7"/>
      <c r="C49" s="7"/>
      <c r="D49" s="7"/>
      <c r="E49" s="7"/>
      <c r="F49" s="7"/>
      <c r="G49" s="92"/>
      <c r="H49" s="92"/>
      <c r="I49" s="92"/>
      <c r="J49" s="92"/>
    </row>
  </sheetData>
  <mergeCells count="4">
    <mergeCell ref="D4:H4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4" workbookViewId="0">
      <selection activeCell="J21" sqref="J21"/>
    </sheetView>
  </sheetViews>
  <sheetFormatPr baseColWidth="10" defaultRowHeight="15" x14ac:dyDescent="0.25"/>
  <cols>
    <col min="2" max="2" width="27.140625" customWidth="1"/>
    <col min="3" max="12" width="11.42578125" customWidth="1"/>
  </cols>
  <sheetData>
    <row r="1" spans="1:13" x14ac:dyDescent="0.25">
      <c r="A1" s="1" t="s">
        <v>24</v>
      </c>
      <c r="B1" s="2"/>
      <c r="C1" s="3"/>
      <c r="D1" s="3"/>
      <c r="E1" s="3"/>
      <c r="F1" s="3"/>
      <c r="G1" s="3"/>
      <c r="H1" s="38" t="s">
        <v>16</v>
      </c>
      <c r="I1" s="37"/>
      <c r="J1" s="124"/>
    </row>
    <row r="2" spans="1:13" x14ac:dyDescent="0.25">
      <c r="A2" s="5" t="s">
        <v>17</v>
      </c>
      <c r="B2" s="6"/>
      <c r="C2" s="7"/>
      <c r="D2" s="7"/>
      <c r="E2" s="7"/>
      <c r="F2" s="7"/>
      <c r="G2" s="7"/>
      <c r="H2" s="36" t="s">
        <v>357</v>
      </c>
      <c r="I2" s="40"/>
      <c r="J2" s="125"/>
    </row>
    <row r="3" spans="1:13" x14ac:dyDescent="0.25">
      <c r="A3" s="9" t="s">
        <v>15</v>
      </c>
      <c r="B3" s="10"/>
      <c r="C3" s="7"/>
      <c r="D3" s="7"/>
      <c r="E3" s="7"/>
      <c r="F3" s="7"/>
      <c r="G3" s="7"/>
      <c r="H3" s="36" t="s">
        <v>356</v>
      </c>
      <c r="I3" s="40"/>
      <c r="J3" s="125"/>
    </row>
    <row r="4" spans="1:13" ht="18" x14ac:dyDescent="0.25">
      <c r="A4" s="11"/>
      <c r="B4" s="7"/>
      <c r="C4" s="7"/>
      <c r="D4" s="102" t="s">
        <v>19</v>
      </c>
      <c r="E4" s="102"/>
      <c r="F4" s="102"/>
      <c r="G4" s="102"/>
      <c r="H4" s="102"/>
      <c r="I4" s="7"/>
      <c r="J4" s="119"/>
    </row>
    <row r="5" spans="1:13" x14ac:dyDescent="0.25">
      <c r="A5" s="149" t="s">
        <v>369</v>
      </c>
      <c r="B5" s="150"/>
      <c r="C5" s="150"/>
      <c r="D5" s="150"/>
      <c r="E5" s="150"/>
      <c r="F5" s="150"/>
      <c r="G5" s="150"/>
      <c r="H5" s="150"/>
      <c r="I5" s="150"/>
      <c r="J5" s="119"/>
    </row>
    <row r="6" spans="1:13" x14ac:dyDescent="0.25">
      <c r="A6" s="151" t="s">
        <v>20</v>
      </c>
      <c r="B6" s="152"/>
      <c r="C6" s="152"/>
      <c r="D6" s="152"/>
      <c r="E6" s="152"/>
      <c r="F6" s="152"/>
      <c r="G6" s="152"/>
      <c r="H6" s="152"/>
      <c r="I6" s="152"/>
      <c r="J6" s="153"/>
    </row>
    <row r="7" spans="1:13" x14ac:dyDescent="0.25">
      <c r="A7" s="78" t="s">
        <v>0</v>
      </c>
      <c r="B7" s="79" t="s">
        <v>1</v>
      </c>
      <c r="C7" s="143" t="s">
        <v>2</v>
      </c>
      <c r="D7" s="144"/>
      <c r="E7" s="145"/>
      <c r="F7" s="147" t="s">
        <v>3</v>
      </c>
      <c r="G7" s="148"/>
      <c r="H7" s="143" t="s">
        <v>4</v>
      </c>
      <c r="I7" s="144"/>
      <c r="J7" s="146"/>
      <c r="M7" s="110" t="s">
        <v>707</v>
      </c>
    </row>
    <row r="8" spans="1:13" x14ac:dyDescent="0.25">
      <c r="A8" s="80"/>
      <c r="B8" s="81"/>
      <c r="C8" s="82" t="s">
        <v>187</v>
      </c>
      <c r="D8" s="83" t="s">
        <v>7</v>
      </c>
      <c r="E8" s="84" t="s">
        <v>14</v>
      </c>
      <c r="F8" s="83" t="s">
        <v>12</v>
      </c>
      <c r="G8" s="83" t="s">
        <v>13</v>
      </c>
      <c r="H8" s="82" t="s">
        <v>8</v>
      </c>
      <c r="I8" s="83" t="s">
        <v>9</v>
      </c>
      <c r="J8" s="85" t="s">
        <v>14</v>
      </c>
    </row>
    <row r="9" spans="1:13" x14ac:dyDescent="0.25">
      <c r="A9" s="86">
        <v>41586</v>
      </c>
      <c r="B9" s="101" t="s">
        <v>266</v>
      </c>
      <c r="C9" s="71">
        <f>46*2</f>
        <v>92</v>
      </c>
      <c r="D9" s="71"/>
      <c r="E9" s="71">
        <f>+C9</f>
        <v>92</v>
      </c>
      <c r="F9" s="72">
        <f>H9/E9</f>
        <v>14.479826086956521</v>
      </c>
      <c r="G9" s="71"/>
      <c r="H9" s="72">
        <f>+'[2]H.C. CLAVOS'!$H$28</f>
        <v>1332.144</v>
      </c>
      <c r="I9" s="72"/>
      <c r="J9" s="87">
        <f>+H9</f>
        <v>1332.144</v>
      </c>
      <c r="K9" s="96"/>
    </row>
    <row r="10" spans="1:13" x14ac:dyDescent="0.25">
      <c r="A10" s="86">
        <v>41586</v>
      </c>
      <c r="B10" s="101" t="s">
        <v>272</v>
      </c>
      <c r="C10" s="71"/>
      <c r="D10" s="71">
        <v>1</v>
      </c>
      <c r="E10" s="71">
        <f>+E9-D10</f>
        <v>91</v>
      </c>
      <c r="F10" s="72"/>
      <c r="G10" s="72">
        <f t="shared" ref="G10:G20" si="0">+J9/E9</f>
        <v>14.479826086956521</v>
      </c>
      <c r="H10" s="72"/>
      <c r="I10" s="72">
        <f>+D10*G10</f>
        <v>14.479826086956521</v>
      </c>
      <c r="J10" s="87">
        <f t="shared" ref="J10:J20" si="1">+J9-I10</f>
        <v>1317.6641739130434</v>
      </c>
      <c r="K10" s="96"/>
    </row>
    <row r="11" spans="1:13" x14ac:dyDescent="0.25">
      <c r="A11" s="86">
        <v>41590</v>
      </c>
      <c r="B11" s="101" t="s">
        <v>273</v>
      </c>
      <c r="C11" s="71"/>
      <c r="D11" s="71">
        <v>2</v>
      </c>
      <c r="E11" s="71">
        <f>+E10-D11</f>
        <v>89</v>
      </c>
      <c r="F11" s="72"/>
      <c r="G11" s="72">
        <f t="shared" si="0"/>
        <v>14.479826086956521</v>
      </c>
      <c r="H11" s="72"/>
      <c r="I11" s="72">
        <f t="shared" ref="I11:I28" si="2">+D11*G11</f>
        <v>28.959652173913042</v>
      </c>
      <c r="J11" s="87">
        <f t="shared" si="1"/>
        <v>1288.7045217391303</v>
      </c>
      <c r="K11" s="96"/>
    </row>
    <row r="12" spans="1:13" x14ac:dyDescent="0.25">
      <c r="A12" s="86">
        <v>41592</v>
      </c>
      <c r="B12" s="101" t="s">
        <v>275</v>
      </c>
      <c r="C12" s="71"/>
      <c r="D12" s="71">
        <v>6</v>
      </c>
      <c r="E12" s="71">
        <f t="shared" ref="E12:E35" si="3">+E11-D12</f>
        <v>83</v>
      </c>
      <c r="F12" s="72"/>
      <c r="G12" s="72">
        <f t="shared" si="0"/>
        <v>14.479826086956521</v>
      </c>
      <c r="H12" s="72"/>
      <c r="I12" s="72">
        <f t="shared" si="2"/>
        <v>86.878956521739127</v>
      </c>
      <c r="J12" s="87">
        <f t="shared" si="1"/>
        <v>1201.8255652173912</v>
      </c>
      <c r="K12" s="96"/>
    </row>
    <row r="13" spans="1:13" x14ac:dyDescent="0.25">
      <c r="A13" s="86">
        <v>41596</v>
      </c>
      <c r="B13" s="101" t="s">
        <v>276</v>
      </c>
      <c r="C13" s="71"/>
      <c r="D13" s="71">
        <v>10</v>
      </c>
      <c r="E13" s="71">
        <f t="shared" si="3"/>
        <v>73</v>
      </c>
      <c r="F13" s="72"/>
      <c r="G13" s="72">
        <f t="shared" si="0"/>
        <v>14.479826086956519</v>
      </c>
      <c r="H13" s="72"/>
      <c r="I13" s="72">
        <f t="shared" si="2"/>
        <v>144.79826086956518</v>
      </c>
      <c r="J13" s="87">
        <f t="shared" si="1"/>
        <v>1057.027304347826</v>
      </c>
      <c r="K13" s="96"/>
    </row>
    <row r="14" spans="1:13" x14ac:dyDescent="0.25">
      <c r="A14" s="86">
        <v>41598</v>
      </c>
      <c r="B14" s="101" t="s">
        <v>278</v>
      </c>
      <c r="C14" s="71"/>
      <c r="D14" s="71">
        <v>2</v>
      </c>
      <c r="E14" s="71">
        <f t="shared" si="3"/>
        <v>71</v>
      </c>
      <c r="F14" s="72"/>
      <c r="G14" s="72">
        <f t="shared" si="0"/>
        <v>14.479826086956519</v>
      </c>
      <c r="H14" s="72"/>
      <c r="I14" s="72">
        <f t="shared" si="2"/>
        <v>28.959652173913039</v>
      </c>
      <c r="J14" s="87">
        <f t="shared" si="1"/>
        <v>1028.0676521739128</v>
      </c>
      <c r="K14" s="96"/>
    </row>
    <row r="15" spans="1:13" x14ac:dyDescent="0.25">
      <c r="A15" s="86">
        <v>41598</v>
      </c>
      <c r="B15" s="101" t="s">
        <v>279</v>
      </c>
      <c r="C15" s="71"/>
      <c r="D15" s="71">
        <v>3</v>
      </c>
      <c r="E15" s="71">
        <f t="shared" si="3"/>
        <v>68</v>
      </c>
      <c r="F15" s="72"/>
      <c r="G15" s="72">
        <f t="shared" si="0"/>
        <v>14.479826086956519</v>
      </c>
      <c r="H15" s="72"/>
      <c r="I15" s="72">
        <f t="shared" si="2"/>
        <v>43.439478260869556</v>
      </c>
      <c r="J15" s="87">
        <f t="shared" si="1"/>
        <v>984.62817391304327</v>
      </c>
      <c r="K15" s="96"/>
    </row>
    <row r="16" spans="1:13" x14ac:dyDescent="0.25">
      <c r="A16" s="86">
        <v>41599</v>
      </c>
      <c r="B16" s="101" t="s">
        <v>281</v>
      </c>
      <c r="C16" s="71"/>
      <c r="D16" s="71">
        <v>2</v>
      </c>
      <c r="E16" s="71">
        <f t="shared" si="3"/>
        <v>66</v>
      </c>
      <c r="F16" s="72"/>
      <c r="G16" s="72">
        <f t="shared" si="0"/>
        <v>14.479826086956519</v>
      </c>
      <c r="H16" s="72"/>
      <c r="I16" s="72">
        <f t="shared" si="2"/>
        <v>28.959652173913039</v>
      </c>
      <c r="J16" s="87">
        <f t="shared" si="1"/>
        <v>955.66852173913026</v>
      </c>
      <c r="K16" s="96"/>
    </row>
    <row r="17" spans="1:13" x14ac:dyDescent="0.25">
      <c r="A17" s="86">
        <v>41600</v>
      </c>
      <c r="B17" s="101" t="s">
        <v>283</v>
      </c>
      <c r="C17" s="71"/>
      <c r="D17" s="71">
        <v>3</v>
      </c>
      <c r="E17" s="71">
        <f t="shared" si="3"/>
        <v>63</v>
      </c>
      <c r="F17" s="72"/>
      <c r="G17" s="72">
        <f t="shared" si="0"/>
        <v>14.479826086956519</v>
      </c>
      <c r="H17" s="72"/>
      <c r="I17" s="72">
        <f t="shared" si="2"/>
        <v>43.439478260869556</v>
      </c>
      <c r="J17" s="87">
        <f t="shared" si="1"/>
        <v>912.22904347826068</v>
      </c>
      <c r="K17" s="96"/>
    </row>
    <row r="18" spans="1:13" x14ac:dyDescent="0.25">
      <c r="A18" s="86">
        <v>41601</v>
      </c>
      <c r="B18" s="101" t="s">
        <v>285</v>
      </c>
      <c r="C18" s="71"/>
      <c r="D18" s="71">
        <v>1</v>
      </c>
      <c r="E18" s="71">
        <f t="shared" si="3"/>
        <v>62</v>
      </c>
      <c r="F18" s="72"/>
      <c r="G18" s="72">
        <f t="shared" si="0"/>
        <v>14.479826086956519</v>
      </c>
      <c r="H18" s="72"/>
      <c r="I18" s="72">
        <f t="shared" si="2"/>
        <v>14.479826086956519</v>
      </c>
      <c r="J18" s="87">
        <f t="shared" si="1"/>
        <v>897.74921739130411</v>
      </c>
      <c r="K18" s="96"/>
    </row>
    <row r="19" spans="1:13" x14ac:dyDescent="0.25">
      <c r="A19" s="86">
        <v>41601</v>
      </c>
      <c r="B19" s="101" t="s">
        <v>286</v>
      </c>
      <c r="C19" s="71"/>
      <c r="D19" s="71">
        <v>5</v>
      </c>
      <c r="E19" s="71">
        <f t="shared" si="3"/>
        <v>57</v>
      </c>
      <c r="F19" s="72"/>
      <c r="G19" s="72">
        <f t="shared" si="0"/>
        <v>14.479826086956518</v>
      </c>
      <c r="H19" s="72"/>
      <c r="I19" s="72">
        <f t="shared" si="2"/>
        <v>72.399130434782592</v>
      </c>
      <c r="J19" s="87">
        <f t="shared" si="1"/>
        <v>825.35008695652152</v>
      </c>
      <c r="K19" s="96"/>
    </row>
    <row r="20" spans="1:13" x14ac:dyDescent="0.25">
      <c r="A20" s="86">
        <v>41603</v>
      </c>
      <c r="B20" s="101" t="s">
        <v>287</v>
      </c>
      <c r="C20" s="71"/>
      <c r="D20" s="71">
        <v>3</v>
      </c>
      <c r="E20" s="71">
        <f t="shared" si="3"/>
        <v>54</v>
      </c>
      <c r="F20" s="72"/>
      <c r="G20" s="72">
        <f t="shared" si="0"/>
        <v>14.479826086956518</v>
      </c>
      <c r="H20" s="72"/>
      <c r="I20" s="72">
        <f t="shared" si="2"/>
        <v>43.439478260869549</v>
      </c>
      <c r="J20" s="87">
        <f t="shared" si="1"/>
        <v>781.91060869565194</v>
      </c>
      <c r="K20" s="96"/>
    </row>
    <row r="21" spans="1:13" x14ac:dyDescent="0.25">
      <c r="A21" s="86">
        <v>41606</v>
      </c>
      <c r="B21" s="101" t="s">
        <v>267</v>
      </c>
      <c r="C21" s="71">
        <v>92</v>
      </c>
      <c r="D21" s="71"/>
      <c r="E21" s="71">
        <f>+E20+C21</f>
        <v>146</v>
      </c>
      <c r="F21" s="72">
        <f>+J21/E21</f>
        <v>14.479798689696247</v>
      </c>
      <c r="G21" s="72"/>
      <c r="H21" s="72">
        <v>1332.14</v>
      </c>
      <c r="I21" s="72"/>
      <c r="J21" s="87">
        <f>+J20+H21</f>
        <v>2114.050608695652</v>
      </c>
      <c r="K21" s="96"/>
    </row>
    <row r="22" spans="1:13" x14ac:dyDescent="0.25">
      <c r="A22" s="86">
        <v>41607</v>
      </c>
      <c r="B22" s="101" t="s">
        <v>288</v>
      </c>
      <c r="C22" s="71"/>
      <c r="D22" s="71">
        <v>1</v>
      </c>
      <c r="E22" s="71">
        <f>+E21-D22</f>
        <v>145</v>
      </c>
      <c r="F22" s="72"/>
      <c r="G22" s="72">
        <f>+J20/E20</f>
        <v>14.479826086956518</v>
      </c>
      <c r="H22" s="72"/>
      <c r="I22" s="72">
        <f t="shared" si="2"/>
        <v>14.479826086956518</v>
      </c>
      <c r="J22" s="87">
        <f t="shared" ref="J22:J35" si="4">+J21-I22</f>
        <v>2099.5707826086955</v>
      </c>
      <c r="K22" s="96"/>
    </row>
    <row r="23" spans="1:13" x14ac:dyDescent="0.25">
      <c r="A23" s="86">
        <v>41607</v>
      </c>
      <c r="B23" s="101" t="s">
        <v>289</v>
      </c>
      <c r="C23" s="71"/>
      <c r="D23" s="71">
        <v>6</v>
      </c>
      <c r="E23" s="71">
        <f t="shared" si="3"/>
        <v>139</v>
      </c>
      <c r="F23" s="72"/>
      <c r="G23" s="72">
        <f>+J22/E22</f>
        <v>14.479798500749624</v>
      </c>
      <c r="H23" s="72"/>
      <c r="I23" s="72">
        <f t="shared" si="2"/>
        <v>86.878791004497742</v>
      </c>
      <c r="J23" s="87">
        <f t="shared" si="4"/>
        <v>2012.6919916041977</v>
      </c>
      <c r="K23" s="96"/>
      <c r="M23" s="70">
        <f>SUM(I10:I23)</f>
        <v>651.59200839580205</v>
      </c>
    </row>
    <row r="24" spans="1:13" x14ac:dyDescent="0.25">
      <c r="A24" s="86">
        <v>41610</v>
      </c>
      <c r="B24" s="101" t="s">
        <v>290</v>
      </c>
      <c r="C24" s="71"/>
      <c r="D24" s="71">
        <v>20</v>
      </c>
      <c r="E24" s="71">
        <f t="shared" si="3"/>
        <v>119</v>
      </c>
      <c r="F24" s="72"/>
      <c r="G24" s="72">
        <f>+J23/E23</f>
        <v>14.479798500749624</v>
      </c>
      <c r="H24" s="72"/>
      <c r="I24" s="72">
        <f t="shared" si="2"/>
        <v>289.59597001499247</v>
      </c>
      <c r="J24" s="87">
        <f t="shared" si="4"/>
        <v>1723.0960215892053</v>
      </c>
      <c r="K24" s="96"/>
    </row>
    <row r="25" spans="1:13" x14ac:dyDescent="0.25">
      <c r="A25" s="86">
        <v>41618</v>
      </c>
      <c r="B25" s="101" t="s">
        <v>306</v>
      </c>
      <c r="C25" s="71"/>
      <c r="D25" s="71">
        <v>1</v>
      </c>
      <c r="E25" s="71">
        <f t="shared" si="3"/>
        <v>118</v>
      </c>
      <c r="F25" s="72"/>
      <c r="G25" s="72">
        <f>+J24/E24</f>
        <v>14.479798500749624</v>
      </c>
      <c r="H25" s="72"/>
      <c r="I25" s="72">
        <f t="shared" si="2"/>
        <v>14.479798500749624</v>
      </c>
      <c r="J25" s="87">
        <f t="shared" si="4"/>
        <v>1708.6162230884556</v>
      </c>
      <c r="K25" s="96"/>
    </row>
    <row r="26" spans="1:13" x14ac:dyDescent="0.25">
      <c r="A26" s="86">
        <v>41619</v>
      </c>
      <c r="B26" s="101" t="s">
        <v>310</v>
      </c>
      <c r="C26" s="71"/>
      <c r="D26" s="71">
        <v>1</v>
      </c>
      <c r="E26" s="71">
        <f t="shared" si="3"/>
        <v>117</v>
      </c>
      <c r="F26" s="72"/>
      <c r="G26" s="72">
        <f>+J25/E25</f>
        <v>14.479798500749624</v>
      </c>
      <c r="H26" s="72"/>
      <c r="I26" s="72">
        <f t="shared" si="2"/>
        <v>14.479798500749624</v>
      </c>
      <c r="J26" s="87">
        <f t="shared" si="4"/>
        <v>1694.136424587706</v>
      </c>
      <c r="K26" s="96"/>
    </row>
    <row r="27" spans="1:13" x14ac:dyDescent="0.25">
      <c r="A27" s="86">
        <v>41622</v>
      </c>
      <c r="B27" s="101" t="s">
        <v>335</v>
      </c>
      <c r="C27" s="71"/>
      <c r="D27" s="71">
        <v>1</v>
      </c>
      <c r="E27" s="71">
        <f t="shared" si="3"/>
        <v>116</v>
      </c>
      <c r="F27" s="72"/>
      <c r="G27" s="72">
        <f>+J26/E26</f>
        <v>14.479798500749624</v>
      </c>
      <c r="H27" s="72"/>
      <c r="I27" s="72">
        <f t="shared" si="2"/>
        <v>14.479798500749624</v>
      </c>
      <c r="J27" s="87">
        <f t="shared" si="4"/>
        <v>1679.6566260869563</v>
      </c>
      <c r="K27" s="96"/>
    </row>
    <row r="28" spans="1:13" x14ac:dyDescent="0.25">
      <c r="A28" s="86">
        <v>41628</v>
      </c>
      <c r="B28" s="101" t="s">
        <v>341</v>
      </c>
      <c r="C28" s="71"/>
      <c r="D28" s="71">
        <v>5</v>
      </c>
      <c r="E28" s="71">
        <f>+E27-D28</f>
        <v>111</v>
      </c>
      <c r="F28" s="72"/>
      <c r="G28" s="72">
        <v>14.53</v>
      </c>
      <c r="H28" s="72"/>
      <c r="I28" s="72">
        <f t="shared" si="2"/>
        <v>72.649999999999991</v>
      </c>
      <c r="J28" s="87">
        <f t="shared" si="4"/>
        <v>1607.0066260869562</v>
      </c>
      <c r="K28" s="96"/>
    </row>
    <row r="29" spans="1:13" x14ac:dyDescent="0.25">
      <c r="A29" s="86">
        <v>41629</v>
      </c>
      <c r="B29" s="101" t="s">
        <v>342</v>
      </c>
      <c r="C29" s="71"/>
      <c r="D29" s="71">
        <v>3</v>
      </c>
      <c r="E29" s="71">
        <f t="shared" si="3"/>
        <v>108</v>
      </c>
      <c r="F29" s="72"/>
      <c r="G29" s="72">
        <v>14.53</v>
      </c>
      <c r="H29" s="72"/>
      <c r="I29" s="72">
        <f t="shared" ref="I29:I35" si="5">+D29*G29</f>
        <v>43.589999999999996</v>
      </c>
      <c r="J29" s="87">
        <f t="shared" si="4"/>
        <v>1563.4166260869563</v>
      </c>
    </row>
    <row r="30" spans="1:13" x14ac:dyDescent="0.25">
      <c r="A30" s="86">
        <v>41629</v>
      </c>
      <c r="B30" s="101" t="s">
        <v>344</v>
      </c>
      <c r="C30" s="71"/>
      <c r="D30" s="71">
        <v>2</v>
      </c>
      <c r="E30" s="71">
        <f t="shared" si="3"/>
        <v>106</v>
      </c>
      <c r="F30" s="72"/>
      <c r="G30" s="72">
        <v>14.53</v>
      </c>
      <c r="H30" s="72"/>
      <c r="I30" s="72">
        <f t="shared" si="5"/>
        <v>29.06</v>
      </c>
      <c r="J30" s="87">
        <f t="shared" si="4"/>
        <v>1534.3566260869563</v>
      </c>
    </row>
    <row r="31" spans="1:13" x14ac:dyDescent="0.25">
      <c r="A31" s="86">
        <v>41631</v>
      </c>
      <c r="B31" s="101" t="s">
        <v>345</v>
      </c>
      <c r="C31" s="71"/>
      <c r="D31" s="71">
        <v>1</v>
      </c>
      <c r="E31" s="71">
        <f t="shared" si="3"/>
        <v>105</v>
      </c>
      <c r="F31" s="72"/>
      <c r="G31" s="72">
        <v>14.53</v>
      </c>
      <c r="H31" s="72"/>
      <c r="I31" s="72">
        <f t="shared" si="5"/>
        <v>14.53</v>
      </c>
      <c r="J31" s="87">
        <f t="shared" si="4"/>
        <v>1519.8266260869564</v>
      </c>
    </row>
    <row r="32" spans="1:13" x14ac:dyDescent="0.25">
      <c r="A32" s="86">
        <v>41632</v>
      </c>
      <c r="B32" s="101" t="s">
        <v>346</v>
      </c>
      <c r="C32" s="71"/>
      <c r="D32" s="71">
        <v>1</v>
      </c>
      <c r="E32" s="71">
        <f t="shared" si="3"/>
        <v>104</v>
      </c>
      <c r="F32" s="72"/>
      <c r="G32" s="72">
        <v>14.53</v>
      </c>
      <c r="H32" s="72"/>
      <c r="I32" s="72">
        <f t="shared" si="5"/>
        <v>14.53</v>
      </c>
      <c r="J32" s="87">
        <f t="shared" si="4"/>
        <v>1505.2966260869564</v>
      </c>
      <c r="K32" s="70"/>
    </row>
    <row r="33" spans="1:13" x14ac:dyDescent="0.25">
      <c r="A33" s="86">
        <v>41635</v>
      </c>
      <c r="B33" s="101" t="s">
        <v>347</v>
      </c>
      <c r="C33" s="71"/>
      <c r="D33" s="71">
        <v>10</v>
      </c>
      <c r="E33" s="71">
        <f t="shared" si="3"/>
        <v>94</v>
      </c>
      <c r="F33" s="72"/>
      <c r="G33" s="72">
        <v>14.53</v>
      </c>
      <c r="H33" s="72"/>
      <c r="I33" s="72">
        <f t="shared" si="5"/>
        <v>145.29999999999998</v>
      </c>
      <c r="J33" s="87">
        <f t="shared" si="4"/>
        <v>1359.9966260869564</v>
      </c>
    </row>
    <row r="34" spans="1:13" x14ac:dyDescent="0.25">
      <c r="A34" s="86">
        <v>41635</v>
      </c>
      <c r="B34" s="101" t="s">
        <v>348</v>
      </c>
      <c r="C34" s="71"/>
      <c r="D34" s="71">
        <v>2</v>
      </c>
      <c r="E34" s="71">
        <f t="shared" si="3"/>
        <v>92</v>
      </c>
      <c r="F34" s="72"/>
      <c r="G34" s="72">
        <v>14.53</v>
      </c>
      <c r="H34" s="72"/>
      <c r="I34" s="72">
        <f t="shared" si="5"/>
        <v>29.06</v>
      </c>
      <c r="J34" s="87">
        <f t="shared" si="4"/>
        <v>1330.9366260869565</v>
      </c>
    </row>
    <row r="35" spans="1:13" x14ac:dyDescent="0.25">
      <c r="A35" s="86">
        <v>41635</v>
      </c>
      <c r="B35" s="101" t="s">
        <v>349</v>
      </c>
      <c r="C35" s="71"/>
      <c r="D35" s="71">
        <v>2</v>
      </c>
      <c r="E35" s="71">
        <f t="shared" si="3"/>
        <v>90</v>
      </c>
      <c r="F35" s="72"/>
      <c r="G35" s="72">
        <v>14.53</v>
      </c>
      <c r="H35" s="72"/>
      <c r="I35" s="72">
        <f t="shared" si="5"/>
        <v>29.06</v>
      </c>
      <c r="J35" s="87">
        <f t="shared" si="4"/>
        <v>1301.8766260869565</v>
      </c>
      <c r="M35" s="70">
        <f>SUM(I24:I35)</f>
        <v>710.81536551724105</v>
      </c>
    </row>
    <row r="36" spans="1:13" ht="15.75" thickBot="1" x14ac:dyDescent="0.3">
      <c r="A36" s="89"/>
      <c r="B36" s="90" t="s">
        <v>351</v>
      </c>
      <c r="C36" s="90">
        <f>SUM(C9:C35)</f>
        <v>184</v>
      </c>
      <c r="D36" s="90">
        <f>SUM(D9:D35)</f>
        <v>94</v>
      </c>
      <c r="E36" s="90">
        <f>C36-D36</f>
        <v>90</v>
      </c>
      <c r="F36" s="90"/>
      <c r="G36" s="91"/>
      <c r="H36" s="90">
        <f>SUM(H9:H35)</f>
        <v>2664.2840000000001</v>
      </c>
      <c r="I36" s="91">
        <f>SUM(I9:I35)</f>
        <v>1362.4073739130433</v>
      </c>
      <c r="J36" s="126">
        <f>H36-I36</f>
        <v>1301.8766260869568</v>
      </c>
      <c r="M36" s="70">
        <f>SUM(M23:M35)</f>
        <v>1362.4073739130431</v>
      </c>
    </row>
    <row r="37" spans="1:13" x14ac:dyDescent="0.25">
      <c r="A37" s="7"/>
      <c r="B37" s="7"/>
      <c r="C37" s="7"/>
      <c r="D37" s="7"/>
      <c r="E37" s="7"/>
      <c r="F37" s="7"/>
      <c r="G37" s="92"/>
      <c r="H37" s="92"/>
      <c r="I37" s="92"/>
      <c r="J37" s="92"/>
    </row>
    <row r="38" spans="1:13" x14ac:dyDescent="0.25">
      <c r="A38" s="7"/>
      <c r="B38" s="7"/>
      <c r="C38" s="7"/>
      <c r="D38" s="7"/>
      <c r="E38" s="92"/>
      <c r="F38" s="7"/>
      <c r="G38" s="92"/>
      <c r="H38" s="92"/>
      <c r="I38" s="92"/>
      <c r="J38" s="92"/>
    </row>
    <row r="39" spans="1:13" x14ac:dyDescent="0.25">
      <c r="A39" s="7"/>
      <c r="B39" s="7"/>
      <c r="C39" s="7"/>
      <c r="D39" s="7"/>
      <c r="E39" s="92"/>
      <c r="F39" s="7"/>
      <c r="G39" s="92"/>
      <c r="H39" s="92"/>
      <c r="I39" s="92"/>
      <c r="J39" s="92"/>
    </row>
    <row r="40" spans="1:13" x14ac:dyDescent="0.25">
      <c r="A40" s="7"/>
      <c r="B40" s="7"/>
      <c r="C40" s="7"/>
      <c r="D40" s="7"/>
      <c r="E40" s="7"/>
      <c r="F40" s="7"/>
      <c r="G40" s="92"/>
      <c r="H40" s="92"/>
      <c r="I40" s="92"/>
      <c r="J40" s="92"/>
    </row>
    <row r="41" spans="1:13" x14ac:dyDescent="0.25">
      <c r="A41" s="7"/>
      <c r="B41" s="7"/>
      <c r="C41" s="7"/>
      <c r="D41" s="7"/>
      <c r="E41" s="7"/>
      <c r="F41" s="7"/>
      <c r="G41" s="92"/>
      <c r="H41" s="92"/>
      <c r="I41" s="92"/>
      <c r="J41" s="92"/>
    </row>
    <row r="42" spans="1:13" x14ac:dyDescent="0.25">
      <c r="A42" s="7"/>
      <c r="B42" s="7"/>
      <c r="C42" s="7"/>
      <c r="D42" s="7"/>
      <c r="E42" s="7"/>
      <c r="F42" s="7"/>
      <c r="G42" s="92"/>
      <c r="H42" s="92"/>
      <c r="I42" s="92"/>
      <c r="J42" s="92"/>
    </row>
    <row r="43" spans="1:13" x14ac:dyDescent="0.25">
      <c r="A43" s="7"/>
      <c r="B43" s="7"/>
      <c r="C43" s="7"/>
      <c r="D43" s="7"/>
      <c r="E43" s="7"/>
      <c r="F43" s="7"/>
      <c r="G43" s="92"/>
      <c r="H43" s="92"/>
      <c r="I43" s="92"/>
      <c r="J43" s="92"/>
    </row>
    <row r="44" spans="1:13" x14ac:dyDescent="0.25">
      <c r="A44" s="7"/>
      <c r="B44" s="7"/>
      <c r="C44" s="7"/>
      <c r="D44" s="7"/>
      <c r="E44" s="7"/>
      <c r="F44" s="7"/>
      <c r="G44" s="92"/>
      <c r="H44" s="92"/>
      <c r="I44" s="92"/>
      <c r="J44" s="92"/>
    </row>
    <row r="45" spans="1:13" x14ac:dyDescent="0.25">
      <c r="A45" s="7"/>
      <c r="B45" s="7"/>
      <c r="C45" s="7"/>
      <c r="D45" s="7"/>
      <c r="E45" s="7"/>
      <c r="F45" s="7"/>
      <c r="G45" s="92"/>
      <c r="H45" s="92"/>
      <c r="I45" s="92"/>
      <c r="J45" s="92"/>
    </row>
    <row r="46" spans="1:13" x14ac:dyDescent="0.25">
      <c r="A46" s="7"/>
      <c r="B46" s="7"/>
      <c r="C46" s="7"/>
      <c r="D46" s="7"/>
      <c r="E46" s="7"/>
      <c r="F46" s="7"/>
      <c r="G46" s="92"/>
      <c r="H46" s="92"/>
      <c r="I46" s="92"/>
      <c r="J46" s="92"/>
    </row>
    <row r="47" spans="1:13" x14ac:dyDescent="0.25">
      <c r="A47" s="7"/>
      <c r="B47" s="7"/>
      <c r="C47" s="7"/>
      <c r="D47" s="7"/>
      <c r="E47" s="7"/>
      <c r="F47" s="7"/>
      <c r="G47" s="92"/>
      <c r="H47" s="92"/>
      <c r="I47" s="92"/>
      <c r="J47" s="92"/>
    </row>
    <row r="48" spans="1:13" x14ac:dyDescent="0.25">
      <c r="A48" s="7"/>
      <c r="B48" s="7"/>
      <c r="C48" s="7"/>
      <c r="D48" s="7"/>
      <c r="E48" s="7"/>
      <c r="F48" s="7"/>
      <c r="G48" s="92"/>
      <c r="H48" s="92"/>
      <c r="I48" s="92"/>
      <c r="J48" s="92"/>
    </row>
    <row r="49" spans="1:10" x14ac:dyDescent="0.25">
      <c r="A49" s="7"/>
      <c r="B49" s="7"/>
      <c r="C49" s="7"/>
      <c r="D49" s="7"/>
      <c r="E49" s="7"/>
      <c r="F49" s="7"/>
      <c r="G49" s="92"/>
      <c r="H49" s="92"/>
      <c r="I49" s="92"/>
      <c r="J49" s="92"/>
    </row>
  </sheetData>
  <mergeCells count="5">
    <mergeCell ref="C7:E7"/>
    <mergeCell ref="F7:G7"/>
    <mergeCell ref="H7:J7"/>
    <mergeCell ref="A5:I5"/>
    <mergeCell ref="A6:J6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  <ignoredErrors>
    <ignoredError sqref="E21 J2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ond.2013</vt:lpstr>
      <vt:lpstr>BLUE2013</vt:lpstr>
      <vt:lpstr>RAL.2013</vt:lpstr>
      <vt:lpstr>RAL # 28 SEP</vt:lpstr>
      <vt:lpstr>GANCJ-502013</vt:lpstr>
      <vt:lpstr>GANC j 60 2013</vt:lpstr>
      <vt:lpstr>GANC J70 2013</vt:lpstr>
      <vt:lpstr>Cla Cal 2013</vt:lpstr>
      <vt:lpstr>Hoja1</vt:lpstr>
      <vt:lpstr>ond.2013!Área_de_impresión</vt:lpstr>
    </vt:vector>
  </TitlesOfParts>
  <Company>DF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HJPE</dc:creator>
  <cp:lastModifiedBy>user</cp:lastModifiedBy>
  <cp:lastPrinted>2014-04-05T15:41:51Z</cp:lastPrinted>
  <dcterms:created xsi:type="dcterms:W3CDTF">2012-06-04T15:20:58Z</dcterms:created>
  <dcterms:modified xsi:type="dcterms:W3CDTF">2014-05-28T21:51:19Z</dcterms:modified>
</cp:coreProperties>
</file>